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codeName="Tento_zošit"/>
  <mc:AlternateContent xmlns:mc="http://schemas.openxmlformats.org/markup-compatibility/2006">
    <mc:Choice Requires="x15">
      <x15ac:absPath xmlns:x15ac="http://schemas.microsoft.com/office/spreadsheetml/2010/11/ac" url="/Users/lukaslukac/Documents/Pracovne/162_MSVVaS_NetAcad/Pripomienky_26112025/"/>
    </mc:Choice>
  </mc:AlternateContent>
  <xr:revisionPtr revIDLastSave="0" documentId="13_ncr:1_{EB98D206-F2B6-0F4E-8C4B-42B5B57E06DA}" xr6:coauthVersionLast="47" xr6:coauthVersionMax="47" xr10:uidLastSave="{00000000-0000-0000-0000-000000000000}"/>
  <bookViews>
    <workbookView xWindow="2480" yWindow="760" windowWidth="29040" windowHeight="16500" tabRatio="737" activeTab="2" xr2:uid="{00000000-000D-0000-FFFF-FFFF00000000}"/>
  </bookViews>
  <sheets>
    <sheet name="Úvod" sheetId="5" r:id="rId1"/>
    <sheet name="Zoznam_Harkov" sheetId="40" r:id="rId2"/>
    <sheet name="Sumarizácia" sheetId="20" r:id="rId3"/>
    <sheet name="Zdroje Financovania" sheetId="39" r:id="rId4"/>
    <sheet name="CBA - Agendové IS" sheetId="2" r:id="rId5"/>
    <sheet name="Výdavky - Agendové IS" sheetId="6" r:id="rId6"/>
    <sheet name="Prínosy - Agendové IS" sheetId="4" r:id="rId7"/>
    <sheet name="Parametre - Agendové IS" sheetId="3" r:id="rId8"/>
    <sheet name="MODULY_CBA" sheetId="32" r:id="rId9"/>
    <sheet name="Parametre_ECF_TCF" sheetId="43" state="hidden" r:id="rId10"/>
    <sheet name="INKREMENTY" sheetId="36" r:id="rId11"/>
    <sheet name="KATALOG_POZIADAVKY" sheetId="30" r:id="rId12"/>
    <sheet name="TCF_v02" sheetId="33" r:id="rId13"/>
    <sheet name="ECF_v02" sheetId="34" r:id="rId14"/>
    <sheet name="UAW_v02" sheetId="35" r:id="rId15"/>
    <sheet name="EXTERNE_POZICIE" sheetId="29" r:id="rId16"/>
    <sheet name="POZICIE_INTERNE" sheetId="37" r:id="rId17"/>
    <sheet name="Rozpocet - Vyvoj aplikacii" sheetId="26" r:id="rId18"/>
    <sheet name="ISCO_Prevodnik" sheetId="44" state="hidden" r:id="rId19"/>
    <sheet name="Rozpočet - HW a licencie" sheetId="27" r:id="rId20"/>
    <sheet name="Harmonogram" sheetId="28" r:id="rId21"/>
    <sheet name="TCO" sheetId="11" r:id="rId22"/>
    <sheet name="TCO AS IS - SW" sheetId="17" r:id="rId23"/>
    <sheet name="TCO AS IS - HW" sheetId="18" r:id="rId24"/>
    <sheet name="TCO TO BE- SW" sheetId="9" r:id="rId25"/>
    <sheet name="TCO TO BE - HW" sheetId="10" r:id="rId26"/>
    <sheet name="Faktory" sheetId="1" r:id="rId27"/>
    <sheet name="Ciselnik" sheetId="38" state="hidden" r:id="rId28"/>
    <sheet name="Procesné mapy" sheetId="22" r:id="rId29"/>
    <sheet name="Procesy - AS IS" sheetId="23" r:id="rId30"/>
    <sheet name="Procesy - TO BE" sheetId="24" r:id="rId31"/>
    <sheet name="Analyza citlivosti - AgendovéIS" sheetId="7" r:id="rId32"/>
    <sheet name="Vyhodnotenie benefitov NetAcad" sheetId="52" r:id="rId33"/>
    <sheet name="Sub-analyza1 - pocty studentov" sheetId="53" r:id="rId34"/>
    <sheet name="Sub-analyza2 - nacenenie kurzov" sheetId="54" r:id="rId35"/>
    <sheet name="Sub-analyza3 - zadania kvality" sheetId="55" r:id="rId36"/>
    <sheet name="Prieskum trhu TOP kurzy zdroj3" sheetId="56" r:id="rId37"/>
    <sheet name="Pasport1 NetAcad zdroj4" sheetId="57" r:id="rId38"/>
    <sheet name="Rozpočet_FIN" sheetId="45" r:id="rId39"/>
    <sheet name="Rozpočet" sheetId="46" state="hidden" r:id="rId40"/>
    <sheet name="Rozdelenie prínosov" sheetId="14" state="hidden" r:id="rId41"/>
  </sheets>
  <externalReferences>
    <externalReference r:id="rId42"/>
    <externalReference r:id="rId43"/>
    <externalReference r:id="rId44"/>
    <externalReference r:id="rId45"/>
    <externalReference r:id="rId46"/>
    <externalReference r:id="rId47"/>
  </externalReferences>
  <definedNames>
    <definedName name="_xlnm._FilterDatabase" localSheetId="11" hidden="1">KATALOG_POZIADAVKY!$A$2:$AE$298</definedName>
    <definedName name="_xlnm._FilterDatabase" localSheetId="37" hidden="1">'Pasport1 NetAcad zdroj4'!$A$2:$BU$94</definedName>
    <definedName name="_xlnm._FilterDatabase" localSheetId="39" hidden="1">Rozpočet!$A$6:$T$120</definedName>
    <definedName name="_xlnm._FilterDatabase" localSheetId="19" hidden="1">'Rozpočet - HW a licencie'!$A$2:$J$44</definedName>
    <definedName name="_xlnm._FilterDatabase" localSheetId="17" hidden="1">'Rozpocet - Vyvoj aplikacii'!$B$2:$L$65</definedName>
    <definedName name="_xlnm._FilterDatabase" localSheetId="38" hidden="1">Rozpočet_FIN!$A$6:$T$124</definedName>
    <definedName name="_xlnm._FilterDatabase" localSheetId="33" hidden="1">'Sub-analyza1 - pocty studentov'!$A$2:$U$1081</definedName>
    <definedName name="_ftn1" localSheetId="25">'TCO TO BE - HW'!$AB$81</definedName>
    <definedName name="_ftnref1" localSheetId="25">'TCO TO BE - HW'!$AB$76</definedName>
    <definedName name="Bezpecnost">ISCO_Prevodnik!$J$2:$J$3</definedName>
    <definedName name="Databazy">ISCO_Prevodnik!$H$2:$H$3</definedName>
    <definedName name="Faza" localSheetId="16">POZICIE_INTERNE!$A$4:$A$7</definedName>
    <definedName name="Faza">EXTERNE_POZICIE!$A$4:$A$7</definedName>
    <definedName name="Ine">ISCO_Prevodnik!$L$2:$L$8</definedName>
    <definedName name="Infrastrutkura">ISCO_Prevodnik!$G$2</definedName>
    <definedName name="Inkrement" localSheetId="38">[1]INKREMENTY!$A$2:$A$21</definedName>
    <definedName name="Inkrement">INKREMENTY!$A$2:$A$21</definedName>
    <definedName name="IT_analytik">ISCO_Prevodnik!$C$2</definedName>
    <definedName name="IT_architekt">ISCO_Prevodnik!$D$2:$D$3</definedName>
    <definedName name="IT_konzultant">ISCO_Prevodnik!$I$2</definedName>
    <definedName name="IT_programator">ISCO_Prevodnik!$B$2:$B$3</definedName>
    <definedName name="IT_tester">ISCO_Prevodnik!$F$2</definedName>
    <definedName name="Kvalita">ISCO_Prevodnik!$E$2</definedName>
    <definedName name="MODULY" localSheetId="38">[1]MODULY_CBA!$B$3:$B$23</definedName>
    <definedName name="MODULY">MODULY_CBA!$B$3:$B$23</definedName>
    <definedName name="Moduly_2" localSheetId="38">[1]MODULY_CBA!$B$3:$B$21</definedName>
    <definedName name="Moduly_2">MODULY_CBA!$B$3:$B$21</definedName>
    <definedName name="PF">[2]CISELNIK!$A$2:$A$6</definedName>
    <definedName name="Poziadavky">[2]CISELNIK!$B$2:$B$4</definedName>
    <definedName name="Pozicia" localSheetId="16">POZICIE_INTERNE!$M$4:$M$27</definedName>
    <definedName name="Pozicia" localSheetId="38">[1]EXTERNE_POZICIE!$Q$4:$Q$15</definedName>
    <definedName name="Pozicia">EXTERNE_POZICIE!$Q$4:$Q$15</definedName>
    <definedName name="PozicieKomplet" localSheetId="38">[1]EXTERNE_POZICIE!$Q$4:$Q$27</definedName>
    <definedName name="PozicieKomplet">EXTERNE_POZICIE!$Q$4:$Q$27</definedName>
    <definedName name="_xlnm.Print_Area" localSheetId="37">'Pasport1 NetAcad zdroj4'!$A$96:$AI$123</definedName>
    <definedName name="Projektovy_manazer">ISCO_Prevodnik!$A$2</definedName>
    <definedName name="Projektový_manažér">ISCO_Prevodnik!$A$2</definedName>
    <definedName name="Subjekt" localSheetId="38">[1]Ciselnik!$A$2:$A$9</definedName>
    <definedName name="Subjekt">Ciselnik!$A$2:$A$9</definedName>
  </definedNames>
  <calcPr calcId="191029"/>
  <pivotCaches>
    <pivotCache cacheId="6" r:id="rId48"/>
    <pivotCache cacheId="7" r:id="rId4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7" i="57" l="1"/>
  <c r="I125" i="57"/>
  <c r="U94" i="57"/>
  <c r="R94" i="57"/>
  <c r="BU93" i="57"/>
  <c r="BF93" i="57"/>
  <c r="BE93" i="57"/>
  <c r="BD93" i="57"/>
  <c r="BC93" i="57"/>
  <c r="BB93" i="57"/>
  <c r="BA93" i="57"/>
  <c r="AZ93" i="57"/>
  <c r="AY93" i="57"/>
  <c r="AX93" i="57"/>
  <c r="AW93" i="57"/>
  <c r="AV93" i="57"/>
  <c r="AU93" i="57"/>
  <c r="AT93" i="57"/>
  <c r="AS93" i="57"/>
  <c r="AR93" i="57"/>
  <c r="AQ93" i="57"/>
  <c r="AP93" i="57"/>
  <c r="AO93" i="57"/>
  <c r="AN93" i="57"/>
  <c r="AN96" i="57" s="1"/>
  <c r="AM93" i="57"/>
  <c r="AM96" i="57" s="1"/>
  <c r="AL93" i="57"/>
  <c r="AK93" i="57"/>
  <c r="AJ93" i="57"/>
  <c r="AJ96" i="57" s="1"/>
  <c r="AI93" i="57"/>
  <c r="AI96" i="57" s="1"/>
  <c r="AH93" i="57"/>
  <c r="AG93" i="57"/>
  <c r="AF93" i="57"/>
  <c r="AE93" i="57"/>
  <c r="AD93" i="57"/>
  <c r="W93" i="57"/>
  <c r="V93" i="57"/>
  <c r="U93" i="57"/>
  <c r="T93" i="57"/>
  <c r="S93" i="57"/>
  <c r="R93" i="57"/>
  <c r="J93" i="57"/>
  <c r="BW92" i="57"/>
  <c r="BM92" i="57"/>
  <c r="BL92" i="57"/>
  <c r="BK92" i="57"/>
  <c r="BW91" i="57"/>
  <c r="BM91" i="57"/>
  <c r="BL91" i="57"/>
  <c r="BK91" i="57"/>
  <c r="BJ91" i="57"/>
  <c r="BI91" i="57"/>
  <c r="BG91" i="57"/>
  <c r="BW90" i="57"/>
  <c r="BM90" i="57"/>
  <c r="BL90" i="57"/>
  <c r="BK90" i="57"/>
  <c r="BJ90" i="57"/>
  <c r="BI90" i="57"/>
  <c r="BG90" i="57"/>
  <c r="BW89" i="57"/>
  <c r="BM89" i="57"/>
  <c r="BL89" i="57"/>
  <c r="BK89" i="57"/>
  <c r="X89" i="57"/>
  <c r="BW88" i="57"/>
  <c r="Y88" i="57"/>
  <c r="X88" i="57"/>
  <c r="BW87" i="57"/>
  <c r="Y87" i="57"/>
  <c r="X87" i="57"/>
  <c r="BW86" i="57"/>
  <c r="Y86" i="57"/>
  <c r="X86" i="57"/>
  <c r="BW85" i="57"/>
  <c r="Y85" i="57"/>
  <c r="X85" i="57"/>
  <c r="BW84" i="57"/>
  <c r="Y84" i="57"/>
  <c r="X84" i="57"/>
  <c r="BW83" i="57"/>
  <c r="Y83" i="57"/>
  <c r="X83" i="57"/>
  <c r="BW82" i="57"/>
  <c r="Y82" i="57"/>
  <c r="X82" i="57"/>
  <c r="BW81" i="57"/>
  <c r="Y81" i="57"/>
  <c r="X81" i="57"/>
  <c r="BW63" i="57"/>
  <c r="BM63" i="57"/>
  <c r="BL63" i="57"/>
  <c r="BK63" i="57"/>
  <c r="BJ63" i="57"/>
  <c r="BI63" i="57"/>
  <c r="BH63" i="57"/>
  <c r="BG63" i="57"/>
  <c r="Y63" i="57"/>
  <c r="X63" i="57"/>
  <c r="BW62" i="57"/>
  <c r="BM62" i="57"/>
  <c r="BL62" i="57"/>
  <c r="BK62" i="57"/>
  <c r="BJ62" i="57"/>
  <c r="BI62" i="57"/>
  <c r="BH62" i="57"/>
  <c r="BG62" i="57"/>
  <c r="Y62" i="57"/>
  <c r="X62" i="57"/>
  <c r="BW61" i="57"/>
  <c r="BM61" i="57"/>
  <c r="BL61" i="57"/>
  <c r="BK61" i="57"/>
  <c r="BJ61" i="57"/>
  <c r="BI61" i="57"/>
  <c r="BH61" i="57"/>
  <c r="BG61" i="57"/>
  <c r="Y61" i="57"/>
  <c r="X61" i="57"/>
  <c r="BW60" i="57"/>
  <c r="BM60" i="57"/>
  <c r="BL60" i="57"/>
  <c r="BK60" i="57"/>
  <c r="BJ60" i="57"/>
  <c r="BI60" i="57"/>
  <c r="BH60" i="57"/>
  <c r="BG60" i="57"/>
  <c r="Y60" i="57"/>
  <c r="X60" i="57"/>
  <c r="BW59" i="57"/>
  <c r="BM59" i="57"/>
  <c r="BL59" i="57"/>
  <c r="BK59" i="57"/>
  <c r="BJ59" i="57"/>
  <c r="BI59" i="57"/>
  <c r="BH59" i="57"/>
  <c r="BG59" i="57"/>
  <c r="Y59" i="57"/>
  <c r="X59" i="57"/>
  <c r="BW58" i="57"/>
  <c r="BM58" i="57"/>
  <c r="BL58" i="57"/>
  <c r="BK58" i="57"/>
  <c r="BJ58" i="57"/>
  <c r="BI58" i="57"/>
  <c r="BH58" i="57"/>
  <c r="BG58" i="57"/>
  <c r="Y58" i="57"/>
  <c r="X58" i="57"/>
  <c r="BW57" i="57"/>
  <c r="BL57" i="57"/>
  <c r="BK57" i="57"/>
  <c r="BJ57" i="57"/>
  <c r="BI57" i="57"/>
  <c r="BH57" i="57"/>
  <c r="BG57" i="57"/>
  <c r="Y57" i="57"/>
  <c r="X57" i="57"/>
  <c r="BW56" i="57"/>
  <c r="BM56" i="57"/>
  <c r="BL56" i="57"/>
  <c r="BK56" i="57"/>
  <c r="BJ56" i="57"/>
  <c r="BI56" i="57"/>
  <c r="BH56" i="57"/>
  <c r="BG56" i="57"/>
  <c r="AA56" i="57"/>
  <c r="Y56" i="57"/>
  <c r="X56" i="57"/>
  <c r="BW55" i="57"/>
  <c r="BM55" i="57"/>
  <c r="BL55" i="57"/>
  <c r="BK55" i="57"/>
  <c r="BJ55" i="57"/>
  <c r="BI55" i="57"/>
  <c r="BH55" i="57"/>
  <c r="BG55" i="57"/>
  <c r="Y55" i="57"/>
  <c r="X55" i="57"/>
  <c r="BW54" i="57"/>
  <c r="BM54" i="57"/>
  <c r="BL54" i="57"/>
  <c r="BK54" i="57"/>
  <c r="BJ54" i="57"/>
  <c r="BI54" i="57"/>
  <c r="BH54" i="57"/>
  <c r="BG54" i="57"/>
  <c r="AA54" i="57"/>
  <c r="Y54" i="57"/>
  <c r="X54" i="57"/>
  <c r="BW53" i="57"/>
  <c r="BM53" i="57"/>
  <c r="BL53" i="57"/>
  <c r="BK53" i="57"/>
  <c r="BJ53" i="57"/>
  <c r="BI53" i="57"/>
  <c r="BH53" i="57"/>
  <c r="BG53" i="57"/>
  <c r="Y53" i="57"/>
  <c r="X53" i="57"/>
  <c r="BW52" i="57"/>
  <c r="BM52" i="57"/>
  <c r="BL52" i="57"/>
  <c r="BK52" i="57"/>
  <c r="BJ52" i="57"/>
  <c r="BI52" i="57"/>
  <c r="BH52" i="57"/>
  <c r="BG52" i="57"/>
  <c r="AA52" i="57"/>
  <c r="Y52" i="57"/>
  <c r="X52" i="57"/>
  <c r="BW51" i="57"/>
  <c r="BM51" i="57"/>
  <c r="BL51" i="57"/>
  <c r="BK51" i="57"/>
  <c r="BJ51" i="57"/>
  <c r="BI51" i="57"/>
  <c r="BH51" i="57"/>
  <c r="BG51" i="57"/>
  <c r="AA51" i="57"/>
  <c r="Y51" i="57"/>
  <c r="X51" i="57"/>
  <c r="BW50" i="57"/>
  <c r="BM50" i="57"/>
  <c r="BL50" i="57"/>
  <c r="BK50" i="57"/>
  <c r="BJ50" i="57"/>
  <c r="BI50" i="57"/>
  <c r="BH50" i="57"/>
  <c r="BG50" i="57"/>
  <c r="Y50" i="57"/>
  <c r="X50" i="57"/>
  <c r="BW49" i="57"/>
  <c r="BM49" i="57"/>
  <c r="BL49" i="57"/>
  <c r="BK49" i="57"/>
  <c r="BJ49" i="57"/>
  <c r="BI49" i="57"/>
  <c r="BH49" i="57"/>
  <c r="BG49" i="57"/>
  <c r="AA49" i="57"/>
  <c r="Y49" i="57"/>
  <c r="X49" i="57"/>
  <c r="BW48" i="57"/>
  <c r="BM48" i="57"/>
  <c r="BL48" i="57"/>
  <c r="BK48" i="57"/>
  <c r="BJ48" i="57"/>
  <c r="BI48" i="57"/>
  <c r="BH48" i="57"/>
  <c r="BG48" i="57"/>
  <c r="AA48" i="57"/>
  <c r="Y48" i="57"/>
  <c r="X48" i="57"/>
  <c r="BW47" i="57"/>
  <c r="BM47" i="57"/>
  <c r="BL47" i="57"/>
  <c r="BK47" i="57"/>
  <c r="BJ47" i="57"/>
  <c r="BI47" i="57"/>
  <c r="BH47" i="57"/>
  <c r="BG47" i="57"/>
  <c r="Y47" i="57"/>
  <c r="X47" i="57"/>
  <c r="BW46" i="57"/>
  <c r="BM46" i="57"/>
  <c r="BL46" i="57"/>
  <c r="BK46" i="57"/>
  <c r="BJ46" i="57"/>
  <c r="BI46" i="57"/>
  <c r="BH46" i="57"/>
  <c r="BG46" i="57"/>
  <c r="Y46" i="57"/>
  <c r="X46" i="57"/>
  <c r="BW45" i="57"/>
  <c r="BM45" i="57"/>
  <c r="BL45" i="57"/>
  <c r="BK45" i="57"/>
  <c r="BJ45" i="57"/>
  <c r="BI45" i="57"/>
  <c r="BH45" i="57"/>
  <c r="BG45" i="57"/>
  <c r="AA45" i="57"/>
  <c r="Y45" i="57"/>
  <c r="X45" i="57"/>
  <c r="BW44" i="57"/>
  <c r="BM44" i="57"/>
  <c r="BL44" i="57"/>
  <c r="BK44" i="57"/>
  <c r="BJ44" i="57"/>
  <c r="BI44" i="57"/>
  <c r="BH44" i="57"/>
  <c r="BG44" i="57"/>
  <c r="AA44" i="57"/>
  <c r="Y44" i="57"/>
  <c r="X44" i="57"/>
  <c r="BW43" i="57"/>
  <c r="BM43" i="57"/>
  <c r="BL43" i="57"/>
  <c r="BK43" i="57"/>
  <c r="BJ43" i="57"/>
  <c r="BI43" i="57"/>
  <c r="BH43" i="57"/>
  <c r="BG43" i="57"/>
  <c r="Y43" i="57"/>
  <c r="X43" i="57"/>
  <c r="BW42" i="57"/>
  <c r="BM42" i="57"/>
  <c r="BL42" i="57"/>
  <c r="BJ42" i="57"/>
  <c r="BI42" i="57"/>
  <c r="BG42" i="57"/>
  <c r="AA42" i="57"/>
  <c r="Y42" i="57"/>
  <c r="X42" i="57"/>
  <c r="BW41" i="57"/>
  <c r="BM41" i="57"/>
  <c r="BL41" i="57"/>
  <c r="BK41" i="57"/>
  <c r="BJ41" i="57"/>
  <c r="BI41" i="57"/>
  <c r="BH41" i="57"/>
  <c r="BG41" i="57"/>
  <c r="Y41" i="57"/>
  <c r="X41" i="57"/>
  <c r="BW40" i="57"/>
  <c r="BM40" i="57"/>
  <c r="BL40" i="57"/>
  <c r="BK40" i="57"/>
  <c r="BJ40" i="57"/>
  <c r="BI40" i="57"/>
  <c r="BH40" i="57"/>
  <c r="BG40" i="57"/>
  <c r="AA40" i="57"/>
  <c r="Y40" i="57"/>
  <c r="X40" i="57"/>
  <c r="BW39" i="57"/>
  <c r="BM39" i="57"/>
  <c r="BL39" i="57"/>
  <c r="BK39" i="57"/>
  <c r="BJ39" i="57"/>
  <c r="BI39" i="57"/>
  <c r="BH39" i="57"/>
  <c r="BG39" i="57"/>
  <c r="AA39" i="57"/>
  <c r="Y39" i="57"/>
  <c r="X39" i="57"/>
  <c r="BW38" i="57"/>
  <c r="BL38" i="57"/>
  <c r="BK38" i="57"/>
  <c r="BJ38" i="57"/>
  <c r="BI38" i="57"/>
  <c r="BH38" i="57"/>
  <c r="BG38" i="57"/>
  <c r="AA38" i="57"/>
  <c r="Y38" i="57"/>
  <c r="X38" i="57"/>
  <c r="BW37" i="57"/>
  <c r="BM37" i="57"/>
  <c r="BL37" i="57"/>
  <c r="BK37" i="57"/>
  <c r="BJ37" i="57"/>
  <c r="BI37" i="57"/>
  <c r="BH37" i="57"/>
  <c r="BG37" i="57"/>
  <c r="AA37" i="57"/>
  <c r="Y37" i="57"/>
  <c r="X37" i="57"/>
  <c r="BW36" i="57"/>
  <c r="BM36" i="57"/>
  <c r="BL36" i="57"/>
  <c r="BK36" i="57"/>
  <c r="BJ36" i="57"/>
  <c r="BI36" i="57"/>
  <c r="BH36" i="57"/>
  <c r="BG36" i="57"/>
  <c r="AA36" i="57"/>
  <c r="Y36" i="57"/>
  <c r="X36" i="57"/>
  <c r="BW35" i="57"/>
  <c r="BM35" i="57"/>
  <c r="BL35" i="57"/>
  <c r="BK35" i="57"/>
  <c r="BJ35" i="57"/>
  <c r="BI35" i="57"/>
  <c r="BH35" i="57"/>
  <c r="BG35" i="57"/>
  <c r="AA35" i="57"/>
  <c r="Y35" i="57"/>
  <c r="X35" i="57"/>
  <c r="BW34" i="57"/>
  <c r="BM34" i="57"/>
  <c r="BL34" i="57"/>
  <c r="BK34" i="57"/>
  <c r="BJ34" i="57"/>
  <c r="BI34" i="57"/>
  <c r="BH34" i="57"/>
  <c r="BG34" i="57"/>
  <c r="Y34" i="57"/>
  <c r="X34" i="57"/>
  <c r="BW33" i="57"/>
  <c r="BM33" i="57"/>
  <c r="BL33" i="57"/>
  <c r="BK33" i="57"/>
  <c r="BJ33" i="57"/>
  <c r="BI33" i="57"/>
  <c r="BH33" i="57"/>
  <c r="BG33" i="57"/>
  <c r="AA33" i="57"/>
  <c r="Y33" i="57"/>
  <c r="X33" i="57"/>
  <c r="BW32" i="57"/>
  <c r="BM32" i="57"/>
  <c r="BL32" i="57"/>
  <c r="BK32" i="57"/>
  <c r="BJ32" i="57"/>
  <c r="BI32" i="57"/>
  <c r="BH32" i="57"/>
  <c r="BG32" i="57"/>
  <c r="AA32" i="57"/>
  <c r="Y32" i="57"/>
  <c r="X32" i="57"/>
  <c r="BW31" i="57"/>
  <c r="BM31" i="57"/>
  <c r="BL31" i="57"/>
  <c r="BK31" i="57"/>
  <c r="BJ31" i="57"/>
  <c r="BI31" i="57"/>
  <c r="BH31" i="57"/>
  <c r="BG31" i="57"/>
  <c r="Y31" i="57"/>
  <c r="X31" i="57"/>
  <c r="BW30" i="57"/>
  <c r="BM30" i="57"/>
  <c r="BL30" i="57"/>
  <c r="BK30" i="57"/>
  <c r="BJ30" i="57"/>
  <c r="BI30" i="57"/>
  <c r="BH30" i="57"/>
  <c r="BG30" i="57"/>
  <c r="AA30" i="57"/>
  <c r="Y30" i="57"/>
  <c r="X30" i="57"/>
  <c r="BW29" i="57"/>
  <c r="BM29" i="57"/>
  <c r="BL29" i="57"/>
  <c r="BK29" i="57"/>
  <c r="BJ29" i="57"/>
  <c r="BI29" i="57"/>
  <c r="BH29" i="57"/>
  <c r="BG29" i="57"/>
  <c r="Y29" i="57"/>
  <c r="X29" i="57"/>
  <c r="BW28" i="57"/>
  <c r="BM28" i="57"/>
  <c r="BL28" i="57"/>
  <c r="BK28" i="57"/>
  <c r="BJ28" i="57"/>
  <c r="BI28" i="57"/>
  <c r="BH28" i="57"/>
  <c r="BG28" i="57"/>
  <c r="AA28" i="57"/>
  <c r="Y28" i="57"/>
  <c r="X28" i="57"/>
  <c r="BW27" i="57"/>
  <c r="BM27" i="57"/>
  <c r="BL27" i="57"/>
  <c r="BK27" i="57"/>
  <c r="BJ27" i="57"/>
  <c r="BI27" i="57"/>
  <c r="BH27" i="57"/>
  <c r="BG27" i="57"/>
  <c r="AA27" i="57"/>
  <c r="Y27" i="57"/>
  <c r="X27" i="57"/>
  <c r="BW26" i="57"/>
  <c r="BM26" i="57"/>
  <c r="BL26" i="57"/>
  <c r="BK26" i="57"/>
  <c r="BJ26" i="57"/>
  <c r="BI26" i="57"/>
  <c r="BH26" i="57"/>
  <c r="BG26" i="57"/>
  <c r="AA26" i="57"/>
  <c r="Y26" i="57"/>
  <c r="X26" i="57"/>
  <c r="BW25" i="57"/>
  <c r="BM25" i="57"/>
  <c r="BL25" i="57"/>
  <c r="BK25" i="57"/>
  <c r="BJ25" i="57"/>
  <c r="BI25" i="57"/>
  <c r="BH25" i="57"/>
  <c r="BG25" i="57"/>
  <c r="AA25" i="57"/>
  <c r="Y25" i="57"/>
  <c r="X25" i="57"/>
  <c r="BW24" i="57"/>
  <c r="BM24" i="57"/>
  <c r="BL24" i="57"/>
  <c r="BK24" i="57"/>
  <c r="BJ24" i="57"/>
  <c r="BI24" i="57"/>
  <c r="BH24" i="57"/>
  <c r="BG24" i="57"/>
  <c r="AA24" i="57"/>
  <c r="Y24" i="57"/>
  <c r="X24" i="57"/>
  <c r="BW23" i="57"/>
  <c r="BM23" i="57"/>
  <c r="BL23" i="57"/>
  <c r="BK23" i="57"/>
  <c r="BJ23" i="57"/>
  <c r="BI23" i="57"/>
  <c r="BH23" i="57"/>
  <c r="BG23" i="57"/>
  <c r="AA23" i="57"/>
  <c r="Y23" i="57"/>
  <c r="X23" i="57"/>
  <c r="BW22" i="57"/>
  <c r="BM22" i="57"/>
  <c r="BL22" i="57"/>
  <c r="BK22" i="57"/>
  <c r="BJ22" i="57"/>
  <c r="BI22" i="57"/>
  <c r="BH22" i="57"/>
  <c r="BG22" i="57"/>
  <c r="AA22" i="57"/>
  <c r="Y22" i="57"/>
  <c r="X22" i="57"/>
  <c r="BW21" i="57"/>
  <c r="BM21" i="57"/>
  <c r="BL21" i="57"/>
  <c r="BK21" i="57"/>
  <c r="BJ21" i="57"/>
  <c r="BI21" i="57"/>
  <c r="BH21" i="57"/>
  <c r="BG21" i="57"/>
  <c r="AA21" i="57"/>
  <c r="Y21" i="57"/>
  <c r="X21" i="57"/>
  <c r="BW20" i="57"/>
  <c r="BM20" i="57"/>
  <c r="BL20" i="57"/>
  <c r="BK20" i="57"/>
  <c r="BJ20" i="57"/>
  <c r="BI20" i="57"/>
  <c r="BH20" i="57"/>
  <c r="BG20" i="57"/>
  <c r="Y20" i="57"/>
  <c r="X20" i="57"/>
  <c r="BW19" i="57"/>
  <c r="BM19" i="57"/>
  <c r="BL19" i="57"/>
  <c r="BK19" i="57"/>
  <c r="BJ19" i="57"/>
  <c r="BI19" i="57"/>
  <c r="BH19" i="57"/>
  <c r="BG19" i="57"/>
  <c r="AA19" i="57"/>
  <c r="Y19" i="57"/>
  <c r="X19" i="57"/>
  <c r="BW18" i="57"/>
  <c r="BM18" i="57"/>
  <c r="BL18" i="57"/>
  <c r="BK18" i="57"/>
  <c r="BJ18" i="57"/>
  <c r="BI18" i="57"/>
  <c r="BH18" i="57"/>
  <c r="BG18" i="57"/>
  <c r="Y18" i="57"/>
  <c r="X18" i="57"/>
  <c r="BW17" i="57"/>
  <c r="BM17" i="57"/>
  <c r="BL17" i="57"/>
  <c r="BK17" i="57"/>
  <c r="BJ17" i="57"/>
  <c r="BI17" i="57"/>
  <c r="BH17" i="57"/>
  <c r="BG17" i="57"/>
  <c r="AA17" i="57"/>
  <c r="Y17" i="57"/>
  <c r="X17" i="57"/>
  <c r="BW16" i="57"/>
  <c r="BM16" i="57"/>
  <c r="BL16" i="57"/>
  <c r="BK16" i="57"/>
  <c r="BJ16" i="57"/>
  <c r="BI16" i="57"/>
  <c r="BH16" i="57"/>
  <c r="BG16" i="57"/>
  <c r="AA16" i="57"/>
  <c r="Y16" i="57"/>
  <c r="X16" i="57"/>
  <c r="BW15" i="57"/>
  <c r="BM15" i="57"/>
  <c r="BL15" i="57"/>
  <c r="BK15" i="57"/>
  <c r="BJ15" i="57"/>
  <c r="BI15" i="57"/>
  <c r="BH15" i="57"/>
  <c r="BG15" i="57"/>
  <c r="AA15" i="57"/>
  <c r="Y15" i="57"/>
  <c r="BW14" i="57"/>
  <c r="BM14" i="57"/>
  <c r="BL14" i="57"/>
  <c r="BK14" i="57"/>
  <c r="BJ14" i="57"/>
  <c r="BI14" i="57"/>
  <c r="BH14" i="57"/>
  <c r="BG14" i="57"/>
  <c r="AA14" i="57"/>
  <c r="Y14" i="57"/>
  <c r="X14" i="57"/>
  <c r="BW13" i="57"/>
  <c r="BM13" i="57"/>
  <c r="BL13" i="57"/>
  <c r="BK13" i="57"/>
  <c r="BJ13" i="57"/>
  <c r="BI13" i="57"/>
  <c r="BH13" i="57"/>
  <c r="BG13" i="57"/>
  <c r="AA13" i="57"/>
  <c r="Y13" i="57"/>
  <c r="X13" i="57"/>
  <c r="BW12" i="57"/>
  <c r="BM12" i="57"/>
  <c r="BL12" i="57"/>
  <c r="BK12" i="57"/>
  <c r="BJ12" i="57"/>
  <c r="BI12" i="57"/>
  <c r="BH12" i="57"/>
  <c r="BG12" i="57"/>
  <c r="AA12" i="57"/>
  <c r="Y12" i="57"/>
  <c r="X12" i="57"/>
  <c r="BW11" i="57"/>
  <c r="BM11" i="57"/>
  <c r="BL11" i="57"/>
  <c r="BK11" i="57"/>
  <c r="BJ11" i="57"/>
  <c r="BI11" i="57"/>
  <c r="BH11" i="57"/>
  <c r="BG11" i="57"/>
  <c r="AA11" i="57"/>
  <c r="Y11" i="57"/>
  <c r="X11" i="57"/>
  <c r="BW10" i="57"/>
  <c r="BM10" i="57"/>
  <c r="BL10" i="57"/>
  <c r="BK10" i="57"/>
  <c r="BJ10" i="57"/>
  <c r="BI10" i="57"/>
  <c r="BH10" i="57"/>
  <c r="BG10" i="57"/>
  <c r="AA10" i="57"/>
  <c r="Y10" i="57"/>
  <c r="X10" i="57"/>
  <c r="BW9" i="57"/>
  <c r="BM9" i="57"/>
  <c r="BL9" i="57"/>
  <c r="BK9" i="57"/>
  <c r="BJ9" i="57"/>
  <c r="BI9" i="57"/>
  <c r="BH9" i="57"/>
  <c r="BG9" i="57"/>
  <c r="AA9" i="57"/>
  <c r="Y9" i="57"/>
  <c r="X9" i="57"/>
  <c r="BW8" i="57"/>
  <c r="BM8" i="57"/>
  <c r="BL8" i="57"/>
  <c r="BK8" i="57"/>
  <c r="BJ8" i="57"/>
  <c r="BI8" i="57"/>
  <c r="BH8" i="57"/>
  <c r="BG8" i="57"/>
  <c r="AA8" i="57"/>
  <c r="Y8" i="57"/>
  <c r="X8" i="57"/>
  <c r="BW7" i="57"/>
  <c r="BM7" i="57"/>
  <c r="BL7" i="57"/>
  <c r="BK7" i="57"/>
  <c r="BJ7" i="57"/>
  <c r="BI7" i="57"/>
  <c r="BH7" i="57"/>
  <c r="BG7" i="57"/>
  <c r="AA7" i="57"/>
  <c r="Y7" i="57"/>
  <c r="X7" i="57"/>
  <c r="BW6" i="57"/>
  <c r="BM6" i="57"/>
  <c r="BL6" i="57"/>
  <c r="BK6" i="57"/>
  <c r="BJ6" i="57"/>
  <c r="BI6" i="57"/>
  <c r="BH6" i="57"/>
  <c r="BG6" i="57"/>
  <c r="AA6" i="57"/>
  <c r="Y6" i="57"/>
  <c r="X6" i="57"/>
  <c r="BW5" i="57"/>
  <c r="BM5" i="57"/>
  <c r="BL5" i="57"/>
  <c r="BK5" i="57"/>
  <c r="BJ5" i="57"/>
  <c r="BI5" i="57"/>
  <c r="BH5" i="57"/>
  <c r="BG5" i="57"/>
  <c r="AA5" i="57"/>
  <c r="Y5" i="57"/>
  <c r="X5" i="57"/>
  <c r="BW4" i="57"/>
  <c r="BM4" i="57"/>
  <c r="BL4" i="57"/>
  <c r="BK4" i="57"/>
  <c r="BJ4" i="57"/>
  <c r="BI4" i="57"/>
  <c r="BH4" i="57"/>
  <c r="BG4" i="57"/>
  <c r="AA4" i="57"/>
  <c r="Y4" i="57"/>
  <c r="X4" i="57"/>
  <c r="BW3" i="57"/>
  <c r="BM3" i="57"/>
  <c r="BL3" i="57"/>
  <c r="BL93" i="57" s="1"/>
  <c r="BK3" i="57"/>
  <c r="BJ3" i="57"/>
  <c r="BI3" i="57"/>
  <c r="BH3" i="57"/>
  <c r="BG3" i="57"/>
  <c r="AA3" i="57"/>
  <c r="Y3" i="57"/>
  <c r="X3" i="57"/>
  <c r="Q52" i="56"/>
  <c r="Q51" i="56"/>
  <c r="Q50" i="56"/>
  <c r="Q49" i="56"/>
  <c r="Q48" i="56"/>
  <c r="Q47" i="56"/>
  <c r="Q46" i="56"/>
  <c r="Q45" i="56"/>
  <c r="O44" i="56"/>
  <c r="Q44" i="56" s="1"/>
  <c r="Q41" i="56"/>
  <c r="Q40" i="56"/>
  <c r="Q39" i="56"/>
  <c r="Q38" i="56"/>
  <c r="Q36" i="56"/>
  <c r="Q35" i="56"/>
  <c r="Q33" i="56"/>
  <c r="P33" i="56"/>
  <c r="P32" i="56"/>
  <c r="Q32" i="56" s="1"/>
  <c r="Q30" i="56"/>
  <c r="Q26" i="56"/>
  <c r="Q25" i="56"/>
  <c r="Q23" i="56"/>
  <c r="Q21" i="56"/>
  <c r="Q20" i="56"/>
  <c r="Q19" i="56"/>
  <c r="Q18" i="56"/>
  <c r="Q17" i="56"/>
  <c r="Q16" i="56"/>
  <c r="Q15" i="56"/>
  <c r="Q14" i="56"/>
  <c r="Q13" i="56"/>
  <c r="Q12" i="56"/>
  <c r="Q11" i="56"/>
  <c r="Q10" i="56"/>
  <c r="Q9" i="56"/>
  <c r="Q8" i="56"/>
  <c r="Q7" i="56"/>
  <c r="O6" i="56"/>
  <c r="Q6" i="56" s="1"/>
  <c r="O5" i="56"/>
  <c r="Q5" i="56" s="1"/>
  <c r="O4" i="56"/>
  <c r="Q4" i="56" s="1"/>
  <c r="Q3" i="56"/>
  <c r="O3" i="56"/>
  <c r="B113" i="57"/>
  <c r="B146" i="57"/>
  <c r="B111" i="57"/>
  <c r="B120" i="57"/>
  <c r="B107" i="57"/>
  <c r="B118" i="57"/>
  <c r="B103" i="57"/>
  <c r="B117" i="57"/>
  <c r="B100" i="57"/>
  <c r="B114" i="57"/>
  <c r="BI93" i="57" l="1"/>
  <c r="BG93" i="57"/>
  <c r="BJ93" i="57"/>
  <c r="BK93" i="57"/>
  <c r="BM93" i="57"/>
  <c r="BH93" i="57"/>
  <c r="B97" i="57"/>
  <c r="B116" i="57"/>
  <c r="G96" i="57" s="1"/>
  <c r="B110" i="57"/>
  <c r="Q58" i="56"/>
  <c r="E96" i="57" l="1"/>
  <c r="J96" i="57" s="1"/>
  <c r="R77" i="55" l="1"/>
  <c r="Q77" i="55"/>
  <c r="R75" i="55"/>
  <c r="S75" i="55" s="1"/>
  <c r="Q75" i="55"/>
  <c r="R72" i="55"/>
  <c r="Q72" i="55"/>
  <c r="R71" i="55"/>
  <c r="Q71" i="55"/>
  <c r="R70" i="55"/>
  <c r="S70" i="55" s="1"/>
  <c r="Q70" i="55"/>
  <c r="R66" i="55"/>
  <c r="Q66" i="55"/>
  <c r="R65" i="55"/>
  <c r="Q65" i="55"/>
  <c r="R62" i="55"/>
  <c r="Q62" i="55"/>
  <c r="Q80" i="55" s="1"/>
  <c r="G56" i="55"/>
  <c r="F56" i="55"/>
  <c r="J55" i="55"/>
  <c r="I55" i="55"/>
  <c r="G55" i="55"/>
  <c r="F55" i="55"/>
  <c r="R54" i="55"/>
  <c r="J54" i="55"/>
  <c r="K54" i="55" s="1"/>
  <c r="Q54" i="55" s="1"/>
  <c r="I54" i="55"/>
  <c r="G54" i="55"/>
  <c r="F54" i="55"/>
  <c r="R53" i="55"/>
  <c r="J53" i="55"/>
  <c r="Q53" i="55" s="1"/>
  <c r="I53" i="55"/>
  <c r="G53" i="55"/>
  <c r="F53" i="55"/>
  <c r="J52" i="55"/>
  <c r="K52" i="55" s="1"/>
  <c r="I52" i="55"/>
  <c r="G52" i="55"/>
  <c r="F52" i="55"/>
  <c r="R51" i="55"/>
  <c r="J51" i="55"/>
  <c r="Q51" i="55" s="1"/>
  <c r="I51" i="55"/>
  <c r="G51" i="55"/>
  <c r="F51" i="55"/>
  <c r="G50" i="55"/>
  <c r="F50" i="55"/>
  <c r="J49" i="55"/>
  <c r="I49" i="55"/>
  <c r="G49" i="55"/>
  <c r="F49" i="55"/>
  <c r="R48" i="55"/>
  <c r="J48" i="55"/>
  <c r="Q48" i="55" s="1"/>
  <c r="I48" i="55"/>
  <c r="G48" i="55"/>
  <c r="F48" i="55"/>
  <c r="R47" i="55"/>
  <c r="J47" i="55"/>
  <c r="K47" i="55" s="1"/>
  <c r="Q47" i="55" s="1"/>
  <c r="I47" i="55"/>
  <c r="G47" i="55"/>
  <c r="F47" i="55"/>
  <c r="R46" i="55"/>
  <c r="J46" i="55"/>
  <c r="K46" i="55" s="1"/>
  <c r="Q46" i="55" s="1"/>
  <c r="I46" i="55"/>
  <c r="G46" i="55"/>
  <c r="F46" i="55"/>
  <c r="R45" i="55"/>
  <c r="J45" i="55"/>
  <c r="Q45" i="55" s="1"/>
  <c r="S45" i="55" s="1"/>
  <c r="I45" i="55"/>
  <c r="G45" i="55"/>
  <c r="F45" i="55"/>
  <c r="R44" i="55"/>
  <c r="Q44" i="55"/>
  <c r="J44" i="55"/>
  <c r="I44" i="55"/>
  <c r="G44" i="55"/>
  <c r="F44" i="55"/>
  <c r="R43" i="55"/>
  <c r="J43" i="55"/>
  <c r="Q43" i="55" s="1"/>
  <c r="I43" i="55"/>
  <c r="G43" i="55"/>
  <c r="F43" i="55"/>
  <c r="J42" i="55"/>
  <c r="I42" i="55"/>
  <c r="G42" i="55"/>
  <c r="F42" i="55"/>
  <c r="F41" i="55"/>
  <c r="J40" i="55"/>
  <c r="I40" i="55"/>
  <c r="F40" i="55"/>
  <c r="J39" i="55"/>
  <c r="K39" i="55" s="1"/>
  <c r="I39" i="55"/>
  <c r="F39" i="55"/>
  <c r="J38" i="55"/>
  <c r="K38" i="55" s="1"/>
  <c r="I38" i="55"/>
  <c r="G38" i="55"/>
  <c r="F38" i="55"/>
  <c r="J37" i="55"/>
  <c r="I37" i="55"/>
  <c r="G37" i="55"/>
  <c r="F37" i="55"/>
  <c r="R36" i="55"/>
  <c r="J36" i="55"/>
  <c r="K36" i="55" s="1"/>
  <c r="Q36" i="55" s="1"/>
  <c r="S36" i="55" s="1"/>
  <c r="I36" i="55"/>
  <c r="G36" i="55"/>
  <c r="F36" i="55"/>
  <c r="R35" i="55"/>
  <c r="J35" i="55"/>
  <c r="Q35" i="55" s="1"/>
  <c r="S35" i="55" s="1"/>
  <c r="I35" i="55"/>
  <c r="G35" i="55"/>
  <c r="F35" i="55"/>
  <c r="R34" i="55"/>
  <c r="J34" i="55"/>
  <c r="K34" i="55" s="1"/>
  <c r="Q34" i="55" s="1"/>
  <c r="S34" i="55" s="1"/>
  <c r="I34" i="55"/>
  <c r="G34" i="55"/>
  <c r="F34" i="55"/>
  <c r="R33" i="55"/>
  <c r="J33" i="55"/>
  <c r="Q33" i="55" s="1"/>
  <c r="I33" i="55"/>
  <c r="G33" i="55"/>
  <c r="F33" i="55"/>
  <c r="R32" i="55"/>
  <c r="J32" i="55"/>
  <c r="K32" i="55" s="1"/>
  <c r="Q32" i="55" s="1"/>
  <c r="I32" i="55"/>
  <c r="G32" i="55"/>
  <c r="F32" i="55"/>
  <c r="R31" i="55"/>
  <c r="J31" i="55"/>
  <c r="K31" i="55" s="1"/>
  <c r="Q31" i="55" s="1"/>
  <c r="S31" i="55" s="1"/>
  <c r="I31" i="55"/>
  <c r="G31" i="55"/>
  <c r="F31" i="55"/>
  <c r="R30" i="55"/>
  <c r="J30" i="55"/>
  <c r="Q30" i="55" s="1"/>
  <c r="I30" i="55"/>
  <c r="G30" i="55"/>
  <c r="F30" i="55"/>
  <c r="R29" i="55"/>
  <c r="J29" i="55"/>
  <c r="Q29" i="55" s="1"/>
  <c r="I29" i="55"/>
  <c r="G29" i="55"/>
  <c r="F29" i="55"/>
  <c r="R28" i="55"/>
  <c r="J28" i="55"/>
  <c r="Q28" i="55" s="1"/>
  <c r="I28" i="55"/>
  <c r="G28" i="55"/>
  <c r="F28" i="55"/>
  <c r="J27" i="55"/>
  <c r="I27" i="55"/>
  <c r="G27" i="55"/>
  <c r="F27" i="55"/>
  <c r="J26" i="55"/>
  <c r="I26" i="55"/>
  <c r="G26" i="55"/>
  <c r="F26" i="55"/>
  <c r="J25" i="55"/>
  <c r="I25" i="55"/>
  <c r="G25" i="55"/>
  <c r="F25" i="55"/>
  <c r="J24" i="55"/>
  <c r="I24" i="55"/>
  <c r="G24" i="55"/>
  <c r="F24" i="55"/>
  <c r="J23" i="55"/>
  <c r="I23" i="55"/>
  <c r="G23" i="55"/>
  <c r="F23" i="55"/>
  <c r="R22" i="55"/>
  <c r="J22" i="55"/>
  <c r="K22" i="55" s="1"/>
  <c r="Q22" i="55" s="1"/>
  <c r="S22" i="55" s="1"/>
  <c r="I22" i="55"/>
  <c r="G22" i="55"/>
  <c r="F22" i="55"/>
  <c r="R20" i="55"/>
  <c r="J20" i="55"/>
  <c r="Q20" i="55" s="1"/>
  <c r="S20" i="55" s="1"/>
  <c r="I20" i="55"/>
  <c r="G20" i="55"/>
  <c r="F20" i="55"/>
  <c r="R19" i="55"/>
  <c r="J19" i="55"/>
  <c r="K19" i="55" s="1"/>
  <c r="Q19" i="55" s="1"/>
  <c r="I19" i="55"/>
  <c r="G19" i="55"/>
  <c r="F19" i="55"/>
  <c r="R18" i="55"/>
  <c r="J18" i="55"/>
  <c r="Q18" i="55" s="1"/>
  <c r="I18" i="55"/>
  <c r="G18" i="55"/>
  <c r="F18" i="55"/>
  <c r="R17" i="55"/>
  <c r="J17" i="55"/>
  <c r="K17" i="55" s="1"/>
  <c r="Q17" i="55" s="1"/>
  <c r="I17" i="55"/>
  <c r="G17" i="55"/>
  <c r="F17" i="55"/>
  <c r="R16" i="55"/>
  <c r="J16" i="55"/>
  <c r="K16" i="55" s="1"/>
  <c r="Q16" i="55" s="1"/>
  <c r="S16" i="55" s="1"/>
  <c r="I16" i="55"/>
  <c r="G16" i="55"/>
  <c r="F16" i="55"/>
  <c r="R15" i="55"/>
  <c r="Q15" i="55"/>
  <c r="S15" i="55" s="1"/>
  <c r="J15" i="55"/>
  <c r="I15" i="55"/>
  <c r="G15" i="55"/>
  <c r="F15" i="55"/>
  <c r="J14" i="55"/>
  <c r="I14" i="55"/>
  <c r="G14" i="55"/>
  <c r="F14" i="55"/>
  <c r="J13" i="55"/>
  <c r="K13" i="55" s="1"/>
  <c r="I13" i="55"/>
  <c r="G13" i="55"/>
  <c r="F13" i="55"/>
  <c r="J12" i="55"/>
  <c r="I12" i="55"/>
  <c r="G12" i="55"/>
  <c r="F12" i="55"/>
  <c r="G11" i="55"/>
  <c r="F11" i="55"/>
  <c r="G10" i="55"/>
  <c r="F10" i="55"/>
  <c r="G9" i="55"/>
  <c r="F9" i="55"/>
  <c r="G8" i="55"/>
  <c r="F8" i="55"/>
  <c r="J7" i="55"/>
  <c r="I7" i="55"/>
  <c r="G7" i="55"/>
  <c r="F7" i="55"/>
  <c r="R6" i="55"/>
  <c r="J6" i="55"/>
  <c r="K6" i="55" s="1"/>
  <c r="Q6" i="55" s="1"/>
  <c r="I6" i="55"/>
  <c r="G6" i="55"/>
  <c r="F6" i="55"/>
  <c r="G5" i="55"/>
  <c r="F5" i="55"/>
  <c r="R4" i="55"/>
  <c r="J4" i="55"/>
  <c r="K4" i="55" s="1"/>
  <c r="Q4" i="55" s="1"/>
  <c r="I4" i="55"/>
  <c r="G4" i="55"/>
  <c r="F4" i="55"/>
  <c r="G57" i="54"/>
  <c r="I57" i="54" s="1"/>
  <c r="G56" i="54"/>
  <c r="J55" i="54"/>
  <c r="G55" i="54"/>
  <c r="I55" i="54" s="1"/>
  <c r="G54" i="54"/>
  <c r="G53" i="54"/>
  <c r="I53" i="54" s="1"/>
  <c r="G52" i="54"/>
  <c r="G51" i="54"/>
  <c r="I51" i="54" s="1"/>
  <c r="G50" i="54"/>
  <c r="G49" i="54"/>
  <c r="J49" i="54" s="1"/>
  <c r="G48" i="54"/>
  <c r="G47" i="54"/>
  <c r="G46" i="54"/>
  <c r="G45" i="54"/>
  <c r="J45" i="54" s="1"/>
  <c r="G44" i="54"/>
  <c r="G43" i="54"/>
  <c r="G42" i="54"/>
  <c r="G41" i="54"/>
  <c r="G40" i="54"/>
  <c r="G39" i="54"/>
  <c r="G38" i="54"/>
  <c r="G37" i="54"/>
  <c r="G36" i="54"/>
  <c r="G35" i="54"/>
  <c r="J35" i="54" s="1"/>
  <c r="G34" i="54"/>
  <c r="G33" i="54"/>
  <c r="G32" i="54"/>
  <c r="G31" i="54"/>
  <c r="J31" i="54" s="1"/>
  <c r="G30" i="54"/>
  <c r="G29" i="54"/>
  <c r="J29" i="54" s="1"/>
  <c r="G28" i="54"/>
  <c r="G27" i="54"/>
  <c r="G26" i="54"/>
  <c r="G25" i="54"/>
  <c r="G24" i="54"/>
  <c r="G23" i="54"/>
  <c r="G22" i="54"/>
  <c r="G21" i="54"/>
  <c r="J21" i="54" s="1"/>
  <c r="G20" i="54"/>
  <c r="H20" i="54" s="1"/>
  <c r="G19" i="54"/>
  <c r="G18" i="54"/>
  <c r="G17" i="54"/>
  <c r="J17" i="54" s="1"/>
  <c r="G16" i="54"/>
  <c r="H16" i="54" s="1"/>
  <c r="G15" i="54"/>
  <c r="G14" i="54"/>
  <c r="G13" i="54"/>
  <c r="J13" i="54" s="1"/>
  <c r="G12" i="54"/>
  <c r="H12" i="54" s="1"/>
  <c r="G11" i="54"/>
  <c r="G10" i="54"/>
  <c r="G9" i="54"/>
  <c r="J9" i="54" s="1"/>
  <c r="G8" i="54"/>
  <c r="H8" i="54" s="1"/>
  <c r="G7" i="54"/>
  <c r="G6" i="54"/>
  <c r="G5" i="54"/>
  <c r="J5" i="54" s="1"/>
  <c r="G4" i="54"/>
  <c r="G3" i="54"/>
  <c r="W1082" i="53"/>
  <c r="U1082" i="53"/>
  <c r="T1082" i="53"/>
  <c r="S1082" i="53"/>
  <c r="R1082" i="53"/>
  <c r="Q1082" i="53"/>
  <c r="P1082" i="53"/>
  <c r="H76" i="52"/>
  <c r="L76" i="52" s="1"/>
  <c r="H70" i="52"/>
  <c r="H72" i="52" s="1"/>
  <c r="J72" i="52" s="1"/>
  <c r="N119" i="45"/>
  <c r="S129" i="45"/>
  <c r="S71" i="55" l="1"/>
  <c r="S51" i="55"/>
  <c r="S65" i="55"/>
  <c r="S44" i="55"/>
  <c r="S6" i="55"/>
  <c r="S77" i="55"/>
  <c r="S29" i="55"/>
  <c r="S48" i="55"/>
  <c r="J53" i="54"/>
  <c r="S19" i="55"/>
  <c r="S32" i="55"/>
  <c r="J51" i="54"/>
  <c r="S43" i="55"/>
  <c r="S46" i="55"/>
  <c r="S53" i="55"/>
  <c r="S72" i="55"/>
  <c r="J57" i="54"/>
  <c r="S18" i="55"/>
  <c r="S66" i="55"/>
  <c r="S28" i="55"/>
  <c r="S17" i="55"/>
  <c r="S33" i="55"/>
  <c r="S30" i="55"/>
  <c r="S47" i="55"/>
  <c r="S54" i="55"/>
  <c r="K72" i="52"/>
  <c r="L72" i="52" s="1"/>
  <c r="M72" i="52" s="1"/>
  <c r="N72" i="52" s="1"/>
  <c r="O72" i="52" s="1"/>
  <c r="P72" i="52" s="1"/>
  <c r="Q72" i="52" s="1"/>
  <c r="R72" i="52" s="1"/>
  <c r="S72" i="52" s="1"/>
  <c r="T72" i="52"/>
  <c r="M76" i="52"/>
  <c r="N76" i="52" s="1"/>
  <c r="O76" i="52" s="1"/>
  <c r="P76" i="52" s="1"/>
  <c r="Q76" i="52" s="1"/>
  <c r="R76" i="52" s="1"/>
  <c r="S76" i="52" s="1"/>
  <c r="T76" i="52"/>
  <c r="J4" i="54"/>
  <c r="I4" i="54"/>
  <c r="J8" i="54"/>
  <c r="I8" i="54"/>
  <c r="J12" i="54"/>
  <c r="I12" i="54"/>
  <c r="J16" i="54"/>
  <c r="I16" i="54"/>
  <c r="J20" i="54"/>
  <c r="I20" i="54"/>
  <c r="J24" i="54"/>
  <c r="I24" i="54"/>
  <c r="H24" i="54"/>
  <c r="I35" i="54"/>
  <c r="H35" i="54"/>
  <c r="J40" i="54"/>
  <c r="H40" i="54"/>
  <c r="I40" i="54"/>
  <c r="J56" i="54"/>
  <c r="I56" i="54"/>
  <c r="H56" i="54"/>
  <c r="H78" i="52"/>
  <c r="H4" i="54"/>
  <c r="I25" i="54"/>
  <c r="H25" i="54"/>
  <c r="J30" i="54"/>
  <c r="I30" i="54"/>
  <c r="H30" i="54"/>
  <c r="I41" i="54"/>
  <c r="H41" i="54"/>
  <c r="J46" i="54"/>
  <c r="I46" i="54"/>
  <c r="H46" i="54"/>
  <c r="J26" i="54"/>
  <c r="I26" i="54"/>
  <c r="H26" i="54"/>
  <c r="J6" i="54"/>
  <c r="I6" i="54"/>
  <c r="I5" i="54"/>
  <c r="H5" i="54"/>
  <c r="I9" i="54"/>
  <c r="H9" i="54"/>
  <c r="I13" i="54"/>
  <c r="H13" i="54"/>
  <c r="I17" i="54"/>
  <c r="H17" i="54"/>
  <c r="I21" i="54"/>
  <c r="H21" i="54"/>
  <c r="J25" i="54"/>
  <c r="I31" i="54"/>
  <c r="H31" i="54"/>
  <c r="J36" i="54"/>
  <c r="H36" i="54"/>
  <c r="I36" i="54"/>
  <c r="J41" i="54"/>
  <c r="I47" i="54"/>
  <c r="H47" i="54"/>
  <c r="J52" i="54"/>
  <c r="H52" i="54"/>
  <c r="I52" i="54"/>
  <c r="J42" i="54"/>
  <c r="I42" i="54"/>
  <c r="H42" i="54"/>
  <c r="J47" i="54"/>
  <c r="J54" i="54"/>
  <c r="H54" i="54"/>
  <c r="I54" i="54"/>
  <c r="J10" i="54"/>
  <c r="I10" i="54"/>
  <c r="J18" i="54"/>
  <c r="I18" i="54"/>
  <c r="I27" i="54"/>
  <c r="H27" i="54"/>
  <c r="I43" i="54"/>
  <c r="H43" i="54"/>
  <c r="I33" i="54"/>
  <c r="H33" i="54"/>
  <c r="J38" i="54"/>
  <c r="I38" i="54"/>
  <c r="H38" i="54"/>
  <c r="J43" i="54"/>
  <c r="I7" i="54"/>
  <c r="H7" i="54"/>
  <c r="I11" i="54"/>
  <c r="H11" i="54"/>
  <c r="I15" i="54"/>
  <c r="H15" i="54"/>
  <c r="I19" i="54"/>
  <c r="H19" i="54"/>
  <c r="I23" i="54"/>
  <c r="H23" i="54"/>
  <c r="J28" i="54"/>
  <c r="H28" i="54"/>
  <c r="I28" i="54"/>
  <c r="J33" i="54"/>
  <c r="I39" i="54"/>
  <c r="H39" i="54"/>
  <c r="J44" i="54"/>
  <c r="H44" i="54"/>
  <c r="I44" i="54"/>
  <c r="I37" i="54"/>
  <c r="H37" i="54"/>
  <c r="J14" i="54"/>
  <c r="I14" i="54"/>
  <c r="J22" i="54"/>
  <c r="I22" i="54"/>
  <c r="J32" i="54"/>
  <c r="H32" i="54"/>
  <c r="I32" i="54"/>
  <c r="J37" i="54"/>
  <c r="J48" i="54"/>
  <c r="H48" i="54"/>
  <c r="I48" i="54"/>
  <c r="X1082" i="53"/>
  <c r="H6" i="54"/>
  <c r="H10" i="54"/>
  <c r="H14" i="54"/>
  <c r="H18" i="54"/>
  <c r="H22" i="54"/>
  <c r="J27" i="54"/>
  <c r="I49" i="54"/>
  <c r="H49" i="54"/>
  <c r="I3" i="54"/>
  <c r="H3" i="54"/>
  <c r="J3" i="54"/>
  <c r="J7" i="54"/>
  <c r="J11" i="54"/>
  <c r="J15" i="54"/>
  <c r="J19" i="54"/>
  <c r="J23" i="54"/>
  <c r="I29" i="54"/>
  <c r="H29" i="54"/>
  <c r="J34" i="54"/>
  <c r="H34" i="54"/>
  <c r="I34" i="54"/>
  <c r="J39" i="54"/>
  <c r="I45" i="54"/>
  <c r="H45" i="54"/>
  <c r="J50" i="54"/>
  <c r="I50" i="54"/>
  <c r="H50" i="54"/>
  <c r="Q56" i="55"/>
  <c r="H74" i="52" s="1"/>
  <c r="M74" i="52" s="1"/>
  <c r="S4" i="55"/>
  <c r="S62" i="55"/>
  <c r="H51" i="54"/>
  <c r="H53" i="54"/>
  <c r="H55" i="54"/>
  <c r="H57" i="54"/>
  <c r="R121" i="45"/>
  <c r="Q121" i="45"/>
  <c r="P121" i="45"/>
  <c r="O121" i="45"/>
  <c r="S101" i="45"/>
  <c r="W101" i="45" s="1"/>
  <c r="R101" i="45"/>
  <c r="Q101" i="45"/>
  <c r="P101" i="45"/>
  <c r="O101" i="45"/>
  <c r="R97" i="45"/>
  <c r="Q97" i="45"/>
  <c r="P97" i="45"/>
  <c r="O97" i="45"/>
  <c r="K4" i="37"/>
  <c r="U91" i="45"/>
  <c r="S91" i="45"/>
  <c r="W91" i="45" s="1"/>
  <c r="U90" i="45"/>
  <c r="S90" i="45"/>
  <c r="W90" i="45" s="1"/>
  <c r="U89" i="45"/>
  <c r="S89" i="45"/>
  <c r="W89" i="45" s="1"/>
  <c r="U88" i="45"/>
  <c r="S88" i="45"/>
  <c r="W88" i="45" s="1"/>
  <c r="R37" i="45"/>
  <c r="Q37" i="45"/>
  <c r="P37" i="45"/>
  <c r="O37" i="45"/>
  <c r="R36" i="45"/>
  <c r="Q36" i="45"/>
  <c r="P36" i="45"/>
  <c r="O36" i="45"/>
  <c r="S80" i="55" l="1"/>
  <c r="H77" i="52" s="1"/>
  <c r="L77" i="52" s="1"/>
  <c r="S56" i="55"/>
  <c r="H75" i="52" s="1"/>
  <c r="M75" i="52" s="1"/>
  <c r="N75" i="52" s="1"/>
  <c r="O75" i="52" s="1"/>
  <c r="P75" i="52" s="1"/>
  <c r="Q75" i="52" s="1"/>
  <c r="R75" i="52" s="1"/>
  <c r="S75" i="52" s="1"/>
  <c r="H59" i="54"/>
  <c r="M77" i="52"/>
  <c r="N77" i="52" s="1"/>
  <c r="O77" i="52" s="1"/>
  <c r="P77" i="52" s="1"/>
  <c r="Q77" i="52" s="1"/>
  <c r="R77" i="52" s="1"/>
  <c r="S77" i="52" s="1"/>
  <c r="N74" i="52"/>
  <c r="O74" i="52" s="1"/>
  <c r="P74" i="52" s="1"/>
  <c r="Q74" i="52" s="1"/>
  <c r="R74" i="52" s="1"/>
  <c r="S74" i="52" s="1"/>
  <c r="I59" i="54"/>
  <c r="I70" i="52"/>
  <c r="J70" i="52" s="1"/>
  <c r="I71" i="52"/>
  <c r="J59" i="54"/>
  <c r="Y101" i="45"/>
  <c r="I60" i="54" l="1"/>
  <c r="T77" i="52"/>
  <c r="J60" i="54"/>
  <c r="H71" i="52"/>
  <c r="T75" i="52"/>
  <c r="T74" i="52"/>
  <c r="J78" i="52"/>
  <c r="K70" i="52"/>
  <c r="H6" i="27"/>
  <c r="H8" i="27"/>
  <c r="H11" i="27"/>
  <c r="H12" i="27"/>
  <c r="H15" i="27"/>
  <c r="B13" i="27"/>
  <c r="B12" i="27"/>
  <c r="B11" i="27"/>
  <c r="B10" i="27"/>
  <c r="B9" i="27"/>
  <c r="B8" i="27"/>
  <c r="B7" i="27"/>
  <c r="B6" i="27"/>
  <c r="B5" i="27"/>
  <c r="B4" i="27"/>
  <c r="B3" i="27"/>
  <c r="R5" i="37"/>
  <c r="R7" i="37"/>
  <c r="R8" i="37"/>
  <c r="R9" i="37"/>
  <c r="R10" i="37"/>
  <c r="R11" i="37"/>
  <c r="R12" i="37"/>
  <c r="R13" i="37"/>
  <c r="R14" i="37"/>
  <c r="R15" i="37"/>
  <c r="R16" i="37"/>
  <c r="R20" i="37"/>
  <c r="R22" i="37"/>
  <c r="R23" i="37"/>
  <c r="R4" i="37"/>
  <c r="S118" i="45"/>
  <c r="R123" i="45"/>
  <c r="Q123" i="45"/>
  <c r="P123" i="45"/>
  <c r="O123" i="45"/>
  <c r="R122" i="45"/>
  <c r="Q122" i="45"/>
  <c r="P122" i="45"/>
  <c r="O122" i="45"/>
  <c r="R120" i="45"/>
  <c r="Q120" i="45"/>
  <c r="P120" i="45"/>
  <c r="O120" i="45"/>
  <c r="S82" i="46"/>
  <c r="S81" i="46"/>
  <c r="R42" i="45"/>
  <c r="Q42" i="45"/>
  <c r="P42" i="45"/>
  <c r="O42" i="45"/>
  <c r="R41" i="45"/>
  <c r="Q41" i="45"/>
  <c r="P41" i="45"/>
  <c r="O41" i="45"/>
  <c r="R40" i="45"/>
  <c r="Q40" i="45"/>
  <c r="P40" i="45"/>
  <c r="O40" i="45"/>
  <c r="Q39" i="45"/>
  <c r="P39" i="45"/>
  <c r="R38" i="45"/>
  <c r="Q38" i="45"/>
  <c r="P38" i="45"/>
  <c r="O38" i="45"/>
  <c r="Q33" i="45"/>
  <c r="P33" i="45"/>
  <c r="R32" i="45"/>
  <c r="Q32" i="45"/>
  <c r="P32" i="45"/>
  <c r="O32" i="45"/>
  <c r="K7" i="37" s="1"/>
  <c r="K26" i="37" s="1"/>
  <c r="K45" i="37" s="1"/>
  <c r="L45" i="37" s="1"/>
  <c r="R31" i="45"/>
  <c r="Q31" i="45"/>
  <c r="P31" i="45"/>
  <c r="O31" i="45"/>
  <c r="R4" i="45"/>
  <c r="R39" i="45" s="1"/>
  <c r="O4" i="45"/>
  <c r="O39" i="45" s="1"/>
  <c r="S37" i="46"/>
  <c r="S36" i="46"/>
  <c r="R120" i="46"/>
  <c r="Q120" i="46"/>
  <c r="P120" i="46"/>
  <c r="O120" i="46"/>
  <c r="R119" i="46"/>
  <c r="Q119" i="46"/>
  <c r="P119" i="46"/>
  <c r="O119" i="46"/>
  <c r="R118" i="46"/>
  <c r="Q118" i="46"/>
  <c r="P118" i="46"/>
  <c r="O118" i="46"/>
  <c r="R117" i="46"/>
  <c r="Q117" i="46"/>
  <c r="P117" i="46"/>
  <c r="O117" i="46"/>
  <c r="N116" i="46"/>
  <c r="S116" i="46" s="1"/>
  <c r="S115" i="46"/>
  <c r="S114" i="46"/>
  <c r="S113" i="46"/>
  <c r="S112" i="46"/>
  <c r="S111" i="46"/>
  <c r="S110" i="46"/>
  <c r="S109" i="46"/>
  <c r="S108" i="46"/>
  <c r="N107" i="46"/>
  <c r="S107" i="46" s="1"/>
  <c r="S106" i="46"/>
  <c r="R105" i="46"/>
  <c r="Q105" i="46"/>
  <c r="P105" i="46"/>
  <c r="O105" i="46"/>
  <c r="R104" i="46"/>
  <c r="Q104" i="46"/>
  <c r="P104" i="46"/>
  <c r="O104" i="46"/>
  <c r="R103" i="46"/>
  <c r="Q103" i="46"/>
  <c r="P103" i="46"/>
  <c r="O103" i="46"/>
  <c r="R102" i="46"/>
  <c r="Q102" i="46"/>
  <c r="P102" i="46"/>
  <c r="O102" i="46"/>
  <c r="R101" i="46"/>
  <c r="Q101" i="46"/>
  <c r="P101" i="46"/>
  <c r="O101" i="46"/>
  <c r="R100" i="46"/>
  <c r="Q100" i="46"/>
  <c r="P100" i="46"/>
  <c r="O100" i="46"/>
  <c r="R99" i="46"/>
  <c r="Q99" i="46"/>
  <c r="P99" i="46"/>
  <c r="O99" i="46"/>
  <c r="R98" i="46"/>
  <c r="Q98" i="46"/>
  <c r="P98" i="46"/>
  <c r="O98" i="46"/>
  <c r="R97" i="46"/>
  <c r="Q97" i="46"/>
  <c r="P97" i="46"/>
  <c r="O97" i="46"/>
  <c r="S96" i="46"/>
  <c r="S95" i="46"/>
  <c r="R94" i="46"/>
  <c r="Q94" i="46"/>
  <c r="P94" i="46"/>
  <c r="O94" i="46"/>
  <c r="R93" i="46"/>
  <c r="Q93" i="46"/>
  <c r="P93" i="46"/>
  <c r="O93" i="46"/>
  <c r="N92" i="46"/>
  <c r="S92" i="46" s="1"/>
  <c r="N91" i="46"/>
  <c r="S91" i="46" s="1"/>
  <c r="S90" i="46"/>
  <c r="S89" i="46"/>
  <c r="N88" i="46"/>
  <c r="S88" i="46" s="1"/>
  <c r="N87" i="46"/>
  <c r="S87" i="46" s="1"/>
  <c r="R86" i="46"/>
  <c r="Q86" i="46"/>
  <c r="P86" i="46"/>
  <c r="O86" i="46"/>
  <c r="S85" i="46"/>
  <c r="S84" i="46"/>
  <c r="S83" i="46"/>
  <c r="R80" i="46"/>
  <c r="Q80" i="46"/>
  <c r="P80" i="46"/>
  <c r="S79" i="46"/>
  <c r="S78" i="46"/>
  <c r="S77" i="46"/>
  <c r="S76" i="46"/>
  <c r="S75" i="46"/>
  <c r="S74" i="46"/>
  <c r="N73" i="46"/>
  <c r="S73" i="46" s="1"/>
  <c r="P72" i="46"/>
  <c r="O72" i="46"/>
  <c r="S71" i="46"/>
  <c r="Q70" i="46"/>
  <c r="P70" i="46"/>
  <c r="O70" i="46"/>
  <c r="S69" i="46"/>
  <c r="S68" i="46"/>
  <c r="R67" i="46"/>
  <c r="S67" i="46" s="1"/>
  <c r="R66" i="46"/>
  <c r="S66" i="46" s="1"/>
  <c r="R65" i="46"/>
  <c r="S65" i="46" s="1"/>
  <c r="R64" i="46"/>
  <c r="S64" i="46" s="1"/>
  <c r="S63" i="46"/>
  <c r="S62" i="46"/>
  <c r="S61" i="46"/>
  <c r="S60" i="46"/>
  <c r="S59" i="46"/>
  <c r="S58" i="46"/>
  <c r="S57" i="46"/>
  <c r="S56" i="46"/>
  <c r="S55" i="46"/>
  <c r="S54" i="46"/>
  <c r="S53" i="46"/>
  <c r="S52" i="46"/>
  <c r="S51" i="46"/>
  <c r="S50" i="46"/>
  <c r="S49" i="46"/>
  <c r="Q48" i="46"/>
  <c r="P48" i="46"/>
  <c r="O48" i="46"/>
  <c r="S47" i="46"/>
  <c r="S46" i="46"/>
  <c r="S45" i="46"/>
  <c r="Q44" i="46"/>
  <c r="P44" i="46"/>
  <c r="Q43" i="46"/>
  <c r="P43" i="46"/>
  <c r="R42" i="46"/>
  <c r="Q42" i="46"/>
  <c r="P42" i="46"/>
  <c r="O42" i="46"/>
  <c r="R41" i="46"/>
  <c r="Q41" i="46"/>
  <c r="P41" i="46"/>
  <c r="O41" i="46"/>
  <c r="R40" i="46"/>
  <c r="Q40" i="46"/>
  <c r="P40" i="46"/>
  <c r="O40" i="46"/>
  <c r="Q39" i="46"/>
  <c r="P39" i="46"/>
  <c r="R38" i="46"/>
  <c r="Q38" i="46"/>
  <c r="P38" i="46"/>
  <c r="O38" i="46"/>
  <c r="S35" i="46"/>
  <c r="S34" i="46"/>
  <c r="Q33" i="46"/>
  <c r="P33" i="46"/>
  <c r="R32" i="46"/>
  <c r="Q32" i="46"/>
  <c r="P32" i="46"/>
  <c r="O32" i="46"/>
  <c r="R31" i="46"/>
  <c r="Q31" i="46"/>
  <c r="P31" i="46"/>
  <c r="O31" i="46"/>
  <c r="R30" i="46"/>
  <c r="Q30" i="46"/>
  <c r="P30" i="46"/>
  <c r="O30" i="46"/>
  <c r="R29" i="46"/>
  <c r="Q29" i="46"/>
  <c r="P29" i="46"/>
  <c r="O29" i="46"/>
  <c r="N28" i="46"/>
  <c r="S28" i="46" s="1"/>
  <c r="O27" i="46"/>
  <c r="N27" i="46"/>
  <c r="S27" i="46" s="1"/>
  <c r="O26" i="46"/>
  <c r="N26" i="46"/>
  <c r="O25" i="46"/>
  <c r="N25" i="46"/>
  <c r="O24" i="46"/>
  <c r="N24" i="46"/>
  <c r="S23" i="46"/>
  <c r="S22" i="46"/>
  <c r="S21" i="46"/>
  <c r="S20" i="46"/>
  <c r="S19" i="46"/>
  <c r="S18" i="46"/>
  <c r="S17" i="46"/>
  <c r="S16" i="46"/>
  <c r="S15" i="46"/>
  <c r="S14" i="46"/>
  <c r="S13" i="46"/>
  <c r="S12" i="46"/>
  <c r="S11" i="46"/>
  <c r="S10" i="46"/>
  <c r="S9" i="46"/>
  <c r="S8" i="46"/>
  <c r="S7" i="46"/>
  <c r="R4" i="46"/>
  <c r="R48" i="46" s="1"/>
  <c r="O4" i="46"/>
  <c r="O43" i="46" s="1"/>
  <c r="K19" i="37"/>
  <c r="K38" i="37" s="1"/>
  <c r="K20" i="37"/>
  <c r="K39" i="37" s="1"/>
  <c r="K21" i="37"/>
  <c r="K40" i="37" s="1"/>
  <c r="K59" i="37" s="1"/>
  <c r="L59" i="37" s="1"/>
  <c r="K18" i="37"/>
  <c r="K37" i="37" s="1"/>
  <c r="K17" i="37"/>
  <c r="K36" i="37" s="1"/>
  <c r="K55" i="37" s="1"/>
  <c r="L55" i="37" s="1"/>
  <c r="K16" i="37"/>
  <c r="K35" i="37" s="1"/>
  <c r="K54" i="37" s="1"/>
  <c r="L54" i="37" s="1"/>
  <c r="K15" i="37"/>
  <c r="K34" i="37" s="1"/>
  <c r="K53" i="37" s="1"/>
  <c r="L53" i="37" s="1"/>
  <c r="K14" i="37"/>
  <c r="K33" i="37" s="1"/>
  <c r="K52" i="37" s="1"/>
  <c r="L52" i="37" s="1"/>
  <c r="K13" i="37"/>
  <c r="K32" i="37" s="1"/>
  <c r="K51" i="37" s="1"/>
  <c r="L51" i="37" s="1"/>
  <c r="K12" i="37"/>
  <c r="K31" i="37" s="1"/>
  <c r="K50" i="37" s="1"/>
  <c r="L50" i="37" s="1"/>
  <c r="K11" i="37"/>
  <c r="K30" i="37" s="1"/>
  <c r="K49" i="37" s="1"/>
  <c r="L49" i="37" s="1"/>
  <c r="K8" i="37"/>
  <c r="K27" i="37" s="1"/>
  <c r="K46" i="37" s="1"/>
  <c r="L46" i="37" s="1"/>
  <c r="K22" i="37"/>
  <c r="K41" i="37" s="1"/>
  <c r="K60" i="37" s="1"/>
  <c r="L60" i="37" s="1"/>
  <c r="F48" i="37"/>
  <c r="F47" i="37"/>
  <c r="G48" i="37"/>
  <c r="M21" i="37"/>
  <c r="L10" i="37"/>
  <c r="F10" i="37" s="1"/>
  <c r="G10" i="37" s="1"/>
  <c r="L9" i="37"/>
  <c r="F9" i="37" s="1"/>
  <c r="F28" i="37" s="1"/>
  <c r="K29" i="37"/>
  <c r="K48" i="37" s="1"/>
  <c r="L48" i="37" s="1"/>
  <c r="K28" i="37"/>
  <c r="L28" i="37" s="1"/>
  <c r="C52" i="28"/>
  <c r="C51" i="28"/>
  <c r="C49" i="28"/>
  <c r="C47" i="28"/>
  <c r="C46" i="28"/>
  <c r="C44" i="28"/>
  <c r="C42" i="28"/>
  <c r="C41" i="28"/>
  <c r="C39" i="28"/>
  <c r="C37" i="28"/>
  <c r="C36" i="28"/>
  <c r="C34" i="28"/>
  <c r="C32" i="28"/>
  <c r="C31" i="28"/>
  <c r="C29" i="28"/>
  <c r="C27" i="28"/>
  <c r="C26" i="28"/>
  <c r="C24" i="28"/>
  <c r="C22" i="28"/>
  <c r="C21" i="28"/>
  <c r="C19" i="28"/>
  <c r="C17" i="28"/>
  <c r="C16" i="28"/>
  <c r="C14" i="28"/>
  <c r="C12" i="28"/>
  <c r="C11" i="28"/>
  <c r="C9" i="28"/>
  <c r="C7" i="28"/>
  <c r="C6" i="28"/>
  <c r="C4" i="28"/>
  <c r="S24" i="46" l="1"/>
  <c r="J71" i="52"/>
  <c r="H79" i="52"/>
  <c r="H73" i="52"/>
  <c r="J73" i="52" s="1"/>
  <c r="L70" i="52"/>
  <c r="K78" i="52"/>
  <c r="Y118" i="45"/>
  <c r="W118" i="45"/>
  <c r="O33" i="45"/>
  <c r="K5" i="37"/>
  <c r="K24" i="37" s="1"/>
  <c r="K43" i="37" s="1"/>
  <c r="L43" i="37" s="1"/>
  <c r="R33" i="45"/>
  <c r="K6" i="37"/>
  <c r="K25" i="37" s="1"/>
  <c r="K44" i="37" s="1"/>
  <c r="L44" i="37" s="1"/>
  <c r="S31" i="45"/>
  <c r="L4" i="37"/>
  <c r="F4" i="37" s="1"/>
  <c r="F23" i="37" s="1"/>
  <c r="F42" i="37" s="1"/>
  <c r="O5" i="45"/>
  <c r="S42" i="46"/>
  <c r="S38" i="46"/>
  <c r="S99" i="46"/>
  <c r="S25" i="46"/>
  <c r="S32" i="46"/>
  <c r="S72" i="46"/>
  <c r="O39" i="46"/>
  <c r="S39" i="46" s="1"/>
  <c r="S103" i="46"/>
  <c r="S29" i="46"/>
  <c r="R43" i="46"/>
  <c r="S43" i="46" s="1"/>
  <c r="R39" i="46"/>
  <c r="O44" i="46"/>
  <c r="P5" i="46"/>
  <c r="S70" i="46"/>
  <c r="S104" i="46"/>
  <c r="Q5" i="46"/>
  <c r="S26" i="46"/>
  <c r="S31" i="46"/>
  <c r="S97" i="46"/>
  <c r="S86" i="46"/>
  <c r="S41" i="46"/>
  <c r="S100" i="46"/>
  <c r="S102" i="46"/>
  <c r="S48" i="46"/>
  <c r="S105" i="46"/>
  <c r="S94" i="46"/>
  <c r="S93" i="46"/>
  <c r="O33" i="46"/>
  <c r="R44" i="46"/>
  <c r="R33" i="46"/>
  <c r="S80" i="46"/>
  <c r="S30" i="46"/>
  <c r="S40" i="46"/>
  <c r="S101" i="46"/>
  <c r="G47" i="37"/>
  <c r="F29" i="37"/>
  <c r="G29" i="37" s="1"/>
  <c r="G28" i="37"/>
  <c r="L27" i="37"/>
  <c r="L11" i="37"/>
  <c r="F11" i="37" s="1"/>
  <c r="F30" i="37" s="1"/>
  <c r="K23" i="37"/>
  <c r="K42" i="37" s="1"/>
  <c r="L42" i="37" s="1"/>
  <c r="L21" i="37"/>
  <c r="F21" i="37" s="1"/>
  <c r="F40" i="37" s="1"/>
  <c r="F59" i="37" s="1"/>
  <c r="L26" i="37"/>
  <c r="L12" i="37"/>
  <c r="F12" i="37" s="1"/>
  <c r="K58" i="37"/>
  <c r="L58" i="37" s="1"/>
  <c r="L39" i="37"/>
  <c r="L20" i="37"/>
  <c r="F20" i="37" s="1"/>
  <c r="F39" i="37" s="1"/>
  <c r="F58" i="37" s="1"/>
  <c r="G9" i="37"/>
  <c r="L13" i="37"/>
  <c r="F13" i="37" s="1"/>
  <c r="F32" i="37" s="1"/>
  <c r="L35" i="37"/>
  <c r="L18" i="37"/>
  <c r="L36" i="37"/>
  <c r="L34" i="37"/>
  <c r="K47" i="37"/>
  <c r="L47" i="37" s="1"/>
  <c r="L19" i="37"/>
  <c r="F19" i="37" s="1"/>
  <c r="F38" i="37" s="1"/>
  <c r="F57" i="37" s="1"/>
  <c r="K56" i="37"/>
  <c r="L56" i="37" s="1"/>
  <c r="L37" i="37"/>
  <c r="K57" i="37"/>
  <c r="L57" i="37" s="1"/>
  <c r="L38" i="37"/>
  <c r="L17" i="37"/>
  <c r="L33" i="37"/>
  <c r="L41" i="37"/>
  <c r="L14" i="37"/>
  <c r="F14" i="37" s="1"/>
  <c r="L22" i="37"/>
  <c r="F22" i="37" s="1"/>
  <c r="F41" i="37" s="1"/>
  <c r="F60" i="37" s="1"/>
  <c r="L30" i="37"/>
  <c r="L7" i="37"/>
  <c r="F7" i="37" s="1"/>
  <c r="F26" i="37" s="1"/>
  <c r="L15" i="37"/>
  <c r="F15" i="37" s="1"/>
  <c r="L29" i="37"/>
  <c r="L31" i="37"/>
  <c r="L8" i="37"/>
  <c r="F8" i="37" s="1"/>
  <c r="L16" i="37"/>
  <c r="F16" i="37" s="1"/>
  <c r="F35" i="37" s="1"/>
  <c r="F54" i="37" s="1"/>
  <c r="G54" i="37" s="1"/>
  <c r="L32" i="37"/>
  <c r="L40" i="37"/>
  <c r="B13" i="32"/>
  <c r="B12" i="32"/>
  <c r="B11" i="32"/>
  <c r="B10" i="32"/>
  <c r="B9" i="32"/>
  <c r="B8" i="32"/>
  <c r="B7" i="32"/>
  <c r="B6" i="32"/>
  <c r="B5" i="32"/>
  <c r="B4" i="32"/>
  <c r="B3" i="32"/>
  <c r="S119" i="45"/>
  <c r="S117" i="45"/>
  <c r="S116" i="45"/>
  <c r="S115" i="45"/>
  <c r="S113" i="45"/>
  <c r="S112" i="45"/>
  <c r="S111" i="45"/>
  <c r="S110" i="45"/>
  <c r="S109" i="45"/>
  <c r="S108" i="45"/>
  <c r="S107" i="45"/>
  <c r="S106" i="45"/>
  <c r="S105" i="45"/>
  <c r="S104" i="45"/>
  <c r="S103" i="45"/>
  <c r="S102" i="45"/>
  <c r="S100" i="45"/>
  <c r="S99" i="45"/>
  <c r="S98" i="45"/>
  <c r="S97" i="45"/>
  <c r="S96" i="45"/>
  <c r="S95" i="45"/>
  <c r="S94" i="45"/>
  <c r="S93" i="45"/>
  <c r="S92" i="45"/>
  <c r="S87" i="45"/>
  <c r="S86" i="45"/>
  <c r="S85" i="45"/>
  <c r="S84" i="45"/>
  <c r="S83" i="45"/>
  <c r="S82" i="45"/>
  <c r="S81" i="45"/>
  <c r="S80" i="45"/>
  <c r="S79" i="45"/>
  <c r="S78" i="45"/>
  <c r="S77" i="45"/>
  <c r="S76" i="45"/>
  <c r="S75" i="45"/>
  <c r="S74" i="45"/>
  <c r="S73" i="45"/>
  <c r="S72" i="45"/>
  <c r="S71" i="45"/>
  <c r="S70" i="45"/>
  <c r="S69" i="45"/>
  <c r="S68" i="45"/>
  <c r="S67" i="45"/>
  <c r="S66" i="45"/>
  <c r="S65" i="45"/>
  <c r="S64" i="45"/>
  <c r="S63" i="45"/>
  <c r="S62" i="45"/>
  <c r="S61" i="45"/>
  <c r="S60" i="45"/>
  <c r="S59" i="45"/>
  <c r="S58" i="45"/>
  <c r="S57" i="45"/>
  <c r="S56" i="45"/>
  <c r="S55" i="45"/>
  <c r="S54" i="45"/>
  <c r="S53" i="45"/>
  <c r="S52" i="45"/>
  <c r="S51" i="45"/>
  <c r="S50" i="45"/>
  <c r="S49" i="45"/>
  <c r="S48" i="45"/>
  <c r="S47" i="45"/>
  <c r="S46" i="45"/>
  <c r="S45" i="45"/>
  <c r="S44" i="45"/>
  <c r="S43" i="45"/>
  <c r="S42" i="45"/>
  <c r="S41" i="45"/>
  <c r="S40" i="45"/>
  <c r="S39" i="45"/>
  <c r="S38" i="45"/>
  <c r="S37" i="45"/>
  <c r="S36" i="45"/>
  <c r="S35" i="45"/>
  <c r="S34" i="45"/>
  <c r="S33" i="45"/>
  <c r="S32" i="45"/>
  <c r="S30" i="45"/>
  <c r="S29" i="45"/>
  <c r="S28" i="45"/>
  <c r="W28" i="45" s="1"/>
  <c r="S27" i="45"/>
  <c r="S26" i="45"/>
  <c r="S25" i="45"/>
  <c r="S24" i="45"/>
  <c r="S23" i="45"/>
  <c r="S22" i="45"/>
  <c r="S21" i="45"/>
  <c r="S20" i="45"/>
  <c r="S19" i="45"/>
  <c r="S18" i="45"/>
  <c r="S17" i="45"/>
  <c r="S16" i="45"/>
  <c r="S15" i="45"/>
  <c r="S14" i="45"/>
  <c r="S13" i="45"/>
  <c r="S12" i="45"/>
  <c r="S11" i="45"/>
  <c r="S10" i="45"/>
  <c r="S9" i="45"/>
  <c r="S8" i="45"/>
  <c r="S7" i="45"/>
  <c r="R5" i="45"/>
  <c r="Q5" i="45"/>
  <c r="P5" i="45"/>
  <c r="K73" i="52" l="1"/>
  <c r="L73" i="52" s="1"/>
  <c r="M73" i="52" s="1"/>
  <c r="N73" i="52" s="1"/>
  <c r="O73" i="52" s="1"/>
  <c r="P73" i="52" s="1"/>
  <c r="Q73" i="52" s="1"/>
  <c r="R73" i="52" s="1"/>
  <c r="S73" i="52" s="1"/>
  <c r="K71" i="52"/>
  <c r="J79" i="52"/>
  <c r="M70" i="52"/>
  <c r="L78" i="52"/>
  <c r="N121" i="45"/>
  <c r="L5" i="37"/>
  <c r="F5" i="37" s="1"/>
  <c r="F24" i="37" s="1"/>
  <c r="F43" i="37" s="1"/>
  <c r="L25" i="37"/>
  <c r="Y9" i="45"/>
  <c r="W9" i="45"/>
  <c r="Y42" i="45"/>
  <c r="W42" i="45"/>
  <c r="Y58" i="45"/>
  <c r="W58" i="45"/>
  <c r="Y82" i="45"/>
  <c r="W82" i="45"/>
  <c r="Y10" i="45"/>
  <c r="W10" i="45"/>
  <c r="Y53" i="45"/>
  <c r="W53" i="45"/>
  <c r="Y14" i="45"/>
  <c r="W14" i="45"/>
  <c r="Y22" i="45"/>
  <c r="W22" i="45"/>
  <c r="Y30" i="45"/>
  <c r="W30" i="45"/>
  <c r="Y47" i="45"/>
  <c r="W47" i="45"/>
  <c r="Y63" i="45"/>
  <c r="W63" i="45"/>
  <c r="Y79" i="45"/>
  <c r="W79" i="45"/>
  <c r="Y8" i="45"/>
  <c r="W8" i="45"/>
  <c r="Y16" i="45"/>
  <c r="W16" i="45"/>
  <c r="Y24" i="45"/>
  <c r="W24" i="45"/>
  <c r="Y33" i="45"/>
  <c r="W33" i="45"/>
  <c r="Y41" i="45"/>
  <c r="W41" i="45"/>
  <c r="Y49" i="45"/>
  <c r="W49" i="45"/>
  <c r="Y57" i="45"/>
  <c r="W57" i="45"/>
  <c r="Y65" i="45"/>
  <c r="W65" i="45"/>
  <c r="Y73" i="45"/>
  <c r="W73" i="45"/>
  <c r="Y81" i="45"/>
  <c r="W81" i="45"/>
  <c r="Y93" i="45"/>
  <c r="W93" i="45"/>
  <c r="Y102" i="45"/>
  <c r="W102" i="45"/>
  <c r="Y110" i="45"/>
  <c r="W110" i="45"/>
  <c r="Y119" i="45"/>
  <c r="W119" i="45"/>
  <c r="Y31" i="45"/>
  <c r="W31" i="45"/>
  <c r="Y35" i="45"/>
  <c r="W35" i="45"/>
  <c r="Y75" i="45"/>
  <c r="W75" i="45"/>
  <c r="Y112" i="45"/>
  <c r="W112" i="45"/>
  <c r="Y18" i="45"/>
  <c r="W18" i="45"/>
  <c r="Y43" i="45"/>
  <c r="W43" i="45"/>
  <c r="Y67" i="45"/>
  <c r="W67" i="45"/>
  <c r="Y11" i="45"/>
  <c r="W11" i="45"/>
  <c r="Y27" i="45"/>
  <c r="W27" i="45"/>
  <c r="Y36" i="45"/>
  <c r="W36" i="45"/>
  <c r="Y44" i="45"/>
  <c r="W44" i="45"/>
  <c r="Y52" i="45"/>
  <c r="W52" i="45"/>
  <c r="Y60" i="45"/>
  <c r="W60" i="45"/>
  <c r="Y68" i="45"/>
  <c r="W68" i="45"/>
  <c r="Y76" i="45"/>
  <c r="W76" i="45"/>
  <c r="Y84" i="45"/>
  <c r="W84" i="45"/>
  <c r="Y96" i="45"/>
  <c r="W96" i="45"/>
  <c r="Y105" i="45"/>
  <c r="W105" i="45"/>
  <c r="Y113" i="45"/>
  <c r="W113" i="45"/>
  <c r="Y25" i="45"/>
  <c r="W25" i="45"/>
  <c r="Y111" i="45"/>
  <c r="W111" i="45"/>
  <c r="Y12" i="45"/>
  <c r="W12" i="45"/>
  <c r="Y37" i="45"/>
  <c r="W37" i="45"/>
  <c r="Y61" i="45"/>
  <c r="W61" i="45"/>
  <c r="Y77" i="45"/>
  <c r="W77" i="45"/>
  <c r="Y85" i="45"/>
  <c r="W85" i="45"/>
  <c r="Y97" i="45"/>
  <c r="W97" i="45"/>
  <c r="Y106" i="45"/>
  <c r="W106" i="45"/>
  <c r="Y114" i="45"/>
  <c r="W114" i="45"/>
  <c r="Y34" i="45"/>
  <c r="W34" i="45"/>
  <c r="Y74" i="45"/>
  <c r="W74" i="45"/>
  <c r="Y103" i="45"/>
  <c r="W103" i="45"/>
  <c r="Y51" i="45"/>
  <c r="W51" i="45"/>
  <c r="Y19" i="45"/>
  <c r="W19" i="45"/>
  <c r="Y20" i="45"/>
  <c r="W20" i="45"/>
  <c r="Y45" i="45"/>
  <c r="W45" i="45"/>
  <c r="Y69" i="45"/>
  <c r="W69" i="45"/>
  <c r="Y13" i="45"/>
  <c r="W13" i="45"/>
  <c r="Y21" i="45"/>
  <c r="W21" i="45"/>
  <c r="Y29" i="45"/>
  <c r="W29" i="45"/>
  <c r="Y38" i="45"/>
  <c r="W38" i="45"/>
  <c r="Y46" i="45"/>
  <c r="W46" i="45"/>
  <c r="Y54" i="45"/>
  <c r="W54" i="45"/>
  <c r="Y62" i="45"/>
  <c r="W62" i="45"/>
  <c r="Y70" i="45"/>
  <c r="W70" i="45"/>
  <c r="Y78" i="45"/>
  <c r="W78" i="45"/>
  <c r="Y86" i="45"/>
  <c r="W86" i="45"/>
  <c r="Y98" i="45"/>
  <c r="W98" i="45"/>
  <c r="Y107" i="45"/>
  <c r="W107" i="45"/>
  <c r="Y115" i="45"/>
  <c r="W115" i="45"/>
  <c r="Y17" i="45"/>
  <c r="W17" i="45"/>
  <c r="Y50" i="45"/>
  <c r="W50" i="45"/>
  <c r="Y66" i="45"/>
  <c r="W66" i="45"/>
  <c r="Y94" i="45"/>
  <c r="W94" i="45"/>
  <c r="Y26" i="45"/>
  <c r="W26" i="45"/>
  <c r="Y59" i="45"/>
  <c r="W59" i="45"/>
  <c r="Y83" i="45"/>
  <c r="W83" i="45"/>
  <c r="Y95" i="45"/>
  <c r="W95" i="45"/>
  <c r="Y104" i="45"/>
  <c r="W104" i="45"/>
  <c r="Y39" i="45"/>
  <c r="W39" i="45"/>
  <c r="Y55" i="45"/>
  <c r="W55" i="45"/>
  <c r="Y71" i="45"/>
  <c r="W71" i="45"/>
  <c r="Y87" i="45"/>
  <c r="W87" i="45"/>
  <c r="Y99" i="45"/>
  <c r="W99" i="45"/>
  <c r="Y108" i="45"/>
  <c r="W108" i="45"/>
  <c r="Y116" i="45"/>
  <c r="W116" i="45"/>
  <c r="Y7" i="45"/>
  <c r="W7" i="45"/>
  <c r="Y15" i="45"/>
  <c r="W15" i="45"/>
  <c r="Y23" i="45"/>
  <c r="W23" i="45"/>
  <c r="Y32" i="45"/>
  <c r="W32" i="45"/>
  <c r="Y40" i="45"/>
  <c r="W40" i="45"/>
  <c r="Y48" i="45"/>
  <c r="W48" i="45"/>
  <c r="Y56" i="45"/>
  <c r="W56" i="45"/>
  <c r="Y64" i="45"/>
  <c r="W64" i="45"/>
  <c r="Y72" i="45"/>
  <c r="W72" i="45"/>
  <c r="Y80" i="45"/>
  <c r="W80" i="45"/>
  <c r="Y92" i="45"/>
  <c r="W92" i="45"/>
  <c r="Y100" i="45"/>
  <c r="W100" i="45"/>
  <c r="Y109" i="45"/>
  <c r="W109" i="45"/>
  <c r="Y117" i="45"/>
  <c r="W117" i="45"/>
  <c r="L24" i="37"/>
  <c r="L6" i="37"/>
  <c r="F6" i="37" s="1"/>
  <c r="F25" i="37" s="1"/>
  <c r="F44" i="37" s="1"/>
  <c r="Y28" i="45"/>
  <c r="K13" i="27"/>
  <c r="H13" i="27" s="1"/>
  <c r="I13" i="27" s="1"/>
  <c r="D13" i="28"/>
  <c r="D53" i="28"/>
  <c r="D23" i="28"/>
  <c r="D18" i="28"/>
  <c r="D28" i="28"/>
  <c r="D33" i="28"/>
  <c r="D38" i="28"/>
  <c r="D3" i="28"/>
  <c r="D43" i="28"/>
  <c r="D8" i="28"/>
  <c r="D48" i="28"/>
  <c r="N120" i="45"/>
  <c r="S120" i="45" s="1"/>
  <c r="N123" i="45"/>
  <c r="S123" i="45" s="1"/>
  <c r="N122" i="45"/>
  <c r="S122" i="45" s="1"/>
  <c r="S121" i="45"/>
  <c r="W121" i="45" s="1"/>
  <c r="I12" i="27"/>
  <c r="I15" i="27"/>
  <c r="I6" i="27"/>
  <c r="I11" i="27"/>
  <c r="R5" i="46"/>
  <c r="N117" i="46"/>
  <c r="S117" i="46" s="1"/>
  <c r="N120" i="46"/>
  <c r="S120" i="46" s="1"/>
  <c r="S44" i="46"/>
  <c r="S33" i="46"/>
  <c r="N119" i="46"/>
  <c r="S119" i="46" s="1"/>
  <c r="O5" i="46"/>
  <c r="G26" i="37"/>
  <c r="F45" i="37"/>
  <c r="G45" i="37" s="1"/>
  <c r="I8" i="27"/>
  <c r="G16" i="37"/>
  <c r="F37" i="37"/>
  <c r="F56" i="37"/>
  <c r="F36" i="37"/>
  <c r="F55" i="37"/>
  <c r="G55" i="37" s="1"/>
  <c r="G32" i="37"/>
  <c r="F51" i="37"/>
  <c r="G51" i="37" s="1"/>
  <c r="G30" i="37"/>
  <c r="F49" i="37"/>
  <c r="G49" i="37" s="1"/>
  <c r="G13" i="37"/>
  <c r="G15" i="37"/>
  <c r="F34" i="37"/>
  <c r="G11" i="37"/>
  <c r="G8" i="37"/>
  <c r="F27" i="37"/>
  <c r="G14" i="37"/>
  <c r="F33" i="37"/>
  <c r="G12" i="37"/>
  <c r="F31" i="37"/>
  <c r="L23" i="37"/>
  <c r="N70" i="52" l="1"/>
  <c r="M78" i="52"/>
  <c r="L71" i="52"/>
  <c r="K79" i="52"/>
  <c r="T73" i="52"/>
  <c r="Y123" i="45"/>
  <c r="W123" i="45"/>
  <c r="Y122" i="45"/>
  <c r="W122" i="45"/>
  <c r="Y120" i="45"/>
  <c r="W120" i="45"/>
  <c r="S5" i="45"/>
  <c r="Y121" i="45"/>
  <c r="E3" i="28"/>
  <c r="F3" i="28"/>
  <c r="E38" i="28"/>
  <c r="F38" i="28"/>
  <c r="E33" i="28"/>
  <c r="F33" i="28"/>
  <c r="E28" i="28"/>
  <c r="F28" i="28"/>
  <c r="E48" i="28"/>
  <c r="F48" i="28"/>
  <c r="F23" i="28"/>
  <c r="E23" i="28"/>
  <c r="F8" i="28"/>
  <c r="E8" i="28"/>
  <c r="F53" i="28"/>
  <c r="E53" i="28"/>
  <c r="E18" i="28"/>
  <c r="F18" i="28"/>
  <c r="E43" i="28"/>
  <c r="F43" i="28"/>
  <c r="F13" i="28"/>
  <c r="E13" i="28"/>
  <c r="N118" i="46"/>
  <c r="S118" i="46" s="1"/>
  <c r="S5" i="46"/>
  <c r="G34" i="37"/>
  <c r="F53" i="37"/>
  <c r="G53" i="37" s="1"/>
  <c r="G33" i="37"/>
  <c r="F52" i="37"/>
  <c r="G52" i="37" s="1"/>
  <c r="G31" i="37"/>
  <c r="F50" i="37"/>
  <c r="G50" i="37" s="1"/>
  <c r="G27" i="37"/>
  <c r="F46" i="37"/>
  <c r="G46" i="37" s="1"/>
  <c r="L79" i="52" l="1"/>
  <c r="M71" i="52"/>
  <c r="O70" i="52"/>
  <c r="N78" i="52"/>
  <c r="A85" i="37"/>
  <c r="O78" i="52" l="1"/>
  <c r="P70" i="52"/>
  <c r="N71" i="52"/>
  <c r="M79" i="52"/>
  <c r="H85" i="37"/>
  <c r="A84" i="37"/>
  <c r="B85" i="37"/>
  <c r="G4" i="29"/>
  <c r="I4" i="29"/>
  <c r="G5" i="29"/>
  <c r="I5" i="29"/>
  <c r="G6" i="29"/>
  <c r="I6" i="29"/>
  <c r="G7" i="29"/>
  <c r="I7" i="29"/>
  <c r="G8" i="29"/>
  <c r="I8" i="29"/>
  <c r="G9" i="29"/>
  <c r="I9" i="29"/>
  <c r="G10" i="29"/>
  <c r="I10" i="29"/>
  <c r="G11" i="29"/>
  <c r="I11" i="29"/>
  <c r="G12" i="29"/>
  <c r="I12" i="29"/>
  <c r="G13" i="29"/>
  <c r="I13" i="29"/>
  <c r="G14" i="29"/>
  <c r="I14" i="29"/>
  <c r="G15" i="29"/>
  <c r="I15" i="29"/>
  <c r="G16" i="29"/>
  <c r="I16" i="29"/>
  <c r="G17" i="29"/>
  <c r="I17" i="29"/>
  <c r="G18" i="29"/>
  <c r="I18" i="29"/>
  <c r="G19" i="29"/>
  <c r="I19" i="29"/>
  <c r="G20" i="29"/>
  <c r="I20" i="29"/>
  <c r="G21" i="29"/>
  <c r="I21" i="29"/>
  <c r="G22" i="29"/>
  <c r="I22" i="29"/>
  <c r="G23" i="29"/>
  <c r="I23" i="29"/>
  <c r="G24" i="29"/>
  <c r="I24" i="29"/>
  <c r="G25" i="29"/>
  <c r="I25" i="29"/>
  <c r="G26" i="29"/>
  <c r="I26" i="29"/>
  <c r="G27" i="29"/>
  <c r="I27" i="29"/>
  <c r="G28" i="29"/>
  <c r="I28" i="29"/>
  <c r="G29" i="29"/>
  <c r="I29" i="29"/>
  <c r="G30" i="29"/>
  <c r="I30" i="29"/>
  <c r="G31" i="29"/>
  <c r="I31" i="29"/>
  <c r="N79" i="52" l="1"/>
  <c r="O71" i="52"/>
  <c r="Q70" i="52"/>
  <c r="P78" i="52"/>
  <c r="I5" i="4"/>
  <c r="I4" i="4"/>
  <c r="H5" i="4"/>
  <c r="H4" i="4"/>
  <c r="G5" i="4"/>
  <c r="G4" i="4"/>
  <c r="F5" i="4"/>
  <c r="F4" i="4"/>
  <c r="K298" i="30"/>
  <c r="Q298" i="30"/>
  <c r="J298" i="30"/>
  <c r="Q297" i="30"/>
  <c r="N297" i="30"/>
  <c r="M297" i="30"/>
  <c r="L297" i="30"/>
  <c r="K297" i="30"/>
  <c r="J297" i="30"/>
  <c r="Q296" i="30"/>
  <c r="N296" i="30"/>
  <c r="M296" i="30"/>
  <c r="L296" i="30"/>
  <c r="K296" i="30"/>
  <c r="J296" i="30"/>
  <c r="Q295" i="30"/>
  <c r="N295" i="30"/>
  <c r="M295" i="30"/>
  <c r="L295" i="30"/>
  <c r="K295" i="30"/>
  <c r="J295" i="30"/>
  <c r="Q294" i="30"/>
  <c r="N294" i="30"/>
  <c r="M294" i="30"/>
  <c r="L294" i="30"/>
  <c r="K294" i="30"/>
  <c r="J294" i="30"/>
  <c r="Q293" i="30"/>
  <c r="N293" i="30"/>
  <c r="M293" i="30"/>
  <c r="L293" i="30"/>
  <c r="K293" i="30"/>
  <c r="J293" i="30"/>
  <c r="Q292" i="30"/>
  <c r="N292" i="30"/>
  <c r="M292" i="30"/>
  <c r="L292" i="30"/>
  <c r="K292" i="30"/>
  <c r="J292" i="30"/>
  <c r="Q291" i="30"/>
  <c r="N291" i="30"/>
  <c r="M291" i="30"/>
  <c r="L291" i="30"/>
  <c r="K291" i="30"/>
  <c r="J291" i="30"/>
  <c r="Q290" i="30"/>
  <c r="N290" i="30"/>
  <c r="M290" i="30"/>
  <c r="L290" i="30"/>
  <c r="K290" i="30"/>
  <c r="J290" i="30"/>
  <c r="Q289" i="30"/>
  <c r="N289" i="30"/>
  <c r="M289" i="30"/>
  <c r="L289" i="30"/>
  <c r="K289" i="30"/>
  <c r="J289" i="30"/>
  <c r="Q288" i="30"/>
  <c r="N288" i="30"/>
  <c r="M288" i="30"/>
  <c r="L288" i="30"/>
  <c r="K288" i="30"/>
  <c r="J288" i="30"/>
  <c r="Q287" i="30"/>
  <c r="N287" i="30"/>
  <c r="M287" i="30"/>
  <c r="L287" i="30"/>
  <c r="K287" i="30"/>
  <c r="J287" i="30"/>
  <c r="Q286" i="30"/>
  <c r="N286" i="30"/>
  <c r="M286" i="30"/>
  <c r="L286" i="30"/>
  <c r="K286" i="30"/>
  <c r="J286" i="30"/>
  <c r="Q285" i="30"/>
  <c r="N285" i="30"/>
  <c r="M285" i="30"/>
  <c r="L285" i="30"/>
  <c r="K285" i="30"/>
  <c r="J285" i="30"/>
  <c r="Q284" i="30"/>
  <c r="N284" i="30"/>
  <c r="M284" i="30"/>
  <c r="L284" i="30"/>
  <c r="K284" i="30"/>
  <c r="J284" i="30"/>
  <c r="Q283" i="30"/>
  <c r="N283" i="30"/>
  <c r="M283" i="30"/>
  <c r="L283" i="30"/>
  <c r="K283" i="30"/>
  <c r="J283" i="30"/>
  <c r="Q282" i="30"/>
  <c r="N282" i="30"/>
  <c r="M282" i="30"/>
  <c r="L282" i="30"/>
  <c r="K282" i="30"/>
  <c r="J282" i="30"/>
  <c r="Q281" i="30"/>
  <c r="N281" i="30"/>
  <c r="M281" i="30"/>
  <c r="L281" i="30"/>
  <c r="K281" i="30"/>
  <c r="J281" i="30"/>
  <c r="Q280" i="30"/>
  <c r="N280" i="30"/>
  <c r="M280" i="30"/>
  <c r="L280" i="30"/>
  <c r="K280" i="30"/>
  <c r="J280" i="30"/>
  <c r="Q279" i="30"/>
  <c r="N279" i="30"/>
  <c r="M279" i="30"/>
  <c r="L279" i="30"/>
  <c r="K279" i="30"/>
  <c r="J279" i="30"/>
  <c r="Q278" i="30"/>
  <c r="N278" i="30"/>
  <c r="M278" i="30"/>
  <c r="L278" i="30"/>
  <c r="K278" i="30"/>
  <c r="J278" i="30"/>
  <c r="Q277" i="30"/>
  <c r="N277" i="30"/>
  <c r="M277" i="30"/>
  <c r="L277" i="30"/>
  <c r="K277" i="30"/>
  <c r="J277" i="30"/>
  <c r="Q276" i="30"/>
  <c r="N276" i="30"/>
  <c r="M276" i="30"/>
  <c r="L276" i="30"/>
  <c r="K276" i="30"/>
  <c r="J276" i="30"/>
  <c r="Q275" i="30"/>
  <c r="N275" i="30"/>
  <c r="M275" i="30"/>
  <c r="L275" i="30"/>
  <c r="K275" i="30"/>
  <c r="J275" i="30"/>
  <c r="Q274" i="30"/>
  <c r="N274" i="30"/>
  <c r="M274" i="30"/>
  <c r="L274" i="30"/>
  <c r="K274" i="30"/>
  <c r="J274" i="30"/>
  <c r="Q273" i="30"/>
  <c r="N273" i="30"/>
  <c r="M273" i="30"/>
  <c r="L273" i="30"/>
  <c r="K273" i="30"/>
  <c r="J273" i="30"/>
  <c r="Q272" i="30"/>
  <c r="N272" i="30"/>
  <c r="M272" i="30"/>
  <c r="L272" i="30"/>
  <c r="K272" i="30"/>
  <c r="J272" i="30"/>
  <c r="Q271" i="30"/>
  <c r="N271" i="30"/>
  <c r="M271" i="30"/>
  <c r="L271" i="30"/>
  <c r="K271" i="30"/>
  <c r="J271" i="30"/>
  <c r="Q270" i="30"/>
  <c r="N270" i="30"/>
  <c r="M270" i="30"/>
  <c r="L270" i="30"/>
  <c r="K270" i="30"/>
  <c r="J270" i="30"/>
  <c r="Q269" i="30"/>
  <c r="N269" i="30"/>
  <c r="M269" i="30"/>
  <c r="L269" i="30"/>
  <c r="K269" i="30"/>
  <c r="J269" i="30"/>
  <c r="Q268" i="30"/>
  <c r="N268" i="30"/>
  <c r="M268" i="30"/>
  <c r="L268" i="30"/>
  <c r="K268" i="30"/>
  <c r="J268" i="30"/>
  <c r="Q267" i="30"/>
  <c r="N267" i="30"/>
  <c r="M267" i="30"/>
  <c r="L267" i="30"/>
  <c r="K267" i="30"/>
  <c r="J267" i="30"/>
  <c r="Q266" i="30"/>
  <c r="N266" i="30"/>
  <c r="M266" i="30"/>
  <c r="L266" i="30"/>
  <c r="K266" i="30"/>
  <c r="J266" i="30"/>
  <c r="Q265" i="30"/>
  <c r="N265" i="30"/>
  <c r="M265" i="30"/>
  <c r="L265" i="30"/>
  <c r="K265" i="30"/>
  <c r="J265" i="30"/>
  <c r="Q264" i="30"/>
  <c r="N264" i="30"/>
  <c r="M264" i="30"/>
  <c r="L264" i="30"/>
  <c r="K264" i="30"/>
  <c r="J264" i="30"/>
  <c r="Q263" i="30"/>
  <c r="N263" i="30"/>
  <c r="M263" i="30"/>
  <c r="L263" i="30"/>
  <c r="K263" i="30"/>
  <c r="J263" i="30"/>
  <c r="Q262" i="30"/>
  <c r="N262" i="30"/>
  <c r="M262" i="30"/>
  <c r="L262" i="30"/>
  <c r="K262" i="30"/>
  <c r="J262" i="30"/>
  <c r="Q261" i="30"/>
  <c r="N261" i="30"/>
  <c r="M261" i="30"/>
  <c r="L261" i="30"/>
  <c r="K261" i="30"/>
  <c r="J261" i="30"/>
  <c r="Q260" i="30"/>
  <c r="N260" i="30"/>
  <c r="M260" i="30"/>
  <c r="L260" i="30"/>
  <c r="K260" i="30"/>
  <c r="J260" i="30"/>
  <c r="Q259" i="30"/>
  <c r="N259" i="30"/>
  <c r="M259" i="30"/>
  <c r="L259" i="30"/>
  <c r="K259" i="30"/>
  <c r="J259" i="30"/>
  <c r="Q258" i="30"/>
  <c r="N258" i="30"/>
  <c r="M258" i="30"/>
  <c r="L258" i="30"/>
  <c r="K258" i="30"/>
  <c r="J258" i="30"/>
  <c r="Q257" i="30"/>
  <c r="N257" i="30"/>
  <c r="M257" i="30"/>
  <c r="L257" i="30"/>
  <c r="K257" i="30"/>
  <c r="J257" i="30"/>
  <c r="Q256" i="30"/>
  <c r="N256" i="30"/>
  <c r="M256" i="30"/>
  <c r="L256" i="30"/>
  <c r="K256" i="30"/>
  <c r="J256" i="30"/>
  <c r="Q255" i="30"/>
  <c r="N255" i="30"/>
  <c r="M255" i="30"/>
  <c r="L255" i="30"/>
  <c r="K255" i="30"/>
  <c r="J255" i="30"/>
  <c r="Q254" i="30"/>
  <c r="N254" i="30"/>
  <c r="M254" i="30"/>
  <c r="L254" i="30"/>
  <c r="K254" i="30"/>
  <c r="J254" i="30"/>
  <c r="Q253" i="30"/>
  <c r="N253" i="30"/>
  <c r="M253" i="30"/>
  <c r="L253" i="30"/>
  <c r="K253" i="30"/>
  <c r="J253" i="30"/>
  <c r="Q252" i="30"/>
  <c r="N252" i="30"/>
  <c r="M252" i="30"/>
  <c r="L252" i="30"/>
  <c r="K252" i="30"/>
  <c r="J252" i="30"/>
  <c r="Q251" i="30"/>
  <c r="N251" i="30"/>
  <c r="M251" i="30"/>
  <c r="L251" i="30"/>
  <c r="K251" i="30"/>
  <c r="J251" i="30"/>
  <c r="Q250" i="30"/>
  <c r="N250" i="30"/>
  <c r="M250" i="30"/>
  <c r="L250" i="30"/>
  <c r="K250" i="30"/>
  <c r="J250" i="30"/>
  <c r="Q249" i="30"/>
  <c r="N249" i="30"/>
  <c r="M249" i="30"/>
  <c r="L249" i="30"/>
  <c r="K249" i="30"/>
  <c r="J249" i="30"/>
  <c r="Q248" i="30"/>
  <c r="K248" i="30"/>
  <c r="J248" i="30"/>
  <c r="Q247" i="30"/>
  <c r="K247" i="30"/>
  <c r="J247" i="30"/>
  <c r="Q246" i="30"/>
  <c r="K246" i="30"/>
  <c r="J246" i="30"/>
  <c r="Q245" i="30"/>
  <c r="K245" i="30"/>
  <c r="J245" i="30"/>
  <c r="Q244" i="30"/>
  <c r="K244" i="30"/>
  <c r="J244" i="30"/>
  <c r="Q243" i="30"/>
  <c r="K243" i="30"/>
  <c r="J243" i="30"/>
  <c r="Q242" i="30"/>
  <c r="K242" i="30"/>
  <c r="J242" i="30"/>
  <c r="Q241" i="30"/>
  <c r="K241" i="30"/>
  <c r="J241" i="30"/>
  <c r="Q240" i="30"/>
  <c r="K240" i="30"/>
  <c r="J240" i="30"/>
  <c r="Q239" i="30"/>
  <c r="K239" i="30"/>
  <c r="J239" i="30"/>
  <c r="Q238" i="30"/>
  <c r="K238" i="30"/>
  <c r="J238" i="30"/>
  <c r="Q237" i="30"/>
  <c r="K237" i="30"/>
  <c r="J237" i="30"/>
  <c r="Q236" i="30"/>
  <c r="K236" i="30"/>
  <c r="J236" i="30"/>
  <c r="Q235" i="30"/>
  <c r="K235" i="30"/>
  <c r="J235" i="30"/>
  <c r="Q234" i="30"/>
  <c r="K234" i="30"/>
  <c r="J234" i="30"/>
  <c r="Q233" i="30"/>
  <c r="K233" i="30"/>
  <c r="J233" i="30"/>
  <c r="Q232" i="30"/>
  <c r="K232" i="30"/>
  <c r="J232" i="30"/>
  <c r="Q231" i="30"/>
  <c r="K231" i="30"/>
  <c r="J231" i="30"/>
  <c r="Q230" i="30"/>
  <c r="K230" i="30"/>
  <c r="J230" i="30"/>
  <c r="Q229" i="30"/>
  <c r="K229" i="30"/>
  <c r="J229" i="30"/>
  <c r="Q228" i="30"/>
  <c r="K228" i="30"/>
  <c r="J228" i="30"/>
  <c r="Q227" i="30"/>
  <c r="K227" i="30"/>
  <c r="J227" i="30"/>
  <c r="Q226" i="30"/>
  <c r="K226" i="30"/>
  <c r="J226" i="30"/>
  <c r="Q225" i="30"/>
  <c r="K225" i="30"/>
  <c r="J225" i="30"/>
  <c r="Q224" i="30"/>
  <c r="K224" i="30"/>
  <c r="J224" i="30"/>
  <c r="Q223" i="30"/>
  <c r="K223" i="30"/>
  <c r="J223" i="30"/>
  <c r="Q222" i="30"/>
  <c r="K222" i="30"/>
  <c r="J222" i="30"/>
  <c r="Q221" i="30"/>
  <c r="K221" i="30"/>
  <c r="J221" i="30"/>
  <c r="Q220" i="30"/>
  <c r="K220" i="30"/>
  <c r="J220" i="30"/>
  <c r="Q219" i="30"/>
  <c r="K219" i="30"/>
  <c r="J219" i="30"/>
  <c r="Q218" i="30"/>
  <c r="K218" i="30"/>
  <c r="J218" i="30"/>
  <c r="Q217" i="30"/>
  <c r="K217" i="30"/>
  <c r="J217" i="30"/>
  <c r="Q216" i="30"/>
  <c r="K216" i="30"/>
  <c r="J216" i="30"/>
  <c r="Q215" i="30"/>
  <c r="K215" i="30"/>
  <c r="J215" i="30"/>
  <c r="Q214" i="30"/>
  <c r="K214" i="30"/>
  <c r="J214" i="30"/>
  <c r="Q213" i="30"/>
  <c r="K213" i="30"/>
  <c r="J213" i="30"/>
  <c r="Q212" i="30"/>
  <c r="K212" i="30"/>
  <c r="J212" i="30"/>
  <c r="Q211" i="30"/>
  <c r="K211" i="30"/>
  <c r="J211" i="30"/>
  <c r="Q210" i="30"/>
  <c r="N210" i="30"/>
  <c r="M210" i="30"/>
  <c r="L210" i="30"/>
  <c r="K210" i="30"/>
  <c r="J210" i="30"/>
  <c r="Q209" i="30"/>
  <c r="N209" i="30"/>
  <c r="M209" i="30"/>
  <c r="L209" i="30"/>
  <c r="K209" i="30"/>
  <c r="J209" i="30"/>
  <c r="Q208" i="30"/>
  <c r="N208" i="30"/>
  <c r="M208" i="30"/>
  <c r="L208" i="30"/>
  <c r="K208" i="30"/>
  <c r="J208" i="30"/>
  <c r="Q207" i="30"/>
  <c r="K207" i="30"/>
  <c r="J207" i="30"/>
  <c r="Q206" i="30"/>
  <c r="K206" i="30"/>
  <c r="J206" i="30"/>
  <c r="Q205" i="30"/>
  <c r="K205" i="30"/>
  <c r="J205" i="30"/>
  <c r="Q204" i="30"/>
  <c r="K204" i="30"/>
  <c r="J204" i="30"/>
  <c r="Q203" i="30"/>
  <c r="K203" i="30"/>
  <c r="J203" i="30"/>
  <c r="Q202" i="30"/>
  <c r="K202" i="30"/>
  <c r="J202" i="30"/>
  <c r="Q201" i="30"/>
  <c r="K201" i="30"/>
  <c r="J201" i="30"/>
  <c r="Q200" i="30"/>
  <c r="K200" i="30"/>
  <c r="J200" i="30"/>
  <c r="Q199" i="30"/>
  <c r="K199" i="30"/>
  <c r="J199" i="30"/>
  <c r="Q198" i="30"/>
  <c r="K198" i="30"/>
  <c r="J198" i="30"/>
  <c r="Q197" i="30"/>
  <c r="K197" i="30"/>
  <c r="J197" i="30"/>
  <c r="Q196" i="30"/>
  <c r="K196" i="30"/>
  <c r="J196" i="30"/>
  <c r="Q195" i="30"/>
  <c r="K195" i="30"/>
  <c r="J195" i="30"/>
  <c r="Q194" i="30"/>
  <c r="K194" i="30"/>
  <c r="J194" i="30"/>
  <c r="Q193" i="30"/>
  <c r="K193" i="30"/>
  <c r="J193" i="30"/>
  <c r="Q192" i="30"/>
  <c r="K192" i="30"/>
  <c r="J192" i="30"/>
  <c r="Q191" i="30"/>
  <c r="K191" i="30"/>
  <c r="J191" i="30"/>
  <c r="Q190" i="30"/>
  <c r="K190" i="30"/>
  <c r="J190" i="30"/>
  <c r="Q189" i="30"/>
  <c r="K189" i="30"/>
  <c r="J189" i="30"/>
  <c r="Q188" i="30"/>
  <c r="K188" i="30"/>
  <c r="J188" i="30"/>
  <c r="Q187" i="30"/>
  <c r="K187" i="30"/>
  <c r="J187" i="30"/>
  <c r="Q186" i="30"/>
  <c r="K186" i="30"/>
  <c r="J186" i="30"/>
  <c r="Q185" i="30"/>
  <c r="K185" i="30"/>
  <c r="J185" i="30"/>
  <c r="Q184" i="30"/>
  <c r="K184" i="30"/>
  <c r="J184" i="30"/>
  <c r="Q183" i="30"/>
  <c r="K183" i="30"/>
  <c r="J183" i="30"/>
  <c r="Q182" i="30"/>
  <c r="K182" i="30"/>
  <c r="J182" i="30"/>
  <c r="Q181" i="30"/>
  <c r="N181" i="30"/>
  <c r="M181" i="30"/>
  <c r="L181" i="30"/>
  <c r="K181" i="30"/>
  <c r="J181" i="30"/>
  <c r="Q180" i="30"/>
  <c r="K180" i="30"/>
  <c r="J180" i="30"/>
  <c r="Q179" i="30"/>
  <c r="K179" i="30"/>
  <c r="J179" i="30"/>
  <c r="Q178" i="30"/>
  <c r="K178" i="30"/>
  <c r="J178" i="30"/>
  <c r="Q177" i="30"/>
  <c r="N177" i="30"/>
  <c r="M177" i="30"/>
  <c r="L177" i="30"/>
  <c r="K177" i="30"/>
  <c r="J177" i="30"/>
  <c r="Q176" i="30"/>
  <c r="N176" i="30"/>
  <c r="M176" i="30"/>
  <c r="L176" i="30"/>
  <c r="K176" i="30"/>
  <c r="J176" i="30"/>
  <c r="Q175" i="30"/>
  <c r="K175" i="30"/>
  <c r="J175" i="30"/>
  <c r="Q174" i="30"/>
  <c r="K174" i="30"/>
  <c r="J174" i="30"/>
  <c r="Q173" i="30"/>
  <c r="N173" i="30"/>
  <c r="M173" i="30"/>
  <c r="L173" i="30"/>
  <c r="K173" i="30"/>
  <c r="J173" i="30"/>
  <c r="Q172" i="30"/>
  <c r="K172" i="30"/>
  <c r="J172" i="30"/>
  <c r="Q171" i="30"/>
  <c r="K171" i="30"/>
  <c r="J171" i="30"/>
  <c r="Q170" i="30"/>
  <c r="K170" i="30"/>
  <c r="J170" i="30"/>
  <c r="Q169" i="30"/>
  <c r="K169" i="30"/>
  <c r="J169" i="30"/>
  <c r="Q168" i="30"/>
  <c r="K168" i="30"/>
  <c r="J168" i="30"/>
  <c r="J12" i="30"/>
  <c r="K12" i="30"/>
  <c r="Q12" i="30"/>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L4" i="29"/>
  <c r="L14" i="30"/>
  <c r="L23" i="30"/>
  <c r="L24" i="30"/>
  <c r="L25" i="30"/>
  <c r="L26" i="30"/>
  <c r="L27" i="30"/>
  <c r="L29" i="30"/>
  <c r="L31" i="30"/>
  <c r="L32" i="30"/>
  <c r="L33" i="30"/>
  <c r="L34" i="30"/>
  <c r="L35" i="30"/>
  <c r="L45" i="30"/>
  <c r="L46" i="30"/>
  <c r="L49" i="30"/>
  <c r="L55" i="30"/>
  <c r="L56" i="30"/>
  <c r="L57" i="30"/>
  <c r="L59" i="30"/>
  <c r="L60" i="30"/>
  <c r="L61" i="30"/>
  <c r="L63" i="30"/>
  <c r="L64" i="30"/>
  <c r="L65" i="30"/>
  <c r="L66" i="30"/>
  <c r="L98" i="30"/>
  <c r="L101" i="30"/>
  <c r="L102" i="30"/>
  <c r="L103" i="30"/>
  <c r="L109" i="30"/>
  <c r="L110" i="30"/>
  <c r="L158" i="30"/>
  <c r="L159" i="30"/>
  <c r="L160" i="30"/>
  <c r="H21" i="39"/>
  <c r="H20" i="39"/>
  <c r="H18" i="39"/>
  <c r="H17" i="39"/>
  <c r="H16" i="39"/>
  <c r="H15" i="39"/>
  <c r="H14" i="39"/>
  <c r="H13" i="39"/>
  <c r="H12" i="39"/>
  <c r="H11" i="39"/>
  <c r="H10" i="39"/>
  <c r="H9" i="39"/>
  <c r="H8" i="39"/>
  <c r="H7" i="39"/>
  <c r="H6" i="39"/>
  <c r="H4" i="39"/>
  <c r="H3" i="39"/>
  <c r="C5" i="35"/>
  <c r="D5" i="35"/>
  <c r="E5" i="35"/>
  <c r="F5" i="35"/>
  <c r="G5" i="35"/>
  <c r="H5" i="35"/>
  <c r="I5" i="35"/>
  <c r="J5" i="35"/>
  <c r="K5" i="35"/>
  <c r="L5" i="35"/>
  <c r="M5" i="35"/>
  <c r="N5" i="35"/>
  <c r="O5" i="35"/>
  <c r="P5" i="35"/>
  <c r="K4" i="30"/>
  <c r="J8" i="32"/>
  <c r="J11" i="32"/>
  <c r="J12" i="32"/>
  <c r="J14" i="32"/>
  <c r="J15" i="32"/>
  <c r="J16" i="32"/>
  <c r="J17" i="32"/>
  <c r="J18" i="32"/>
  <c r="J19" i="32"/>
  <c r="J20" i="32"/>
  <c r="J21" i="32"/>
  <c r="J22" i="32"/>
  <c r="J23" i="32"/>
  <c r="BA14" i="20"/>
  <c r="AZ14" i="20"/>
  <c r="AY14" i="20"/>
  <c r="AX14" i="20"/>
  <c r="AW14" i="20"/>
  <c r="AV14" i="20"/>
  <c r="AU14" i="20"/>
  <c r="AT14" i="20"/>
  <c r="AS14" i="20"/>
  <c r="AR14" i="20"/>
  <c r="AQ14" i="20"/>
  <c r="AP14" i="20"/>
  <c r="AO14" i="20"/>
  <c r="AN14" i="20"/>
  <c r="AM14" i="20"/>
  <c r="AL14" i="20"/>
  <c r="AK14" i="20"/>
  <c r="AJ14" i="20"/>
  <c r="AI14" i="20"/>
  <c r="AH14" i="20"/>
  <c r="AG14" i="20"/>
  <c r="H2" i="10"/>
  <c r="G2" i="10"/>
  <c r="H2" i="9"/>
  <c r="H7" i="9" s="1"/>
  <c r="G2" i="9"/>
  <c r="G10" i="9" s="1"/>
  <c r="G12" i="9"/>
  <c r="F2" i="10"/>
  <c r="F2" i="9"/>
  <c r="BR66" i="3"/>
  <c r="K67" i="3" s="1"/>
  <c r="BR45" i="3"/>
  <c r="BR35" i="3"/>
  <c r="BR126" i="3"/>
  <c r="K127" i="3" s="1"/>
  <c r="G61" i="37"/>
  <c r="G62" i="37"/>
  <c r="H62" i="37"/>
  <c r="G63" i="37"/>
  <c r="H63" i="37"/>
  <c r="G64" i="37"/>
  <c r="H64" i="37"/>
  <c r="G65" i="37"/>
  <c r="H65" i="37"/>
  <c r="G66" i="37"/>
  <c r="H66" i="37"/>
  <c r="G67" i="37"/>
  <c r="H67" i="37"/>
  <c r="G68" i="37"/>
  <c r="H68" i="37"/>
  <c r="G69" i="37"/>
  <c r="H69" i="37"/>
  <c r="G70" i="37"/>
  <c r="H70" i="37"/>
  <c r="G71" i="37"/>
  <c r="H71" i="37"/>
  <c r="G72" i="37"/>
  <c r="H72" i="37"/>
  <c r="G73" i="37"/>
  <c r="H73" i="37"/>
  <c r="G74" i="37"/>
  <c r="H74" i="37"/>
  <c r="G75" i="37"/>
  <c r="H75" i="37"/>
  <c r="G76" i="37"/>
  <c r="H76" i="37"/>
  <c r="G77" i="37"/>
  <c r="H77" i="37"/>
  <c r="G78" i="37"/>
  <c r="H78" i="37"/>
  <c r="G79" i="37"/>
  <c r="H79" i="37"/>
  <c r="G80" i="37"/>
  <c r="H80" i="37"/>
  <c r="G81" i="37"/>
  <c r="H81" i="37"/>
  <c r="G82" i="37"/>
  <c r="H82" i="37"/>
  <c r="G83" i="37"/>
  <c r="H83" i="37"/>
  <c r="L42" i="29"/>
  <c r="K42" i="29"/>
  <c r="K43" i="29"/>
  <c r="L43" i="29"/>
  <c r="L41" i="29"/>
  <c r="L44" i="29"/>
  <c r="L45" i="29"/>
  <c r="L46" i="29"/>
  <c r="L47" i="29"/>
  <c r="L48" i="29"/>
  <c r="L49" i="29"/>
  <c r="L50" i="29"/>
  <c r="L51" i="29"/>
  <c r="L52" i="29"/>
  <c r="L53" i="29"/>
  <c r="L54" i="29"/>
  <c r="L55" i="29"/>
  <c r="L56" i="29"/>
  <c r="L57" i="29"/>
  <c r="L58" i="29"/>
  <c r="L59" i="29"/>
  <c r="L60" i="29"/>
  <c r="L61" i="29"/>
  <c r="L62" i="29"/>
  <c r="L63" i="29"/>
  <c r="L64" i="29"/>
  <c r="X5" i="6"/>
  <c r="X4" i="6"/>
  <c r="Q20" i="37"/>
  <c r="G4" i="37"/>
  <c r="G23" i="37"/>
  <c r="S12" i="37" s="1"/>
  <c r="G5" i="33"/>
  <c r="G6" i="33"/>
  <c r="G7" i="33"/>
  <c r="G8" i="33"/>
  <c r="G9" i="33"/>
  <c r="G10" i="33"/>
  <c r="G11" i="33"/>
  <c r="G12" i="33"/>
  <c r="G13" i="33"/>
  <c r="G14" i="33"/>
  <c r="G15" i="33"/>
  <c r="G16" i="33"/>
  <c r="G17" i="33"/>
  <c r="K3" i="30"/>
  <c r="K5" i="30"/>
  <c r="K6" i="30"/>
  <c r="K7" i="30"/>
  <c r="K8" i="30"/>
  <c r="K9" i="30"/>
  <c r="K10" i="30"/>
  <c r="K11" i="30"/>
  <c r="G5" i="37"/>
  <c r="G6" i="37"/>
  <c r="G7" i="37"/>
  <c r="S7" i="37" s="1"/>
  <c r="G17" i="37"/>
  <c r="G18" i="37"/>
  <c r="G19" i="37"/>
  <c r="G20" i="37"/>
  <c r="H20" i="37"/>
  <c r="G21" i="37"/>
  <c r="G22" i="37"/>
  <c r="G24" i="37"/>
  <c r="G25" i="37"/>
  <c r="G35" i="37"/>
  <c r="S16" i="37" s="1"/>
  <c r="G36" i="37"/>
  <c r="G37" i="37"/>
  <c r="G38" i="37"/>
  <c r="G39" i="37"/>
  <c r="H39" i="37"/>
  <c r="G40" i="37"/>
  <c r="G41" i="37"/>
  <c r="G42" i="37"/>
  <c r="G43" i="37"/>
  <c r="G44" i="37"/>
  <c r="G56" i="37"/>
  <c r="G57" i="37"/>
  <c r="G58" i="37"/>
  <c r="H58" i="37"/>
  <c r="G59" i="37"/>
  <c r="G60" i="37"/>
  <c r="K41" i="29"/>
  <c r="S27" i="37"/>
  <c r="S21" i="37"/>
  <c r="S14" i="37"/>
  <c r="S13" i="37"/>
  <c r="T24" i="37"/>
  <c r="T25" i="37"/>
  <c r="T26" i="37"/>
  <c r="S10" i="37"/>
  <c r="S11" i="37"/>
  <c r="S15" i="37"/>
  <c r="S24" i="37"/>
  <c r="S25" i="37"/>
  <c r="S26" i="37"/>
  <c r="U27" i="37"/>
  <c r="Q27" i="37"/>
  <c r="R27" i="37" s="1"/>
  <c r="U26" i="37"/>
  <c r="Q26" i="37"/>
  <c r="R26" i="37" s="1"/>
  <c r="U5" i="37"/>
  <c r="U6" i="37"/>
  <c r="U7" i="37"/>
  <c r="U8" i="37"/>
  <c r="U9" i="37"/>
  <c r="U10" i="37"/>
  <c r="U11" i="37"/>
  <c r="U12" i="37"/>
  <c r="U13" i="37"/>
  <c r="U14" i="37"/>
  <c r="U15" i="37"/>
  <c r="U16" i="37"/>
  <c r="U17" i="37"/>
  <c r="U18" i="37"/>
  <c r="U19" i="37"/>
  <c r="U20" i="37"/>
  <c r="U21" i="37"/>
  <c r="U22" i="37"/>
  <c r="U23" i="37"/>
  <c r="U24" i="37"/>
  <c r="U25" i="37"/>
  <c r="U4" i="37"/>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Q5" i="37"/>
  <c r="H5" i="37" s="1"/>
  <c r="Q6" i="37"/>
  <c r="Q7" i="37"/>
  <c r="H45" i="37" s="1"/>
  <c r="I45" i="37" s="1"/>
  <c r="Q8" i="37"/>
  <c r="H46" i="37" s="1"/>
  <c r="I46" i="37" s="1"/>
  <c r="Q9" i="37"/>
  <c r="H47" i="37" s="1"/>
  <c r="I47" i="37" s="1"/>
  <c r="Q10" i="37"/>
  <c r="H48" i="37" s="1"/>
  <c r="I48" i="37" s="1"/>
  <c r="Q11" i="37"/>
  <c r="Q12" i="37"/>
  <c r="H50" i="37" s="1"/>
  <c r="I50" i="37" s="1"/>
  <c r="Q13" i="37"/>
  <c r="H51" i="37" s="1"/>
  <c r="I51" i="37" s="1"/>
  <c r="Q14" i="37"/>
  <c r="H52" i="37" s="1"/>
  <c r="I52" i="37" s="1"/>
  <c r="Q15" i="37"/>
  <c r="H53" i="37" s="1"/>
  <c r="I53" i="37" s="1"/>
  <c r="Q16" i="37"/>
  <c r="Q17" i="37"/>
  <c r="R17" i="37" s="1"/>
  <c r="Q18" i="37"/>
  <c r="Q19" i="37"/>
  <c r="Q21" i="37"/>
  <c r="R21" i="37" s="1"/>
  <c r="Q22" i="37"/>
  <c r="H22" i="37" s="1"/>
  <c r="Q23" i="37"/>
  <c r="H21" i="37" s="1"/>
  <c r="Q24" i="37"/>
  <c r="R24" i="37" s="1"/>
  <c r="Q25" i="37"/>
  <c r="R25" i="37" s="1"/>
  <c r="Q4" i="37"/>
  <c r="H42" i="37" s="1"/>
  <c r="U12" i="29"/>
  <c r="V12" i="29" s="1"/>
  <c r="U17" i="29"/>
  <c r="U18" i="29"/>
  <c r="U21" i="29"/>
  <c r="U22" i="29"/>
  <c r="U23" i="29"/>
  <c r="U24" i="29"/>
  <c r="U25" i="29"/>
  <c r="U26" i="29"/>
  <c r="U27" i="29"/>
  <c r="I64" i="29"/>
  <c r="G64" i="29"/>
  <c r="I63" i="29"/>
  <c r="G63" i="29"/>
  <c r="I62" i="29"/>
  <c r="G62" i="29"/>
  <c r="I61" i="29"/>
  <c r="G61" i="29"/>
  <c r="I60" i="29"/>
  <c r="G60" i="29"/>
  <c r="I59" i="29"/>
  <c r="G59" i="29"/>
  <c r="I58" i="29"/>
  <c r="G58" i="29"/>
  <c r="I57" i="29"/>
  <c r="G57" i="29"/>
  <c r="I56" i="29"/>
  <c r="G56" i="29"/>
  <c r="I55" i="29"/>
  <c r="G55" i="29"/>
  <c r="I54" i="29"/>
  <c r="G54" i="29"/>
  <c r="I53" i="29"/>
  <c r="G53" i="29"/>
  <c r="I52" i="29"/>
  <c r="G52" i="29"/>
  <c r="I51" i="29"/>
  <c r="G51" i="29"/>
  <c r="I50" i="29"/>
  <c r="G50" i="29"/>
  <c r="I49" i="29"/>
  <c r="G49" i="29"/>
  <c r="I48" i="29"/>
  <c r="G48" i="29"/>
  <c r="I47" i="29"/>
  <c r="G47" i="29"/>
  <c r="I46" i="29"/>
  <c r="G46" i="29"/>
  <c r="I45" i="29"/>
  <c r="G45" i="29"/>
  <c r="I44" i="29"/>
  <c r="G44" i="29"/>
  <c r="I43" i="29"/>
  <c r="G43" i="29"/>
  <c r="I32" i="29"/>
  <c r="I33" i="29"/>
  <c r="I34" i="29"/>
  <c r="I35" i="29"/>
  <c r="I36" i="29"/>
  <c r="I37" i="29"/>
  <c r="I38" i="29"/>
  <c r="I39" i="29"/>
  <c r="G32" i="29"/>
  <c r="G33" i="29"/>
  <c r="G34" i="29"/>
  <c r="G35" i="29"/>
  <c r="G36" i="29"/>
  <c r="G37" i="29"/>
  <c r="G38" i="29"/>
  <c r="G39" i="29"/>
  <c r="K64" i="29"/>
  <c r="K63" i="29"/>
  <c r="K62" i="29"/>
  <c r="K61" i="29"/>
  <c r="K60" i="29"/>
  <c r="K59" i="29"/>
  <c r="K58" i="29"/>
  <c r="K57" i="29"/>
  <c r="K56" i="29"/>
  <c r="K55" i="29"/>
  <c r="K54" i="29"/>
  <c r="K53" i="29"/>
  <c r="U19" i="29"/>
  <c r="K52" i="29"/>
  <c r="K51" i="29"/>
  <c r="K50" i="29"/>
  <c r="K49" i="29"/>
  <c r="K48" i="29"/>
  <c r="K47" i="29"/>
  <c r="M47" i="29" s="1"/>
  <c r="K46" i="29"/>
  <c r="K45" i="29"/>
  <c r="K44" i="29"/>
  <c r="U9" i="29"/>
  <c r="V9" i="29" s="1"/>
  <c r="U16" i="29"/>
  <c r="D12" i="34"/>
  <c r="D11" i="34"/>
  <c r="D10" i="34"/>
  <c r="D9" i="34"/>
  <c r="D8" i="34"/>
  <c r="D7" i="34"/>
  <c r="D6" i="34"/>
  <c r="D5" i="34"/>
  <c r="D17" i="33"/>
  <c r="D16" i="33"/>
  <c r="D15" i="33"/>
  <c r="D14" i="33"/>
  <c r="D13" i="33"/>
  <c r="D12" i="33"/>
  <c r="D11" i="33"/>
  <c r="D10" i="33"/>
  <c r="D9" i="33"/>
  <c r="D8" i="33"/>
  <c r="D7" i="33"/>
  <c r="D6" i="33"/>
  <c r="D5" i="33"/>
  <c r="D23" i="32"/>
  <c r="D22" i="32"/>
  <c r="D21" i="32"/>
  <c r="D20" i="32"/>
  <c r="D19" i="32"/>
  <c r="D18" i="32"/>
  <c r="D17" i="32"/>
  <c r="D16" i="32"/>
  <c r="D15" i="32"/>
  <c r="D14" i="32"/>
  <c r="G12" i="34"/>
  <c r="G11" i="34"/>
  <c r="G10" i="34"/>
  <c r="G9" i="34"/>
  <c r="G8" i="34"/>
  <c r="G7" i="34"/>
  <c r="G6" i="34"/>
  <c r="G5" i="34"/>
  <c r="C23" i="32"/>
  <c r="C22" i="32"/>
  <c r="C21" i="32"/>
  <c r="C20" i="32"/>
  <c r="C19" i="32"/>
  <c r="C18" i="32"/>
  <c r="C17" i="32"/>
  <c r="C16" i="32"/>
  <c r="C15" i="32"/>
  <c r="C14" i="32"/>
  <c r="S8" i="37"/>
  <c r="S9" i="37"/>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E44" i="10"/>
  <c r="E43" i="10"/>
  <c r="E42" i="10"/>
  <c r="E41" i="10"/>
  <c r="E40" i="10"/>
  <c r="E39" i="10"/>
  <c r="E38" i="10"/>
  <c r="E37" i="10"/>
  <c r="E36" i="10"/>
  <c r="E35" i="10"/>
  <c r="Z2" i="9"/>
  <c r="Z15" i="9" s="1"/>
  <c r="I2" i="9"/>
  <c r="J2" i="9"/>
  <c r="K2" i="9"/>
  <c r="L2" i="9"/>
  <c r="M2" i="9"/>
  <c r="N2" i="9"/>
  <c r="O2" i="9"/>
  <c r="P2" i="9"/>
  <c r="Q2" i="9"/>
  <c r="Q10" i="9" s="1"/>
  <c r="R2" i="9"/>
  <c r="S2" i="9"/>
  <c r="T2" i="9"/>
  <c r="AW2" i="3" s="1"/>
  <c r="U2" i="9"/>
  <c r="U10" i="9" s="1"/>
  <c r="V2" i="9"/>
  <c r="BC2" i="3" s="1"/>
  <c r="W2" i="9"/>
  <c r="BF2" i="3" s="1"/>
  <c r="X2" i="9"/>
  <c r="BI2" i="3" s="1"/>
  <c r="A37" i="14" s="1"/>
  <c r="Y2" i="9"/>
  <c r="E47" i="9"/>
  <c r="E48" i="9"/>
  <c r="E49" i="9"/>
  <c r="E50" i="9"/>
  <c r="E51" i="9"/>
  <c r="E52" i="9"/>
  <c r="E53" i="9"/>
  <c r="E54" i="9"/>
  <c r="E55" i="9"/>
  <c r="E56" i="9"/>
  <c r="E67" i="9"/>
  <c r="E68" i="9"/>
  <c r="E69" i="9"/>
  <c r="E70" i="9"/>
  <c r="E71" i="9"/>
  <c r="E72" i="9"/>
  <c r="E73" i="9"/>
  <c r="E74" i="9"/>
  <c r="E75" i="9"/>
  <c r="E76" i="9"/>
  <c r="E16" i="9"/>
  <c r="E18" i="9"/>
  <c r="E19" i="9"/>
  <c r="E20" i="9"/>
  <c r="E21" i="9"/>
  <c r="E22" i="9"/>
  <c r="E23" i="9"/>
  <c r="E24" i="9"/>
  <c r="E25" i="9"/>
  <c r="E26" i="9"/>
  <c r="E27" i="9"/>
  <c r="E28" i="9"/>
  <c r="E29" i="9"/>
  <c r="E30" i="9"/>
  <c r="E31" i="9"/>
  <c r="E32" i="9"/>
  <c r="E33" i="9"/>
  <c r="E34" i="9"/>
  <c r="E35" i="9"/>
  <c r="G2" i="36"/>
  <c r="E25" i="10"/>
  <c r="E26" i="10"/>
  <c r="E27" i="10"/>
  <c r="E28" i="10"/>
  <c r="E29" i="10"/>
  <c r="E30" i="10"/>
  <c r="E31" i="10"/>
  <c r="E32" i="10"/>
  <c r="E33" i="10"/>
  <c r="E34" i="10"/>
  <c r="E45" i="10"/>
  <c r="E46" i="10"/>
  <c r="E47" i="10"/>
  <c r="E48" i="10"/>
  <c r="E49" i="10"/>
  <c r="E50" i="10"/>
  <c r="E51" i="10"/>
  <c r="E52" i="10"/>
  <c r="E53" i="10"/>
  <c r="E54" i="10"/>
  <c r="D103" i="28"/>
  <c r="F103" i="28" s="1"/>
  <c r="D98" i="28"/>
  <c r="F98" i="28" s="1"/>
  <c r="D93" i="28"/>
  <c r="E93" i="28" s="1"/>
  <c r="D88" i="28"/>
  <c r="F88" i="28" s="1"/>
  <c r="D83" i="28"/>
  <c r="F83" i="28" s="1"/>
  <c r="D78" i="28"/>
  <c r="F78" i="28" s="1"/>
  <c r="D73" i="28"/>
  <c r="F73" i="28" s="1"/>
  <c r="D68" i="28"/>
  <c r="F68" i="28" s="1"/>
  <c r="D63" i="28"/>
  <c r="E63" i="28" s="1"/>
  <c r="D58" i="28"/>
  <c r="F58" i="28" s="1"/>
  <c r="H107" i="28"/>
  <c r="H106" i="28"/>
  <c r="J106" i="28" s="1"/>
  <c r="H105" i="28"/>
  <c r="J105" i="28"/>
  <c r="H104" i="28"/>
  <c r="J104" i="28" s="1"/>
  <c r="H102" i="28"/>
  <c r="H101" i="28"/>
  <c r="J101" i="28" s="1"/>
  <c r="H100" i="28"/>
  <c r="J100" i="28" s="1"/>
  <c r="H99" i="28"/>
  <c r="J99" i="28"/>
  <c r="H97" i="28"/>
  <c r="H96" i="28"/>
  <c r="J96" i="28" s="1"/>
  <c r="H95" i="28"/>
  <c r="J95" i="28" s="1"/>
  <c r="H94" i="28"/>
  <c r="J94" i="28"/>
  <c r="H92" i="28"/>
  <c r="H91" i="28"/>
  <c r="J91" i="28"/>
  <c r="H90" i="28"/>
  <c r="J90" i="28"/>
  <c r="H89" i="28"/>
  <c r="J89" i="28" s="1"/>
  <c r="H87" i="28"/>
  <c r="H86" i="28"/>
  <c r="J86" i="28" s="1"/>
  <c r="H85" i="28"/>
  <c r="J85" i="28" s="1"/>
  <c r="H84" i="28"/>
  <c r="J84" i="28" s="1"/>
  <c r="H82" i="28"/>
  <c r="H81" i="28"/>
  <c r="J81" i="28"/>
  <c r="H80" i="28"/>
  <c r="J80" i="28" s="1"/>
  <c r="H79" i="28"/>
  <c r="J79" i="28" s="1"/>
  <c r="H77" i="28"/>
  <c r="H76" i="28"/>
  <c r="J76" i="28"/>
  <c r="H75" i="28"/>
  <c r="J75" i="28" s="1"/>
  <c r="H74" i="28"/>
  <c r="J74" i="28" s="1"/>
  <c r="H72" i="28"/>
  <c r="H71" i="28"/>
  <c r="J71" i="28"/>
  <c r="H70" i="28"/>
  <c r="J70" i="28" s="1"/>
  <c r="H69" i="28"/>
  <c r="J69" i="28"/>
  <c r="H67" i="28"/>
  <c r="H66" i="28"/>
  <c r="J66" i="28" s="1"/>
  <c r="H65" i="28"/>
  <c r="J65" i="28" s="1"/>
  <c r="H64" i="28"/>
  <c r="J64" i="28"/>
  <c r="H62" i="28"/>
  <c r="H61" i="28"/>
  <c r="J61" i="28" s="1"/>
  <c r="H60" i="28"/>
  <c r="J60" i="28" s="1"/>
  <c r="H59" i="28"/>
  <c r="J59" i="28" s="1"/>
  <c r="H57" i="28"/>
  <c r="H56" i="28"/>
  <c r="J56" i="28" s="1"/>
  <c r="H55" i="28"/>
  <c r="J55" i="28" s="1"/>
  <c r="H54" i="28"/>
  <c r="J54" i="28" s="1"/>
  <c r="H52" i="28"/>
  <c r="H51" i="28"/>
  <c r="J51" i="28" s="1"/>
  <c r="H50" i="28"/>
  <c r="J50" i="28" s="1"/>
  <c r="H49" i="28"/>
  <c r="J49" i="28" s="1"/>
  <c r="H47" i="28"/>
  <c r="H46" i="28"/>
  <c r="J46" i="28" s="1"/>
  <c r="H45" i="28"/>
  <c r="J45" i="28" s="1"/>
  <c r="H44" i="28"/>
  <c r="J44" i="28" s="1"/>
  <c r="H42" i="28"/>
  <c r="H41" i="28"/>
  <c r="J41" i="28" s="1"/>
  <c r="H40" i="28"/>
  <c r="J40" i="28" s="1"/>
  <c r="H39" i="28"/>
  <c r="J39" i="28"/>
  <c r="H37" i="28"/>
  <c r="H36" i="28"/>
  <c r="J36" i="28" s="1"/>
  <c r="H35" i="28"/>
  <c r="J35" i="28" s="1"/>
  <c r="H34" i="28"/>
  <c r="J34" i="28" s="1"/>
  <c r="H32" i="28"/>
  <c r="H31" i="28"/>
  <c r="J31" i="28" s="1"/>
  <c r="H30" i="28"/>
  <c r="J30" i="28" s="1"/>
  <c r="H29" i="28"/>
  <c r="J29" i="28" s="1"/>
  <c r="H6" i="28"/>
  <c r="J6" i="28" s="1"/>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E172" i="9"/>
  <c r="E173" i="9"/>
  <c r="E174" i="9"/>
  <c r="E175" i="9"/>
  <c r="E176" i="9"/>
  <c r="H11" i="11" s="1"/>
  <c r="E177" i="9"/>
  <c r="I11" i="11" s="1"/>
  <c r="E178" i="9"/>
  <c r="E179" i="9"/>
  <c r="E180" i="9"/>
  <c r="L11" i="11" s="1"/>
  <c r="E181" i="9"/>
  <c r="E182" i="9"/>
  <c r="E183" i="9"/>
  <c r="E184" i="9"/>
  <c r="F11" i="11" s="1"/>
  <c r="E185" i="9"/>
  <c r="E186" i="9"/>
  <c r="E187" i="9"/>
  <c r="E188" i="9"/>
  <c r="E189" i="9"/>
  <c r="E190" i="9"/>
  <c r="E191" i="9"/>
  <c r="G3" i="36"/>
  <c r="G4" i="36"/>
  <c r="H5" i="39"/>
  <c r="E77" i="10"/>
  <c r="I2" i="10"/>
  <c r="J2" i="10"/>
  <c r="K2" i="10"/>
  <c r="L2" i="10"/>
  <c r="M2" i="10"/>
  <c r="N2" i="10"/>
  <c r="O2" i="10"/>
  <c r="P2" i="10"/>
  <c r="Q2" i="10"/>
  <c r="Q8" i="10" s="1"/>
  <c r="R2" i="10"/>
  <c r="S2" i="10"/>
  <c r="S9" i="10" s="1"/>
  <c r="T2" i="10"/>
  <c r="U2" i="10"/>
  <c r="U10" i="10" s="1"/>
  <c r="V2" i="10"/>
  <c r="V9" i="10" s="1"/>
  <c r="W2" i="10"/>
  <c r="W5" i="10" s="1"/>
  <c r="X2" i="10"/>
  <c r="X7" i="10" s="1"/>
  <c r="Y2" i="10"/>
  <c r="Z2" i="10"/>
  <c r="Z7" i="10" s="1"/>
  <c r="E78" i="10"/>
  <c r="E79" i="10"/>
  <c r="E80" i="10"/>
  <c r="E81" i="10"/>
  <c r="E82" i="10"/>
  <c r="E83" i="10"/>
  <c r="E84" i="10"/>
  <c r="E85" i="10"/>
  <c r="E96" i="10"/>
  <c r="E97" i="10"/>
  <c r="E98" i="10"/>
  <c r="E99" i="10"/>
  <c r="E100" i="10"/>
  <c r="E101" i="10"/>
  <c r="E102" i="10"/>
  <c r="E103" i="10"/>
  <c r="E104" i="10"/>
  <c r="E105" i="10"/>
  <c r="E76" i="10"/>
  <c r="E110" i="9"/>
  <c r="E111" i="9"/>
  <c r="E112" i="9"/>
  <c r="E113" i="9"/>
  <c r="E114" i="9"/>
  <c r="E115" i="9"/>
  <c r="E116" i="9"/>
  <c r="E117" i="9"/>
  <c r="E118" i="9"/>
  <c r="E119" i="9"/>
  <c r="E140" i="9"/>
  <c r="E141" i="9"/>
  <c r="E142" i="9"/>
  <c r="E143" i="9"/>
  <c r="E144" i="9"/>
  <c r="E145" i="9"/>
  <c r="E146" i="9"/>
  <c r="E147" i="9"/>
  <c r="E148" i="9"/>
  <c r="E149" i="9"/>
  <c r="E130" i="9"/>
  <c r="E131" i="9"/>
  <c r="E132" i="9"/>
  <c r="E133" i="9"/>
  <c r="E134" i="9"/>
  <c r="E135" i="9"/>
  <c r="E136" i="9"/>
  <c r="E137" i="9"/>
  <c r="E138" i="9"/>
  <c r="E139" i="9"/>
  <c r="E86" i="10"/>
  <c r="E87" i="10"/>
  <c r="E88" i="10"/>
  <c r="E89" i="10"/>
  <c r="E90" i="10"/>
  <c r="E91" i="10"/>
  <c r="E92" i="10"/>
  <c r="E93" i="10"/>
  <c r="E94" i="10"/>
  <c r="E95" i="10"/>
  <c r="K48" i="30"/>
  <c r="M49" i="30"/>
  <c r="N49" i="30"/>
  <c r="K49" i="30"/>
  <c r="M50" i="30"/>
  <c r="N50" i="30"/>
  <c r="K50" i="30"/>
  <c r="K51" i="30"/>
  <c r="M13" i="30"/>
  <c r="N13" i="30"/>
  <c r="K13" i="30"/>
  <c r="M14" i="30"/>
  <c r="N14" i="30"/>
  <c r="K14" i="30"/>
  <c r="N15" i="30"/>
  <c r="K15" i="30"/>
  <c r="N16" i="30"/>
  <c r="K16" i="30"/>
  <c r="M17" i="30"/>
  <c r="N17" i="30"/>
  <c r="K17" i="30"/>
  <c r="M18" i="30"/>
  <c r="N18" i="30"/>
  <c r="K18" i="30"/>
  <c r="M19" i="30"/>
  <c r="N19" i="30"/>
  <c r="K19" i="30"/>
  <c r="M20" i="30"/>
  <c r="N20" i="30"/>
  <c r="K20" i="30"/>
  <c r="M21" i="30"/>
  <c r="N21" i="30"/>
  <c r="K21" i="30"/>
  <c r="M22" i="30"/>
  <c r="N22" i="30"/>
  <c r="K22" i="30"/>
  <c r="M23" i="30"/>
  <c r="N23" i="30"/>
  <c r="K23" i="30"/>
  <c r="M24" i="30"/>
  <c r="N24" i="30"/>
  <c r="K24" i="30"/>
  <c r="M25" i="30"/>
  <c r="N25" i="30"/>
  <c r="K25" i="30"/>
  <c r="M26" i="30"/>
  <c r="N26" i="30"/>
  <c r="K26" i="30"/>
  <c r="M27" i="30"/>
  <c r="N27" i="30"/>
  <c r="K27" i="30"/>
  <c r="M28" i="30"/>
  <c r="N28" i="30"/>
  <c r="K28" i="30"/>
  <c r="M29" i="30"/>
  <c r="N29" i="30"/>
  <c r="K29" i="30"/>
  <c r="M30" i="30"/>
  <c r="N30" i="30"/>
  <c r="K30" i="30"/>
  <c r="M31" i="30"/>
  <c r="N31" i="30"/>
  <c r="K31" i="30"/>
  <c r="M32" i="30"/>
  <c r="N32" i="30"/>
  <c r="K32" i="30"/>
  <c r="M33" i="30"/>
  <c r="N33" i="30"/>
  <c r="K33" i="30"/>
  <c r="M34" i="30"/>
  <c r="N34" i="30"/>
  <c r="K34" i="30"/>
  <c r="M35" i="30"/>
  <c r="N35" i="30"/>
  <c r="K35" i="30"/>
  <c r="K36" i="30"/>
  <c r="K37" i="30"/>
  <c r="K38" i="30"/>
  <c r="M39" i="30"/>
  <c r="N39" i="30"/>
  <c r="K39" i="30"/>
  <c r="K40" i="30"/>
  <c r="K41" i="30"/>
  <c r="K42" i="30"/>
  <c r="K43" i="30"/>
  <c r="K44" i="30"/>
  <c r="M45" i="30"/>
  <c r="N45" i="30"/>
  <c r="K45" i="30"/>
  <c r="M46" i="30"/>
  <c r="N46" i="30"/>
  <c r="K46" i="30"/>
  <c r="M47" i="30"/>
  <c r="N47" i="30"/>
  <c r="K47" i="30"/>
  <c r="K52" i="30"/>
  <c r="K53" i="30"/>
  <c r="N54" i="30"/>
  <c r="K54" i="30"/>
  <c r="M55" i="30"/>
  <c r="N55" i="30"/>
  <c r="K55" i="30"/>
  <c r="M56" i="30"/>
  <c r="N56" i="30"/>
  <c r="K56" i="30"/>
  <c r="M57" i="30"/>
  <c r="N57" i="30"/>
  <c r="K57" i="30"/>
  <c r="M58" i="30"/>
  <c r="N58" i="30"/>
  <c r="K58" i="30"/>
  <c r="M59" i="30"/>
  <c r="N59" i="30"/>
  <c r="K59" i="30"/>
  <c r="M60" i="30"/>
  <c r="N60" i="30"/>
  <c r="K60" i="30"/>
  <c r="M61" i="30"/>
  <c r="N61" i="30"/>
  <c r="K61" i="30"/>
  <c r="M62" i="30"/>
  <c r="N62" i="30"/>
  <c r="K62" i="30"/>
  <c r="M63" i="30"/>
  <c r="N63" i="30"/>
  <c r="K63" i="30"/>
  <c r="M64" i="30"/>
  <c r="N64" i="30"/>
  <c r="K64" i="30"/>
  <c r="M65" i="30"/>
  <c r="N65" i="30"/>
  <c r="K65" i="30"/>
  <c r="M66" i="30"/>
  <c r="N66" i="30"/>
  <c r="K66" i="30"/>
  <c r="M67" i="30"/>
  <c r="N67" i="30"/>
  <c r="K67" i="30"/>
  <c r="M68" i="30"/>
  <c r="N68" i="30"/>
  <c r="K68" i="30"/>
  <c r="M69" i="30"/>
  <c r="N69" i="30"/>
  <c r="K69" i="30"/>
  <c r="M70" i="30"/>
  <c r="N70" i="30"/>
  <c r="K70" i="30"/>
  <c r="M71" i="30"/>
  <c r="N71" i="30"/>
  <c r="K71" i="30"/>
  <c r="M72" i="30"/>
  <c r="N72" i="30"/>
  <c r="K72" i="30"/>
  <c r="M73" i="30"/>
  <c r="N73" i="30"/>
  <c r="K73" i="30"/>
  <c r="M74" i="30"/>
  <c r="N74" i="30"/>
  <c r="K74" i="30"/>
  <c r="M75" i="30"/>
  <c r="N75" i="30"/>
  <c r="K75" i="30"/>
  <c r="M76" i="30"/>
  <c r="N76" i="30"/>
  <c r="K76" i="30"/>
  <c r="M77" i="30"/>
  <c r="N77" i="30"/>
  <c r="K77" i="30"/>
  <c r="M78" i="30"/>
  <c r="N78" i="30"/>
  <c r="K78" i="30"/>
  <c r="M79" i="30"/>
  <c r="N79" i="30"/>
  <c r="K79" i="30"/>
  <c r="M80" i="30"/>
  <c r="N80" i="30"/>
  <c r="K80" i="30"/>
  <c r="M81" i="30"/>
  <c r="N81" i="30"/>
  <c r="K81" i="30"/>
  <c r="M82" i="30"/>
  <c r="N82" i="30"/>
  <c r="K82" i="30"/>
  <c r="M83" i="30"/>
  <c r="N83" i="30"/>
  <c r="K83" i="30"/>
  <c r="M84" i="30"/>
  <c r="N84" i="30"/>
  <c r="K84" i="30"/>
  <c r="K85" i="30"/>
  <c r="K86" i="30"/>
  <c r="K87" i="30"/>
  <c r="K88" i="30"/>
  <c r="K89" i="30"/>
  <c r="K90" i="30"/>
  <c r="K91" i="30"/>
  <c r="K92" i="30"/>
  <c r="K93" i="30"/>
  <c r="K94" i="30"/>
  <c r="K95" i="30"/>
  <c r="K96" i="30"/>
  <c r="K97" i="30"/>
  <c r="M98" i="30"/>
  <c r="N98" i="30"/>
  <c r="K98" i="30"/>
  <c r="K99" i="30"/>
  <c r="K100" i="30"/>
  <c r="M101" i="30"/>
  <c r="N101" i="30"/>
  <c r="K101" i="30"/>
  <c r="M102" i="30"/>
  <c r="N102" i="30"/>
  <c r="K102" i="30"/>
  <c r="M103" i="30"/>
  <c r="N103" i="30"/>
  <c r="K103" i="30"/>
  <c r="M104" i="30"/>
  <c r="N104" i="30"/>
  <c r="K104" i="30"/>
  <c r="M105" i="30"/>
  <c r="N105" i="30"/>
  <c r="K105" i="30"/>
  <c r="M106" i="30"/>
  <c r="N106" i="30"/>
  <c r="K106" i="30"/>
  <c r="M107" i="30"/>
  <c r="N107" i="30"/>
  <c r="K107" i="30"/>
  <c r="M108" i="30"/>
  <c r="N108" i="30"/>
  <c r="K108" i="30"/>
  <c r="M109" i="30"/>
  <c r="N109" i="30"/>
  <c r="K109" i="30"/>
  <c r="M110" i="30"/>
  <c r="N110"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M158" i="30"/>
  <c r="N158" i="30"/>
  <c r="K158" i="30"/>
  <c r="M159" i="30"/>
  <c r="N159" i="30"/>
  <c r="K159" i="30"/>
  <c r="M160" i="30"/>
  <c r="N160" i="30"/>
  <c r="K160" i="30"/>
  <c r="K161" i="30"/>
  <c r="K162" i="30"/>
  <c r="K163" i="30"/>
  <c r="K164" i="30"/>
  <c r="K165" i="30"/>
  <c r="K166" i="30"/>
  <c r="K167" i="30"/>
  <c r="E2" i="36"/>
  <c r="I14" i="32"/>
  <c r="I15" i="32"/>
  <c r="I16" i="32"/>
  <c r="I17" i="32"/>
  <c r="I18" i="32"/>
  <c r="I19" i="32"/>
  <c r="I20" i="32"/>
  <c r="I21" i="32"/>
  <c r="I22" i="32"/>
  <c r="I23" i="32"/>
  <c r="A6" i="35"/>
  <c r="A7" i="35"/>
  <c r="A8" i="35"/>
  <c r="A9" i="35"/>
  <c r="A10" i="35"/>
  <c r="A11" i="35"/>
  <c r="A12" i="35"/>
  <c r="A13" i="35"/>
  <c r="A14" i="35"/>
  <c r="A15" i="35"/>
  <c r="A16" i="35"/>
  <c r="A17" i="35"/>
  <c r="A18" i="35"/>
  <c r="A19" i="35"/>
  <c r="A20" i="35"/>
  <c r="A21" i="35"/>
  <c r="E18" i="32" s="1"/>
  <c r="A22" i="35"/>
  <c r="A23" i="35"/>
  <c r="A24" i="35"/>
  <c r="E21" i="32" s="1"/>
  <c r="A25" i="35"/>
  <c r="A26" i="35"/>
  <c r="F21" i="36"/>
  <c r="F20" i="36"/>
  <c r="F19" i="36"/>
  <c r="F18" i="36"/>
  <c r="F17" i="36"/>
  <c r="F16" i="36"/>
  <c r="F15" i="36"/>
  <c r="F14" i="36"/>
  <c r="F13" i="36"/>
  <c r="F12" i="36"/>
  <c r="F11" i="36"/>
  <c r="F10" i="36"/>
  <c r="F9" i="36"/>
  <c r="F8" i="36"/>
  <c r="F7" i="36"/>
  <c r="F6" i="36"/>
  <c r="F5" i="36"/>
  <c r="F4" i="36"/>
  <c r="F3" i="36"/>
  <c r="F2" i="36"/>
  <c r="I3" i="32" s="1"/>
  <c r="J3" i="30"/>
  <c r="J4" i="30"/>
  <c r="J5" i="30"/>
  <c r="J6" i="30"/>
  <c r="J7" i="30"/>
  <c r="J8" i="30"/>
  <c r="J9" i="30"/>
  <c r="J10" i="30"/>
  <c r="J11"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Q4" i="30"/>
  <c r="Q5" i="30"/>
  <c r="Q6" i="30"/>
  <c r="Q7" i="30"/>
  <c r="Q8" i="30"/>
  <c r="Q9" i="30"/>
  <c r="Q10" i="30"/>
  <c r="Q11"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3" i="30"/>
  <c r="D8" i="1"/>
  <c r="AB79" i="3" s="1"/>
  <c r="AB82" i="3"/>
  <c r="AB84" i="3"/>
  <c r="AB126" i="3"/>
  <c r="AB127" i="3"/>
  <c r="AB128" i="3"/>
  <c r="AB129" i="3"/>
  <c r="AB130" i="3"/>
  <c r="AB131" i="3"/>
  <c r="AB132" i="3"/>
  <c r="AB133" i="3"/>
  <c r="AB134" i="3"/>
  <c r="AB135" i="3"/>
  <c r="Y79" i="3"/>
  <c r="Y84" i="3"/>
  <c r="Y85" i="3"/>
  <c r="Y126" i="3"/>
  <c r="Y127" i="3"/>
  <c r="Y128" i="3"/>
  <c r="Y129" i="3"/>
  <c r="Y130" i="3"/>
  <c r="Y131" i="3"/>
  <c r="Y132" i="3"/>
  <c r="Y133" i="3"/>
  <c r="Y134" i="3"/>
  <c r="Y135" i="3"/>
  <c r="V77" i="3"/>
  <c r="V81" i="3"/>
  <c r="V83" i="3"/>
  <c r="V126" i="3"/>
  <c r="V127" i="3"/>
  <c r="V128" i="3"/>
  <c r="V129" i="3"/>
  <c r="V130" i="3"/>
  <c r="V131" i="3"/>
  <c r="V132" i="3"/>
  <c r="V133" i="3"/>
  <c r="V134" i="3"/>
  <c r="V135" i="3"/>
  <c r="S76" i="3"/>
  <c r="S78" i="3"/>
  <c r="S85" i="3"/>
  <c r="S126" i="3"/>
  <c r="S127" i="3"/>
  <c r="S128" i="3"/>
  <c r="S129" i="3"/>
  <c r="S130" i="3"/>
  <c r="S131" i="3"/>
  <c r="S132" i="3"/>
  <c r="S133" i="3"/>
  <c r="S134" i="3"/>
  <c r="S135" i="3"/>
  <c r="P82" i="3"/>
  <c r="P83" i="3"/>
  <c r="P85" i="3"/>
  <c r="P126" i="3"/>
  <c r="P127" i="3"/>
  <c r="P128" i="3"/>
  <c r="P129" i="3"/>
  <c r="P130" i="3"/>
  <c r="P131" i="3"/>
  <c r="P132" i="3"/>
  <c r="P133" i="3"/>
  <c r="P134" i="3"/>
  <c r="P135" i="3"/>
  <c r="M77" i="3"/>
  <c r="M81" i="3"/>
  <c r="M126" i="3"/>
  <c r="M127" i="3"/>
  <c r="M128" i="3"/>
  <c r="M129" i="3"/>
  <c r="M130" i="3"/>
  <c r="M131" i="3"/>
  <c r="M132" i="3"/>
  <c r="M133" i="3"/>
  <c r="M134" i="3"/>
  <c r="M135" i="3"/>
  <c r="J78" i="3"/>
  <c r="J126" i="3"/>
  <c r="J127" i="3"/>
  <c r="J128" i="3"/>
  <c r="J129" i="3"/>
  <c r="J130" i="3"/>
  <c r="J131" i="3"/>
  <c r="J132" i="3"/>
  <c r="J133" i="3"/>
  <c r="J134" i="3"/>
  <c r="J135" i="3"/>
  <c r="AC116" i="3"/>
  <c r="AC117" i="3"/>
  <c r="AC118" i="3"/>
  <c r="AC119" i="3"/>
  <c r="AC120" i="3"/>
  <c r="AC121" i="3"/>
  <c r="AC122" i="3"/>
  <c r="AC123" i="3"/>
  <c r="AC124" i="3"/>
  <c r="AC125" i="3"/>
  <c r="AB116" i="3"/>
  <c r="AB117" i="3"/>
  <c r="AB118" i="3"/>
  <c r="AB119" i="3"/>
  <c r="AB120" i="3"/>
  <c r="AB121" i="3"/>
  <c r="AB122" i="3"/>
  <c r="AB123" i="3"/>
  <c r="AB124" i="3"/>
  <c r="AB125" i="3"/>
  <c r="Z116" i="3"/>
  <c r="Y116" i="3"/>
  <c r="Z117" i="3"/>
  <c r="AA117" i="3" s="1"/>
  <c r="Y117" i="3"/>
  <c r="Z118" i="3"/>
  <c r="Y118" i="3"/>
  <c r="Z119" i="3"/>
  <c r="Y119" i="3"/>
  <c r="Z120" i="3"/>
  <c r="Y120" i="3"/>
  <c r="Z121" i="3"/>
  <c r="Y121" i="3"/>
  <c r="Z122" i="3"/>
  <c r="Y122" i="3"/>
  <c r="AA122" i="3" s="1"/>
  <c r="Z123" i="3"/>
  <c r="Y123" i="3"/>
  <c r="Z124" i="3"/>
  <c r="Y124" i="3"/>
  <c r="Z125" i="3"/>
  <c r="Y125" i="3"/>
  <c r="W116" i="3"/>
  <c r="V116" i="3"/>
  <c r="X116" i="3"/>
  <c r="W117" i="3"/>
  <c r="V117" i="3"/>
  <c r="W118" i="3"/>
  <c r="V118" i="3"/>
  <c r="W119" i="3"/>
  <c r="V119" i="3"/>
  <c r="X119" i="3" s="1"/>
  <c r="W120" i="3"/>
  <c r="V120" i="3"/>
  <c r="W121" i="3"/>
  <c r="X121" i="3" s="1"/>
  <c r="V121" i="3"/>
  <c r="W122" i="3"/>
  <c r="X122" i="3" s="1"/>
  <c r="V122" i="3"/>
  <c r="W123" i="3"/>
  <c r="V123" i="3"/>
  <c r="W124" i="3"/>
  <c r="V124" i="3"/>
  <c r="W125" i="3"/>
  <c r="X125" i="3" s="1"/>
  <c r="V125" i="3"/>
  <c r="T116" i="3"/>
  <c r="U116" i="3" s="1"/>
  <c r="S116" i="3"/>
  <c r="T117" i="3"/>
  <c r="U117" i="3" s="1"/>
  <c r="S117" i="3"/>
  <c r="T118" i="3"/>
  <c r="U118" i="3" s="1"/>
  <c r="S118" i="3"/>
  <c r="T119" i="3"/>
  <c r="S119" i="3"/>
  <c r="T120" i="3"/>
  <c r="S120" i="3"/>
  <c r="T121" i="3"/>
  <c r="U121" i="3" s="1"/>
  <c r="S121" i="3"/>
  <c r="T122" i="3"/>
  <c r="S122" i="3"/>
  <c r="T123" i="3"/>
  <c r="U123" i="3" s="1"/>
  <c r="S123" i="3"/>
  <c r="T124" i="3"/>
  <c r="U124" i="3" s="1"/>
  <c r="S124" i="3"/>
  <c r="T125" i="3"/>
  <c r="S125" i="3"/>
  <c r="Q116" i="3"/>
  <c r="P116" i="3"/>
  <c r="Q117" i="3"/>
  <c r="R117" i="3" s="1"/>
  <c r="P117" i="3"/>
  <c r="Q118" i="3"/>
  <c r="R118" i="3" s="1"/>
  <c r="P118" i="3"/>
  <c r="Q119" i="3"/>
  <c r="P119" i="3"/>
  <c r="Q120" i="3"/>
  <c r="P120" i="3"/>
  <c r="R120" i="3" s="1"/>
  <c r="Q121" i="3"/>
  <c r="P121" i="3"/>
  <c r="Q122" i="3"/>
  <c r="R122" i="3" s="1"/>
  <c r="P122" i="3"/>
  <c r="Q123" i="3"/>
  <c r="P123" i="3"/>
  <c r="Q124" i="3"/>
  <c r="R124" i="3" s="1"/>
  <c r="P124" i="3"/>
  <c r="Q125" i="3"/>
  <c r="P125" i="3"/>
  <c r="N116" i="3"/>
  <c r="M116" i="3"/>
  <c r="N117" i="3"/>
  <c r="M117" i="3"/>
  <c r="N118" i="3"/>
  <c r="O118" i="3" s="1"/>
  <c r="M118" i="3"/>
  <c r="N119" i="3"/>
  <c r="M119" i="3"/>
  <c r="N120" i="3"/>
  <c r="M120" i="3"/>
  <c r="O120" i="3" s="1"/>
  <c r="N121" i="3"/>
  <c r="M121" i="3"/>
  <c r="N122" i="3"/>
  <c r="M122" i="3"/>
  <c r="N123" i="3"/>
  <c r="M123" i="3"/>
  <c r="N124" i="3"/>
  <c r="O124" i="3" s="1"/>
  <c r="M124" i="3"/>
  <c r="N125" i="3"/>
  <c r="M125" i="3"/>
  <c r="O125" i="3" s="1"/>
  <c r="K116" i="3"/>
  <c r="J116" i="3"/>
  <c r="K117" i="3"/>
  <c r="J117" i="3"/>
  <c r="K118" i="3"/>
  <c r="J118" i="3"/>
  <c r="K119" i="3"/>
  <c r="J119" i="3"/>
  <c r="K120" i="3"/>
  <c r="L120" i="3" s="1"/>
  <c r="J120" i="3"/>
  <c r="K121" i="3"/>
  <c r="L121" i="3" s="1"/>
  <c r="J121" i="3"/>
  <c r="K122" i="3"/>
  <c r="J122" i="3"/>
  <c r="L122" i="3"/>
  <c r="K123" i="3"/>
  <c r="L123" i="3" s="1"/>
  <c r="J123" i="3"/>
  <c r="K124" i="3"/>
  <c r="J124" i="3"/>
  <c r="K125" i="3"/>
  <c r="J125" i="3"/>
  <c r="H116" i="3"/>
  <c r="G116" i="3"/>
  <c r="H117" i="3"/>
  <c r="G117" i="3"/>
  <c r="H118" i="3"/>
  <c r="G118" i="3"/>
  <c r="H119" i="3"/>
  <c r="G119" i="3"/>
  <c r="H120" i="3"/>
  <c r="G120" i="3"/>
  <c r="H121" i="3"/>
  <c r="G121" i="3"/>
  <c r="H122" i="3"/>
  <c r="G122" i="3"/>
  <c r="H123" i="3"/>
  <c r="G123" i="3"/>
  <c r="H124" i="3"/>
  <c r="G124" i="3"/>
  <c r="H125" i="3"/>
  <c r="G125" i="3"/>
  <c r="Z171" i="9"/>
  <c r="Y14" i="20" s="1"/>
  <c r="Y171" i="9"/>
  <c r="X14" i="20" s="1"/>
  <c r="X171" i="9"/>
  <c r="W14" i="20" s="1"/>
  <c r="W171" i="9"/>
  <c r="V14" i="20" s="1"/>
  <c r="V171" i="9"/>
  <c r="U14" i="20" s="1"/>
  <c r="U171" i="9"/>
  <c r="T14" i="20"/>
  <c r="T171" i="9"/>
  <c r="S14" i="20" s="1"/>
  <c r="S171" i="9"/>
  <c r="R14" i="20"/>
  <c r="R171" i="9"/>
  <c r="Q14" i="20" s="1"/>
  <c r="Q171" i="9"/>
  <c r="P14" i="20" s="1"/>
  <c r="P171" i="9"/>
  <c r="O14" i="20" s="1"/>
  <c r="O171" i="9"/>
  <c r="N14" i="20" s="1"/>
  <c r="N171" i="9"/>
  <c r="M14" i="20" s="1"/>
  <c r="M171" i="9"/>
  <c r="L14" i="20" s="1"/>
  <c r="L171" i="9"/>
  <c r="K14" i="20" s="1"/>
  <c r="K171" i="9"/>
  <c r="J14" i="20"/>
  <c r="J171" i="9"/>
  <c r="I14" i="20" s="1"/>
  <c r="I171" i="9"/>
  <c r="H14" i="20" s="1"/>
  <c r="H171" i="9"/>
  <c r="G14" i="20" s="1"/>
  <c r="G171" i="9"/>
  <c r="F14" i="20" s="1"/>
  <c r="F171" i="9"/>
  <c r="E14" i="20" s="1"/>
  <c r="AC106" i="3"/>
  <c r="AC107" i="3"/>
  <c r="AC108" i="3"/>
  <c r="AC109" i="3"/>
  <c r="AD109" i="3" s="1"/>
  <c r="AC110" i="3"/>
  <c r="AC111" i="3"/>
  <c r="AC112" i="3"/>
  <c r="AC113" i="3"/>
  <c r="AC114" i="3"/>
  <c r="AC115" i="3"/>
  <c r="AB106" i="3"/>
  <c r="AB107" i="3"/>
  <c r="AD107" i="3" s="1"/>
  <c r="AB108" i="3"/>
  <c r="AB109" i="3"/>
  <c r="AB110" i="3"/>
  <c r="AB111" i="3"/>
  <c r="AD111" i="3" s="1"/>
  <c r="AB112" i="3"/>
  <c r="AB113" i="3"/>
  <c r="AB114" i="3"/>
  <c r="AB115" i="3"/>
  <c r="Z106" i="3"/>
  <c r="Y106" i="3"/>
  <c r="Z107" i="3"/>
  <c r="Y107" i="3"/>
  <c r="Z108" i="3"/>
  <c r="Y108" i="3"/>
  <c r="Z109" i="3"/>
  <c r="Y109" i="3"/>
  <c r="AA109" i="3" s="1"/>
  <c r="Z110" i="3"/>
  <c r="AA110" i="3" s="1"/>
  <c r="Y110" i="3"/>
  <c r="Z111" i="3"/>
  <c r="Y111" i="3"/>
  <c r="Z112" i="3"/>
  <c r="Y112" i="3"/>
  <c r="Z113" i="3"/>
  <c r="Y113" i="3"/>
  <c r="AA113" i="3" s="1"/>
  <c r="Z114" i="3"/>
  <c r="Y114" i="3"/>
  <c r="Z115" i="3"/>
  <c r="AA115" i="3" s="1"/>
  <c r="Y115" i="3"/>
  <c r="W106" i="3"/>
  <c r="X106" i="3" s="1"/>
  <c r="V106" i="3"/>
  <c r="W107" i="3"/>
  <c r="V107" i="3"/>
  <c r="W108" i="3"/>
  <c r="V108" i="3"/>
  <c r="W109" i="3"/>
  <c r="V109" i="3"/>
  <c r="W110" i="3"/>
  <c r="V110" i="3"/>
  <c r="W111" i="3"/>
  <c r="V111" i="3"/>
  <c r="W112" i="3"/>
  <c r="V112" i="3"/>
  <c r="W113" i="3"/>
  <c r="V113" i="3"/>
  <c r="W114" i="3"/>
  <c r="V114" i="3"/>
  <c r="W115" i="3"/>
  <c r="X115" i="3" s="1"/>
  <c r="V115" i="3"/>
  <c r="T106" i="3"/>
  <c r="S106" i="3"/>
  <c r="T107" i="3"/>
  <c r="S107" i="3"/>
  <c r="T108" i="3"/>
  <c r="S108" i="3"/>
  <c r="T109" i="3"/>
  <c r="S109" i="3"/>
  <c r="T110" i="3"/>
  <c r="S110" i="3"/>
  <c r="T111" i="3"/>
  <c r="S111" i="3"/>
  <c r="T112" i="3"/>
  <c r="S112" i="3"/>
  <c r="U112" i="3"/>
  <c r="T113" i="3"/>
  <c r="S113" i="3"/>
  <c r="T114" i="3"/>
  <c r="S114" i="3"/>
  <c r="T115" i="3"/>
  <c r="S115" i="3"/>
  <c r="Q106" i="3"/>
  <c r="P106" i="3"/>
  <c r="Q107" i="3"/>
  <c r="P107" i="3"/>
  <c r="Q108" i="3"/>
  <c r="R108" i="3" s="1"/>
  <c r="P108" i="3"/>
  <c r="Q109" i="3"/>
  <c r="P109" i="3"/>
  <c r="Q110" i="3"/>
  <c r="P110" i="3"/>
  <c r="L4" i="20" s="1"/>
  <c r="Q111" i="3"/>
  <c r="P111" i="3"/>
  <c r="Q112" i="3"/>
  <c r="R112" i="3" s="1"/>
  <c r="P112" i="3"/>
  <c r="Q113" i="3"/>
  <c r="P113" i="3"/>
  <c r="Q114" i="3"/>
  <c r="P114" i="3"/>
  <c r="Q115" i="3"/>
  <c r="P115" i="3"/>
  <c r="N106" i="3"/>
  <c r="M106" i="3"/>
  <c r="N107" i="3"/>
  <c r="M107" i="3"/>
  <c r="N108" i="3"/>
  <c r="O108" i="3" s="1"/>
  <c r="M108" i="3"/>
  <c r="N109" i="3"/>
  <c r="M109" i="3"/>
  <c r="N110" i="3"/>
  <c r="M110" i="3"/>
  <c r="N111" i="3"/>
  <c r="M111" i="3"/>
  <c r="N112" i="3"/>
  <c r="M112" i="3"/>
  <c r="N113" i="3"/>
  <c r="M113" i="3"/>
  <c r="N114" i="3"/>
  <c r="M114" i="3"/>
  <c r="O114" i="3"/>
  <c r="N115" i="3"/>
  <c r="O115" i="3" s="1"/>
  <c r="M115" i="3"/>
  <c r="K106" i="3"/>
  <c r="AI4" i="20" s="1"/>
  <c r="J106" i="3"/>
  <c r="K107" i="3"/>
  <c r="J107" i="3"/>
  <c r="K108" i="3"/>
  <c r="J108" i="3"/>
  <c r="K109" i="3"/>
  <c r="J109" i="3"/>
  <c r="K110" i="3"/>
  <c r="J110" i="3"/>
  <c r="K111" i="3"/>
  <c r="J111" i="3"/>
  <c r="K112" i="3"/>
  <c r="J112" i="3"/>
  <c r="K113" i="3"/>
  <c r="J113" i="3"/>
  <c r="K114" i="3"/>
  <c r="L114" i="3" s="1"/>
  <c r="J114" i="3"/>
  <c r="K115" i="3"/>
  <c r="J115" i="3"/>
  <c r="H106" i="3"/>
  <c r="G106" i="3"/>
  <c r="H107" i="3"/>
  <c r="G107" i="3"/>
  <c r="H108" i="3"/>
  <c r="G108" i="3"/>
  <c r="H109" i="3"/>
  <c r="G109" i="3"/>
  <c r="H110" i="3"/>
  <c r="G110" i="3"/>
  <c r="H111" i="3"/>
  <c r="I111" i="3" s="1"/>
  <c r="G111" i="3"/>
  <c r="H112" i="3"/>
  <c r="G112" i="3"/>
  <c r="H113" i="3"/>
  <c r="I113" i="3" s="1"/>
  <c r="G113" i="3"/>
  <c r="H114" i="3"/>
  <c r="G114" i="3"/>
  <c r="H115" i="3"/>
  <c r="G115" i="3"/>
  <c r="D18" i="20"/>
  <c r="Y2" i="20"/>
  <c r="X2" i="20"/>
  <c r="W2" i="20"/>
  <c r="V2" i="20"/>
  <c r="U2" i="20"/>
  <c r="T2" i="20"/>
  <c r="S2" i="20"/>
  <c r="R2" i="20"/>
  <c r="Q2" i="20"/>
  <c r="P2" i="20"/>
  <c r="O2" i="20"/>
  <c r="N2" i="20"/>
  <c r="M2" i="20"/>
  <c r="L2" i="20"/>
  <c r="K2" i="20"/>
  <c r="J2" i="20"/>
  <c r="I2" i="20"/>
  <c r="H2" i="20"/>
  <c r="G2" i="20"/>
  <c r="F2" i="20"/>
  <c r="E2" i="20"/>
  <c r="AG2" i="20"/>
  <c r="BA2" i="20"/>
  <c r="AZ2" i="20"/>
  <c r="AY2" i="20"/>
  <c r="AX2" i="20"/>
  <c r="AW2" i="20"/>
  <c r="AV2" i="20"/>
  <c r="AU2" i="20"/>
  <c r="AT2" i="20"/>
  <c r="AS2" i="20"/>
  <c r="AR2" i="20"/>
  <c r="AQ2" i="20"/>
  <c r="AP2" i="20"/>
  <c r="AO2" i="20"/>
  <c r="AN2" i="20"/>
  <c r="AM2" i="20"/>
  <c r="AL2" i="20"/>
  <c r="AK2" i="20"/>
  <c r="AJ2" i="20"/>
  <c r="AI2" i="20"/>
  <c r="AH2" i="20"/>
  <c r="G135" i="3"/>
  <c r="AE135" i="3"/>
  <c r="AH135" i="3"/>
  <c r="AK135" i="3"/>
  <c r="AN135" i="3"/>
  <c r="AQ135" i="3"/>
  <c r="AT135" i="3"/>
  <c r="AW135" i="3"/>
  <c r="AZ135" i="3"/>
  <c r="BC135" i="3"/>
  <c r="BF135" i="3"/>
  <c r="BI135" i="3"/>
  <c r="BL135" i="3"/>
  <c r="BO135" i="3"/>
  <c r="G134" i="3"/>
  <c r="AE134" i="3"/>
  <c r="AH134" i="3"/>
  <c r="AK134" i="3"/>
  <c r="AN134" i="3"/>
  <c r="AQ134" i="3"/>
  <c r="AT134" i="3"/>
  <c r="AW134" i="3"/>
  <c r="AZ134" i="3"/>
  <c r="BC134" i="3"/>
  <c r="BF134" i="3"/>
  <c r="BI134" i="3"/>
  <c r="BL134" i="3"/>
  <c r="BO134" i="3"/>
  <c r="G133" i="3"/>
  <c r="AE133" i="3"/>
  <c r="AH133" i="3"/>
  <c r="AK133" i="3"/>
  <c r="AN133" i="3"/>
  <c r="AQ133" i="3"/>
  <c r="AT133" i="3"/>
  <c r="AW133" i="3"/>
  <c r="AZ133" i="3"/>
  <c r="BC133" i="3"/>
  <c r="BF133" i="3"/>
  <c r="BI133" i="3"/>
  <c r="BL133" i="3"/>
  <c r="BO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G130" i="3"/>
  <c r="AE130" i="3"/>
  <c r="AH130" i="3"/>
  <c r="AK130" i="3"/>
  <c r="AN130" i="3"/>
  <c r="AQ130" i="3"/>
  <c r="AT130" i="3"/>
  <c r="AW130" i="3"/>
  <c r="AZ130" i="3"/>
  <c r="BC130" i="3"/>
  <c r="BF130" i="3"/>
  <c r="BI130" i="3"/>
  <c r="BL130" i="3"/>
  <c r="BO130" i="3"/>
  <c r="G129" i="3"/>
  <c r="AE129" i="3"/>
  <c r="AH129" i="3"/>
  <c r="AK129" i="3"/>
  <c r="AN129" i="3"/>
  <c r="AQ129" i="3"/>
  <c r="AT129" i="3"/>
  <c r="AW129" i="3"/>
  <c r="AZ129" i="3"/>
  <c r="BC129" i="3"/>
  <c r="BF129" i="3"/>
  <c r="BI129" i="3"/>
  <c r="BL129" i="3"/>
  <c r="BO129" i="3"/>
  <c r="G128" i="3"/>
  <c r="AE128" i="3"/>
  <c r="AH128" i="3"/>
  <c r="AK128" i="3"/>
  <c r="AN128" i="3"/>
  <c r="AQ128" i="3"/>
  <c r="AT128" i="3"/>
  <c r="AW128" i="3"/>
  <c r="AZ128" i="3"/>
  <c r="BC128" i="3"/>
  <c r="BF128" i="3"/>
  <c r="BI128" i="3"/>
  <c r="BL128" i="3"/>
  <c r="BO128" i="3"/>
  <c r="G127" i="3"/>
  <c r="AE127" i="3"/>
  <c r="AH127" i="3"/>
  <c r="AK127" i="3"/>
  <c r="AN127" i="3"/>
  <c r="AQ127" i="3"/>
  <c r="AT127" i="3"/>
  <c r="AW127" i="3"/>
  <c r="AZ127" i="3"/>
  <c r="BC127" i="3"/>
  <c r="BF127" i="3"/>
  <c r="BI127" i="3"/>
  <c r="BL127" i="3"/>
  <c r="BO127" i="3"/>
  <c r="G126" i="3"/>
  <c r="AE126" i="3"/>
  <c r="AH126" i="3"/>
  <c r="AK126" i="3"/>
  <c r="AN126" i="3"/>
  <c r="AQ126" i="3"/>
  <c r="AT126" i="3"/>
  <c r="AW126" i="3"/>
  <c r="AZ126" i="3"/>
  <c r="BC126" i="3"/>
  <c r="BF126" i="3"/>
  <c r="BI126" i="3"/>
  <c r="BL126" i="3"/>
  <c r="BO126" i="3"/>
  <c r="AD125" i="3"/>
  <c r="AF125" i="3"/>
  <c r="AE125" i="3"/>
  <c r="AI125" i="3"/>
  <c r="AH125" i="3"/>
  <c r="AL125" i="3"/>
  <c r="AM125" i="3"/>
  <c r="AK125" i="3"/>
  <c r="AO125" i="3"/>
  <c r="AN125" i="3"/>
  <c r="AR125" i="3"/>
  <c r="AQ125" i="3"/>
  <c r="AU125" i="3"/>
  <c r="AT125" i="3"/>
  <c r="AV125" i="3" s="1"/>
  <c r="AX125" i="3"/>
  <c r="AY125" i="3" s="1"/>
  <c r="AW125" i="3"/>
  <c r="BA125" i="3"/>
  <c r="BB125" i="3" s="1"/>
  <c r="AZ125" i="3"/>
  <c r="BD125" i="3"/>
  <c r="BC125" i="3"/>
  <c r="BG125" i="3"/>
  <c r="BH125" i="3"/>
  <c r="BF125" i="3"/>
  <c r="BJ125" i="3"/>
  <c r="BI125" i="3"/>
  <c r="BM125" i="3"/>
  <c r="BN125" i="3"/>
  <c r="BL125" i="3"/>
  <c r="BP125" i="3"/>
  <c r="BO125" i="3"/>
  <c r="AF124" i="3"/>
  <c r="AG124" i="3" s="1"/>
  <c r="AE124" i="3"/>
  <c r="AI124" i="3"/>
  <c r="AH124" i="3"/>
  <c r="AL124" i="3"/>
  <c r="AK124" i="3"/>
  <c r="AO124" i="3"/>
  <c r="AN124" i="3"/>
  <c r="AR124" i="3"/>
  <c r="AQ124" i="3"/>
  <c r="AU124" i="3"/>
  <c r="AT124" i="3"/>
  <c r="AX124" i="3"/>
  <c r="AY124" i="3" s="1"/>
  <c r="AW124" i="3"/>
  <c r="BA124" i="3"/>
  <c r="AZ124" i="3"/>
  <c r="BD124" i="3"/>
  <c r="BE124" i="3" s="1"/>
  <c r="BC124" i="3"/>
  <c r="BG124" i="3"/>
  <c r="BH124" i="3" s="1"/>
  <c r="BF124" i="3"/>
  <c r="BJ124" i="3"/>
  <c r="BI124" i="3"/>
  <c r="BM124" i="3"/>
  <c r="BL124" i="3"/>
  <c r="BN124" i="3" s="1"/>
  <c r="BP124" i="3"/>
  <c r="BQ124" i="3" s="1"/>
  <c r="BO124" i="3"/>
  <c r="AF123" i="3"/>
  <c r="AE123" i="3"/>
  <c r="AI123" i="3"/>
  <c r="AJ123" i="3" s="1"/>
  <c r="AH123" i="3"/>
  <c r="AL123" i="3"/>
  <c r="AK123" i="3"/>
  <c r="AO123" i="3"/>
  <c r="AN123" i="3"/>
  <c r="AR123" i="3"/>
  <c r="AQ123" i="3"/>
  <c r="AU123" i="3"/>
  <c r="AT123" i="3"/>
  <c r="AX123" i="3"/>
  <c r="AW123" i="3"/>
  <c r="BA123" i="3"/>
  <c r="AZ123" i="3"/>
  <c r="BD123" i="3"/>
  <c r="BC123" i="3"/>
  <c r="BG123" i="3"/>
  <c r="BF123" i="3"/>
  <c r="BJ123" i="3"/>
  <c r="BI123" i="3"/>
  <c r="BM123" i="3"/>
  <c r="BL123" i="3"/>
  <c r="BP123" i="3"/>
  <c r="BQ123" i="3" s="1"/>
  <c r="BO123" i="3"/>
  <c r="AF122" i="3"/>
  <c r="AE122" i="3"/>
  <c r="AI122" i="3"/>
  <c r="AH122" i="3"/>
  <c r="AL122" i="3"/>
  <c r="AK122" i="3"/>
  <c r="AO122" i="3"/>
  <c r="AN122" i="3"/>
  <c r="AR122" i="3"/>
  <c r="AS122" i="3" s="1"/>
  <c r="AQ122" i="3"/>
  <c r="AU122" i="3"/>
  <c r="AV122" i="3" s="1"/>
  <c r="AT122" i="3"/>
  <c r="AX122" i="3"/>
  <c r="AW122" i="3"/>
  <c r="BA122" i="3"/>
  <c r="AZ122" i="3"/>
  <c r="BD122" i="3"/>
  <c r="BC122" i="3"/>
  <c r="BG122" i="3"/>
  <c r="BF122" i="3"/>
  <c r="BJ122" i="3"/>
  <c r="BI122" i="3"/>
  <c r="BM122" i="3"/>
  <c r="BL122" i="3"/>
  <c r="BN122" i="3" s="1"/>
  <c r="BP122" i="3"/>
  <c r="BO122" i="3"/>
  <c r="AF121" i="3"/>
  <c r="AE121" i="3"/>
  <c r="AI121" i="3"/>
  <c r="AH121" i="3"/>
  <c r="AL121" i="3"/>
  <c r="AM121" i="3"/>
  <c r="AK121" i="3"/>
  <c r="AO121" i="3"/>
  <c r="AN121" i="3"/>
  <c r="AP121" i="3" s="1"/>
  <c r="AR121" i="3"/>
  <c r="AQ121" i="3"/>
  <c r="AU121" i="3"/>
  <c r="AV121" i="3" s="1"/>
  <c r="AT121" i="3"/>
  <c r="AX121" i="3"/>
  <c r="AW121" i="3"/>
  <c r="BA121" i="3"/>
  <c r="BB121" i="3" s="1"/>
  <c r="AZ121" i="3"/>
  <c r="BD121" i="3"/>
  <c r="BC121" i="3"/>
  <c r="BG121" i="3"/>
  <c r="BF121" i="3"/>
  <c r="BJ121" i="3"/>
  <c r="BI121" i="3"/>
  <c r="BM121" i="3"/>
  <c r="BL121" i="3"/>
  <c r="BP121" i="3"/>
  <c r="BQ121" i="3" s="1"/>
  <c r="BO121" i="3"/>
  <c r="AF120" i="3"/>
  <c r="AG120" i="3" s="1"/>
  <c r="AE120" i="3"/>
  <c r="AI120" i="3"/>
  <c r="AH120" i="3"/>
  <c r="AL120" i="3"/>
  <c r="AK120" i="3"/>
  <c r="AO120" i="3"/>
  <c r="AP120" i="3" s="1"/>
  <c r="AN120" i="3"/>
  <c r="AR120" i="3"/>
  <c r="AS120" i="3" s="1"/>
  <c r="AQ120" i="3"/>
  <c r="AU120" i="3"/>
  <c r="AT120" i="3"/>
  <c r="AV120" i="3" s="1"/>
  <c r="AX120" i="3"/>
  <c r="AW120" i="3"/>
  <c r="BA120" i="3"/>
  <c r="BB120" i="3" s="1"/>
  <c r="AZ120" i="3"/>
  <c r="BD120" i="3"/>
  <c r="BE120" i="3" s="1"/>
  <c r="BC120" i="3"/>
  <c r="BG120" i="3"/>
  <c r="BH120" i="3" s="1"/>
  <c r="BF120" i="3"/>
  <c r="BJ120" i="3"/>
  <c r="BI120" i="3"/>
  <c r="BM120" i="3"/>
  <c r="BL120" i="3"/>
  <c r="BP120" i="3"/>
  <c r="BO120" i="3"/>
  <c r="AF119" i="3"/>
  <c r="AG119" i="3" s="1"/>
  <c r="AE119" i="3"/>
  <c r="AI119" i="3"/>
  <c r="AH119" i="3"/>
  <c r="AL119" i="3"/>
  <c r="AK119" i="3"/>
  <c r="AM119" i="3"/>
  <c r="AO119" i="3"/>
  <c r="AN119" i="3"/>
  <c r="AR119" i="3"/>
  <c r="AS119" i="3"/>
  <c r="AQ119" i="3"/>
  <c r="AU119" i="3"/>
  <c r="AT119" i="3"/>
  <c r="AX119" i="3"/>
  <c r="AW119" i="3"/>
  <c r="BA119" i="3"/>
  <c r="AZ119" i="3"/>
  <c r="BD119" i="3"/>
  <c r="BC119" i="3"/>
  <c r="BG119" i="3"/>
  <c r="BF119" i="3"/>
  <c r="BJ119" i="3"/>
  <c r="BI119" i="3"/>
  <c r="BM119" i="3"/>
  <c r="BN119" i="3" s="1"/>
  <c r="BL119" i="3"/>
  <c r="BP119" i="3"/>
  <c r="BO119" i="3"/>
  <c r="AF118" i="3"/>
  <c r="AG118" i="3" s="1"/>
  <c r="AE118" i="3"/>
  <c r="AI118" i="3"/>
  <c r="AH118" i="3"/>
  <c r="AL118" i="3"/>
  <c r="AM118" i="3" s="1"/>
  <c r="AK118" i="3"/>
  <c r="AO118" i="3"/>
  <c r="AN118" i="3"/>
  <c r="AR118" i="3"/>
  <c r="AQ118" i="3"/>
  <c r="AU118" i="3"/>
  <c r="AT118" i="3"/>
  <c r="AX118" i="3"/>
  <c r="AW118" i="3"/>
  <c r="AY118" i="3"/>
  <c r="BA118" i="3"/>
  <c r="AZ118" i="3"/>
  <c r="BD118" i="3"/>
  <c r="BC118" i="3"/>
  <c r="BG118" i="3"/>
  <c r="BF118" i="3"/>
  <c r="BJ118" i="3"/>
  <c r="BI118" i="3"/>
  <c r="BM118" i="3"/>
  <c r="BL118" i="3"/>
  <c r="BP118" i="3"/>
  <c r="BO118" i="3"/>
  <c r="BQ118" i="3" s="1"/>
  <c r="AD117" i="3"/>
  <c r="AF117" i="3"/>
  <c r="AE117" i="3"/>
  <c r="AG117" i="3"/>
  <c r="AI117" i="3"/>
  <c r="AH117" i="3"/>
  <c r="AL117" i="3"/>
  <c r="AK117" i="3"/>
  <c r="AO117" i="3"/>
  <c r="AN117" i="3"/>
  <c r="AR117" i="3"/>
  <c r="AQ117" i="3"/>
  <c r="AS117" i="3" s="1"/>
  <c r="AU117" i="3"/>
  <c r="AT117" i="3"/>
  <c r="AX117" i="3"/>
  <c r="AW117" i="3"/>
  <c r="BA117" i="3"/>
  <c r="AZ117" i="3"/>
  <c r="BB117" i="3"/>
  <c r="BD117" i="3"/>
  <c r="BC117" i="3"/>
  <c r="BE117" i="3" s="1"/>
  <c r="BG117" i="3"/>
  <c r="BF117" i="3"/>
  <c r="BH117" i="3" s="1"/>
  <c r="BJ117" i="3"/>
  <c r="BI117" i="3"/>
  <c r="BM117" i="3"/>
  <c r="BL117" i="3"/>
  <c r="BN117" i="3" s="1"/>
  <c r="BP117" i="3"/>
  <c r="BO117" i="3"/>
  <c r="BQ117" i="3" s="1"/>
  <c r="AF116" i="3"/>
  <c r="AE116" i="3"/>
  <c r="AG116" i="3" s="1"/>
  <c r="AI116" i="3"/>
  <c r="AJ116" i="3" s="1"/>
  <c r="AH116" i="3"/>
  <c r="AL116" i="3"/>
  <c r="AK116" i="3"/>
  <c r="AM116" i="3" s="1"/>
  <c r="AO116" i="3"/>
  <c r="AN116" i="3"/>
  <c r="AR116" i="3"/>
  <c r="AQ116" i="3"/>
  <c r="AU116" i="3"/>
  <c r="AT116" i="3"/>
  <c r="AX116" i="3"/>
  <c r="AW116" i="3"/>
  <c r="BA116" i="3"/>
  <c r="AZ116" i="3"/>
  <c r="BD116" i="3"/>
  <c r="BC116" i="3"/>
  <c r="BG116" i="3"/>
  <c r="BH116" i="3" s="1"/>
  <c r="BF116" i="3"/>
  <c r="BJ116" i="3"/>
  <c r="BK116" i="3" s="1"/>
  <c r="BI116" i="3"/>
  <c r="BM116" i="3"/>
  <c r="BN116" i="3" s="1"/>
  <c r="BL116" i="3"/>
  <c r="BP116" i="3"/>
  <c r="BO116" i="3"/>
  <c r="AF115" i="3"/>
  <c r="AI115" i="3"/>
  <c r="AL115" i="3"/>
  <c r="AO115" i="3"/>
  <c r="AR115" i="3"/>
  <c r="AS115" i="3" s="1"/>
  <c r="AU115" i="3"/>
  <c r="AX115" i="3"/>
  <c r="BA115" i="3"/>
  <c r="BB115" i="3" s="1"/>
  <c r="BD115" i="3"/>
  <c r="BG115" i="3"/>
  <c r="BJ115" i="3"/>
  <c r="BM115" i="3"/>
  <c r="BP115" i="3"/>
  <c r="BQ115" i="3" s="1"/>
  <c r="AE115" i="3"/>
  <c r="AH115" i="3"/>
  <c r="AK115" i="3"/>
  <c r="AN115" i="3"/>
  <c r="AQ115" i="3"/>
  <c r="AT115" i="3"/>
  <c r="AW115" i="3"/>
  <c r="AZ115" i="3"/>
  <c r="BC115" i="3"/>
  <c r="BF115" i="3"/>
  <c r="BI115" i="3"/>
  <c r="BL115" i="3"/>
  <c r="BO115" i="3"/>
  <c r="AF114" i="3"/>
  <c r="AI114" i="3"/>
  <c r="AL114" i="3"/>
  <c r="AM114" i="3" s="1"/>
  <c r="AO114" i="3"/>
  <c r="AR114" i="3"/>
  <c r="AU114" i="3"/>
  <c r="AX114" i="3"/>
  <c r="AY114" i="3" s="1"/>
  <c r="BA114" i="3"/>
  <c r="BD114" i="3"/>
  <c r="BG114" i="3"/>
  <c r="BJ114" i="3"/>
  <c r="BM114" i="3"/>
  <c r="BP114" i="3"/>
  <c r="BQ114" i="3" s="1"/>
  <c r="AE114" i="3"/>
  <c r="AH114" i="3"/>
  <c r="AK114" i="3"/>
  <c r="AN114" i="3"/>
  <c r="AP114" i="3" s="1"/>
  <c r="AQ114" i="3"/>
  <c r="AT114" i="3"/>
  <c r="AW114" i="3"/>
  <c r="AZ114" i="3"/>
  <c r="BC114" i="3"/>
  <c r="BF114" i="3"/>
  <c r="BI114" i="3"/>
  <c r="BL114" i="3"/>
  <c r="BO114" i="3"/>
  <c r="AF113" i="3"/>
  <c r="AI113" i="3"/>
  <c r="AL113" i="3"/>
  <c r="AO113" i="3"/>
  <c r="AP113" i="3" s="1"/>
  <c r="AR113" i="3"/>
  <c r="AU113" i="3"/>
  <c r="AX113" i="3"/>
  <c r="AY113" i="3" s="1"/>
  <c r="BA113" i="3"/>
  <c r="BD113" i="3"/>
  <c r="BE113" i="3" s="1"/>
  <c r="BG113" i="3"/>
  <c r="BJ113" i="3"/>
  <c r="BM113" i="3"/>
  <c r="BP113" i="3"/>
  <c r="AE113" i="3"/>
  <c r="AH113" i="3"/>
  <c r="AK113" i="3"/>
  <c r="AN113" i="3"/>
  <c r="AQ113" i="3"/>
  <c r="AT113" i="3"/>
  <c r="AW113" i="3"/>
  <c r="AZ113" i="3"/>
  <c r="BC113" i="3"/>
  <c r="BF113" i="3"/>
  <c r="BI113" i="3"/>
  <c r="BL113" i="3"/>
  <c r="BO113" i="3"/>
  <c r="AF112" i="3"/>
  <c r="AI112" i="3"/>
  <c r="AL112" i="3"/>
  <c r="AO112" i="3"/>
  <c r="AR112" i="3"/>
  <c r="AU112" i="3"/>
  <c r="AX112" i="3"/>
  <c r="AY112" i="3" s="1"/>
  <c r="BA112" i="3"/>
  <c r="BD112" i="3"/>
  <c r="BG112" i="3"/>
  <c r="BH112" i="3" s="1"/>
  <c r="BJ112" i="3"/>
  <c r="BM112" i="3"/>
  <c r="BP112" i="3"/>
  <c r="AE112" i="3"/>
  <c r="AH112" i="3"/>
  <c r="AK112" i="3"/>
  <c r="AN112" i="3"/>
  <c r="AP112" i="3" s="1"/>
  <c r="AQ112" i="3"/>
  <c r="AT112" i="3"/>
  <c r="AW112" i="3"/>
  <c r="AZ112" i="3"/>
  <c r="BC112" i="3"/>
  <c r="BF112" i="3"/>
  <c r="BI112" i="3"/>
  <c r="BL112" i="3"/>
  <c r="BO112" i="3"/>
  <c r="AF111" i="3"/>
  <c r="AI111" i="3"/>
  <c r="AL111" i="3"/>
  <c r="AO111" i="3"/>
  <c r="AR111" i="3"/>
  <c r="AU111" i="3"/>
  <c r="AX111" i="3"/>
  <c r="AY111" i="3" s="1"/>
  <c r="BA111" i="3"/>
  <c r="BD111" i="3"/>
  <c r="BG111" i="3"/>
  <c r="BJ111" i="3"/>
  <c r="BM111" i="3"/>
  <c r="BP111" i="3"/>
  <c r="AE111" i="3"/>
  <c r="AH111" i="3"/>
  <c r="AK111" i="3"/>
  <c r="AN111" i="3"/>
  <c r="AQ111" i="3"/>
  <c r="AT111" i="3"/>
  <c r="AV111" i="3" s="1"/>
  <c r="AW111" i="3"/>
  <c r="AZ111" i="3"/>
  <c r="BC111" i="3"/>
  <c r="BF111" i="3"/>
  <c r="BH111" i="3" s="1"/>
  <c r="BI111" i="3"/>
  <c r="BL111" i="3"/>
  <c r="BO111" i="3"/>
  <c r="AF110" i="3"/>
  <c r="AI110" i="3"/>
  <c r="AL110" i="3"/>
  <c r="AM110" i="3" s="1"/>
  <c r="AO110" i="3"/>
  <c r="AR110" i="3"/>
  <c r="AU110" i="3"/>
  <c r="AV110" i="3" s="1"/>
  <c r="AX110" i="3"/>
  <c r="BA110" i="3"/>
  <c r="BD110" i="3"/>
  <c r="BG110" i="3"/>
  <c r="BJ110" i="3"/>
  <c r="BM110" i="3"/>
  <c r="BP110" i="3"/>
  <c r="AE110" i="3"/>
  <c r="AH110" i="3"/>
  <c r="AK110" i="3"/>
  <c r="AN110" i="3"/>
  <c r="AQ110" i="3"/>
  <c r="AT110" i="3"/>
  <c r="AW110" i="3"/>
  <c r="AZ110" i="3"/>
  <c r="BC110" i="3"/>
  <c r="BF110" i="3"/>
  <c r="BI110" i="3"/>
  <c r="BL110" i="3"/>
  <c r="BO110" i="3"/>
  <c r="AF109" i="3"/>
  <c r="AI109" i="3"/>
  <c r="AL109" i="3"/>
  <c r="AM109" i="3" s="1"/>
  <c r="AO109" i="3"/>
  <c r="AR109" i="3"/>
  <c r="AU109" i="3"/>
  <c r="AX109" i="3"/>
  <c r="BA109" i="3"/>
  <c r="BD109" i="3"/>
  <c r="BE109" i="3" s="1"/>
  <c r="BG109" i="3"/>
  <c r="BJ109" i="3"/>
  <c r="BM109" i="3"/>
  <c r="BN109" i="3" s="1"/>
  <c r="BP109" i="3"/>
  <c r="AE109" i="3"/>
  <c r="AH109" i="3"/>
  <c r="AJ109" i="3" s="1"/>
  <c r="AK109" i="3"/>
  <c r="AN109" i="3"/>
  <c r="AQ109" i="3"/>
  <c r="AT109" i="3"/>
  <c r="AW109" i="3"/>
  <c r="AZ109" i="3"/>
  <c r="BC109" i="3"/>
  <c r="BF109" i="3"/>
  <c r="BI109" i="3"/>
  <c r="BL109" i="3"/>
  <c r="BO109" i="3"/>
  <c r="AF108" i="3"/>
  <c r="AI108" i="3"/>
  <c r="AJ108" i="3" s="1"/>
  <c r="AL108" i="3"/>
  <c r="AO108" i="3"/>
  <c r="AR108" i="3"/>
  <c r="AU108" i="3"/>
  <c r="AX108" i="3"/>
  <c r="BA108" i="3"/>
  <c r="BD108" i="3"/>
  <c r="BE108" i="3" s="1"/>
  <c r="BG108" i="3"/>
  <c r="BH108" i="3" s="1"/>
  <c r="BJ108" i="3"/>
  <c r="BM108" i="3"/>
  <c r="BP108" i="3"/>
  <c r="AE108" i="3"/>
  <c r="AH108" i="3"/>
  <c r="AK108" i="3"/>
  <c r="AN108" i="3"/>
  <c r="AQ108" i="3"/>
  <c r="AT108" i="3"/>
  <c r="AW108" i="3"/>
  <c r="AZ108" i="3"/>
  <c r="BC108" i="3"/>
  <c r="BF108" i="3"/>
  <c r="BI108" i="3"/>
  <c r="BL108" i="3"/>
  <c r="BO108" i="3"/>
  <c r="AF107" i="3"/>
  <c r="AG107" i="3" s="1"/>
  <c r="AI107" i="3"/>
  <c r="AL107" i="3"/>
  <c r="AO107" i="3"/>
  <c r="AR107" i="3"/>
  <c r="AU107" i="3"/>
  <c r="AX107" i="3"/>
  <c r="BA107" i="3"/>
  <c r="BB107" i="3" s="1"/>
  <c r="BD107" i="3"/>
  <c r="BG107" i="3"/>
  <c r="BJ107" i="3"/>
  <c r="BM107" i="3"/>
  <c r="BP107" i="3"/>
  <c r="AE107" i="3"/>
  <c r="AH107" i="3"/>
  <c r="AJ107" i="3" s="1"/>
  <c r="AK107" i="3"/>
  <c r="AN107" i="3"/>
  <c r="AQ107" i="3"/>
  <c r="AT107" i="3"/>
  <c r="AW107" i="3"/>
  <c r="AZ107" i="3"/>
  <c r="BC107" i="3"/>
  <c r="BF107" i="3"/>
  <c r="BI107" i="3"/>
  <c r="BL107" i="3"/>
  <c r="BO107" i="3"/>
  <c r="AF106" i="3"/>
  <c r="AI106" i="3"/>
  <c r="AL106" i="3"/>
  <c r="AO106" i="3"/>
  <c r="AR106" i="3"/>
  <c r="AU106" i="3"/>
  <c r="AV106" i="3" s="1"/>
  <c r="AX106" i="3"/>
  <c r="AY106" i="3" s="1"/>
  <c r="BA106" i="3"/>
  <c r="BD106" i="3"/>
  <c r="BG106" i="3"/>
  <c r="BJ106" i="3"/>
  <c r="BK106" i="3" s="1"/>
  <c r="BM106" i="3"/>
  <c r="BP106" i="3"/>
  <c r="AE106" i="3"/>
  <c r="AH106" i="3"/>
  <c r="AK106" i="3"/>
  <c r="AN106" i="3"/>
  <c r="AQ106" i="3"/>
  <c r="AT106" i="3"/>
  <c r="AW106" i="3"/>
  <c r="AZ106" i="3"/>
  <c r="BB106" i="3" s="1"/>
  <c r="BC106" i="3"/>
  <c r="BF106" i="3"/>
  <c r="BI106" i="3"/>
  <c r="BL106" i="3"/>
  <c r="BO106" i="3"/>
  <c r="D105" i="3"/>
  <c r="D104" i="3"/>
  <c r="D103" i="3"/>
  <c r="D102" i="3"/>
  <c r="D101" i="3"/>
  <c r="D100" i="3"/>
  <c r="D99" i="3"/>
  <c r="D98" i="3"/>
  <c r="D97" i="3"/>
  <c r="D96" i="3"/>
  <c r="H95" i="3"/>
  <c r="G95" i="3"/>
  <c r="I95" i="3" s="1"/>
  <c r="K95" i="3"/>
  <c r="J95" i="3"/>
  <c r="N95" i="3"/>
  <c r="M95" i="3"/>
  <c r="Q95" i="3"/>
  <c r="P95" i="3"/>
  <c r="T95" i="3"/>
  <c r="S95" i="3"/>
  <c r="W95" i="3"/>
  <c r="V95" i="3"/>
  <c r="Z95" i="3"/>
  <c r="AA95" i="3" s="1"/>
  <c r="Y95" i="3"/>
  <c r="AC95" i="3"/>
  <c r="AB95" i="3"/>
  <c r="AF95" i="3"/>
  <c r="AE95" i="3"/>
  <c r="AI95" i="3"/>
  <c r="AH95" i="3"/>
  <c r="AL95" i="3"/>
  <c r="AK95" i="3"/>
  <c r="AO95" i="3"/>
  <c r="AN95" i="3"/>
  <c r="AP95" i="3"/>
  <c r="AR95" i="3"/>
  <c r="AQ95" i="3"/>
  <c r="AU95" i="3"/>
  <c r="AT95" i="3"/>
  <c r="AX95" i="3"/>
  <c r="AW95" i="3"/>
  <c r="BA95" i="3"/>
  <c r="AZ95" i="3"/>
  <c r="BD95" i="3"/>
  <c r="BC95" i="3"/>
  <c r="BG95" i="3"/>
  <c r="BF95" i="3"/>
  <c r="BJ95" i="3"/>
  <c r="BK95" i="3" s="1"/>
  <c r="BI95" i="3"/>
  <c r="BM95" i="3"/>
  <c r="BL95" i="3"/>
  <c r="BP95" i="3"/>
  <c r="BQ95" i="3" s="1"/>
  <c r="BO95" i="3"/>
  <c r="H94" i="3"/>
  <c r="G94" i="3"/>
  <c r="K94" i="3"/>
  <c r="J94" i="3"/>
  <c r="N94" i="3"/>
  <c r="M94" i="3"/>
  <c r="Q94" i="3"/>
  <c r="R94" i="3" s="1"/>
  <c r="P94" i="3"/>
  <c r="T94" i="3"/>
  <c r="S94" i="3"/>
  <c r="W94" i="3"/>
  <c r="V94" i="3"/>
  <c r="X94" i="3"/>
  <c r="Z94" i="3"/>
  <c r="AA94" i="3" s="1"/>
  <c r="Y94" i="3"/>
  <c r="AC94" i="3"/>
  <c r="AB94" i="3"/>
  <c r="AF94" i="3"/>
  <c r="AE94" i="3"/>
  <c r="AI94" i="3"/>
  <c r="AH94" i="3"/>
  <c r="AJ94" i="3" s="1"/>
  <c r="AL94" i="3"/>
  <c r="AK94" i="3"/>
  <c r="AO94" i="3"/>
  <c r="AP94" i="3"/>
  <c r="AN94" i="3"/>
  <c r="AR94" i="3"/>
  <c r="AQ94" i="3"/>
  <c r="AU94" i="3"/>
  <c r="AT94" i="3"/>
  <c r="AX94" i="3"/>
  <c r="AY94" i="3" s="1"/>
  <c r="AW94" i="3"/>
  <c r="BA94" i="3"/>
  <c r="AZ94" i="3"/>
  <c r="BD94" i="3"/>
  <c r="BC94" i="3"/>
  <c r="BG94" i="3"/>
  <c r="BF94" i="3"/>
  <c r="BJ94" i="3"/>
  <c r="BK94" i="3" s="1"/>
  <c r="BI94" i="3"/>
  <c r="BM94" i="3"/>
  <c r="BL94" i="3"/>
  <c r="BP94" i="3"/>
  <c r="BO94" i="3"/>
  <c r="H93" i="3"/>
  <c r="G93" i="3"/>
  <c r="K93" i="3"/>
  <c r="L93" i="3" s="1"/>
  <c r="J93" i="3"/>
  <c r="N93" i="3"/>
  <c r="M93" i="3"/>
  <c r="Q93" i="3"/>
  <c r="P93" i="3"/>
  <c r="T93" i="3"/>
  <c r="S93" i="3"/>
  <c r="W93" i="3"/>
  <c r="V93" i="3"/>
  <c r="Z93" i="3"/>
  <c r="Y93" i="3"/>
  <c r="AC93" i="3"/>
  <c r="AB93" i="3"/>
  <c r="AF93" i="3"/>
  <c r="AE93" i="3"/>
  <c r="AI93" i="3"/>
  <c r="AH93" i="3"/>
  <c r="AL93" i="3"/>
  <c r="AK93" i="3"/>
  <c r="AO93" i="3"/>
  <c r="AN93" i="3"/>
  <c r="AR93" i="3"/>
  <c r="AQ93" i="3"/>
  <c r="AU93" i="3"/>
  <c r="AT93" i="3"/>
  <c r="AX93" i="3"/>
  <c r="AW93" i="3"/>
  <c r="BA93" i="3"/>
  <c r="AZ93" i="3"/>
  <c r="BD93" i="3"/>
  <c r="BE93" i="3" s="1"/>
  <c r="BC93" i="3"/>
  <c r="BG93" i="3"/>
  <c r="BF93" i="3"/>
  <c r="BJ93" i="3"/>
  <c r="BI93" i="3"/>
  <c r="BM93" i="3"/>
  <c r="BL93" i="3"/>
  <c r="BN93" i="3"/>
  <c r="BP93" i="3"/>
  <c r="BO93" i="3"/>
  <c r="H92" i="3"/>
  <c r="G92" i="3"/>
  <c r="K92" i="3"/>
  <c r="J92" i="3"/>
  <c r="L92" i="3"/>
  <c r="N92" i="3"/>
  <c r="M92" i="3"/>
  <c r="Q92" i="3"/>
  <c r="P92" i="3"/>
  <c r="T92" i="3"/>
  <c r="S92" i="3"/>
  <c r="W92" i="3"/>
  <c r="V92" i="3"/>
  <c r="Z92" i="3"/>
  <c r="Y92" i="3"/>
  <c r="AC92" i="3"/>
  <c r="AB92" i="3"/>
  <c r="AF92" i="3"/>
  <c r="AE92" i="3"/>
  <c r="AI92" i="3"/>
  <c r="AH92" i="3"/>
  <c r="AJ92" i="3" s="1"/>
  <c r="AL92" i="3"/>
  <c r="AK92" i="3"/>
  <c r="AO92" i="3"/>
  <c r="AN92" i="3"/>
  <c r="AP92" i="3" s="1"/>
  <c r="AR92" i="3"/>
  <c r="AS92" i="3" s="1"/>
  <c r="AQ92" i="3"/>
  <c r="AU92" i="3"/>
  <c r="AT92" i="3"/>
  <c r="AX92" i="3"/>
  <c r="AW92" i="3"/>
  <c r="BA92" i="3"/>
  <c r="AZ92" i="3"/>
  <c r="BD92" i="3"/>
  <c r="BC92" i="3"/>
  <c r="BG92" i="3"/>
  <c r="BF92" i="3"/>
  <c r="BH92" i="3" s="1"/>
  <c r="BJ92" i="3"/>
  <c r="D45" i="14" s="1"/>
  <c r="BI92" i="3"/>
  <c r="BM92" i="3"/>
  <c r="BL92" i="3"/>
  <c r="BP92" i="3"/>
  <c r="BO92" i="3"/>
  <c r="BQ92" i="3"/>
  <c r="H91" i="3"/>
  <c r="G91" i="3"/>
  <c r="I91" i="3" s="1"/>
  <c r="K91" i="3"/>
  <c r="L91" i="3" s="1"/>
  <c r="J91" i="3"/>
  <c r="N91" i="3"/>
  <c r="O91" i="3" s="1"/>
  <c r="M91" i="3"/>
  <c r="Q91" i="3"/>
  <c r="P91" i="3"/>
  <c r="T91" i="3"/>
  <c r="S91" i="3"/>
  <c r="W91" i="3"/>
  <c r="X91" i="3" s="1"/>
  <c r="V91" i="3"/>
  <c r="Z91" i="3"/>
  <c r="Y91" i="3"/>
  <c r="AC91" i="3"/>
  <c r="AD91" i="3" s="1"/>
  <c r="AB91" i="3"/>
  <c r="AF91" i="3"/>
  <c r="AE91" i="3"/>
  <c r="AI91" i="3"/>
  <c r="AH91" i="3"/>
  <c r="AL91" i="3"/>
  <c r="AK91" i="3"/>
  <c r="AO91" i="3"/>
  <c r="AN91" i="3"/>
  <c r="AR91" i="3"/>
  <c r="AQ91" i="3"/>
  <c r="AU91" i="3"/>
  <c r="AV91" i="3" s="1"/>
  <c r="AT91" i="3"/>
  <c r="AX91" i="3"/>
  <c r="AY91" i="3" s="1"/>
  <c r="AW91" i="3"/>
  <c r="BA91" i="3"/>
  <c r="AZ91" i="3"/>
  <c r="BD91" i="3"/>
  <c r="BC91" i="3"/>
  <c r="BG91" i="3"/>
  <c r="BF91" i="3"/>
  <c r="BH91" i="3"/>
  <c r="BJ91" i="3"/>
  <c r="BK91" i="3" s="1"/>
  <c r="BI91" i="3"/>
  <c r="BM91" i="3"/>
  <c r="BL91" i="3"/>
  <c r="BP91" i="3"/>
  <c r="D114" i="14" s="1"/>
  <c r="BO91" i="3"/>
  <c r="H90" i="3"/>
  <c r="G90" i="3"/>
  <c r="K90" i="3"/>
  <c r="J90" i="3"/>
  <c r="N90" i="3"/>
  <c r="M90" i="3"/>
  <c r="Q90" i="3"/>
  <c r="P90" i="3"/>
  <c r="T90" i="3"/>
  <c r="U90" i="3"/>
  <c r="S90" i="3"/>
  <c r="W90" i="3"/>
  <c r="V90" i="3"/>
  <c r="Z90" i="3"/>
  <c r="Y90" i="3"/>
  <c r="AC90" i="3"/>
  <c r="AB90" i="3"/>
  <c r="AF90" i="3"/>
  <c r="AG90" i="3" s="1"/>
  <c r="AE90" i="3"/>
  <c r="AI90" i="3"/>
  <c r="AH90" i="3"/>
  <c r="AJ90" i="3" s="1"/>
  <c r="AL90" i="3"/>
  <c r="AM90" i="3"/>
  <c r="AK90" i="3"/>
  <c r="AO90" i="3"/>
  <c r="AN90" i="3"/>
  <c r="AR90" i="3"/>
  <c r="AQ90" i="3"/>
  <c r="AU90" i="3"/>
  <c r="AT90" i="3"/>
  <c r="AV90" i="3" s="1"/>
  <c r="AX90" i="3"/>
  <c r="AW90" i="3"/>
  <c r="BA90" i="3"/>
  <c r="AZ90" i="3"/>
  <c r="BD90" i="3"/>
  <c r="BC90" i="3"/>
  <c r="BE90" i="3" s="1"/>
  <c r="BG90" i="3"/>
  <c r="BF90" i="3"/>
  <c r="BJ90" i="3"/>
  <c r="BK90" i="3" s="1"/>
  <c r="BI90" i="3"/>
  <c r="BM90" i="3"/>
  <c r="BL90" i="3"/>
  <c r="BP90" i="3"/>
  <c r="BO90" i="3"/>
  <c r="H89" i="3"/>
  <c r="G89" i="3"/>
  <c r="K89" i="3"/>
  <c r="J89" i="3"/>
  <c r="N89" i="3"/>
  <c r="M89" i="3"/>
  <c r="Q89" i="3"/>
  <c r="R89" i="3" s="1"/>
  <c r="P89" i="3"/>
  <c r="T89" i="3"/>
  <c r="S89" i="3"/>
  <c r="W89" i="3"/>
  <c r="V89" i="3"/>
  <c r="Z89" i="3"/>
  <c r="Y89" i="3"/>
  <c r="AC89" i="3"/>
  <c r="AD89" i="3" s="1"/>
  <c r="AB89" i="3"/>
  <c r="AF89" i="3"/>
  <c r="AE89" i="3"/>
  <c r="AG89" i="3" s="1"/>
  <c r="AI89" i="3"/>
  <c r="AJ89" i="3" s="1"/>
  <c r="AH89" i="3"/>
  <c r="AL89" i="3"/>
  <c r="AM89" i="3" s="1"/>
  <c r="AK89" i="3"/>
  <c r="AO89" i="3"/>
  <c r="AN89" i="3"/>
  <c r="AR89" i="3"/>
  <c r="AQ89" i="3"/>
  <c r="AS89" i="3" s="1"/>
  <c r="AU89" i="3"/>
  <c r="AT89" i="3"/>
  <c r="AV89" i="3"/>
  <c r="AX89" i="3"/>
  <c r="AY89" i="3" s="1"/>
  <c r="AW89" i="3"/>
  <c r="BA89" i="3"/>
  <c r="AZ89" i="3"/>
  <c r="BD89" i="3"/>
  <c r="BC89" i="3"/>
  <c r="BG89" i="3"/>
  <c r="BF89" i="3"/>
  <c r="BJ89" i="3"/>
  <c r="BI89" i="3"/>
  <c r="BM89" i="3"/>
  <c r="BL89" i="3"/>
  <c r="BN89" i="3" s="1"/>
  <c r="BP89" i="3"/>
  <c r="BO89" i="3"/>
  <c r="H88" i="3"/>
  <c r="I88" i="3" s="1"/>
  <c r="G88" i="3"/>
  <c r="K88" i="3"/>
  <c r="J88" i="3"/>
  <c r="L88" i="3" s="1"/>
  <c r="N88" i="3"/>
  <c r="M88" i="3"/>
  <c r="O88" i="3" s="1"/>
  <c r="Q88" i="3"/>
  <c r="R88" i="3" s="1"/>
  <c r="P88" i="3"/>
  <c r="T88" i="3"/>
  <c r="U88" i="3" s="1"/>
  <c r="S88" i="3"/>
  <c r="W88" i="3"/>
  <c r="V88" i="3"/>
  <c r="Z88" i="3"/>
  <c r="AA88" i="3" s="1"/>
  <c r="Y88" i="3"/>
  <c r="AC88" i="3"/>
  <c r="AB88" i="3"/>
  <c r="AF88" i="3"/>
  <c r="AE88" i="3"/>
  <c r="AG88" i="3" s="1"/>
  <c r="AI88" i="3"/>
  <c r="AH88" i="3"/>
  <c r="AL88" i="3"/>
  <c r="AK88" i="3"/>
  <c r="AO88" i="3"/>
  <c r="AN88" i="3"/>
  <c r="AR88" i="3"/>
  <c r="AQ88" i="3"/>
  <c r="AS88" i="3" s="1"/>
  <c r="AU88" i="3"/>
  <c r="AT88" i="3"/>
  <c r="AV88" i="3" s="1"/>
  <c r="AX88" i="3"/>
  <c r="AW88" i="3"/>
  <c r="BA88" i="3"/>
  <c r="AZ88" i="3"/>
  <c r="BD88" i="3"/>
  <c r="BC88" i="3"/>
  <c r="BG88" i="3"/>
  <c r="BF88" i="3"/>
  <c r="BJ88" i="3"/>
  <c r="BK88" i="3" s="1"/>
  <c r="BI88" i="3"/>
  <c r="BM88" i="3"/>
  <c r="D76" i="14" s="1"/>
  <c r="BL88" i="3"/>
  <c r="BP88" i="3"/>
  <c r="BO88" i="3"/>
  <c r="BQ88" i="3"/>
  <c r="H87" i="3"/>
  <c r="D5" i="14" s="1"/>
  <c r="G87" i="3"/>
  <c r="K87" i="3"/>
  <c r="J87" i="3"/>
  <c r="N87" i="3"/>
  <c r="M87" i="3"/>
  <c r="Q87" i="3"/>
  <c r="P87" i="3"/>
  <c r="T87" i="3"/>
  <c r="S87" i="3"/>
  <c r="W87" i="3"/>
  <c r="V87" i="3"/>
  <c r="Z87" i="3"/>
  <c r="Y87" i="3"/>
  <c r="AC87" i="3"/>
  <c r="AB87" i="3"/>
  <c r="AF87" i="3"/>
  <c r="AE87" i="3"/>
  <c r="AI87" i="3"/>
  <c r="AJ87" i="3" s="1"/>
  <c r="AH87" i="3"/>
  <c r="AL87" i="3"/>
  <c r="AK87" i="3"/>
  <c r="AM87" i="3" s="1"/>
  <c r="AO87" i="3"/>
  <c r="AN87" i="3"/>
  <c r="AP87" i="3" s="1"/>
  <c r="AR87" i="3"/>
  <c r="AQ87" i="3"/>
  <c r="AU87" i="3"/>
  <c r="AV87" i="3" s="1"/>
  <c r="AT87" i="3"/>
  <c r="AX87" i="3"/>
  <c r="AW87" i="3"/>
  <c r="BA87" i="3"/>
  <c r="AZ87" i="3"/>
  <c r="BD87" i="3"/>
  <c r="BC87" i="3"/>
  <c r="BG87" i="3"/>
  <c r="BF87" i="3"/>
  <c r="BJ87" i="3"/>
  <c r="BI87" i="3"/>
  <c r="BM87" i="3"/>
  <c r="BL87" i="3"/>
  <c r="BP87" i="3"/>
  <c r="BO87" i="3"/>
  <c r="H86" i="3"/>
  <c r="G86" i="3"/>
  <c r="K86" i="3"/>
  <c r="J86" i="3"/>
  <c r="N86" i="3"/>
  <c r="O86" i="3"/>
  <c r="M86" i="3"/>
  <c r="Q86" i="3"/>
  <c r="P86" i="3"/>
  <c r="T86" i="3"/>
  <c r="S86" i="3"/>
  <c r="U86" i="3" s="1"/>
  <c r="W86" i="3"/>
  <c r="V86" i="3"/>
  <c r="Z86" i="3"/>
  <c r="Y86" i="3"/>
  <c r="AC86" i="3"/>
  <c r="AB86" i="3"/>
  <c r="AF86" i="3"/>
  <c r="AE86" i="3"/>
  <c r="AI86" i="3"/>
  <c r="AH86" i="3"/>
  <c r="AL86" i="3"/>
  <c r="AM86" i="3" s="1"/>
  <c r="AK86" i="3"/>
  <c r="AO86" i="3"/>
  <c r="AN86" i="3"/>
  <c r="AR86" i="3"/>
  <c r="AQ86" i="3"/>
  <c r="AU86" i="3"/>
  <c r="AT86" i="3"/>
  <c r="AX86" i="3"/>
  <c r="AY86" i="3" s="1"/>
  <c r="AW86" i="3"/>
  <c r="BA86" i="3"/>
  <c r="AZ86" i="3"/>
  <c r="BD86" i="3"/>
  <c r="BC86" i="3"/>
  <c r="BG86" i="3"/>
  <c r="BF86" i="3"/>
  <c r="BJ86" i="3"/>
  <c r="BI86" i="3"/>
  <c r="BM86" i="3"/>
  <c r="BL86" i="3"/>
  <c r="BP86" i="3"/>
  <c r="BO86" i="3"/>
  <c r="BQ86" i="3" s="1"/>
  <c r="G85" i="3"/>
  <c r="AH84" i="3"/>
  <c r="AK84" i="3"/>
  <c r="AN84" i="3"/>
  <c r="AQ84" i="3"/>
  <c r="AT84" i="3"/>
  <c r="AW84" i="3"/>
  <c r="AW83" i="3"/>
  <c r="BF83" i="3"/>
  <c r="AE82" i="3"/>
  <c r="AH81" i="3"/>
  <c r="AN81" i="3"/>
  <c r="AQ81" i="3"/>
  <c r="AW81" i="3"/>
  <c r="AZ80" i="3"/>
  <c r="BC80" i="3"/>
  <c r="BF80" i="3"/>
  <c r="BI80" i="3"/>
  <c r="AE79" i="3"/>
  <c r="AH78" i="3"/>
  <c r="AQ78" i="3"/>
  <c r="AT78" i="3"/>
  <c r="AZ78" i="3"/>
  <c r="BC78" i="3"/>
  <c r="BC77" i="3"/>
  <c r="BI77" i="3"/>
  <c r="BL77" i="3"/>
  <c r="BO77" i="3"/>
  <c r="G76" i="3"/>
  <c r="BO76" i="3"/>
  <c r="G75" i="3"/>
  <c r="J75" i="3"/>
  <c r="M75" i="3"/>
  <c r="P75" i="3"/>
  <c r="S75" i="3"/>
  <c r="V75" i="3"/>
  <c r="Y75" i="3"/>
  <c r="AB75" i="3"/>
  <c r="AE75" i="3"/>
  <c r="AH75" i="3"/>
  <c r="AK75" i="3"/>
  <c r="AN75" i="3"/>
  <c r="AQ75" i="3"/>
  <c r="AT75" i="3"/>
  <c r="AW75" i="3"/>
  <c r="AZ75" i="3"/>
  <c r="BC75" i="3"/>
  <c r="BF75" i="3"/>
  <c r="BI75" i="3"/>
  <c r="BL75" i="3"/>
  <c r="BO75" i="3"/>
  <c r="G74" i="3"/>
  <c r="J74" i="3"/>
  <c r="M74" i="3"/>
  <c r="P74" i="3"/>
  <c r="S74" i="3"/>
  <c r="V74" i="3"/>
  <c r="Y74" i="3"/>
  <c r="AB74" i="3"/>
  <c r="AE74" i="3"/>
  <c r="AH74" i="3"/>
  <c r="AK74" i="3"/>
  <c r="AN74" i="3"/>
  <c r="AQ74" i="3"/>
  <c r="AT74" i="3"/>
  <c r="AW74" i="3"/>
  <c r="AZ74" i="3"/>
  <c r="BC74" i="3"/>
  <c r="BF74" i="3"/>
  <c r="BI74" i="3"/>
  <c r="BL74" i="3"/>
  <c r="BO74" i="3"/>
  <c r="G73" i="3"/>
  <c r="J73" i="3"/>
  <c r="M73" i="3"/>
  <c r="P73" i="3"/>
  <c r="S73" i="3"/>
  <c r="V73" i="3"/>
  <c r="Y73" i="3"/>
  <c r="AB73" i="3"/>
  <c r="AE73" i="3"/>
  <c r="AH73" i="3"/>
  <c r="AK73" i="3"/>
  <c r="AN73" i="3"/>
  <c r="AQ73" i="3"/>
  <c r="AT73" i="3"/>
  <c r="AW73" i="3"/>
  <c r="AZ73" i="3"/>
  <c r="BC73" i="3"/>
  <c r="BF73" i="3"/>
  <c r="BI73" i="3"/>
  <c r="BL73" i="3"/>
  <c r="BO73" i="3"/>
  <c r="G72" i="3"/>
  <c r="J72" i="3"/>
  <c r="M72" i="3"/>
  <c r="P72" i="3"/>
  <c r="S72" i="3"/>
  <c r="V72" i="3"/>
  <c r="Y72" i="3"/>
  <c r="AB72" i="3"/>
  <c r="AE72" i="3"/>
  <c r="AH72" i="3"/>
  <c r="AK72" i="3"/>
  <c r="AN72" i="3"/>
  <c r="AQ72" i="3"/>
  <c r="AT72" i="3"/>
  <c r="AW72" i="3"/>
  <c r="AZ72" i="3"/>
  <c r="BC72" i="3"/>
  <c r="BF72" i="3"/>
  <c r="BI72" i="3"/>
  <c r="BL72" i="3"/>
  <c r="BO72" i="3"/>
  <c r="G71" i="3"/>
  <c r="J71" i="3"/>
  <c r="M71" i="3"/>
  <c r="P71" i="3"/>
  <c r="S71" i="3"/>
  <c r="V71" i="3"/>
  <c r="Y71" i="3"/>
  <c r="AB71" i="3"/>
  <c r="AE71" i="3"/>
  <c r="AH71" i="3"/>
  <c r="AK71" i="3"/>
  <c r="AN71" i="3"/>
  <c r="AQ71" i="3"/>
  <c r="AT71" i="3"/>
  <c r="AW71" i="3"/>
  <c r="AZ71" i="3"/>
  <c r="BC71" i="3"/>
  <c r="BF71" i="3"/>
  <c r="BI71" i="3"/>
  <c r="BL71" i="3"/>
  <c r="BO71" i="3"/>
  <c r="G70" i="3"/>
  <c r="J70" i="3"/>
  <c r="M70" i="3"/>
  <c r="P70" i="3"/>
  <c r="S70" i="3"/>
  <c r="V70" i="3"/>
  <c r="Y70" i="3"/>
  <c r="AB70" i="3"/>
  <c r="AE70" i="3"/>
  <c r="AH70" i="3"/>
  <c r="AK70" i="3"/>
  <c r="AN70" i="3"/>
  <c r="AQ70" i="3"/>
  <c r="AT70" i="3"/>
  <c r="AW70" i="3"/>
  <c r="AZ70" i="3"/>
  <c r="BC70" i="3"/>
  <c r="BF70" i="3"/>
  <c r="BI70" i="3"/>
  <c r="BL70" i="3"/>
  <c r="BO70" i="3"/>
  <c r="G69" i="3"/>
  <c r="J69" i="3"/>
  <c r="M69" i="3"/>
  <c r="P69" i="3"/>
  <c r="S69" i="3"/>
  <c r="V69" i="3"/>
  <c r="Y69" i="3"/>
  <c r="AB69" i="3"/>
  <c r="AE69" i="3"/>
  <c r="AH69" i="3"/>
  <c r="AK69" i="3"/>
  <c r="AN69" i="3"/>
  <c r="AQ69" i="3"/>
  <c r="AT69" i="3"/>
  <c r="AW69" i="3"/>
  <c r="AZ69" i="3"/>
  <c r="BC69" i="3"/>
  <c r="BF69" i="3"/>
  <c r="BI69" i="3"/>
  <c r="BL69" i="3"/>
  <c r="BO69" i="3"/>
  <c r="G68" i="3"/>
  <c r="J68" i="3"/>
  <c r="M68" i="3"/>
  <c r="P68" i="3"/>
  <c r="S68" i="3"/>
  <c r="V68" i="3"/>
  <c r="Y68" i="3"/>
  <c r="AB68" i="3"/>
  <c r="AE68" i="3"/>
  <c r="AH68" i="3"/>
  <c r="AK68" i="3"/>
  <c r="AN68" i="3"/>
  <c r="AQ68" i="3"/>
  <c r="AT68" i="3"/>
  <c r="AW68" i="3"/>
  <c r="AZ68" i="3"/>
  <c r="BC68" i="3"/>
  <c r="BF68" i="3"/>
  <c r="BI68" i="3"/>
  <c r="BL68" i="3"/>
  <c r="BO68" i="3"/>
  <c r="G67" i="3"/>
  <c r="J67" i="3"/>
  <c r="M67" i="3"/>
  <c r="P67" i="3"/>
  <c r="S67" i="3"/>
  <c r="V67" i="3"/>
  <c r="Y67" i="3"/>
  <c r="AB67" i="3"/>
  <c r="AE67" i="3"/>
  <c r="AH67" i="3"/>
  <c r="AK67" i="3"/>
  <c r="AN67" i="3"/>
  <c r="AQ67" i="3"/>
  <c r="AT67" i="3"/>
  <c r="AW67" i="3"/>
  <c r="AZ67" i="3"/>
  <c r="BC67" i="3"/>
  <c r="BF67" i="3"/>
  <c r="BI67" i="3"/>
  <c r="BL67" i="3"/>
  <c r="BO67" i="3"/>
  <c r="G66" i="3"/>
  <c r="J66" i="3"/>
  <c r="M66" i="3"/>
  <c r="P66" i="3"/>
  <c r="S66" i="3"/>
  <c r="V66" i="3"/>
  <c r="Y66" i="3"/>
  <c r="AB66" i="3"/>
  <c r="AE66" i="3"/>
  <c r="AH66" i="3"/>
  <c r="AK66" i="3"/>
  <c r="AN66" i="3"/>
  <c r="AQ66" i="3"/>
  <c r="AT66" i="3"/>
  <c r="AW66" i="3"/>
  <c r="AZ66" i="3"/>
  <c r="BC66" i="3"/>
  <c r="BF66" i="3"/>
  <c r="BI66" i="3"/>
  <c r="BL66" i="3"/>
  <c r="BO66" i="3"/>
  <c r="AP64" i="3"/>
  <c r="AS64" i="3"/>
  <c r="AV64" i="3"/>
  <c r="AY64" i="3"/>
  <c r="BB64" i="3"/>
  <c r="BE64" i="3"/>
  <c r="BH64" i="3"/>
  <c r="BK64" i="3"/>
  <c r="BN64" i="3"/>
  <c r="BQ64" i="3"/>
  <c r="D64" i="3"/>
  <c r="AP63" i="3"/>
  <c r="AS63" i="3"/>
  <c r="AV63" i="3"/>
  <c r="AY63" i="3"/>
  <c r="BB63" i="3"/>
  <c r="BE63" i="3"/>
  <c r="BH63" i="3"/>
  <c r="BK63" i="3"/>
  <c r="BN63" i="3"/>
  <c r="BQ63" i="3"/>
  <c r="D63" i="3"/>
  <c r="AP62" i="3"/>
  <c r="AS62" i="3"/>
  <c r="AV62" i="3"/>
  <c r="AY62" i="3"/>
  <c r="BB62" i="3"/>
  <c r="BE62" i="3"/>
  <c r="BH62" i="3"/>
  <c r="BK62" i="3"/>
  <c r="BN62" i="3"/>
  <c r="BQ62" i="3"/>
  <c r="D62" i="3"/>
  <c r="AP61" i="3"/>
  <c r="AS61" i="3"/>
  <c r="AV61" i="3"/>
  <c r="AY61" i="3"/>
  <c r="BB61" i="3"/>
  <c r="BE61" i="3"/>
  <c r="BH61" i="3"/>
  <c r="BK61" i="3"/>
  <c r="BN61" i="3"/>
  <c r="BQ61" i="3"/>
  <c r="D61" i="3"/>
  <c r="AP60" i="3"/>
  <c r="AS60" i="3"/>
  <c r="AV60" i="3"/>
  <c r="AY60" i="3"/>
  <c r="BB60" i="3"/>
  <c r="BE60" i="3"/>
  <c r="BH60" i="3"/>
  <c r="BK60" i="3"/>
  <c r="BN60" i="3"/>
  <c r="BQ60" i="3"/>
  <c r="D60" i="3"/>
  <c r="AP59" i="3"/>
  <c r="AS59" i="3"/>
  <c r="AV59" i="3"/>
  <c r="AY59" i="3"/>
  <c r="BB59" i="3"/>
  <c r="BE59" i="3"/>
  <c r="BH59" i="3"/>
  <c r="BK59" i="3"/>
  <c r="BN59" i="3"/>
  <c r="BQ59" i="3"/>
  <c r="D59" i="3"/>
  <c r="AP58" i="3"/>
  <c r="AS58" i="3"/>
  <c r="AV58" i="3"/>
  <c r="AY58" i="3"/>
  <c r="BB58" i="3"/>
  <c r="BE58" i="3"/>
  <c r="BH58" i="3"/>
  <c r="BK58" i="3"/>
  <c r="BN58" i="3"/>
  <c r="BQ58" i="3"/>
  <c r="D58" i="3"/>
  <c r="AP57" i="3"/>
  <c r="AS57" i="3"/>
  <c r="AV57" i="3"/>
  <c r="AY57" i="3"/>
  <c r="BB57" i="3"/>
  <c r="BE57" i="3"/>
  <c r="BH57" i="3"/>
  <c r="BK57" i="3"/>
  <c r="BN57" i="3"/>
  <c r="BQ57" i="3"/>
  <c r="D57" i="3"/>
  <c r="I56" i="3"/>
  <c r="L56" i="3"/>
  <c r="O56" i="3"/>
  <c r="R56" i="3"/>
  <c r="U56" i="3"/>
  <c r="X56" i="3"/>
  <c r="AA56" i="3"/>
  <c r="AD56" i="3"/>
  <c r="AG56" i="3"/>
  <c r="AJ56" i="3"/>
  <c r="AM56" i="3"/>
  <c r="AP56" i="3"/>
  <c r="AS56" i="3"/>
  <c r="AV56" i="3"/>
  <c r="AY56" i="3"/>
  <c r="BB56" i="3"/>
  <c r="BE56" i="3"/>
  <c r="BH56" i="3"/>
  <c r="BK56" i="3"/>
  <c r="BN56" i="3"/>
  <c r="BQ56" i="3"/>
  <c r="E56" i="3"/>
  <c r="D56" i="3"/>
  <c r="I55" i="3"/>
  <c r="L55" i="3"/>
  <c r="F55" i="3" s="1"/>
  <c r="O55" i="3"/>
  <c r="R55" i="3"/>
  <c r="U55" i="3"/>
  <c r="X55" i="3"/>
  <c r="AA55" i="3"/>
  <c r="AD55" i="3"/>
  <c r="AG55" i="3"/>
  <c r="AJ55" i="3"/>
  <c r="AM55" i="3"/>
  <c r="AP55" i="3"/>
  <c r="AS55" i="3"/>
  <c r="AV55" i="3"/>
  <c r="AY55" i="3"/>
  <c r="BB55" i="3"/>
  <c r="BE55" i="3"/>
  <c r="BH55" i="3"/>
  <c r="BK55" i="3"/>
  <c r="BN55" i="3"/>
  <c r="BQ55" i="3"/>
  <c r="E55" i="3"/>
  <c r="D55" i="3"/>
  <c r="E54" i="3"/>
  <c r="D54" i="3"/>
  <c r="E53" i="3"/>
  <c r="F53" i="3" s="1"/>
  <c r="D53" i="3"/>
  <c r="E52" i="3"/>
  <c r="D52" i="3"/>
  <c r="E51" i="3"/>
  <c r="D51" i="3"/>
  <c r="E50" i="3"/>
  <c r="D50" i="3"/>
  <c r="E49" i="3"/>
  <c r="F49" i="3" s="1"/>
  <c r="D49" i="3"/>
  <c r="E48" i="3"/>
  <c r="D48" i="3"/>
  <c r="F48" i="3" s="1"/>
  <c r="E47" i="3"/>
  <c r="D47" i="3"/>
  <c r="E46" i="3"/>
  <c r="D46" i="3"/>
  <c r="E45" i="3"/>
  <c r="F45" i="3" s="1"/>
  <c r="D45" i="3"/>
  <c r="I14" i="3"/>
  <c r="L14" i="3"/>
  <c r="O14" i="3"/>
  <c r="R14" i="3"/>
  <c r="U14" i="3"/>
  <c r="X14" i="3"/>
  <c r="AA14" i="3"/>
  <c r="AD14" i="3"/>
  <c r="AG14" i="3"/>
  <c r="AJ14" i="3"/>
  <c r="AM14" i="3"/>
  <c r="AP14" i="3"/>
  <c r="AS14" i="3"/>
  <c r="AV14" i="3"/>
  <c r="AY14" i="3"/>
  <c r="BB14" i="3"/>
  <c r="BE14" i="3"/>
  <c r="BH14" i="3"/>
  <c r="BK14" i="3"/>
  <c r="BN14" i="3"/>
  <c r="BQ14" i="3"/>
  <c r="I13" i="3"/>
  <c r="L13" i="3"/>
  <c r="O13" i="3"/>
  <c r="R13" i="3"/>
  <c r="U13" i="3"/>
  <c r="X13" i="3"/>
  <c r="AA13" i="3"/>
  <c r="AD13" i="3"/>
  <c r="AG13" i="3"/>
  <c r="AJ13" i="3"/>
  <c r="AM13" i="3"/>
  <c r="AP13" i="3"/>
  <c r="AS13" i="3"/>
  <c r="AV13" i="3"/>
  <c r="AY13" i="3"/>
  <c r="BB13" i="3"/>
  <c r="BE13" i="3"/>
  <c r="BH13" i="3"/>
  <c r="BK13" i="3"/>
  <c r="BN13" i="3"/>
  <c r="BQ13" i="3"/>
  <c r="I12" i="3"/>
  <c r="L12" i="3"/>
  <c r="O12" i="3"/>
  <c r="R12" i="3"/>
  <c r="U12" i="3"/>
  <c r="X12" i="3"/>
  <c r="AA12" i="3"/>
  <c r="AD12" i="3"/>
  <c r="AG12" i="3"/>
  <c r="AJ12" i="3"/>
  <c r="AM12" i="3"/>
  <c r="AP12" i="3"/>
  <c r="AS12" i="3"/>
  <c r="AV12" i="3"/>
  <c r="AY12" i="3"/>
  <c r="BB12" i="3"/>
  <c r="BE12" i="3"/>
  <c r="BH12" i="3"/>
  <c r="BK12" i="3"/>
  <c r="BN12" i="3"/>
  <c r="BQ12" i="3"/>
  <c r="I11" i="3"/>
  <c r="L11" i="3"/>
  <c r="O11" i="3"/>
  <c r="R11" i="3"/>
  <c r="U11" i="3"/>
  <c r="X11" i="3"/>
  <c r="AA11" i="3"/>
  <c r="AD11" i="3"/>
  <c r="AG11" i="3"/>
  <c r="AJ11" i="3"/>
  <c r="AM11" i="3"/>
  <c r="AP11" i="3"/>
  <c r="AS11" i="3"/>
  <c r="AV11" i="3"/>
  <c r="AY11" i="3"/>
  <c r="BB11" i="3"/>
  <c r="BE11" i="3"/>
  <c r="BH11" i="3"/>
  <c r="BK11" i="3"/>
  <c r="BN11" i="3"/>
  <c r="BQ11" i="3"/>
  <c r="I10" i="3"/>
  <c r="L10" i="3"/>
  <c r="O10" i="3"/>
  <c r="F10" i="3" s="1"/>
  <c r="R10" i="3"/>
  <c r="U10" i="3"/>
  <c r="X10" i="3"/>
  <c r="AA10" i="3"/>
  <c r="AD10" i="3"/>
  <c r="AG10" i="3"/>
  <c r="AJ10" i="3"/>
  <c r="AM10" i="3"/>
  <c r="AP10" i="3"/>
  <c r="AS10" i="3"/>
  <c r="AV10" i="3"/>
  <c r="AY10" i="3"/>
  <c r="BB10" i="3"/>
  <c r="BE10" i="3"/>
  <c r="BH10" i="3"/>
  <c r="BK10" i="3"/>
  <c r="BN10" i="3"/>
  <c r="BQ10" i="3"/>
  <c r="I9" i="3"/>
  <c r="L9" i="3"/>
  <c r="O9" i="3"/>
  <c r="R9" i="3"/>
  <c r="U9" i="3"/>
  <c r="X9" i="3"/>
  <c r="AA9" i="3"/>
  <c r="AD9" i="3"/>
  <c r="AG9" i="3"/>
  <c r="AJ9" i="3"/>
  <c r="AM9" i="3"/>
  <c r="AP9" i="3"/>
  <c r="AS9" i="3"/>
  <c r="AV9" i="3"/>
  <c r="AY9" i="3"/>
  <c r="BB9" i="3"/>
  <c r="BE9" i="3"/>
  <c r="BH9" i="3"/>
  <c r="BK9" i="3"/>
  <c r="BN9" i="3"/>
  <c r="BQ9" i="3"/>
  <c r="I8" i="3"/>
  <c r="L8" i="3"/>
  <c r="O8" i="3"/>
  <c r="R8" i="3"/>
  <c r="U8" i="3"/>
  <c r="X8" i="3"/>
  <c r="AA8" i="3"/>
  <c r="AD8" i="3"/>
  <c r="AG8" i="3"/>
  <c r="AJ8" i="3"/>
  <c r="AM8" i="3"/>
  <c r="AP8" i="3"/>
  <c r="AS8" i="3"/>
  <c r="AV8" i="3"/>
  <c r="AY8" i="3"/>
  <c r="BB8" i="3"/>
  <c r="BE8" i="3"/>
  <c r="BH8" i="3"/>
  <c r="BK8" i="3"/>
  <c r="BN8" i="3"/>
  <c r="BQ8" i="3"/>
  <c r="I7" i="3"/>
  <c r="L7" i="3"/>
  <c r="O7" i="3"/>
  <c r="R7" i="3"/>
  <c r="U7" i="3"/>
  <c r="X7" i="3"/>
  <c r="AA7" i="3"/>
  <c r="AD7" i="3"/>
  <c r="AG7" i="3"/>
  <c r="AJ7" i="3"/>
  <c r="AM7" i="3"/>
  <c r="AP7" i="3"/>
  <c r="AS7" i="3"/>
  <c r="AV7" i="3"/>
  <c r="AY7" i="3"/>
  <c r="BB7" i="3"/>
  <c r="BE7" i="3"/>
  <c r="BH7" i="3"/>
  <c r="BK7" i="3"/>
  <c r="BN7" i="3"/>
  <c r="BQ7" i="3"/>
  <c r="I6" i="3"/>
  <c r="L6" i="3"/>
  <c r="O6" i="3"/>
  <c r="R6" i="3"/>
  <c r="U6" i="3"/>
  <c r="X6" i="3"/>
  <c r="AA6" i="3"/>
  <c r="AD6" i="3"/>
  <c r="AG6" i="3"/>
  <c r="AJ6" i="3"/>
  <c r="AM6" i="3"/>
  <c r="AP6" i="3"/>
  <c r="AS6" i="3"/>
  <c r="AV6" i="3"/>
  <c r="AY6" i="3"/>
  <c r="BB6" i="3"/>
  <c r="BE6" i="3"/>
  <c r="BH6" i="3"/>
  <c r="BK6" i="3"/>
  <c r="BN6" i="3"/>
  <c r="BQ6" i="3"/>
  <c r="E14" i="3"/>
  <c r="E13" i="3"/>
  <c r="E12" i="3"/>
  <c r="E11" i="3"/>
  <c r="E10" i="3"/>
  <c r="E9" i="3"/>
  <c r="E8" i="3"/>
  <c r="E7" i="3"/>
  <c r="E6" i="3"/>
  <c r="E5" i="3"/>
  <c r="D14" i="3"/>
  <c r="D13" i="3"/>
  <c r="D12" i="3"/>
  <c r="D11" i="3"/>
  <c r="D10" i="3"/>
  <c r="D9" i="3"/>
  <c r="D8" i="3"/>
  <c r="D7" i="3"/>
  <c r="D6" i="3"/>
  <c r="D5" i="3"/>
  <c r="BL2" i="3"/>
  <c r="A72" i="14" s="1"/>
  <c r="AN2" i="3"/>
  <c r="M2" i="3"/>
  <c r="J2" i="3"/>
  <c r="AJ115" i="3"/>
  <c r="AD113" i="3"/>
  <c r="AM112"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AP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AP115" i="3"/>
  <c r="AG106" i="3"/>
  <c r="AS107" i="3"/>
  <c r="AD112" i="3"/>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C2" i="36"/>
  <c r="C3" i="36"/>
  <c r="E3" i="36"/>
  <c r="C4" i="36"/>
  <c r="E4" i="36"/>
  <c r="C5" i="36"/>
  <c r="E5" i="36"/>
  <c r="C6" i="36"/>
  <c r="E6" i="36"/>
  <c r="C7" i="36"/>
  <c r="E7" i="36"/>
  <c r="C8" i="36"/>
  <c r="E8" i="36"/>
  <c r="C9" i="36"/>
  <c r="E9" i="36"/>
  <c r="C10" i="36"/>
  <c r="E10" i="36"/>
  <c r="C11" i="36"/>
  <c r="E11" i="36"/>
  <c r="C12" i="36"/>
  <c r="E12" i="36"/>
  <c r="C13" i="36"/>
  <c r="E13" i="36"/>
  <c r="C14" i="36"/>
  <c r="E14" i="36"/>
  <c r="C15" i="36"/>
  <c r="E15" i="36"/>
  <c r="C16" i="36"/>
  <c r="E16" i="36"/>
  <c r="C17" i="36"/>
  <c r="E17" i="36"/>
  <c r="C18" i="36"/>
  <c r="E18" i="36"/>
  <c r="C19" i="36"/>
  <c r="E19" i="36"/>
  <c r="C20" i="36"/>
  <c r="E20" i="36"/>
  <c r="C21" i="36"/>
  <c r="E21" i="36"/>
  <c r="E23" i="32"/>
  <c r="H3" i="32"/>
  <c r="H4" i="32"/>
  <c r="H5" i="32"/>
  <c r="H6" i="32"/>
  <c r="H7" i="32"/>
  <c r="H8" i="32"/>
  <c r="H9" i="32"/>
  <c r="H10" i="32"/>
  <c r="H11" i="32"/>
  <c r="H12" i="32"/>
  <c r="H13" i="32"/>
  <c r="H14" i="32"/>
  <c r="H15" i="32"/>
  <c r="H16" i="32"/>
  <c r="H17" i="32"/>
  <c r="H18" i="32"/>
  <c r="H19" i="32"/>
  <c r="H20" i="32"/>
  <c r="H21" i="32"/>
  <c r="H22" i="32"/>
  <c r="H23" i="32"/>
  <c r="H24" i="28"/>
  <c r="J24" i="28" s="1"/>
  <c r="H19" i="28"/>
  <c r="J19" i="28" s="1"/>
  <c r="H14" i="28"/>
  <c r="J14" i="28" s="1"/>
  <c r="H9" i="28"/>
  <c r="J9" i="28" s="1"/>
  <c r="H25" i="28"/>
  <c r="J25" i="28" s="1"/>
  <c r="H27" i="28"/>
  <c r="H26" i="28"/>
  <c r="J26" i="28" s="1"/>
  <c r="H22" i="28"/>
  <c r="H21" i="28"/>
  <c r="J21" i="28" s="1"/>
  <c r="H20" i="28"/>
  <c r="J20" i="28" s="1"/>
  <c r="H17" i="28"/>
  <c r="H16" i="28"/>
  <c r="J16" i="28" s="1"/>
  <c r="H15" i="28"/>
  <c r="J15" i="28" s="1"/>
  <c r="H12" i="28"/>
  <c r="H11" i="28"/>
  <c r="J11" i="28" s="1"/>
  <c r="H10" i="28"/>
  <c r="J10" i="28" s="1"/>
  <c r="H7" i="28"/>
  <c r="H5" i="28"/>
  <c r="J5" i="28" s="1"/>
  <c r="H4" i="28"/>
  <c r="J4" i="28"/>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1" i="3"/>
  <c r="E138" i="14"/>
  <c r="E137" i="14"/>
  <c r="E136" i="14"/>
  <c r="E135" i="14"/>
  <c r="E134" i="14"/>
  <c r="E133" i="14"/>
  <c r="E132" i="14"/>
  <c r="E131" i="14"/>
  <c r="E130" i="14"/>
  <c r="E129" i="14"/>
  <c r="E128" i="14"/>
  <c r="D128" i="14" s="1"/>
  <c r="E127" i="14"/>
  <c r="D127" i="14" s="1"/>
  <c r="E126" i="14"/>
  <c r="D126" i="14" s="1"/>
  <c r="E125" i="14"/>
  <c r="D125" i="14" s="1"/>
  <c r="E124" i="14"/>
  <c r="D124" i="14"/>
  <c r="E123" i="14"/>
  <c r="D123" i="14" s="1"/>
  <c r="E122" i="14"/>
  <c r="D122" i="14"/>
  <c r="E121" i="14"/>
  <c r="D121" i="14"/>
  <c r="E120" i="14"/>
  <c r="D120" i="14"/>
  <c r="E119" i="14"/>
  <c r="D119" i="14" s="1"/>
  <c r="E118" i="14"/>
  <c r="E117" i="14"/>
  <c r="D117" i="14" s="1"/>
  <c r="E116" i="14"/>
  <c r="E115" i="14"/>
  <c r="D115" i="14" s="1"/>
  <c r="E114" i="14"/>
  <c r="E113" i="14"/>
  <c r="D113" i="14" s="1"/>
  <c r="E112" i="14"/>
  <c r="D112" i="14" s="1"/>
  <c r="E111" i="14"/>
  <c r="D111" i="14" s="1"/>
  <c r="E110" i="14"/>
  <c r="E109" i="14"/>
  <c r="D109" i="14" s="1"/>
  <c r="E103" i="14"/>
  <c r="E102" i="14"/>
  <c r="E101" i="14"/>
  <c r="E100" i="14"/>
  <c r="E99" i="14"/>
  <c r="E98" i="14"/>
  <c r="E97" i="14"/>
  <c r="E96" i="14"/>
  <c r="E95" i="14"/>
  <c r="E94" i="14"/>
  <c r="E93" i="14"/>
  <c r="D93" i="14" s="1"/>
  <c r="E92" i="14"/>
  <c r="D92" i="14" s="1"/>
  <c r="E91" i="14"/>
  <c r="D91" i="14" s="1"/>
  <c r="E90" i="14"/>
  <c r="D90" i="14" s="1"/>
  <c r="E89" i="14"/>
  <c r="D89" i="14"/>
  <c r="E88" i="14"/>
  <c r="D88" i="14" s="1"/>
  <c r="E87" i="14"/>
  <c r="D87" i="14" s="1"/>
  <c r="E86" i="14"/>
  <c r="D86" i="14" s="1"/>
  <c r="E85" i="14"/>
  <c r="D85" i="14" s="1"/>
  <c r="E84" i="14"/>
  <c r="D84" i="14" s="1"/>
  <c r="E83" i="14"/>
  <c r="E82" i="14"/>
  <c r="E81" i="14"/>
  <c r="D81" i="14" s="1"/>
  <c r="E80" i="14"/>
  <c r="D80" i="14" s="1"/>
  <c r="E79" i="14"/>
  <c r="D79" i="14" s="1"/>
  <c r="E78" i="14"/>
  <c r="D78" i="14"/>
  <c r="E77" i="14"/>
  <c r="D77" i="14" s="1"/>
  <c r="E76" i="14"/>
  <c r="E75" i="14"/>
  <c r="D75" i="14" s="1"/>
  <c r="E74" i="14"/>
  <c r="E68" i="14"/>
  <c r="E67" i="14"/>
  <c r="E66" i="14"/>
  <c r="E65" i="14"/>
  <c r="E64" i="14"/>
  <c r="E63" i="14"/>
  <c r="E62" i="14"/>
  <c r="E61" i="14"/>
  <c r="E60" i="14"/>
  <c r="E59" i="14"/>
  <c r="E58" i="14"/>
  <c r="D58" i="14"/>
  <c r="E57" i="14"/>
  <c r="D57" i="14" s="1"/>
  <c r="E56" i="14"/>
  <c r="D56" i="14" s="1"/>
  <c r="E55" i="14"/>
  <c r="D55" i="14" s="1"/>
  <c r="E54" i="14"/>
  <c r="D54" i="14" s="1"/>
  <c r="E53" i="14"/>
  <c r="D53" i="14" s="1"/>
  <c r="E52" i="14"/>
  <c r="D52" i="14" s="1"/>
  <c r="E51" i="14"/>
  <c r="D51" i="14" s="1"/>
  <c r="E50" i="14"/>
  <c r="D50" i="14" s="1"/>
  <c r="E49" i="14"/>
  <c r="D49" i="14" s="1"/>
  <c r="E48" i="14"/>
  <c r="D48" i="14" s="1"/>
  <c r="E47" i="14"/>
  <c r="E46" i="14"/>
  <c r="D46" i="14" s="1"/>
  <c r="E45" i="14"/>
  <c r="E44" i="14"/>
  <c r="E43" i="14"/>
  <c r="E42" i="14"/>
  <c r="E41" i="14"/>
  <c r="E40" i="14"/>
  <c r="E39" i="14"/>
  <c r="D39" i="14" s="1"/>
  <c r="E33" i="14"/>
  <c r="E32" i="14"/>
  <c r="E31" i="14"/>
  <c r="E30" i="14"/>
  <c r="E29" i="14"/>
  <c r="E28" i="14"/>
  <c r="E27" i="14"/>
  <c r="E26" i="14"/>
  <c r="E25" i="14"/>
  <c r="E24" i="14"/>
  <c r="E23" i="14"/>
  <c r="D23" i="14" s="1"/>
  <c r="E22" i="14"/>
  <c r="D22" i="14" s="1"/>
  <c r="E21" i="14"/>
  <c r="D21" i="14"/>
  <c r="E20" i="14"/>
  <c r="D20" i="14" s="1"/>
  <c r="E19" i="14"/>
  <c r="D19" i="14" s="1"/>
  <c r="E18" i="14"/>
  <c r="D18" i="14" s="1"/>
  <c r="E17" i="14"/>
  <c r="D17" i="14"/>
  <c r="E16" i="14"/>
  <c r="D16" i="14" s="1"/>
  <c r="E15" i="14"/>
  <c r="D15" i="14" s="1"/>
  <c r="E14" i="14"/>
  <c r="D14" i="14" s="1"/>
  <c r="E13" i="14"/>
  <c r="E12" i="14"/>
  <c r="E11" i="14"/>
  <c r="E10" i="14"/>
  <c r="E9" i="14"/>
  <c r="D9" i="14" s="1"/>
  <c r="E8" i="14"/>
  <c r="E7" i="14"/>
  <c r="D7" i="14" s="1"/>
  <c r="E6" i="14"/>
  <c r="E5" i="14"/>
  <c r="E4" i="14"/>
  <c r="M11" i="11"/>
  <c r="M13" i="6" s="1"/>
  <c r="N13" i="6" s="1"/>
  <c r="E11" i="11"/>
  <c r="E3" i="18"/>
  <c r="E4" i="17"/>
  <c r="M27" i="11"/>
  <c r="L27" i="11"/>
  <c r="K27" i="11"/>
  <c r="J27" i="11"/>
  <c r="I27" i="11"/>
  <c r="H27" i="11"/>
  <c r="F8" i="4" s="1"/>
  <c r="G27" i="11"/>
  <c r="F27" i="11"/>
  <c r="E27" i="11"/>
  <c r="C5" i="6" s="1"/>
  <c r="D27" i="11"/>
  <c r="C4" i="6" s="1"/>
  <c r="M25" i="11"/>
  <c r="I13" i="4" s="1"/>
  <c r="L25" i="11"/>
  <c r="I12" i="4" s="1"/>
  <c r="K25" i="11"/>
  <c r="I11" i="4" s="1"/>
  <c r="J25" i="11"/>
  <c r="I10" i="6" s="1"/>
  <c r="I25" i="11"/>
  <c r="I9" i="4" s="1"/>
  <c r="H25" i="11"/>
  <c r="I8" i="4" s="1"/>
  <c r="G25" i="11"/>
  <c r="I7" i="4" s="1"/>
  <c r="F25" i="11"/>
  <c r="I6" i="6" s="1"/>
  <c r="E25" i="11"/>
  <c r="M23" i="11"/>
  <c r="F13" i="6" s="1"/>
  <c r="L23" i="11"/>
  <c r="G12" i="4" s="1"/>
  <c r="K23" i="11"/>
  <c r="G11" i="4" s="1"/>
  <c r="J23" i="11"/>
  <c r="I23" i="11"/>
  <c r="F9" i="6" s="1"/>
  <c r="H23" i="11"/>
  <c r="G8" i="4" s="1"/>
  <c r="G23" i="11"/>
  <c r="G7" i="4" s="1"/>
  <c r="F23" i="11"/>
  <c r="F6" i="6" s="1"/>
  <c r="E23" i="11"/>
  <c r="F5" i="6" s="1"/>
  <c r="D23" i="11"/>
  <c r="F4" i="6" s="1"/>
  <c r="K11" i="11"/>
  <c r="M11" i="6" s="1"/>
  <c r="N11" i="6" s="1"/>
  <c r="BN108" i="3"/>
  <c r="D110" i="14"/>
  <c r="BQ54" i="3"/>
  <c r="BN54" i="3"/>
  <c r="BK54" i="3"/>
  <c r="I54" i="3"/>
  <c r="BQ53" i="3"/>
  <c r="BN53" i="3"/>
  <c r="BK53" i="3"/>
  <c r="I53" i="3"/>
  <c r="BQ52" i="3"/>
  <c r="BN52" i="3"/>
  <c r="BK52" i="3"/>
  <c r="I52" i="3"/>
  <c r="BQ51" i="3"/>
  <c r="BN51" i="3"/>
  <c r="BK51" i="3"/>
  <c r="I51" i="3"/>
  <c r="F51" i="3"/>
  <c r="BQ50" i="3"/>
  <c r="BN50" i="3"/>
  <c r="BK50" i="3"/>
  <c r="I50" i="3"/>
  <c r="BQ49" i="3"/>
  <c r="BN49" i="3"/>
  <c r="BK49" i="3"/>
  <c r="I49" i="3"/>
  <c r="BQ48" i="3"/>
  <c r="BN48" i="3"/>
  <c r="BK48" i="3"/>
  <c r="I48" i="3"/>
  <c r="BQ47" i="3"/>
  <c r="BN47" i="3"/>
  <c r="BK47" i="3"/>
  <c r="I47" i="3"/>
  <c r="BQ46" i="3"/>
  <c r="BN46" i="3"/>
  <c r="BK46" i="3"/>
  <c r="I46"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Q113" i="3"/>
  <c r="BN22" i="3"/>
  <c r="BK22" i="3"/>
  <c r="BQ21" i="3"/>
  <c r="BQ20" i="3"/>
  <c r="BN20" i="3"/>
  <c r="I20" i="3"/>
  <c r="BN19" i="3"/>
  <c r="BK19" i="3"/>
  <c r="BN18" i="3"/>
  <c r="BK18" i="3"/>
  <c r="BQ5" i="3"/>
  <c r="BN5" i="3"/>
  <c r="BK5" i="3"/>
  <c r="I5" i="3"/>
  <c r="O14" i="6"/>
  <c r="L14" i="6"/>
  <c r="M14" i="4"/>
  <c r="K14" i="4"/>
  <c r="J14" i="4"/>
  <c r="L13" i="4"/>
  <c r="L12" i="4"/>
  <c r="L11" i="4"/>
  <c r="L10" i="4"/>
  <c r="L9" i="4"/>
  <c r="L8" i="4"/>
  <c r="L7" i="4"/>
  <c r="L6" i="4"/>
  <c r="L5" i="4"/>
  <c r="L4" i="4"/>
  <c r="J11" i="11"/>
  <c r="BK15" i="3"/>
  <c r="BK16" i="3"/>
  <c r="BN17" i="3"/>
  <c r="BN21" i="3"/>
  <c r="I19" i="3"/>
  <c r="I23" i="3"/>
  <c r="I18" i="3"/>
  <c r="I22" i="3"/>
  <c r="I15" i="3"/>
  <c r="I17" i="3"/>
  <c r="I21" i="3"/>
  <c r="BK17" i="3"/>
  <c r="BQ17" i="3"/>
  <c r="BQ111" i="3"/>
  <c r="BQ18" i="3"/>
  <c r="BQ19" i="3"/>
  <c r="BK20" i="3"/>
  <c r="BK21" i="3"/>
  <c r="BQ22" i="3"/>
  <c r="BK23" i="3"/>
  <c r="BK24" i="3"/>
  <c r="BQ24" i="3"/>
  <c r="D10" i="14"/>
  <c r="BQ15" i="3"/>
  <c r="BQ16" i="3"/>
  <c r="I16" i="3"/>
  <c r="BN15" i="3"/>
  <c r="BN16" i="3"/>
  <c r="D25" i="11"/>
  <c r="I4" i="6" s="1"/>
  <c r="E25" i="17"/>
  <c r="E3" i="17" s="1"/>
  <c r="AF14" i="20"/>
  <c r="BN114" i="3"/>
  <c r="G2" i="3"/>
  <c r="A2" i="14" s="1"/>
  <c r="E22" i="32"/>
  <c r="T27" i="37"/>
  <c r="I94" i="3"/>
  <c r="L106" i="3"/>
  <c r="AG94" i="3"/>
  <c r="X88" i="3"/>
  <c r="R107" i="3"/>
  <c r="O122" i="3"/>
  <c r="B12" i="35"/>
  <c r="B17" i="35"/>
  <c r="B21" i="35"/>
  <c r="B25" i="35"/>
  <c r="B9" i="35"/>
  <c r="AA106" i="3"/>
  <c r="B11" i="35"/>
  <c r="B10" i="35"/>
  <c r="B23" i="35"/>
  <c r="B19" i="35"/>
  <c r="B15" i="35"/>
  <c r="B26" i="35"/>
  <c r="B22" i="35"/>
  <c r="B18" i="35"/>
  <c r="B14" i="35"/>
  <c r="B13" i="35"/>
  <c r="B20" i="35"/>
  <c r="T21" i="37"/>
  <c r="U10" i="29"/>
  <c r="M6" i="10" l="1"/>
  <c r="M67" i="10"/>
  <c r="M68" i="10"/>
  <c r="M69" i="10"/>
  <c r="M70" i="10"/>
  <c r="M71" i="10"/>
  <c r="M66" i="10"/>
  <c r="O6" i="9"/>
  <c r="O97" i="9" s="1"/>
  <c r="O91" i="9"/>
  <c r="O92" i="9"/>
  <c r="O89" i="9"/>
  <c r="O93" i="9"/>
  <c r="O90" i="9"/>
  <c r="O94" i="9"/>
  <c r="F10" i="10"/>
  <c r="F67" i="10"/>
  <c r="F68" i="10"/>
  <c r="F66" i="10"/>
  <c r="F69" i="10"/>
  <c r="F70" i="10"/>
  <c r="F71" i="10"/>
  <c r="K69" i="10"/>
  <c r="K70" i="10"/>
  <c r="K71" i="10"/>
  <c r="K66" i="10"/>
  <c r="K67" i="10"/>
  <c r="K68" i="10"/>
  <c r="M9" i="9"/>
  <c r="M93" i="9"/>
  <c r="M90" i="9"/>
  <c r="M92" i="9"/>
  <c r="M89" i="9"/>
  <c r="M94" i="9"/>
  <c r="M91" i="9"/>
  <c r="J70" i="10"/>
  <c r="J71" i="10"/>
  <c r="J66" i="10"/>
  <c r="J67" i="10"/>
  <c r="J68" i="10"/>
  <c r="J69" i="10"/>
  <c r="L6" i="9"/>
  <c r="L96" i="9" s="1"/>
  <c r="L90" i="9"/>
  <c r="L92" i="9"/>
  <c r="L89" i="9"/>
  <c r="L94" i="9"/>
  <c r="L91" i="9"/>
  <c r="L93" i="9"/>
  <c r="I71" i="10"/>
  <c r="I66" i="10"/>
  <c r="I67" i="10"/>
  <c r="I68" i="10"/>
  <c r="I69" i="10"/>
  <c r="I70" i="10"/>
  <c r="K11" i="9"/>
  <c r="K92" i="9"/>
  <c r="K89" i="9"/>
  <c r="K94" i="9"/>
  <c r="K91" i="9"/>
  <c r="K93" i="9"/>
  <c r="K90" i="9"/>
  <c r="H14" i="9"/>
  <c r="L68" i="10"/>
  <c r="L69" i="10"/>
  <c r="L70" i="10"/>
  <c r="L71" i="10"/>
  <c r="L66" i="10"/>
  <c r="L67" i="10"/>
  <c r="N8" i="9"/>
  <c r="N93" i="9"/>
  <c r="N90" i="9"/>
  <c r="N92" i="9"/>
  <c r="N89" i="9"/>
  <c r="N94" i="9"/>
  <c r="N91" i="9"/>
  <c r="J92" i="9"/>
  <c r="J89" i="9"/>
  <c r="J94" i="9"/>
  <c r="J91" i="9"/>
  <c r="J93" i="9"/>
  <c r="J90" i="9"/>
  <c r="G7" i="10"/>
  <c r="G66" i="10"/>
  <c r="G67" i="10"/>
  <c r="G68" i="10"/>
  <c r="G69" i="10"/>
  <c r="G70" i="10"/>
  <c r="G71" i="10"/>
  <c r="O8" i="10"/>
  <c r="O66" i="10"/>
  <c r="O67" i="10"/>
  <c r="O68" i="10"/>
  <c r="O69" i="10"/>
  <c r="O70" i="10"/>
  <c r="O71" i="10"/>
  <c r="I90" i="9"/>
  <c r="I91" i="9"/>
  <c r="I89" i="9"/>
  <c r="I92" i="9"/>
  <c r="I93" i="9"/>
  <c r="I94" i="9"/>
  <c r="N66" i="10"/>
  <c r="N67" i="10"/>
  <c r="N68" i="10"/>
  <c r="N69" i="10"/>
  <c r="N70" i="10"/>
  <c r="N71" i="10"/>
  <c r="P10" i="9"/>
  <c r="P90" i="9"/>
  <c r="P94" i="9"/>
  <c r="P91" i="9"/>
  <c r="P92" i="9"/>
  <c r="P89" i="9"/>
  <c r="P93" i="9"/>
  <c r="H5" i="10"/>
  <c r="H66" i="10"/>
  <c r="H67" i="10"/>
  <c r="H68" i="10"/>
  <c r="H69" i="10"/>
  <c r="H70" i="10"/>
  <c r="H71" i="10"/>
  <c r="H15" i="9"/>
  <c r="H8" i="9"/>
  <c r="H6" i="9"/>
  <c r="Q78" i="52"/>
  <c r="R70" i="52"/>
  <c r="O79" i="52"/>
  <c r="P71" i="52"/>
  <c r="H18" i="37"/>
  <c r="R18" i="37"/>
  <c r="H56" i="37" s="1"/>
  <c r="R6" i="37"/>
  <c r="H6" i="37" s="1"/>
  <c r="I6" i="37" s="1"/>
  <c r="R19" i="37"/>
  <c r="H19" i="37" s="1"/>
  <c r="I19" i="37" s="1"/>
  <c r="AB2" i="3"/>
  <c r="G17" i="10"/>
  <c r="S4" i="37"/>
  <c r="I13" i="32"/>
  <c r="E88" i="28"/>
  <c r="E7" i="32"/>
  <c r="M49" i="29"/>
  <c r="M45" i="29"/>
  <c r="M50" i="29"/>
  <c r="S19" i="37"/>
  <c r="H17" i="37"/>
  <c r="I17" i="37" s="1"/>
  <c r="H55" i="37"/>
  <c r="I55" i="37" s="1"/>
  <c r="H16" i="37"/>
  <c r="I16" i="37" s="1"/>
  <c r="H54" i="37"/>
  <c r="I54" i="37" s="1"/>
  <c r="H60" i="37"/>
  <c r="I60" i="37" s="1"/>
  <c r="H59" i="37"/>
  <c r="I59" i="37" s="1"/>
  <c r="H44" i="37"/>
  <c r="I44" i="37" s="1"/>
  <c r="H43" i="37"/>
  <c r="I43" i="37" s="1"/>
  <c r="H30" i="37"/>
  <c r="I30" i="37" s="1"/>
  <c r="H49" i="37"/>
  <c r="I49" i="37" s="1"/>
  <c r="H57" i="37"/>
  <c r="I57" i="37" s="1"/>
  <c r="S18" i="37"/>
  <c r="H9" i="37"/>
  <c r="I9" i="37" s="1"/>
  <c r="H28" i="37"/>
  <c r="I28" i="37" s="1"/>
  <c r="H8" i="37"/>
  <c r="I8" i="37" s="1"/>
  <c r="H27" i="37"/>
  <c r="I27" i="37" s="1"/>
  <c r="H41" i="37"/>
  <c r="I41" i="37" s="1"/>
  <c r="H37" i="37"/>
  <c r="I37" i="37" s="1"/>
  <c r="H24" i="37"/>
  <c r="I24" i="37" s="1"/>
  <c r="H15" i="37"/>
  <c r="I15" i="37" s="1"/>
  <c r="H34" i="37"/>
  <c r="I34" i="37" s="1"/>
  <c r="H7" i="37"/>
  <c r="I7" i="37" s="1"/>
  <c r="H26" i="37"/>
  <c r="I26" i="37" s="1"/>
  <c r="H14" i="37"/>
  <c r="I14" i="37" s="1"/>
  <c r="H33" i="37"/>
  <c r="I33" i="37" s="1"/>
  <c r="H40" i="37"/>
  <c r="I40" i="37" s="1"/>
  <c r="H36" i="37"/>
  <c r="I36" i="37" s="1"/>
  <c r="H13" i="37"/>
  <c r="I13" i="37" s="1"/>
  <c r="H32" i="37"/>
  <c r="I32" i="37" s="1"/>
  <c r="H12" i="37"/>
  <c r="I12" i="37" s="1"/>
  <c r="H31" i="37"/>
  <c r="I31" i="37" s="1"/>
  <c r="H35" i="37"/>
  <c r="I35" i="37" s="1"/>
  <c r="H10" i="37"/>
  <c r="I10" i="37" s="1"/>
  <c r="H29" i="37"/>
  <c r="I29" i="37" s="1"/>
  <c r="H38" i="37"/>
  <c r="I38" i="37" s="1"/>
  <c r="H25" i="37"/>
  <c r="I25" i="37" s="1"/>
  <c r="S17" i="37"/>
  <c r="S22" i="37"/>
  <c r="S6" i="37"/>
  <c r="S23" i="37"/>
  <c r="S5" i="37"/>
  <c r="C4" i="37"/>
  <c r="H61" i="37"/>
  <c r="I61" i="37" s="1"/>
  <c r="H11" i="37"/>
  <c r="I11" i="37" s="1"/>
  <c r="I4" i="32"/>
  <c r="E83" i="28"/>
  <c r="I9" i="32"/>
  <c r="I12" i="32"/>
  <c r="I11" i="32"/>
  <c r="N61" i="9" s="1"/>
  <c r="I10" i="32"/>
  <c r="I7" i="32"/>
  <c r="J42" i="9" s="1"/>
  <c r="I8" i="32"/>
  <c r="I6" i="32"/>
  <c r="I44" i="9" s="1"/>
  <c r="F63" i="28"/>
  <c r="J67" i="28" s="1"/>
  <c r="I67" i="28" s="1"/>
  <c r="E98" i="28"/>
  <c r="J12" i="28"/>
  <c r="I12" i="28" s="1"/>
  <c r="G15" i="10"/>
  <c r="G13" i="10"/>
  <c r="G23" i="10"/>
  <c r="G10" i="10"/>
  <c r="E58" i="28"/>
  <c r="E103" i="28"/>
  <c r="AE2" i="3"/>
  <c r="H12" i="9"/>
  <c r="G21" i="10"/>
  <c r="G9" i="10"/>
  <c r="Y2" i="3"/>
  <c r="G24" i="10"/>
  <c r="G12" i="10"/>
  <c r="AK2" i="3"/>
  <c r="H11" i="9"/>
  <c r="G20" i="10"/>
  <c r="H10" i="9"/>
  <c r="G18" i="10"/>
  <c r="BH86" i="3"/>
  <c r="I93" i="3"/>
  <c r="AJ118" i="3"/>
  <c r="AY119" i="3"/>
  <c r="BB124" i="3"/>
  <c r="I114" i="3"/>
  <c r="L112" i="3"/>
  <c r="AI17" i="20"/>
  <c r="AI16" i="20" s="1"/>
  <c r="B1" i="34"/>
  <c r="B2" i="34" s="1"/>
  <c r="D5" i="32" s="1"/>
  <c r="V2" i="3"/>
  <c r="AP86" i="3"/>
  <c r="AD88" i="3"/>
  <c r="BQ90" i="3"/>
  <c r="AY93" i="3"/>
  <c r="AM95" i="3"/>
  <c r="BQ106" i="3"/>
  <c r="BH106" i="3"/>
  <c r="AY107" i="3"/>
  <c r="AP107" i="3"/>
  <c r="BB109" i="3"/>
  <c r="BQ110" i="3"/>
  <c r="AJ110" i="3"/>
  <c r="BN111" i="3"/>
  <c r="AP111" i="3"/>
  <c r="BE112" i="3"/>
  <c r="AV112" i="3"/>
  <c r="BK113" i="3"/>
  <c r="BB113" i="3"/>
  <c r="AJ114" i="3"/>
  <c r="AY115" i="3"/>
  <c r="BB116" i="3"/>
  <c r="BB118" i="3"/>
  <c r="AP118" i="3"/>
  <c r="BE119" i="3"/>
  <c r="BN120" i="3"/>
  <c r="BE123" i="3"/>
  <c r="AJ124" i="3"/>
  <c r="I108" i="3"/>
  <c r="F4" i="20"/>
  <c r="O113" i="3"/>
  <c r="U111" i="3"/>
  <c r="X113" i="3"/>
  <c r="AA111" i="3"/>
  <c r="AA107" i="3"/>
  <c r="I123" i="3"/>
  <c r="M80" i="3"/>
  <c r="V82" i="3"/>
  <c r="Y83" i="3"/>
  <c r="I56" i="37"/>
  <c r="I39" i="37"/>
  <c r="F11" i="10"/>
  <c r="F17" i="10"/>
  <c r="F16" i="10"/>
  <c r="F19" i="10"/>
  <c r="F22" i="10"/>
  <c r="F18" i="10"/>
  <c r="F20" i="10"/>
  <c r="F23" i="10"/>
  <c r="F21" i="10"/>
  <c r="F24" i="10"/>
  <c r="Z14" i="9"/>
  <c r="BQ108" i="3"/>
  <c r="AY109" i="3"/>
  <c r="AG110" i="3"/>
  <c r="BK111" i="3"/>
  <c r="AS112" i="3"/>
  <c r="BE114" i="3"/>
  <c r="AM115" i="3"/>
  <c r="K40" i="11"/>
  <c r="F52" i="3"/>
  <c r="AA86" i="3"/>
  <c r="BQ87" i="3"/>
  <c r="X87" i="3"/>
  <c r="L87" i="3"/>
  <c r="AM88" i="3"/>
  <c r="BQ89" i="3"/>
  <c r="AA89" i="3"/>
  <c r="O89" i="3"/>
  <c r="AJ91" i="3"/>
  <c r="AD92" i="3"/>
  <c r="R92" i="3"/>
  <c r="BH93" i="3"/>
  <c r="AV93" i="3"/>
  <c r="AJ93" i="3"/>
  <c r="AD94" i="3"/>
  <c r="U94" i="3"/>
  <c r="AV95" i="3"/>
  <c r="BH107" i="3"/>
  <c r="AP108" i="3"/>
  <c r="BK110" i="3"/>
  <c r="BB110" i="3"/>
  <c r="AS111" i="3"/>
  <c r="AJ111" i="3"/>
  <c r="BN112" i="3"/>
  <c r="BH115" i="3"/>
  <c r="BK118" i="3"/>
  <c r="BN121" i="3"/>
  <c r="AJ121" i="3"/>
  <c r="AM122" i="3"/>
  <c r="BN123" i="3"/>
  <c r="BK125" i="3"/>
  <c r="AP125" i="3"/>
  <c r="D129" i="3"/>
  <c r="P7" i="4" s="1"/>
  <c r="I115" i="3"/>
  <c r="D107" i="3"/>
  <c r="R5" i="6" s="1"/>
  <c r="L109" i="3"/>
  <c r="H4" i="20" s="1"/>
  <c r="R111" i="3"/>
  <c r="U113" i="3"/>
  <c r="U110" i="3"/>
  <c r="I122" i="3"/>
  <c r="I118" i="3"/>
  <c r="O119" i="3"/>
  <c r="AA121" i="3"/>
  <c r="S83" i="3"/>
  <c r="V78" i="3"/>
  <c r="G3" i="39"/>
  <c r="M64" i="29"/>
  <c r="K15" i="9"/>
  <c r="O12" i="10"/>
  <c r="G16" i="10"/>
  <c r="G8" i="10"/>
  <c r="BO2" i="3"/>
  <c r="A107" i="14" s="1"/>
  <c r="BE106" i="3"/>
  <c r="AM107" i="3"/>
  <c r="U87" i="3"/>
  <c r="X89" i="3"/>
  <c r="O92" i="3"/>
  <c r="AM94" i="3"/>
  <c r="AS95" i="3"/>
  <c r="BH118" i="3"/>
  <c r="R114" i="3"/>
  <c r="U109" i="3"/>
  <c r="AD108" i="3"/>
  <c r="AD110" i="3"/>
  <c r="E122" i="3"/>
  <c r="D10" i="4" s="1"/>
  <c r="W10" i="4" s="1"/>
  <c r="AA120" i="3"/>
  <c r="AD120" i="3"/>
  <c r="K12" i="9"/>
  <c r="O11" i="10"/>
  <c r="O14" i="9"/>
  <c r="O7" i="10"/>
  <c r="G14" i="10"/>
  <c r="G5" i="10"/>
  <c r="O12" i="9"/>
  <c r="U122" i="3"/>
  <c r="D11" i="14"/>
  <c r="F54" i="3"/>
  <c r="BH90" i="3"/>
  <c r="AP91" i="3"/>
  <c r="BN95" i="3"/>
  <c r="BN106" i="3"/>
  <c r="AV107" i="3"/>
  <c r="AM108" i="3"/>
  <c r="BH109" i="3"/>
  <c r="AP110" i="3"/>
  <c r="AG111" i="3"/>
  <c r="BK112" i="3"/>
  <c r="BB112" i="3"/>
  <c r="AS113" i="3"/>
  <c r="AJ113" i="3"/>
  <c r="AV115" i="3"/>
  <c r="BE116" i="3"/>
  <c r="AM117" i="3"/>
  <c r="BE118" i="3"/>
  <c r="BH119" i="3"/>
  <c r="AV119" i="3"/>
  <c r="BH121" i="3"/>
  <c r="AY121" i="3"/>
  <c r="BQ122" i="3"/>
  <c r="BE122" i="3"/>
  <c r="BH123" i="3"/>
  <c r="L107" i="3"/>
  <c r="O107" i="3"/>
  <c r="U108" i="3"/>
  <c r="AD115" i="3"/>
  <c r="U125" i="3"/>
  <c r="X120" i="3"/>
  <c r="AA119" i="3"/>
  <c r="G11" i="11"/>
  <c r="M7" i="6" s="1"/>
  <c r="N7" i="6" s="1"/>
  <c r="O10" i="9"/>
  <c r="W14" i="10"/>
  <c r="O250" i="30"/>
  <c r="P250" i="30" s="1"/>
  <c r="O254" i="30"/>
  <c r="P254" i="30" s="1"/>
  <c r="O258" i="30"/>
  <c r="P258" i="30" s="1"/>
  <c r="O262" i="30"/>
  <c r="P262" i="30" s="1"/>
  <c r="O266" i="30"/>
  <c r="P266" i="30" s="1"/>
  <c r="O270" i="30"/>
  <c r="P270" i="30" s="1"/>
  <c r="O274" i="30"/>
  <c r="P274" i="30" s="1"/>
  <c r="O278" i="30"/>
  <c r="P278" i="30" s="1"/>
  <c r="O282" i="30"/>
  <c r="P282" i="30" s="1"/>
  <c r="O290" i="30"/>
  <c r="P290" i="30" s="1"/>
  <c r="BH88" i="3"/>
  <c r="AS93" i="3"/>
  <c r="BH94" i="3"/>
  <c r="BK121" i="3"/>
  <c r="AM123" i="3"/>
  <c r="AP124" i="3"/>
  <c r="X107" i="3"/>
  <c r="AA116" i="3"/>
  <c r="F93" i="28"/>
  <c r="D4" i="14"/>
  <c r="BE86" i="3"/>
  <c r="AG86" i="3"/>
  <c r="BK87" i="3"/>
  <c r="AY87" i="3"/>
  <c r="R93" i="3"/>
  <c r="BE94" i="3"/>
  <c r="R95" i="3"/>
  <c r="D106" i="3"/>
  <c r="R4" i="6" s="1"/>
  <c r="AD114" i="3"/>
  <c r="AD106" i="3"/>
  <c r="AD124" i="3"/>
  <c r="C61" i="37"/>
  <c r="F14" i="10"/>
  <c r="O8" i="9"/>
  <c r="W11" i="10"/>
  <c r="H9" i="9"/>
  <c r="G19" i="10"/>
  <c r="G11" i="10"/>
  <c r="H20" i="10"/>
  <c r="H40" i="11"/>
  <c r="M8" i="6"/>
  <c r="N8" i="6" s="1"/>
  <c r="D127" i="3"/>
  <c r="P5" i="4" s="1"/>
  <c r="BN86" i="3"/>
  <c r="O87" i="3"/>
  <c r="AJ88" i="3"/>
  <c r="O93" i="3"/>
  <c r="BH114" i="3"/>
  <c r="AM124" i="3"/>
  <c r="I106" i="3"/>
  <c r="E106" i="3"/>
  <c r="L108" i="3"/>
  <c r="O111" i="3"/>
  <c r="X112" i="3"/>
  <c r="E40" i="11"/>
  <c r="M5" i="6"/>
  <c r="N5" i="6" s="1"/>
  <c r="E19" i="32"/>
  <c r="S6" i="9"/>
  <c r="S7" i="9"/>
  <c r="AT2" i="3"/>
  <c r="S8" i="9"/>
  <c r="D131" i="3"/>
  <c r="P9" i="4" s="1"/>
  <c r="M40" i="11"/>
  <c r="BH87" i="3"/>
  <c r="BE88" i="3"/>
  <c r="BE92" i="3"/>
  <c r="AG93" i="3"/>
  <c r="AY95" i="3"/>
  <c r="AS106" i="3"/>
  <c r="AG121" i="3"/>
  <c r="AG125" i="3"/>
  <c r="L115" i="3"/>
  <c r="E119" i="3"/>
  <c r="D7" i="4" s="1"/>
  <c r="D110" i="3"/>
  <c r="BB88" i="3"/>
  <c r="BB89" i="3"/>
  <c r="BB119" i="3"/>
  <c r="BK123" i="3"/>
  <c r="O116" i="3"/>
  <c r="E17" i="32"/>
  <c r="Q13" i="9"/>
  <c r="Q6" i="9"/>
  <c r="Q8" i="9"/>
  <c r="V6" i="10"/>
  <c r="I40" i="11"/>
  <c r="M9" i="6"/>
  <c r="N9" i="6" s="1"/>
  <c r="P17" i="20"/>
  <c r="P16" i="20" s="1"/>
  <c r="E171" i="9"/>
  <c r="C20" i="39" s="1"/>
  <c r="AJ86" i="3"/>
  <c r="AG87" i="3"/>
  <c r="AY108" i="3"/>
  <c r="AP109" i="3"/>
  <c r="AG109" i="3"/>
  <c r="BB111" i="3"/>
  <c r="G4" i="20"/>
  <c r="O109" i="3"/>
  <c r="D112" i="3"/>
  <c r="U120" i="3"/>
  <c r="B1" i="33"/>
  <c r="B2" i="33" s="1"/>
  <c r="C3" i="32" s="1"/>
  <c r="E16" i="32"/>
  <c r="D47" i="14"/>
  <c r="AZ17" i="20"/>
  <c r="AZ16" i="20" s="1"/>
  <c r="E15" i="32"/>
  <c r="D11" i="11"/>
  <c r="E78" i="28"/>
  <c r="E20" i="32"/>
  <c r="D116" i="14"/>
  <c r="AY92" i="3"/>
  <c r="AA93" i="3"/>
  <c r="AS94" i="3"/>
  <c r="AY120" i="3"/>
  <c r="D122" i="3"/>
  <c r="C10" i="4" s="1"/>
  <c r="V10" i="4" s="1"/>
  <c r="BQ125" i="3"/>
  <c r="L113" i="3"/>
  <c r="I125" i="3"/>
  <c r="I117" i="3"/>
  <c r="R125" i="3"/>
  <c r="Q11" i="9"/>
  <c r="Y5" i="10"/>
  <c r="Y11" i="10"/>
  <c r="I5" i="10"/>
  <c r="I75" i="10" s="1"/>
  <c r="I9" i="10"/>
  <c r="M11" i="9"/>
  <c r="M12" i="9"/>
  <c r="M13" i="9"/>
  <c r="M14" i="9"/>
  <c r="Y14" i="10"/>
  <c r="D14" i="20"/>
  <c r="I116" i="3"/>
  <c r="E17" i="20" s="1"/>
  <c r="X13" i="10"/>
  <c r="X5" i="10"/>
  <c r="S9" i="9"/>
  <c r="Y13" i="10"/>
  <c r="AV92" i="3"/>
  <c r="BQ120" i="3"/>
  <c r="I124" i="3"/>
  <c r="AD123" i="3"/>
  <c r="D71" i="3"/>
  <c r="BB86" i="3"/>
  <c r="AD86" i="3"/>
  <c r="AA87" i="3"/>
  <c r="BQ91" i="3"/>
  <c r="AA91" i="3"/>
  <c r="E116" i="3"/>
  <c r="D4" i="4" s="1"/>
  <c r="W4" i="4" s="1"/>
  <c r="AA123" i="3"/>
  <c r="AD122" i="3"/>
  <c r="U9" i="9"/>
  <c r="Z5" i="10"/>
  <c r="D86" i="3"/>
  <c r="D41" i="14"/>
  <c r="D43" i="14"/>
  <c r="AG108" i="3"/>
  <c r="BK109" i="3"/>
  <c r="AS110" i="3"/>
  <c r="AM113" i="3"/>
  <c r="G13" i="9"/>
  <c r="D108" i="3"/>
  <c r="R6" i="6" s="1"/>
  <c r="B24" i="35"/>
  <c r="B16" i="35"/>
  <c r="U5" i="10"/>
  <c r="U12" i="10"/>
  <c r="U13" i="10"/>
  <c r="U14" i="10"/>
  <c r="AV86" i="3"/>
  <c r="AP88" i="3"/>
  <c r="AP93" i="3"/>
  <c r="BH95" i="3"/>
  <c r="O95" i="3"/>
  <c r="AY117" i="3"/>
  <c r="AV118" i="3"/>
  <c r="AY123" i="3"/>
  <c r="E115" i="3"/>
  <c r="S13" i="6" s="1"/>
  <c r="X114" i="3"/>
  <c r="L124" i="3"/>
  <c r="F13" i="10"/>
  <c r="I8" i="10"/>
  <c r="F7" i="3"/>
  <c r="I6" i="10"/>
  <c r="G8" i="9"/>
  <c r="G9" i="9"/>
  <c r="G14" i="9"/>
  <c r="G15" i="9"/>
  <c r="D69" i="3"/>
  <c r="X86" i="3"/>
  <c r="BN87" i="3"/>
  <c r="U89" i="3"/>
  <c r="AP90" i="3"/>
  <c r="AM91" i="3"/>
  <c r="BK92" i="3"/>
  <c r="AM92" i="3"/>
  <c r="BE95" i="3"/>
  <c r="AJ95" i="3"/>
  <c r="BN118" i="3"/>
  <c r="BE121" i="3"/>
  <c r="AG122" i="3"/>
  <c r="BK124" i="3"/>
  <c r="I107" i="3"/>
  <c r="I121" i="3"/>
  <c r="E112" i="3"/>
  <c r="BQ116" i="3"/>
  <c r="BK120" i="3"/>
  <c r="AG123" i="3"/>
  <c r="I112" i="3"/>
  <c r="AA118" i="3"/>
  <c r="O10" i="10"/>
  <c r="AH2" i="3"/>
  <c r="F13" i="3"/>
  <c r="F47" i="3"/>
  <c r="AW78" i="3"/>
  <c r="AH82" i="3"/>
  <c r="AS86" i="3"/>
  <c r="AS87" i="3"/>
  <c r="BN88" i="3"/>
  <c r="AY90" i="3"/>
  <c r="AD90" i="3"/>
  <c r="BQ93" i="3"/>
  <c r="AD93" i="3"/>
  <c r="BQ94" i="3"/>
  <c r="BK108" i="3"/>
  <c r="BB108" i="3"/>
  <c r="AS109" i="3"/>
  <c r="BN110" i="3"/>
  <c r="BH113" i="3"/>
  <c r="AG115" i="3"/>
  <c r="AP117" i="3"/>
  <c r="AS118" i="3"/>
  <c r="BK119" i="3"/>
  <c r="AP119" i="3"/>
  <c r="AJ122" i="3"/>
  <c r="BB123" i="3"/>
  <c r="O110" i="3"/>
  <c r="U115" i="3"/>
  <c r="X111" i="3"/>
  <c r="AA114" i="3"/>
  <c r="AA124" i="3"/>
  <c r="M82" i="3"/>
  <c r="P84" i="3"/>
  <c r="S79" i="3"/>
  <c r="V80" i="3"/>
  <c r="Y81" i="3"/>
  <c r="K14" i="9"/>
  <c r="D13" i="14"/>
  <c r="AK78" i="3"/>
  <c r="AZ83" i="3"/>
  <c r="BK86" i="3"/>
  <c r="AA90" i="3"/>
  <c r="X92" i="3"/>
  <c r="X93" i="3"/>
  <c r="X95" i="3"/>
  <c r="AS108" i="3"/>
  <c r="BE110" i="3"/>
  <c r="AM111" i="3"/>
  <c r="BQ112" i="3"/>
  <c r="AG114" i="3"/>
  <c r="BK115" i="3"/>
  <c r="AP116" i="3"/>
  <c r="AM120" i="3"/>
  <c r="BB122" i="3"/>
  <c r="AV123" i="3"/>
  <c r="AV124" i="3"/>
  <c r="U114" i="3"/>
  <c r="X109" i="3"/>
  <c r="I119" i="3"/>
  <c r="R121" i="3"/>
  <c r="AD121" i="3"/>
  <c r="J83" i="3"/>
  <c r="M79" i="3"/>
  <c r="P79" i="3"/>
  <c r="I5" i="32"/>
  <c r="H62" i="9" s="1"/>
  <c r="AV113" i="3"/>
  <c r="E113" i="3"/>
  <c r="S11" i="6" s="1"/>
  <c r="D109" i="3"/>
  <c r="AG112" i="3"/>
  <c r="F50" i="3"/>
  <c r="AH79" i="3"/>
  <c r="AZ84" i="3"/>
  <c r="D42" i="14"/>
  <c r="AS90" i="3"/>
  <c r="X90" i="3"/>
  <c r="U91" i="3"/>
  <c r="D93" i="3"/>
  <c r="U95" i="3"/>
  <c r="BE107" i="3"/>
  <c r="AV108" i="3"/>
  <c r="BQ109" i="3"/>
  <c r="BH110" i="3"/>
  <c r="AY110" i="3"/>
  <c r="BN115" i="3"/>
  <c r="BE115" i="3"/>
  <c r="AJ117" i="3"/>
  <c r="AJ120" i="3"/>
  <c r="AY122" i="3"/>
  <c r="AS124" i="3"/>
  <c r="AS125" i="3"/>
  <c r="E109" i="3"/>
  <c r="AA112" i="3"/>
  <c r="AD119" i="3"/>
  <c r="J76" i="3"/>
  <c r="O11" i="9"/>
  <c r="W13" i="10"/>
  <c r="D6" i="14"/>
  <c r="D83" i="14"/>
  <c r="D73" i="3"/>
  <c r="BF77" i="3"/>
  <c r="AT81" i="3"/>
  <c r="AE85" i="3"/>
  <c r="AD87" i="3"/>
  <c r="AY88" i="3"/>
  <c r="AG91" i="3"/>
  <c r="BB93" i="3"/>
  <c r="BB94" i="3"/>
  <c r="L94" i="3"/>
  <c r="BB95" i="3"/>
  <c r="AV109" i="3"/>
  <c r="AG113" i="3"/>
  <c r="BK114" i="3"/>
  <c r="AY116" i="3"/>
  <c r="AV117" i="3"/>
  <c r="BQ119" i="3"/>
  <c r="BE125" i="3"/>
  <c r="AJ125" i="3"/>
  <c r="O112" i="3"/>
  <c r="R115" i="3"/>
  <c r="D124" i="3"/>
  <c r="C12" i="4" s="1"/>
  <c r="V12" i="4" s="1"/>
  <c r="D119" i="3"/>
  <c r="C7" i="4" s="1"/>
  <c r="V7" i="4" s="1"/>
  <c r="AD118" i="3"/>
  <c r="AB85" i="3"/>
  <c r="O286" i="30"/>
  <c r="P286" i="30" s="1"/>
  <c r="O294" i="30"/>
  <c r="P294" i="30" s="1"/>
  <c r="R123" i="3"/>
  <c r="M55" i="29"/>
  <c r="M59" i="29"/>
  <c r="M63" i="29"/>
  <c r="M54" i="29"/>
  <c r="M57" i="29"/>
  <c r="M61" i="29"/>
  <c r="M44" i="29"/>
  <c r="M48" i="29"/>
  <c r="M52" i="29"/>
  <c r="M56" i="29"/>
  <c r="M60" i="29"/>
  <c r="I20" i="37"/>
  <c r="I75" i="37"/>
  <c r="I5" i="37"/>
  <c r="I78" i="37"/>
  <c r="I77" i="37"/>
  <c r="I76" i="37"/>
  <c r="I82" i="37"/>
  <c r="I81" i="37"/>
  <c r="I73" i="37"/>
  <c r="I80" i="37"/>
  <c r="M62" i="29"/>
  <c r="M46" i="29"/>
  <c r="M43" i="29"/>
  <c r="M42" i="29"/>
  <c r="M58" i="29"/>
  <c r="D4" i="32"/>
  <c r="D3" i="32"/>
  <c r="F109" i="3"/>
  <c r="S7" i="6"/>
  <c r="AR4" i="20"/>
  <c r="D90" i="3"/>
  <c r="AS123" i="3"/>
  <c r="L89" i="3"/>
  <c r="AS116" i="3"/>
  <c r="BK117" i="3"/>
  <c r="J66" i="9"/>
  <c r="J63" i="9"/>
  <c r="J64" i="9"/>
  <c r="J6" i="9"/>
  <c r="J10" i="9"/>
  <c r="J14" i="9"/>
  <c r="J59" i="9"/>
  <c r="J62" i="9"/>
  <c r="J39" i="9"/>
  <c r="J8" i="9"/>
  <c r="J9" i="9"/>
  <c r="J11" i="9"/>
  <c r="J12" i="9"/>
  <c r="J13" i="9"/>
  <c r="J15" i="9"/>
  <c r="R7" i="6"/>
  <c r="H7" i="4"/>
  <c r="O121" i="3"/>
  <c r="E121" i="3"/>
  <c r="D9" i="4" s="1"/>
  <c r="Y97" i="9"/>
  <c r="Y88" i="9"/>
  <c r="Y94" i="9"/>
  <c r="Y85" i="9"/>
  <c r="Y91" i="9"/>
  <c r="Y82" i="9"/>
  <c r="Y79" i="9"/>
  <c r="Y120" i="9"/>
  <c r="Y126" i="9"/>
  <c r="Y44" i="9"/>
  <c r="Y122" i="9"/>
  <c r="Y107" i="9"/>
  <c r="Y58" i="9"/>
  <c r="Y62" i="9"/>
  <c r="Y66" i="9"/>
  <c r="Y83" i="9"/>
  <c r="Y87" i="9"/>
  <c r="Y93" i="9"/>
  <c r="Y124" i="9"/>
  <c r="Y109" i="9"/>
  <c r="Y125" i="9"/>
  <c r="Y86" i="9"/>
  <c r="Y92" i="9"/>
  <c r="Y127" i="9"/>
  <c r="Y59" i="9"/>
  <c r="Y63" i="9"/>
  <c r="Y98" i="9"/>
  <c r="Y96" i="9"/>
  <c r="Y81" i="9"/>
  <c r="Y90" i="9"/>
  <c r="Y95" i="9"/>
  <c r="Y9" i="9"/>
  <c r="Y64" i="9"/>
  <c r="Y65" i="9"/>
  <c r="Y89" i="9"/>
  <c r="Y84" i="9"/>
  <c r="Y123" i="9"/>
  <c r="Y103" i="9"/>
  <c r="Y108" i="9"/>
  <c r="Y40" i="9"/>
  <c r="Y45" i="9"/>
  <c r="Y60" i="9"/>
  <c r="Y61" i="9"/>
  <c r="Y80" i="9"/>
  <c r="Y102" i="9"/>
  <c r="Y104" i="9"/>
  <c r="Y106" i="9"/>
  <c r="Y42" i="9"/>
  <c r="Y46" i="9"/>
  <c r="Y57" i="9"/>
  <c r="Y128" i="9"/>
  <c r="Y37" i="9"/>
  <c r="Y39" i="9"/>
  <c r="Y100" i="9"/>
  <c r="Y6" i="9"/>
  <c r="Y121" i="9"/>
  <c r="Y41" i="9"/>
  <c r="Y105" i="9"/>
  <c r="Y43" i="9"/>
  <c r="Y11" i="9"/>
  <c r="Y101" i="9"/>
  <c r="Y129" i="9"/>
  <c r="Y38" i="9"/>
  <c r="Y10" i="9"/>
  <c r="Y12" i="9"/>
  <c r="Y13" i="9"/>
  <c r="Y14" i="9"/>
  <c r="Y15" i="9"/>
  <c r="Y7" i="9"/>
  <c r="Y8" i="9"/>
  <c r="I9" i="9"/>
  <c r="I13" i="9"/>
  <c r="I6" i="9"/>
  <c r="I97" i="9" s="1"/>
  <c r="I7" i="9"/>
  <c r="I8" i="9"/>
  <c r="I10" i="9"/>
  <c r="I11" i="9"/>
  <c r="I12" i="9"/>
  <c r="I14" i="9"/>
  <c r="I15" i="9"/>
  <c r="AH17" i="20"/>
  <c r="AH16" i="20" s="1"/>
  <c r="D117" i="3"/>
  <c r="C5" i="4" s="1"/>
  <c r="V5" i="4" s="1"/>
  <c r="F17" i="20"/>
  <c r="F16" i="20" s="1"/>
  <c r="R86" i="3"/>
  <c r="D89" i="3"/>
  <c r="BB90" i="3"/>
  <c r="AM93" i="3"/>
  <c r="AS121" i="3"/>
  <c r="L111" i="3"/>
  <c r="D111" i="3"/>
  <c r="I4" i="20"/>
  <c r="AK4" i="20"/>
  <c r="F40" i="11"/>
  <c r="M6" i="6"/>
  <c r="N6" i="6" s="1"/>
  <c r="D88" i="3"/>
  <c r="O17" i="20"/>
  <c r="O16" i="20" s="1"/>
  <c r="P2" i="3"/>
  <c r="F12" i="3"/>
  <c r="D74" i="3"/>
  <c r="E89" i="3"/>
  <c r="I89" i="3"/>
  <c r="D114" i="3"/>
  <c r="E73" i="28"/>
  <c r="X88" i="9"/>
  <c r="X94" i="9"/>
  <c r="X85" i="9"/>
  <c r="X91" i="9"/>
  <c r="X82" i="9"/>
  <c r="X79" i="9"/>
  <c r="X96" i="9"/>
  <c r="X103" i="9"/>
  <c r="X83" i="9"/>
  <c r="X87" i="9"/>
  <c r="X123" i="9"/>
  <c r="X108" i="9"/>
  <c r="X93" i="9"/>
  <c r="X125" i="9"/>
  <c r="X86" i="9"/>
  <c r="X92" i="9"/>
  <c r="X126" i="9"/>
  <c r="X127" i="9"/>
  <c r="X59" i="9"/>
  <c r="X63" i="9"/>
  <c r="X98" i="9"/>
  <c r="X120" i="9"/>
  <c r="X128" i="9"/>
  <c r="X37" i="9"/>
  <c r="X97" i="9"/>
  <c r="X81" i="9"/>
  <c r="X90" i="9"/>
  <c r="X95" i="9"/>
  <c r="X64" i="9"/>
  <c r="X65" i="9"/>
  <c r="X66" i="9"/>
  <c r="X15" i="9"/>
  <c r="X124" i="9"/>
  <c r="X104" i="9"/>
  <c r="X109" i="9"/>
  <c r="X41" i="9"/>
  <c r="X46" i="9"/>
  <c r="X89" i="9"/>
  <c r="X84" i="9"/>
  <c r="X39" i="9"/>
  <c r="X80" i="9"/>
  <c r="X122" i="9"/>
  <c r="X102" i="9"/>
  <c r="X60" i="9"/>
  <c r="X9" i="9"/>
  <c r="X57" i="9"/>
  <c r="X100" i="9"/>
  <c r="X13" i="9"/>
  <c r="X121" i="9"/>
  <c r="X62" i="9"/>
  <c r="X105" i="9"/>
  <c r="X107" i="9"/>
  <c r="X43" i="9"/>
  <c r="X101" i="9"/>
  <c r="X45" i="9"/>
  <c r="X129" i="9"/>
  <c r="X38" i="9"/>
  <c r="X58" i="9"/>
  <c r="X61" i="9"/>
  <c r="X40" i="9"/>
  <c r="X106" i="9"/>
  <c r="X42" i="9"/>
  <c r="X44" i="9"/>
  <c r="X6" i="9"/>
  <c r="X7" i="9"/>
  <c r="X8" i="9"/>
  <c r="X10" i="9"/>
  <c r="X11" i="9"/>
  <c r="X12" i="9"/>
  <c r="X14" i="9"/>
  <c r="Z97" i="9"/>
  <c r="Z88" i="9"/>
  <c r="Z94" i="9"/>
  <c r="Z85" i="9"/>
  <c r="Z91" i="9"/>
  <c r="Z82" i="9"/>
  <c r="Z80" i="9"/>
  <c r="Z102" i="9"/>
  <c r="Z81" i="9"/>
  <c r="Z121" i="9"/>
  <c r="Z106" i="9"/>
  <c r="Z79" i="9"/>
  <c r="Z83" i="9"/>
  <c r="Z87" i="9"/>
  <c r="Z123" i="9"/>
  <c r="Z108" i="9"/>
  <c r="Z93" i="9"/>
  <c r="Z124" i="9"/>
  <c r="Z109" i="9"/>
  <c r="Z125" i="9"/>
  <c r="Z126" i="9"/>
  <c r="Z86" i="9"/>
  <c r="Z92" i="9"/>
  <c r="Z120" i="9"/>
  <c r="Z98" i="9"/>
  <c r="Z96" i="9"/>
  <c r="Z129" i="9"/>
  <c r="Z100" i="9"/>
  <c r="Z105" i="9"/>
  <c r="Z42" i="9"/>
  <c r="Z66" i="9"/>
  <c r="Z89" i="9"/>
  <c r="Z62" i="9"/>
  <c r="Z84" i="9"/>
  <c r="Z127" i="9"/>
  <c r="Z103" i="9"/>
  <c r="Z40" i="9"/>
  <c r="Z45" i="9"/>
  <c r="Z59" i="9"/>
  <c r="Z60" i="9"/>
  <c r="Z61" i="9"/>
  <c r="Z90" i="9"/>
  <c r="Z95" i="9"/>
  <c r="Z122" i="9"/>
  <c r="Z44" i="9"/>
  <c r="Z12" i="9"/>
  <c r="Z104" i="9"/>
  <c r="Z46" i="9"/>
  <c r="Z57" i="9"/>
  <c r="Z128" i="9"/>
  <c r="Z37" i="9"/>
  <c r="Z39" i="9"/>
  <c r="Z65" i="9"/>
  <c r="Z41" i="9"/>
  <c r="Z107" i="9"/>
  <c r="Z43" i="9"/>
  <c r="Z64" i="9"/>
  <c r="Z101" i="9"/>
  <c r="Z38" i="9"/>
  <c r="Z58" i="9"/>
  <c r="Z63" i="9"/>
  <c r="Z6" i="9"/>
  <c r="Z7" i="9"/>
  <c r="Z8" i="9"/>
  <c r="Z9" i="9"/>
  <c r="Z10" i="9"/>
  <c r="Z11" i="9"/>
  <c r="F79" i="9"/>
  <c r="F43" i="9"/>
  <c r="F63" i="9"/>
  <c r="F89" i="9"/>
  <c r="F120" i="9"/>
  <c r="F42" i="9"/>
  <c r="F44" i="9"/>
  <c r="F100" i="9"/>
  <c r="F59" i="9"/>
  <c r="F13" i="9"/>
  <c r="F61" i="9"/>
  <c r="F62" i="9"/>
  <c r="F39" i="9"/>
  <c r="F64" i="9"/>
  <c r="F65" i="9"/>
  <c r="F41" i="9"/>
  <c r="F66" i="9"/>
  <c r="F45" i="9"/>
  <c r="F46" i="9"/>
  <c r="F6" i="9"/>
  <c r="F7" i="9"/>
  <c r="F8" i="9"/>
  <c r="F9" i="9"/>
  <c r="F10" i="9"/>
  <c r="F11" i="9"/>
  <c r="F12" i="9"/>
  <c r="F14" i="9"/>
  <c r="F15" i="9"/>
  <c r="Z13" i="9"/>
  <c r="S10" i="6"/>
  <c r="F112" i="3"/>
  <c r="W85" i="9"/>
  <c r="W91" i="9"/>
  <c r="W82" i="9"/>
  <c r="W79" i="9"/>
  <c r="W98" i="9"/>
  <c r="W95" i="9"/>
  <c r="W87" i="9"/>
  <c r="W93" i="9"/>
  <c r="W127" i="9"/>
  <c r="W37" i="9"/>
  <c r="W45" i="9"/>
  <c r="W124" i="9"/>
  <c r="W109" i="9"/>
  <c r="W86" i="9"/>
  <c r="W92" i="9"/>
  <c r="W126" i="9"/>
  <c r="W59" i="9"/>
  <c r="W63" i="9"/>
  <c r="W120" i="9"/>
  <c r="W128" i="9"/>
  <c r="W129" i="9"/>
  <c r="W38" i="9"/>
  <c r="W97" i="9"/>
  <c r="W96" i="9"/>
  <c r="W81" i="9"/>
  <c r="W90" i="9"/>
  <c r="W89" i="9"/>
  <c r="W88" i="9"/>
  <c r="W104" i="9"/>
  <c r="W41" i="9"/>
  <c r="W46" i="9"/>
  <c r="W83" i="9"/>
  <c r="W84" i="9"/>
  <c r="W94" i="9"/>
  <c r="W39" i="9"/>
  <c r="W80" i="9"/>
  <c r="W122" i="9"/>
  <c r="W102" i="9"/>
  <c r="W107" i="9"/>
  <c r="W44" i="9"/>
  <c r="W58" i="9"/>
  <c r="W121" i="9"/>
  <c r="W57" i="9"/>
  <c r="W108" i="9"/>
  <c r="W100" i="9"/>
  <c r="W123" i="9"/>
  <c r="W65" i="9"/>
  <c r="W62" i="9"/>
  <c r="W105" i="9"/>
  <c r="W43" i="9"/>
  <c r="W101" i="9"/>
  <c r="W8" i="9"/>
  <c r="W103" i="9"/>
  <c r="W64" i="9"/>
  <c r="W61" i="9"/>
  <c r="W40" i="9"/>
  <c r="W106" i="9"/>
  <c r="W42" i="9"/>
  <c r="W125" i="9"/>
  <c r="W60" i="9"/>
  <c r="W66" i="9"/>
  <c r="W11" i="9"/>
  <c r="W12" i="9"/>
  <c r="W13" i="9"/>
  <c r="W14" i="9"/>
  <c r="W15" i="9"/>
  <c r="W6" i="9"/>
  <c r="W7" i="9"/>
  <c r="W9" i="9"/>
  <c r="W10" i="9"/>
  <c r="BN94" i="3"/>
  <c r="L17" i="20"/>
  <c r="L16" i="20" s="1"/>
  <c r="AN17" i="20"/>
  <c r="AN16" i="20" s="1"/>
  <c r="F11" i="3"/>
  <c r="F8" i="3"/>
  <c r="BE87" i="3"/>
  <c r="E114" i="3"/>
  <c r="E10" i="32"/>
  <c r="E14" i="32"/>
  <c r="E12" i="32"/>
  <c r="E13" i="32"/>
  <c r="E11" i="32"/>
  <c r="E9" i="32"/>
  <c r="Z61" i="10"/>
  <c r="Z58" i="10"/>
  <c r="Z65" i="10"/>
  <c r="Z63" i="10"/>
  <c r="Z59" i="10"/>
  <c r="Z17" i="10"/>
  <c r="Z64" i="10"/>
  <c r="Z57" i="10"/>
  <c r="Z62" i="10"/>
  <c r="Z56" i="10"/>
  <c r="Z20" i="10"/>
  <c r="Z10" i="10"/>
  <c r="Z21" i="10"/>
  <c r="Z60" i="10"/>
  <c r="Z6" i="10"/>
  <c r="Z15" i="10"/>
  <c r="Z16" i="10"/>
  <c r="Z18" i="10"/>
  <c r="Z11" i="10"/>
  <c r="Z19" i="10"/>
  <c r="Z22" i="10"/>
  <c r="Z23" i="10"/>
  <c r="Z24" i="10"/>
  <c r="Z8" i="10"/>
  <c r="Z9" i="10"/>
  <c r="Z12" i="10"/>
  <c r="Z13" i="10"/>
  <c r="Z14" i="10"/>
  <c r="J10" i="10"/>
  <c r="J20" i="10"/>
  <c r="J21" i="10"/>
  <c r="J22" i="10"/>
  <c r="J23" i="10"/>
  <c r="J24" i="10"/>
  <c r="J5" i="10"/>
  <c r="J72" i="10" s="1"/>
  <c r="J9" i="10"/>
  <c r="J15" i="10"/>
  <c r="J16" i="10"/>
  <c r="J17" i="10"/>
  <c r="J18" i="10"/>
  <c r="J19" i="10"/>
  <c r="J6" i="10"/>
  <c r="J7" i="10"/>
  <c r="J8" i="10"/>
  <c r="J11" i="10"/>
  <c r="J12" i="10"/>
  <c r="J13" i="10"/>
  <c r="J14" i="10"/>
  <c r="R8" i="6"/>
  <c r="H8" i="4"/>
  <c r="AA108" i="3"/>
  <c r="AY4" i="20" s="1"/>
  <c r="AX4" i="20"/>
  <c r="V4" i="20"/>
  <c r="X124" i="3"/>
  <c r="E124" i="3"/>
  <c r="D12" i="4" s="1"/>
  <c r="E12" i="4" s="1"/>
  <c r="R90" i="3"/>
  <c r="X110" i="3"/>
  <c r="AU4" i="20"/>
  <c r="BK93" i="3"/>
  <c r="AV116" i="3"/>
  <c r="I109" i="3"/>
  <c r="D123" i="3"/>
  <c r="C11" i="4" s="1"/>
  <c r="V11" i="4" s="1"/>
  <c r="U119" i="3"/>
  <c r="Q17" i="20" s="1"/>
  <c r="Q16" i="20" s="1"/>
  <c r="M41" i="29"/>
  <c r="U20" i="29"/>
  <c r="K2" i="29"/>
  <c r="D41" i="29"/>
  <c r="E117" i="3"/>
  <c r="D5" i="4" s="1"/>
  <c r="W5" i="4" s="1"/>
  <c r="D115" i="3"/>
  <c r="J4" i="20"/>
  <c r="E108" i="3"/>
  <c r="AK17" i="20"/>
  <c r="AK16" i="20" s="1"/>
  <c r="I17" i="20"/>
  <c r="I16" i="20" s="1"/>
  <c r="E123" i="3"/>
  <c r="D11" i="4" s="1"/>
  <c r="E95" i="3"/>
  <c r="E68" i="28"/>
  <c r="BK89" i="3"/>
  <c r="BB92" i="3"/>
  <c r="E92" i="3"/>
  <c r="D126" i="3"/>
  <c r="P4" i="4" s="1"/>
  <c r="D134" i="3"/>
  <c r="P12" i="4" s="1"/>
  <c r="U79" i="9"/>
  <c r="U98" i="9"/>
  <c r="U95" i="9"/>
  <c r="U86" i="9"/>
  <c r="U92" i="9"/>
  <c r="U83" i="9"/>
  <c r="U89" i="9"/>
  <c r="U81" i="9"/>
  <c r="U128" i="9"/>
  <c r="U38" i="9"/>
  <c r="U46" i="9"/>
  <c r="U82" i="9"/>
  <c r="U126" i="9"/>
  <c r="U59" i="9"/>
  <c r="U63" i="9"/>
  <c r="U120" i="9"/>
  <c r="U129" i="9"/>
  <c r="U37" i="9"/>
  <c r="U39" i="9"/>
  <c r="U40" i="9"/>
  <c r="U60" i="9"/>
  <c r="U64" i="9"/>
  <c r="U97" i="9"/>
  <c r="U91" i="9"/>
  <c r="U96" i="9"/>
  <c r="U85" i="9"/>
  <c r="U90" i="9"/>
  <c r="U80" i="9"/>
  <c r="U84" i="9"/>
  <c r="U88" i="9"/>
  <c r="U61" i="9"/>
  <c r="U62" i="9"/>
  <c r="U93" i="9"/>
  <c r="U94" i="9"/>
  <c r="U122" i="9"/>
  <c r="U127" i="9"/>
  <c r="U102" i="9"/>
  <c r="U107" i="9"/>
  <c r="U44" i="9"/>
  <c r="U58" i="9"/>
  <c r="U57" i="9"/>
  <c r="U121" i="9"/>
  <c r="U101" i="9"/>
  <c r="U100" i="9"/>
  <c r="U13" i="9"/>
  <c r="U123" i="9"/>
  <c r="U65" i="9"/>
  <c r="U105" i="9"/>
  <c r="U41" i="9"/>
  <c r="U43" i="9"/>
  <c r="U87" i="9"/>
  <c r="U103" i="9"/>
  <c r="U45" i="9"/>
  <c r="U124" i="9"/>
  <c r="U109" i="9"/>
  <c r="U106" i="9"/>
  <c r="U42" i="9"/>
  <c r="U66" i="9"/>
  <c r="U125" i="9"/>
  <c r="U104" i="9"/>
  <c r="U108" i="9"/>
  <c r="U11" i="9"/>
  <c r="U12" i="9"/>
  <c r="U14" i="9"/>
  <c r="U15" i="9"/>
  <c r="U6" i="9"/>
  <c r="U7" i="9"/>
  <c r="U8" i="9"/>
  <c r="AZ2" i="3"/>
  <c r="C42" i="37"/>
  <c r="J40" i="11"/>
  <c r="M10" i="6"/>
  <c r="N10" i="6" s="1"/>
  <c r="U107" i="3"/>
  <c r="D120" i="3"/>
  <c r="C8" i="4" s="1"/>
  <c r="V8" i="4" s="1"/>
  <c r="E91" i="3"/>
  <c r="D72" i="3"/>
  <c r="D91" i="3"/>
  <c r="D133" i="3"/>
  <c r="P11" i="4" s="1"/>
  <c r="S20" i="37"/>
  <c r="G2" i="37"/>
  <c r="L40" i="11"/>
  <c r="M12" i="6"/>
  <c r="N12" i="6" s="1"/>
  <c r="D75" i="3"/>
  <c r="E86" i="3"/>
  <c r="D87" i="3"/>
  <c r="E88" i="3"/>
  <c r="D94" i="3"/>
  <c r="AX17" i="20"/>
  <c r="AX16" i="20" s="1"/>
  <c r="V17" i="20"/>
  <c r="V16" i="20" s="1"/>
  <c r="H10" i="4"/>
  <c r="R10" i="6"/>
  <c r="O90" i="3"/>
  <c r="U93" i="3"/>
  <c r="F93" i="3" s="1"/>
  <c r="E93" i="3"/>
  <c r="E120" i="3"/>
  <c r="D8" i="4" s="1"/>
  <c r="I120" i="3"/>
  <c r="F120" i="3" s="1"/>
  <c r="D116" i="3"/>
  <c r="C4" i="4" s="1"/>
  <c r="D118" i="14"/>
  <c r="F56" i="3"/>
  <c r="I87" i="3"/>
  <c r="AS91" i="3"/>
  <c r="E94" i="3"/>
  <c r="D12" i="14"/>
  <c r="D95" i="3"/>
  <c r="L95" i="3"/>
  <c r="D132" i="3"/>
  <c r="P10" i="4" s="1"/>
  <c r="AN4" i="20"/>
  <c r="AQ17" i="20"/>
  <c r="AQ16" i="20" s="1"/>
  <c r="S2" i="3"/>
  <c r="G20" i="39"/>
  <c r="G21" i="39"/>
  <c r="D44" i="14"/>
  <c r="D74" i="14"/>
  <c r="D66" i="3"/>
  <c r="D68" i="3"/>
  <c r="AK76" i="3"/>
  <c r="BL80" i="3"/>
  <c r="BC83" i="3"/>
  <c r="AV94" i="3"/>
  <c r="R113" i="3"/>
  <c r="D113" i="3"/>
  <c r="R106" i="3"/>
  <c r="M4" i="20"/>
  <c r="AO4" i="20"/>
  <c r="X4" i="20"/>
  <c r="AZ4" i="20"/>
  <c r="X118" i="3"/>
  <c r="AU17" i="20"/>
  <c r="AU16" i="20" s="1"/>
  <c r="E118" i="3"/>
  <c r="D6" i="4" s="1"/>
  <c r="W6" i="4" s="1"/>
  <c r="J77" i="3"/>
  <c r="M78" i="3"/>
  <c r="P81" i="3"/>
  <c r="S77" i="3"/>
  <c r="V79" i="3"/>
  <c r="Y82" i="3"/>
  <c r="L117" i="3"/>
  <c r="M17" i="20"/>
  <c r="M16" i="20" s="1"/>
  <c r="R116" i="3"/>
  <c r="AO17" i="20"/>
  <c r="AO16" i="20" s="1"/>
  <c r="X123" i="3"/>
  <c r="E90" i="3"/>
  <c r="D135" i="3"/>
  <c r="P13" i="4" s="1"/>
  <c r="AH4" i="20"/>
  <c r="L110" i="3"/>
  <c r="AG92" i="3"/>
  <c r="AL17" i="20"/>
  <c r="AL16" i="20" s="1"/>
  <c r="C11" i="11"/>
  <c r="S17" i="20"/>
  <c r="S16" i="20" s="1"/>
  <c r="F106" i="3"/>
  <c r="S4" i="6"/>
  <c r="D118" i="3"/>
  <c r="C6" i="4" s="1"/>
  <c r="V6" i="4" s="1"/>
  <c r="R17" i="20"/>
  <c r="R16" i="20" s="1"/>
  <c r="AT17" i="20"/>
  <c r="AT16" i="20" s="1"/>
  <c r="X117" i="3"/>
  <c r="AB76" i="3"/>
  <c r="V84" i="3"/>
  <c r="S80" i="3"/>
  <c r="P76" i="3"/>
  <c r="J84" i="3"/>
  <c r="AB77" i="3"/>
  <c r="V85" i="3"/>
  <c r="S81" i="3"/>
  <c r="P77" i="3"/>
  <c r="J85" i="3"/>
  <c r="AB78" i="3"/>
  <c r="S82" i="3"/>
  <c r="P78" i="3"/>
  <c r="AB80" i="3"/>
  <c r="Y76" i="3"/>
  <c r="S84" i="3"/>
  <c r="P80" i="3"/>
  <c r="M76" i="3"/>
  <c r="M83" i="3"/>
  <c r="J79" i="3"/>
  <c r="BF85" i="3"/>
  <c r="BI84" i="3"/>
  <c r="BI83" i="3"/>
  <c r="BI82" i="3"/>
  <c r="BI81" i="3"/>
  <c r="BO80" i="3"/>
  <c r="BO79" i="3"/>
  <c r="G77" i="3"/>
  <c r="M84" i="3"/>
  <c r="J80" i="3"/>
  <c r="BI85" i="3"/>
  <c r="BL84" i="3"/>
  <c r="BL83" i="3"/>
  <c r="BL82" i="3"/>
  <c r="BL81" i="3"/>
  <c r="G78" i="3"/>
  <c r="M85" i="3"/>
  <c r="J81" i="3"/>
  <c r="BL85" i="3"/>
  <c r="BO84" i="3"/>
  <c r="BO83" i="3"/>
  <c r="BO82" i="3"/>
  <c r="BO81" i="3"/>
  <c r="G79" i="3"/>
  <c r="AE77" i="3"/>
  <c r="AE76" i="3"/>
  <c r="J82" i="3"/>
  <c r="BO85" i="3"/>
  <c r="G83" i="3"/>
  <c r="G82" i="3"/>
  <c r="G81" i="3"/>
  <c r="G80" i="3"/>
  <c r="AE78" i="3"/>
  <c r="AH77" i="3"/>
  <c r="AH76" i="3"/>
  <c r="AB81" i="3"/>
  <c r="Y78" i="3"/>
  <c r="AE84" i="3"/>
  <c r="AK81" i="3"/>
  <c r="AK80" i="3"/>
  <c r="AK79" i="3"/>
  <c r="AN78" i="3"/>
  <c r="AQ77" i="3"/>
  <c r="AQ76" i="3"/>
  <c r="AB83" i="3"/>
  <c r="Y80" i="3"/>
  <c r="V76" i="3"/>
  <c r="AH85" i="3"/>
  <c r="AK85" i="3"/>
  <c r="BC84" i="3"/>
  <c r="AK82" i="3"/>
  <c r="AZ81" i="3"/>
  <c r="AN79" i="3"/>
  <c r="BF78" i="3"/>
  <c r="AN76" i="3"/>
  <c r="BL79" i="3"/>
  <c r="AN85" i="3"/>
  <c r="BF84" i="3"/>
  <c r="AN82" i="3"/>
  <c r="BC81" i="3"/>
  <c r="AQ79" i="3"/>
  <c r="BI78" i="3"/>
  <c r="AT76" i="3"/>
  <c r="AQ85" i="3"/>
  <c r="AE83" i="3"/>
  <c r="AQ82" i="3"/>
  <c r="BF81" i="3"/>
  <c r="AT79" i="3"/>
  <c r="BL78" i="3"/>
  <c r="AW76" i="3"/>
  <c r="AT83" i="3"/>
  <c r="AZ77" i="3"/>
  <c r="AT85" i="3"/>
  <c r="AT82" i="3"/>
  <c r="AE80" i="3"/>
  <c r="AW79" i="3"/>
  <c r="BO78" i="3"/>
  <c r="AZ76" i="3"/>
  <c r="AW85" i="3"/>
  <c r="AH83" i="3"/>
  <c r="AW82" i="3"/>
  <c r="AH80" i="3"/>
  <c r="AZ79" i="3"/>
  <c r="AK77" i="3"/>
  <c r="BC76" i="3"/>
  <c r="AZ85" i="3"/>
  <c r="AK83" i="3"/>
  <c r="AZ82" i="3"/>
  <c r="AN80" i="3"/>
  <c r="BC79" i="3"/>
  <c r="AN77" i="3"/>
  <c r="BF76" i="3"/>
  <c r="AE81" i="3"/>
  <c r="BC85" i="3"/>
  <c r="AN83" i="3"/>
  <c r="BC82" i="3"/>
  <c r="AQ80" i="3"/>
  <c r="BF79" i="3"/>
  <c r="AT77" i="3"/>
  <c r="BI76" i="3"/>
  <c r="Y77" i="3"/>
  <c r="AW80" i="3"/>
  <c r="G84" i="3"/>
  <c r="AQ83" i="3"/>
  <c r="BF82" i="3"/>
  <c r="AT80" i="3"/>
  <c r="BI79" i="3"/>
  <c r="AW77" i="3"/>
  <c r="BL76" i="3"/>
  <c r="E8" i="32"/>
  <c r="E6" i="32"/>
  <c r="T59" i="10"/>
  <c r="T56" i="10"/>
  <c r="T63" i="10"/>
  <c r="T61" i="10"/>
  <c r="T64" i="10"/>
  <c r="T58" i="10"/>
  <c r="T21" i="10"/>
  <c r="T57" i="10"/>
  <c r="T62" i="10"/>
  <c r="T60" i="10"/>
  <c r="T8" i="10"/>
  <c r="T65" i="10"/>
  <c r="T9" i="10"/>
  <c r="T15" i="10"/>
  <c r="T16" i="10"/>
  <c r="T13" i="10"/>
  <c r="T17" i="10"/>
  <c r="T18" i="10"/>
  <c r="T19" i="10"/>
  <c r="T20" i="10"/>
  <c r="T22" i="10"/>
  <c r="T23" i="10"/>
  <c r="T24" i="10"/>
  <c r="T5" i="10"/>
  <c r="T6" i="10"/>
  <c r="T7" i="10"/>
  <c r="T10" i="10"/>
  <c r="T11" i="10"/>
  <c r="T12" i="10"/>
  <c r="T14" i="10"/>
  <c r="R87" i="3"/>
  <c r="AP123" i="3"/>
  <c r="AQ4" i="20"/>
  <c r="O4" i="20"/>
  <c r="BH89" i="3"/>
  <c r="D92" i="3"/>
  <c r="I92" i="3"/>
  <c r="BK122" i="3"/>
  <c r="R110" i="3"/>
  <c r="U106" i="3"/>
  <c r="L116" i="3"/>
  <c r="G17" i="20"/>
  <c r="G16" i="20" s="1"/>
  <c r="AP89" i="3"/>
  <c r="BA17" i="20"/>
  <c r="BA16" i="20" s="1"/>
  <c r="AD116" i="3"/>
  <c r="D67" i="3"/>
  <c r="I86" i="3"/>
  <c r="BN90" i="3"/>
  <c r="L90" i="3"/>
  <c r="BB91" i="3"/>
  <c r="R91" i="3"/>
  <c r="BN92" i="3"/>
  <c r="AD95" i="3"/>
  <c r="U4" i="20"/>
  <c r="AA125" i="3"/>
  <c r="BB87" i="3"/>
  <c r="AG95" i="3"/>
  <c r="AJ119" i="3"/>
  <c r="AP122" i="3"/>
  <c r="D40" i="14"/>
  <c r="D82" i="14"/>
  <c r="P4" i="20"/>
  <c r="AR17" i="20"/>
  <c r="AR16" i="20" s="1"/>
  <c r="F5" i="3"/>
  <c r="C11" i="6"/>
  <c r="F11" i="4"/>
  <c r="F14" i="3"/>
  <c r="D70" i="3"/>
  <c r="BE89" i="3"/>
  <c r="AA92" i="3"/>
  <c r="AL4" i="20"/>
  <c r="O106" i="3"/>
  <c r="R109" i="3"/>
  <c r="R4" i="20"/>
  <c r="AT4" i="20"/>
  <c r="C4" i="32"/>
  <c r="C5" i="32"/>
  <c r="M7" i="10"/>
  <c r="F10" i="4"/>
  <c r="C10" i="6"/>
  <c r="C12" i="6"/>
  <c r="F12" i="4"/>
  <c r="D8" i="14"/>
  <c r="I90" i="3"/>
  <c r="AJ112" i="3"/>
  <c r="S4" i="20"/>
  <c r="X108" i="3"/>
  <c r="Y17" i="20"/>
  <c r="Y16" i="20" s="1"/>
  <c r="C13" i="6"/>
  <c r="F13" i="4"/>
  <c r="BB114" i="3"/>
  <c r="N19" i="10"/>
  <c r="N6" i="10"/>
  <c r="N24" i="10"/>
  <c r="N11" i="10"/>
  <c r="N15" i="10"/>
  <c r="N16" i="10"/>
  <c r="N17" i="10"/>
  <c r="N18" i="10"/>
  <c r="N20" i="10"/>
  <c r="N21" i="10"/>
  <c r="N22" i="10"/>
  <c r="N23" i="10"/>
  <c r="N5" i="10"/>
  <c r="N72" i="10" s="1"/>
  <c r="N7" i="10"/>
  <c r="N8" i="10"/>
  <c r="N9" i="10"/>
  <c r="N10" i="10"/>
  <c r="N12" i="10"/>
  <c r="N13" i="10"/>
  <c r="N14" i="10"/>
  <c r="L86" i="3"/>
  <c r="BE91" i="3"/>
  <c r="W4" i="20"/>
  <c r="AW4" i="20"/>
  <c r="E107" i="3"/>
  <c r="F6" i="3"/>
  <c r="F46" i="3"/>
  <c r="AM106" i="3"/>
  <c r="BQ107" i="3"/>
  <c r="BN113" i="3"/>
  <c r="E111" i="3"/>
  <c r="D121" i="3"/>
  <c r="C9" i="4" s="1"/>
  <c r="V9" i="4" s="1"/>
  <c r="J17" i="20"/>
  <c r="J16" i="20" s="1"/>
  <c r="O117" i="3"/>
  <c r="U17" i="20"/>
  <c r="U16" i="20" s="1"/>
  <c r="X17" i="20"/>
  <c r="X16" i="20" s="1"/>
  <c r="D130" i="3"/>
  <c r="P8" i="4" s="1"/>
  <c r="D128" i="3"/>
  <c r="P6" i="4" s="1"/>
  <c r="M15" i="10"/>
  <c r="M11" i="10"/>
  <c r="M16" i="10"/>
  <c r="M17" i="10"/>
  <c r="M18" i="10"/>
  <c r="M19" i="10"/>
  <c r="M20" i="10"/>
  <c r="M21" i="10"/>
  <c r="M22" i="10"/>
  <c r="M23" i="10"/>
  <c r="M8" i="10"/>
  <c r="M24" i="10"/>
  <c r="M13" i="10"/>
  <c r="M14" i="10"/>
  <c r="M5" i="10"/>
  <c r="M73" i="10" s="1"/>
  <c r="M9" i="10"/>
  <c r="M10" i="10"/>
  <c r="M12" i="10"/>
  <c r="F9" i="3"/>
  <c r="E87" i="3"/>
  <c r="AJ106" i="3"/>
  <c r="BN107" i="3"/>
  <c r="AV114" i="3"/>
  <c r="D125" i="3"/>
  <c r="C13" i="4" s="1"/>
  <c r="V13" i="4" s="1"/>
  <c r="G11" i="39"/>
  <c r="L21" i="10"/>
  <c r="L16" i="10"/>
  <c r="L23" i="10"/>
  <c r="L24" i="10"/>
  <c r="L10" i="10"/>
  <c r="L14" i="10"/>
  <c r="L15" i="10"/>
  <c r="L17" i="10"/>
  <c r="L18" i="10"/>
  <c r="L19" i="10"/>
  <c r="L20" i="10"/>
  <c r="L22" i="10"/>
  <c r="L5" i="10"/>
  <c r="L7" i="10"/>
  <c r="L8" i="10"/>
  <c r="L9" i="10"/>
  <c r="L11" i="10"/>
  <c r="L12" i="10"/>
  <c r="L13" i="10"/>
  <c r="BN91" i="3"/>
  <c r="U92" i="3"/>
  <c r="O94" i="3"/>
  <c r="F94" i="3" s="1"/>
  <c r="BK107" i="3"/>
  <c r="AS114" i="3"/>
  <c r="I110" i="3"/>
  <c r="E110" i="3"/>
  <c r="BA4" i="20"/>
  <c r="Y4" i="20"/>
  <c r="L125" i="3"/>
  <c r="O123" i="3"/>
  <c r="R119" i="3"/>
  <c r="K23" i="10"/>
  <c r="K5" i="10"/>
  <c r="K75" i="10" s="1"/>
  <c r="K12" i="10"/>
  <c r="K15" i="10"/>
  <c r="K16" i="10"/>
  <c r="K17" i="10"/>
  <c r="K18" i="10"/>
  <c r="K19" i="10"/>
  <c r="K20" i="10"/>
  <c r="K21" i="10"/>
  <c r="K22" i="10"/>
  <c r="K24" i="10"/>
  <c r="K11" i="10"/>
  <c r="K13" i="10"/>
  <c r="K14" i="10"/>
  <c r="K6" i="10"/>
  <c r="K7" i="10"/>
  <c r="K8" i="10"/>
  <c r="K9" i="10"/>
  <c r="K10" i="10"/>
  <c r="T98" i="9"/>
  <c r="T95" i="9"/>
  <c r="T86" i="9"/>
  <c r="T92" i="9"/>
  <c r="T83" i="9"/>
  <c r="T89" i="9"/>
  <c r="T80" i="9"/>
  <c r="T105" i="9"/>
  <c r="T79" i="9"/>
  <c r="T120" i="9"/>
  <c r="T127" i="9"/>
  <c r="T38" i="9"/>
  <c r="T39" i="9"/>
  <c r="T40" i="9"/>
  <c r="T60" i="9"/>
  <c r="T64" i="9"/>
  <c r="T82" i="9"/>
  <c r="T97" i="9"/>
  <c r="T41" i="9"/>
  <c r="T91" i="9"/>
  <c r="T96" i="9"/>
  <c r="T81" i="9"/>
  <c r="T85" i="9"/>
  <c r="T90" i="9"/>
  <c r="T84" i="9"/>
  <c r="T88" i="9"/>
  <c r="T61" i="9"/>
  <c r="T62" i="9"/>
  <c r="T63" i="9"/>
  <c r="T7" i="9"/>
  <c r="T93" i="9"/>
  <c r="T123" i="9"/>
  <c r="T128" i="9"/>
  <c r="T103" i="9"/>
  <c r="T108" i="9"/>
  <c r="T45" i="9"/>
  <c r="T94" i="9"/>
  <c r="T57" i="9"/>
  <c r="T121" i="9"/>
  <c r="T101" i="9"/>
  <c r="T106" i="9"/>
  <c r="T43" i="9"/>
  <c r="T126" i="9"/>
  <c r="T87" i="9"/>
  <c r="T102" i="9"/>
  <c r="T46" i="9"/>
  <c r="T65" i="9"/>
  <c r="T37" i="9"/>
  <c r="T8" i="9"/>
  <c r="T59" i="9"/>
  <c r="T107" i="9"/>
  <c r="T124" i="9"/>
  <c r="T109" i="9"/>
  <c r="T12" i="9"/>
  <c r="T129" i="9"/>
  <c r="T58" i="9"/>
  <c r="T42" i="9"/>
  <c r="T122" i="9"/>
  <c r="T66" i="9"/>
  <c r="T125" i="9"/>
  <c r="T104" i="9"/>
  <c r="T44" i="9"/>
  <c r="T100" i="9"/>
  <c r="T6" i="9"/>
  <c r="T9" i="9"/>
  <c r="T10" i="9"/>
  <c r="T11" i="9"/>
  <c r="T13" i="9"/>
  <c r="T14" i="9"/>
  <c r="T15" i="9"/>
  <c r="F8" i="10"/>
  <c r="F15" i="10"/>
  <c r="F12" i="10"/>
  <c r="F5" i="10"/>
  <c r="F7" i="10"/>
  <c r="F9" i="10"/>
  <c r="BH122" i="3"/>
  <c r="L119" i="3"/>
  <c r="S95" i="9"/>
  <c r="S86" i="9"/>
  <c r="S92" i="9"/>
  <c r="S83" i="9"/>
  <c r="S89" i="9"/>
  <c r="S80" i="9"/>
  <c r="S97" i="9"/>
  <c r="S121" i="9"/>
  <c r="S129" i="9"/>
  <c r="S39" i="9"/>
  <c r="S79" i="9"/>
  <c r="S128" i="9"/>
  <c r="S37" i="9"/>
  <c r="S40" i="9"/>
  <c r="S60" i="9"/>
  <c r="S64" i="9"/>
  <c r="S82" i="9"/>
  <c r="S98" i="9"/>
  <c r="S41" i="9"/>
  <c r="S91" i="9"/>
  <c r="S96" i="9"/>
  <c r="S100" i="9"/>
  <c r="S42" i="9"/>
  <c r="S81" i="9"/>
  <c r="S85" i="9"/>
  <c r="S90" i="9"/>
  <c r="S84" i="9"/>
  <c r="S88" i="9"/>
  <c r="S94" i="9"/>
  <c r="S93" i="9"/>
  <c r="S123" i="9"/>
  <c r="S103" i="9"/>
  <c r="S108" i="9"/>
  <c r="S45" i="9"/>
  <c r="S13" i="9"/>
  <c r="S120" i="9"/>
  <c r="S101" i="9"/>
  <c r="S106" i="9"/>
  <c r="S43" i="9"/>
  <c r="S126" i="9"/>
  <c r="S125" i="9"/>
  <c r="S87" i="9"/>
  <c r="S65" i="9"/>
  <c r="S10" i="9"/>
  <c r="S105" i="9"/>
  <c r="S62" i="9"/>
  <c r="S59" i="9"/>
  <c r="S15" i="9"/>
  <c r="S107" i="9"/>
  <c r="S124" i="9"/>
  <c r="S109" i="9"/>
  <c r="S61" i="9"/>
  <c r="S38" i="9"/>
  <c r="S58" i="9"/>
  <c r="S122" i="9"/>
  <c r="S66" i="9"/>
  <c r="S127" i="9"/>
  <c r="S104" i="9"/>
  <c r="S44" i="9"/>
  <c r="S63" i="9"/>
  <c r="S102" i="9"/>
  <c r="S46" i="9"/>
  <c r="S57" i="9"/>
  <c r="S12" i="9"/>
  <c r="S14" i="9"/>
  <c r="I65" i="37"/>
  <c r="Q13" i="10"/>
  <c r="R86" i="9"/>
  <c r="R92" i="9"/>
  <c r="R83" i="9"/>
  <c r="R89" i="9"/>
  <c r="R80" i="9"/>
  <c r="R120" i="9"/>
  <c r="R96" i="9"/>
  <c r="R88" i="9"/>
  <c r="R94" i="9"/>
  <c r="R106" i="9"/>
  <c r="R129" i="9"/>
  <c r="R38" i="9"/>
  <c r="R82" i="9"/>
  <c r="R98" i="9"/>
  <c r="R41" i="9"/>
  <c r="R91" i="9"/>
  <c r="R97" i="9"/>
  <c r="R100" i="9"/>
  <c r="R42" i="9"/>
  <c r="R101" i="9"/>
  <c r="R43" i="9"/>
  <c r="R81" i="9"/>
  <c r="R85" i="9"/>
  <c r="R90" i="9"/>
  <c r="R84" i="9"/>
  <c r="R95" i="9"/>
  <c r="R87" i="9"/>
  <c r="R128" i="9"/>
  <c r="R40" i="9"/>
  <c r="R60" i="9"/>
  <c r="R39" i="9"/>
  <c r="R79" i="9"/>
  <c r="R121" i="9"/>
  <c r="R126" i="9"/>
  <c r="R125" i="9"/>
  <c r="R105" i="9"/>
  <c r="R93" i="9"/>
  <c r="R123" i="9"/>
  <c r="R37" i="9"/>
  <c r="R62" i="9"/>
  <c r="R59" i="9"/>
  <c r="R107" i="9"/>
  <c r="R124" i="9"/>
  <c r="R103" i="9"/>
  <c r="R109" i="9"/>
  <c r="R45" i="9"/>
  <c r="R61" i="9"/>
  <c r="R64" i="9"/>
  <c r="R58" i="9"/>
  <c r="R9" i="9"/>
  <c r="R122" i="9"/>
  <c r="R66" i="9"/>
  <c r="R127" i="9"/>
  <c r="R104" i="9"/>
  <c r="R44" i="9"/>
  <c r="R63" i="9"/>
  <c r="R102" i="9"/>
  <c r="R108" i="9"/>
  <c r="R46" i="9"/>
  <c r="R57" i="9"/>
  <c r="R65" i="9"/>
  <c r="R6" i="9"/>
  <c r="R7" i="9"/>
  <c r="R8" i="9"/>
  <c r="R10" i="9"/>
  <c r="R11" i="9"/>
  <c r="R12" i="9"/>
  <c r="R13" i="9"/>
  <c r="R14" i="9"/>
  <c r="R15" i="9"/>
  <c r="Q12" i="10"/>
  <c r="L118" i="3"/>
  <c r="F118" i="3" s="1"/>
  <c r="AW17" i="20"/>
  <c r="AW16" i="20" s="1"/>
  <c r="Q11" i="10"/>
  <c r="Q9" i="10"/>
  <c r="M51" i="29"/>
  <c r="M53" i="29"/>
  <c r="D53" i="29"/>
  <c r="F6" i="4"/>
  <c r="C6" i="6"/>
  <c r="U6" i="6" s="1"/>
  <c r="S56" i="10"/>
  <c r="S63" i="10"/>
  <c r="S60" i="10"/>
  <c r="S58" i="10"/>
  <c r="S57" i="10"/>
  <c r="S62" i="10"/>
  <c r="S61" i="10"/>
  <c r="S65" i="10"/>
  <c r="S18" i="10"/>
  <c r="S13" i="10"/>
  <c r="S20" i="10"/>
  <c r="S21" i="10"/>
  <c r="S22" i="10"/>
  <c r="S23" i="10"/>
  <c r="S24" i="10"/>
  <c r="S6" i="10"/>
  <c r="S59" i="10"/>
  <c r="S15" i="10"/>
  <c r="S64" i="10"/>
  <c r="S16" i="10"/>
  <c r="S17" i="10"/>
  <c r="S19" i="10"/>
  <c r="S5" i="10"/>
  <c r="S7" i="10"/>
  <c r="S8" i="10"/>
  <c r="S14" i="10"/>
  <c r="F7" i="4"/>
  <c r="C7" i="6"/>
  <c r="R63" i="10"/>
  <c r="R60" i="10"/>
  <c r="R57" i="10"/>
  <c r="R58" i="10"/>
  <c r="R17" i="10"/>
  <c r="R62" i="10"/>
  <c r="R56" i="10"/>
  <c r="R61" i="10"/>
  <c r="R8" i="10"/>
  <c r="R15" i="10"/>
  <c r="R16" i="10"/>
  <c r="R18" i="10"/>
  <c r="R19" i="10"/>
  <c r="R12" i="10"/>
  <c r="R59" i="10"/>
  <c r="R20" i="10"/>
  <c r="R21" i="10"/>
  <c r="R22" i="10"/>
  <c r="R64" i="10"/>
  <c r="R23" i="10"/>
  <c r="R24" i="10"/>
  <c r="R65" i="10"/>
  <c r="R5" i="10"/>
  <c r="R6" i="10"/>
  <c r="R7" i="10"/>
  <c r="R9" i="10"/>
  <c r="R10" i="10"/>
  <c r="R11" i="10"/>
  <c r="R13" i="10"/>
  <c r="R14" i="10"/>
  <c r="S12" i="10"/>
  <c r="E125" i="3"/>
  <c r="D13" i="4" s="1"/>
  <c r="W13" i="4" s="1"/>
  <c r="AQ2" i="3"/>
  <c r="Q63" i="10"/>
  <c r="Q60" i="10"/>
  <c r="Q57" i="10"/>
  <c r="Q23" i="10"/>
  <c r="Q62" i="10"/>
  <c r="Q56" i="10"/>
  <c r="Q61" i="10"/>
  <c r="Q65" i="10"/>
  <c r="Q15" i="10"/>
  <c r="Q7" i="10"/>
  <c r="Q58" i="10"/>
  <c r="Q59" i="10"/>
  <c r="Q64" i="10"/>
  <c r="Q18" i="10"/>
  <c r="Q10" i="10"/>
  <c r="Q19" i="10"/>
  <c r="Q20" i="10"/>
  <c r="Q21" i="10"/>
  <c r="Q22" i="10"/>
  <c r="Q14" i="10"/>
  <c r="Q24" i="10"/>
  <c r="Q16" i="10"/>
  <c r="Q17" i="10"/>
  <c r="Q5" i="10"/>
  <c r="Q6" i="10"/>
  <c r="I18" i="37"/>
  <c r="C73" i="37"/>
  <c r="S11" i="10"/>
  <c r="G93" i="28"/>
  <c r="H93" i="28" s="1"/>
  <c r="J93" i="28" s="1"/>
  <c r="F9" i="4"/>
  <c r="C9" i="6"/>
  <c r="P22" i="10"/>
  <c r="P12" i="10"/>
  <c r="P15" i="10"/>
  <c r="P16" i="10"/>
  <c r="P17" i="10"/>
  <c r="P7" i="10"/>
  <c r="P18" i="10"/>
  <c r="P19" i="10"/>
  <c r="P20" i="10"/>
  <c r="P21" i="10"/>
  <c r="P23" i="10"/>
  <c r="P24" i="10"/>
  <c r="P5" i="10"/>
  <c r="P6" i="10"/>
  <c r="P8" i="10"/>
  <c r="P9" i="10"/>
  <c r="P10" i="10"/>
  <c r="P57" i="10" s="1"/>
  <c r="P11" i="10"/>
  <c r="P13" i="10"/>
  <c r="P14" i="10"/>
  <c r="K43" i="9"/>
  <c r="K46" i="9"/>
  <c r="K62" i="9"/>
  <c r="K66" i="9"/>
  <c r="K57" i="9"/>
  <c r="K13" i="9"/>
  <c r="K37" i="9"/>
  <c r="K42" i="9"/>
  <c r="K63" i="9"/>
  <c r="K64" i="9"/>
  <c r="K65" i="9"/>
  <c r="K45" i="9"/>
  <c r="K61" i="9"/>
  <c r="K7" i="9"/>
  <c r="K44" i="9"/>
  <c r="K59" i="9"/>
  <c r="K39" i="9"/>
  <c r="K41" i="9"/>
  <c r="K6" i="9"/>
  <c r="K97" i="9" s="1"/>
  <c r="K8" i="9"/>
  <c r="K9" i="9"/>
  <c r="I58" i="37"/>
  <c r="K10" i="9"/>
  <c r="S11" i="9"/>
  <c r="S10" i="10"/>
  <c r="O19" i="10"/>
  <c r="O16" i="10"/>
  <c r="O5" i="10"/>
  <c r="O75" i="10" s="1"/>
  <c r="O17" i="10"/>
  <c r="O18" i="10"/>
  <c r="O20" i="10"/>
  <c r="O21" i="10"/>
  <c r="O9" i="10"/>
  <c r="O22" i="10"/>
  <c r="O23" i="10"/>
  <c r="O24" i="10"/>
  <c r="O13" i="10"/>
  <c r="O15" i="10"/>
  <c r="V82" i="9"/>
  <c r="V79" i="9"/>
  <c r="V98" i="9"/>
  <c r="V95" i="9"/>
  <c r="V86" i="9"/>
  <c r="V92" i="9"/>
  <c r="V84" i="9"/>
  <c r="V90" i="9"/>
  <c r="V104" i="9"/>
  <c r="V85" i="9"/>
  <c r="V93" i="9"/>
  <c r="V125" i="9"/>
  <c r="V120" i="9"/>
  <c r="V127" i="9"/>
  <c r="V128" i="9"/>
  <c r="V129" i="9"/>
  <c r="V37" i="9"/>
  <c r="V38" i="9"/>
  <c r="V39" i="9"/>
  <c r="V97" i="9"/>
  <c r="V91" i="9"/>
  <c r="V96" i="9"/>
  <c r="V81" i="9"/>
  <c r="V89" i="9"/>
  <c r="V80" i="9"/>
  <c r="V124" i="9"/>
  <c r="V109" i="9"/>
  <c r="V11" i="9"/>
  <c r="V83" i="9"/>
  <c r="V63" i="9"/>
  <c r="V94" i="9"/>
  <c r="V59" i="9"/>
  <c r="V122" i="9"/>
  <c r="V102" i="9"/>
  <c r="V107" i="9"/>
  <c r="V44" i="9"/>
  <c r="V58" i="9"/>
  <c r="V57" i="9"/>
  <c r="V121" i="9"/>
  <c r="V126" i="9"/>
  <c r="V101" i="9"/>
  <c r="V108" i="9"/>
  <c r="V6" i="9"/>
  <c r="V100" i="9"/>
  <c r="V46" i="9"/>
  <c r="V123" i="9"/>
  <c r="V65" i="9"/>
  <c r="V62" i="9"/>
  <c r="V10" i="9"/>
  <c r="V105" i="9"/>
  <c r="V41" i="9"/>
  <c r="V43" i="9"/>
  <c r="V87" i="9"/>
  <c r="V88" i="9"/>
  <c r="V103" i="9"/>
  <c r="V45" i="9"/>
  <c r="V64" i="9"/>
  <c r="V15" i="9"/>
  <c r="V61" i="9"/>
  <c r="V40" i="9"/>
  <c r="V106" i="9"/>
  <c r="V42" i="9"/>
  <c r="V60" i="9"/>
  <c r="V66" i="9"/>
  <c r="I72" i="37"/>
  <c r="I64" i="37"/>
  <c r="M8" i="9"/>
  <c r="O7" i="9"/>
  <c r="O98" i="9" s="1"/>
  <c r="V14" i="9"/>
  <c r="O6" i="10"/>
  <c r="U9" i="10"/>
  <c r="W10" i="10"/>
  <c r="Y10" i="10"/>
  <c r="I79" i="37"/>
  <c r="V13" i="9"/>
  <c r="U8" i="10"/>
  <c r="W8" i="10"/>
  <c r="Y9" i="10"/>
  <c r="I22" i="37"/>
  <c r="I71" i="37"/>
  <c r="I63" i="37"/>
  <c r="N15" i="9"/>
  <c r="P13" i="9"/>
  <c r="V12" i="9"/>
  <c r="U6" i="10"/>
  <c r="W6" i="10"/>
  <c r="Y8" i="10"/>
  <c r="L15" i="9"/>
  <c r="N14" i="9"/>
  <c r="P12" i="9"/>
  <c r="V9" i="9"/>
  <c r="Y7" i="10"/>
  <c r="I21" i="37"/>
  <c r="L14" i="9"/>
  <c r="N13" i="9"/>
  <c r="P11" i="9"/>
  <c r="V8" i="9"/>
  <c r="Y6" i="10"/>
  <c r="Q83" i="9"/>
  <c r="Q89" i="9"/>
  <c r="Q80" i="9"/>
  <c r="Q120" i="9"/>
  <c r="Q96" i="9"/>
  <c r="Q87" i="9"/>
  <c r="Q93" i="9"/>
  <c r="Q85" i="9"/>
  <c r="Q91" i="9"/>
  <c r="Q122" i="9"/>
  <c r="Q40" i="9"/>
  <c r="Q86" i="9"/>
  <c r="Q39" i="9"/>
  <c r="Q60" i="9"/>
  <c r="Q64" i="9"/>
  <c r="Q82" i="9"/>
  <c r="Q92" i="9"/>
  <c r="Q98" i="9"/>
  <c r="Q97" i="9"/>
  <c r="Q100" i="9"/>
  <c r="Q42" i="9"/>
  <c r="Q101" i="9"/>
  <c r="Q43" i="9"/>
  <c r="Q81" i="9"/>
  <c r="Q90" i="9"/>
  <c r="Q102" i="9"/>
  <c r="Q44" i="9"/>
  <c r="Q61" i="9"/>
  <c r="Q65" i="9"/>
  <c r="Q84" i="9"/>
  <c r="Q88" i="9"/>
  <c r="Q95" i="9"/>
  <c r="Q94" i="9"/>
  <c r="Q9" i="9"/>
  <c r="Q107" i="9"/>
  <c r="Q58" i="9"/>
  <c r="Q59" i="9"/>
  <c r="Q79" i="9"/>
  <c r="Q121" i="9"/>
  <c r="Q126" i="9"/>
  <c r="Q106" i="9"/>
  <c r="Q125" i="9"/>
  <c r="Q105" i="9"/>
  <c r="Q123" i="9"/>
  <c r="Q37" i="9"/>
  <c r="Q7" i="9"/>
  <c r="Q62" i="9"/>
  <c r="Q128" i="9"/>
  <c r="Q41" i="9"/>
  <c r="Q12" i="9"/>
  <c r="Q124" i="9"/>
  <c r="Q103" i="9"/>
  <c r="Q109" i="9"/>
  <c r="Q45" i="9"/>
  <c r="Q129" i="9"/>
  <c r="Q38" i="9"/>
  <c r="Q66" i="9"/>
  <c r="Q127" i="9"/>
  <c r="Q104" i="9"/>
  <c r="Q63" i="9"/>
  <c r="Q108" i="9"/>
  <c r="Q46" i="9"/>
  <c r="Q57" i="9"/>
  <c r="L12" i="9"/>
  <c r="N10" i="9"/>
  <c r="V7" i="9"/>
  <c r="V12" i="10"/>
  <c r="X14" i="10"/>
  <c r="Y58" i="10"/>
  <c r="Y65" i="10"/>
  <c r="Y62" i="10"/>
  <c r="Y60" i="10"/>
  <c r="Y59" i="10"/>
  <c r="Y23" i="10"/>
  <c r="Y64" i="10"/>
  <c r="Y63" i="10"/>
  <c r="Y57" i="10"/>
  <c r="Y56" i="10"/>
  <c r="Y61" i="10"/>
  <c r="Y22" i="10"/>
  <c r="Y12" i="10"/>
  <c r="Y24" i="10"/>
  <c r="Y15" i="10"/>
  <c r="Y16" i="10"/>
  <c r="Y17" i="10"/>
  <c r="Y18" i="10"/>
  <c r="Y19" i="10"/>
  <c r="Y20" i="10"/>
  <c r="Y21" i="10"/>
  <c r="I19" i="10"/>
  <c r="I7" i="10"/>
  <c r="I11" i="10"/>
  <c r="I15" i="10"/>
  <c r="I16" i="10"/>
  <c r="I17" i="10"/>
  <c r="I18" i="10"/>
  <c r="I20" i="10"/>
  <c r="I21" i="10"/>
  <c r="I22" i="10"/>
  <c r="I23" i="10"/>
  <c r="I24" i="10"/>
  <c r="P41" i="9"/>
  <c r="P43" i="9"/>
  <c r="P44" i="9"/>
  <c r="P61" i="9"/>
  <c r="P65" i="9"/>
  <c r="P45" i="9"/>
  <c r="P57" i="9"/>
  <c r="P59" i="9"/>
  <c r="P15" i="9"/>
  <c r="P62" i="9"/>
  <c r="P14" i="9"/>
  <c r="P39" i="9"/>
  <c r="P64" i="9"/>
  <c r="P66" i="9"/>
  <c r="P6" i="9"/>
  <c r="P42" i="9"/>
  <c r="P63" i="9"/>
  <c r="P46" i="9"/>
  <c r="P37" i="9"/>
  <c r="I69" i="37"/>
  <c r="L11" i="9"/>
  <c r="N9" i="9"/>
  <c r="P9" i="9"/>
  <c r="V11" i="10"/>
  <c r="G79" i="9"/>
  <c r="G39" i="9"/>
  <c r="G89" i="9"/>
  <c r="G41" i="9"/>
  <c r="G59" i="9"/>
  <c r="G63" i="9"/>
  <c r="G42" i="9"/>
  <c r="G43" i="9"/>
  <c r="G120" i="9"/>
  <c r="G7" i="9"/>
  <c r="G44" i="9"/>
  <c r="G45" i="9"/>
  <c r="G61" i="9"/>
  <c r="G62" i="9"/>
  <c r="G46" i="9"/>
  <c r="G64" i="9"/>
  <c r="G6" i="9"/>
  <c r="G66" i="9"/>
  <c r="G11" i="9"/>
  <c r="G57" i="9"/>
  <c r="G65" i="9"/>
  <c r="G37" i="9"/>
  <c r="G100" i="9"/>
  <c r="X65" i="10"/>
  <c r="X62" i="10"/>
  <c r="X59" i="10"/>
  <c r="X57" i="10"/>
  <c r="X64" i="10"/>
  <c r="X58" i="10"/>
  <c r="X63" i="10"/>
  <c r="X56" i="10"/>
  <c r="X17" i="10"/>
  <c r="X60" i="10"/>
  <c r="X18" i="10"/>
  <c r="X61" i="10"/>
  <c r="X15" i="10"/>
  <c r="X16" i="10"/>
  <c r="X19" i="10"/>
  <c r="X6" i="10"/>
  <c r="X20" i="10"/>
  <c r="X21" i="10"/>
  <c r="X22" i="10"/>
  <c r="X23" i="10"/>
  <c r="X10" i="10"/>
  <c r="X24" i="10"/>
  <c r="O41" i="9"/>
  <c r="O42" i="9"/>
  <c r="O44" i="9"/>
  <c r="O61" i="9"/>
  <c r="O65" i="9"/>
  <c r="O45" i="9"/>
  <c r="O57" i="9"/>
  <c r="O46" i="9"/>
  <c r="O43" i="9"/>
  <c r="O66" i="9"/>
  <c r="O39" i="9"/>
  <c r="O59" i="9"/>
  <c r="O9" i="9"/>
  <c r="O64" i="9"/>
  <c r="O13" i="9"/>
  <c r="O63" i="9"/>
  <c r="O37" i="9"/>
  <c r="O62" i="9"/>
  <c r="L10" i="9"/>
  <c r="P8" i="9"/>
  <c r="I14" i="10"/>
  <c r="V10" i="10"/>
  <c r="X12" i="10"/>
  <c r="W65" i="10"/>
  <c r="W62" i="10"/>
  <c r="W59" i="10"/>
  <c r="W56" i="10"/>
  <c r="W64" i="10"/>
  <c r="W19" i="10"/>
  <c r="W58" i="10"/>
  <c r="W63" i="10"/>
  <c r="W57" i="10"/>
  <c r="W61" i="10"/>
  <c r="W60" i="10"/>
  <c r="W24" i="10"/>
  <c r="W9" i="10"/>
  <c r="W22" i="10"/>
  <c r="W7" i="10"/>
  <c r="W23" i="10"/>
  <c r="W12" i="10"/>
  <c r="W15" i="10"/>
  <c r="W16" i="10"/>
  <c r="W17" i="10"/>
  <c r="W18" i="10"/>
  <c r="W20" i="10"/>
  <c r="W21" i="10"/>
  <c r="N45" i="9"/>
  <c r="N57" i="9"/>
  <c r="N46" i="9"/>
  <c r="N11" i="9"/>
  <c r="N66" i="9"/>
  <c r="N39" i="9"/>
  <c r="N12" i="9"/>
  <c r="N59" i="9"/>
  <c r="N41" i="9"/>
  <c r="N64" i="9"/>
  <c r="N63" i="9"/>
  <c r="N37" i="9"/>
  <c r="N65" i="9"/>
  <c r="L8" i="9"/>
  <c r="N7" i="9"/>
  <c r="I13" i="10"/>
  <c r="X11" i="10"/>
  <c r="O25" i="30"/>
  <c r="P25" i="30" s="1"/>
  <c r="G14" i="39"/>
  <c r="V65" i="10"/>
  <c r="V62" i="10"/>
  <c r="V59" i="10"/>
  <c r="V56" i="10"/>
  <c r="V64" i="10"/>
  <c r="V58" i="10"/>
  <c r="V63" i="10"/>
  <c r="V57" i="10"/>
  <c r="V61" i="10"/>
  <c r="V14" i="10"/>
  <c r="V15" i="10"/>
  <c r="V13" i="10"/>
  <c r="V16" i="10"/>
  <c r="V17" i="10"/>
  <c r="V18" i="10"/>
  <c r="V19" i="10"/>
  <c r="V20" i="10"/>
  <c r="V21" i="10"/>
  <c r="V22" i="10"/>
  <c r="V5" i="10"/>
  <c r="V23" i="10"/>
  <c r="V24" i="10"/>
  <c r="V60" i="10"/>
  <c r="M42" i="9"/>
  <c r="M44" i="9"/>
  <c r="M61" i="9"/>
  <c r="M65" i="9"/>
  <c r="M46" i="9"/>
  <c r="M62" i="9"/>
  <c r="M66" i="9"/>
  <c r="M39" i="9"/>
  <c r="M57" i="9"/>
  <c r="M37" i="9"/>
  <c r="M59" i="9"/>
  <c r="M41" i="9"/>
  <c r="M43" i="9"/>
  <c r="M64" i="9"/>
  <c r="M45" i="9"/>
  <c r="M6" i="9"/>
  <c r="M63" i="9"/>
  <c r="M10" i="9"/>
  <c r="C23" i="37"/>
  <c r="I83" i="37"/>
  <c r="N6" i="9"/>
  <c r="N95" i="9" s="1"/>
  <c r="Q15" i="9"/>
  <c r="I12" i="10"/>
  <c r="V8" i="10"/>
  <c r="X9" i="10"/>
  <c r="U62" i="10"/>
  <c r="U59" i="10"/>
  <c r="U56" i="10"/>
  <c r="U64" i="10"/>
  <c r="U58" i="10"/>
  <c r="U63" i="10"/>
  <c r="U15" i="10"/>
  <c r="U57" i="10"/>
  <c r="U61" i="10"/>
  <c r="U60" i="10"/>
  <c r="U21" i="10"/>
  <c r="U65" i="10"/>
  <c r="U22" i="10"/>
  <c r="U23" i="10"/>
  <c r="U24" i="10"/>
  <c r="U7" i="10"/>
  <c r="U11" i="10"/>
  <c r="U16" i="10"/>
  <c r="U17" i="10"/>
  <c r="U18" i="10"/>
  <c r="U19" i="10"/>
  <c r="U20" i="10"/>
  <c r="L45" i="9"/>
  <c r="L57" i="9"/>
  <c r="L62" i="9"/>
  <c r="L66" i="9"/>
  <c r="L39" i="9"/>
  <c r="L44" i="9"/>
  <c r="L7" i="9"/>
  <c r="L98" i="9" s="1"/>
  <c r="L37" i="9"/>
  <c r="L42" i="9"/>
  <c r="L41" i="9"/>
  <c r="L9" i="9"/>
  <c r="L43" i="9"/>
  <c r="L64" i="9"/>
  <c r="L13" i="9"/>
  <c r="L61" i="9"/>
  <c r="L63" i="9"/>
  <c r="L46" i="9"/>
  <c r="L65" i="9"/>
  <c r="L59" i="9"/>
  <c r="I67" i="37"/>
  <c r="M15" i="9"/>
  <c r="O15" i="9"/>
  <c r="Q14" i="9"/>
  <c r="I10" i="10"/>
  <c r="O14" i="10"/>
  <c r="V7" i="10"/>
  <c r="X8" i="10"/>
  <c r="H21" i="10"/>
  <c r="H14" i="10"/>
  <c r="H19" i="10"/>
  <c r="H100" i="9"/>
  <c r="H18" i="10"/>
  <c r="H17" i="10"/>
  <c r="H16" i="10"/>
  <c r="H15" i="10"/>
  <c r="I74" i="37"/>
  <c r="I70" i="37"/>
  <c r="I62" i="37"/>
  <c r="H79" i="9"/>
  <c r="H89" i="9"/>
  <c r="H120" i="9"/>
  <c r="H13" i="10"/>
  <c r="H12" i="10"/>
  <c r="H11" i="10"/>
  <c r="I68" i="37"/>
  <c r="H10" i="10"/>
  <c r="G22" i="10"/>
  <c r="H9" i="10"/>
  <c r="H24" i="10"/>
  <c r="H8" i="10"/>
  <c r="H23" i="10"/>
  <c r="H7" i="10"/>
  <c r="H64" i="9"/>
  <c r="I42" i="37"/>
  <c r="I66" i="37"/>
  <c r="H13" i="9"/>
  <c r="H22" i="10"/>
  <c r="B7" i="35"/>
  <c r="E4" i="32" s="1"/>
  <c r="B6" i="35"/>
  <c r="E3" i="32" s="1"/>
  <c r="B8" i="35"/>
  <c r="E5" i="32" s="1"/>
  <c r="O208" i="30"/>
  <c r="P208" i="30" s="1"/>
  <c r="F8" i="6"/>
  <c r="L28" i="11"/>
  <c r="I9" i="6"/>
  <c r="F11" i="6"/>
  <c r="G9" i="4"/>
  <c r="F12" i="6"/>
  <c r="G13" i="4"/>
  <c r="F7" i="6"/>
  <c r="I13" i="6"/>
  <c r="I8" i="6"/>
  <c r="I6" i="4"/>
  <c r="I10" i="4"/>
  <c r="I11" i="6"/>
  <c r="J28" i="11"/>
  <c r="G6" i="4"/>
  <c r="G10" i="4"/>
  <c r="F10" i="6"/>
  <c r="I12" i="6"/>
  <c r="E4" i="4"/>
  <c r="W11" i="4"/>
  <c r="X11" i="4" s="1"/>
  <c r="I5" i="6"/>
  <c r="U5" i="6" s="1"/>
  <c r="I7" i="6"/>
  <c r="C8" i="6"/>
  <c r="V4" i="4"/>
  <c r="X4" i="4" s="1"/>
  <c r="E5" i="4"/>
  <c r="E7" i="4"/>
  <c r="X13" i="4"/>
  <c r="C25" i="11"/>
  <c r="D28" i="11"/>
  <c r="K28" i="11"/>
  <c r="C27" i="11"/>
  <c r="I28" i="11"/>
  <c r="X10" i="4"/>
  <c r="E10" i="4"/>
  <c r="E9" i="4"/>
  <c r="P14" i="4"/>
  <c r="L14" i="4"/>
  <c r="E6" i="4"/>
  <c r="W12" i="4"/>
  <c r="X12" i="4" s="1"/>
  <c r="C14" i="4"/>
  <c r="W7" i="4"/>
  <c r="X7" i="4" s="1"/>
  <c r="L15" i="4"/>
  <c r="AF18" i="20" s="1"/>
  <c r="O14" i="30"/>
  <c r="P14" i="30" s="1"/>
  <c r="O27" i="30"/>
  <c r="P27" i="30" s="1"/>
  <c r="O98" i="30"/>
  <c r="P98" i="30" s="1"/>
  <c r="O173" i="30"/>
  <c r="P173" i="30" s="1"/>
  <c r="O177" i="30"/>
  <c r="P177" i="30" s="1"/>
  <c r="O181" i="30"/>
  <c r="P181" i="30" s="1"/>
  <c r="O210" i="30"/>
  <c r="P210" i="30" s="1"/>
  <c r="O176" i="30"/>
  <c r="P176" i="30" s="1"/>
  <c r="O209" i="30"/>
  <c r="P209" i="30" s="1"/>
  <c r="O66" i="30"/>
  <c r="P66" i="30" s="1"/>
  <c r="O46" i="30"/>
  <c r="P46" i="30" s="1"/>
  <c r="O35" i="30"/>
  <c r="P35" i="30" s="1"/>
  <c r="O160" i="30"/>
  <c r="P160" i="30" s="1"/>
  <c r="O110" i="30"/>
  <c r="P110" i="30" s="1"/>
  <c r="O102" i="30"/>
  <c r="P102" i="30" s="1"/>
  <c r="O65" i="30"/>
  <c r="P65" i="30" s="1"/>
  <c r="O60" i="30"/>
  <c r="P60" i="30" s="1"/>
  <c r="O34" i="30"/>
  <c r="P34" i="30" s="1"/>
  <c r="O32" i="30"/>
  <c r="P32" i="30" s="1"/>
  <c r="O29" i="30"/>
  <c r="P29" i="30" s="1"/>
  <c r="O26" i="30"/>
  <c r="P26" i="30" s="1"/>
  <c r="O24" i="30"/>
  <c r="P24" i="30" s="1"/>
  <c r="O159" i="30"/>
  <c r="P159" i="30" s="1"/>
  <c r="O103" i="30"/>
  <c r="P103" i="30" s="1"/>
  <c r="O63" i="30"/>
  <c r="P63" i="30" s="1"/>
  <c r="O55" i="30"/>
  <c r="P55" i="30" s="1"/>
  <c r="O64" i="30"/>
  <c r="P64" i="30" s="1"/>
  <c r="O56" i="30"/>
  <c r="P56" i="30" s="1"/>
  <c r="O158" i="30"/>
  <c r="P158" i="30" s="1"/>
  <c r="O59" i="30"/>
  <c r="P59" i="30" s="1"/>
  <c r="O31" i="30"/>
  <c r="P31" i="30" s="1"/>
  <c r="O23" i="30"/>
  <c r="P23" i="30" s="1"/>
  <c r="O109" i="30"/>
  <c r="P109" i="30" s="1"/>
  <c r="O101" i="30"/>
  <c r="P101" i="30" s="1"/>
  <c r="O61" i="30"/>
  <c r="P61" i="30" s="1"/>
  <c r="O45" i="30"/>
  <c r="P45" i="30" s="1"/>
  <c r="O259" i="30"/>
  <c r="P259" i="30" s="1"/>
  <c r="O263" i="30"/>
  <c r="P263" i="30" s="1"/>
  <c r="O267" i="30"/>
  <c r="P267" i="30" s="1"/>
  <c r="O271" i="30"/>
  <c r="P271" i="30" s="1"/>
  <c r="O275" i="30"/>
  <c r="P275" i="30" s="1"/>
  <c r="O279" i="30"/>
  <c r="P279" i="30" s="1"/>
  <c r="O283" i="30"/>
  <c r="P283" i="30" s="1"/>
  <c r="O287" i="30"/>
  <c r="P287" i="30" s="1"/>
  <c r="O291" i="30"/>
  <c r="P291" i="30" s="1"/>
  <c r="O295" i="30"/>
  <c r="P295" i="30" s="1"/>
  <c r="O57" i="30"/>
  <c r="P57" i="30" s="1"/>
  <c r="O49" i="30"/>
  <c r="P49" i="30" s="1"/>
  <c r="O33" i="30"/>
  <c r="P33" i="30" s="1"/>
  <c r="O257" i="30"/>
  <c r="P257" i="30" s="1"/>
  <c r="O261" i="30"/>
  <c r="P261" i="30" s="1"/>
  <c r="O265" i="30"/>
  <c r="P265" i="30" s="1"/>
  <c r="O269" i="30"/>
  <c r="P269" i="30" s="1"/>
  <c r="O273" i="30"/>
  <c r="P273" i="30" s="1"/>
  <c r="O277" i="30"/>
  <c r="P277" i="30" s="1"/>
  <c r="O281" i="30"/>
  <c r="P281" i="30" s="1"/>
  <c r="O285" i="30"/>
  <c r="P285" i="30" s="1"/>
  <c r="O289" i="30"/>
  <c r="P289" i="30" s="1"/>
  <c r="O293" i="30"/>
  <c r="P293" i="30" s="1"/>
  <c r="O260" i="30"/>
  <c r="P260" i="30" s="1"/>
  <c r="O264" i="30"/>
  <c r="P264" i="30" s="1"/>
  <c r="O268" i="30"/>
  <c r="P268" i="30" s="1"/>
  <c r="O272" i="30"/>
  <c r="P272" i="30" s="1"/>
  <c r="O276" i="30"/>
  <c r="P276" i="30" s="1"/>
  <c r="O280" i="30"/>
  <c r="P280" i="30" s="1"/>
  <c r="O284" i="30"/>
  <c r="P284" i="30" s="1"/>
  <c r="O288" i="30"/>
  <c r="P288" i="30" s="1"/>
  <c r="O292" i="30"/>
  <c r="P292" i="30" s="1"/>
  <c r="O296" i="30"/>
  <c r="P296" i="30" s="1"/>
  <c r="O255" i="30"/>
  <c r="P255" i="30" s="1"/>
  <c r="O253" i="30"/>
  <c r="P253" i="30" s="1"/>
  <c r="O252" i="30"/>
  <c r="P252" i="30" s="1"/>
  <c r="O251" i="30"/>
  <c r="P251" i="30" s="1"/>
  <c r="O297" i="30"/>
  <c r="P297" i="30" s="1"/>
  <c r="O249" i="30"/>
  <c r="P249" i="30" s="1"/>
  <c r="O256" i="30"/>
  <c r="P256" i="30" s="1"/>
  <c r="AR130" i="3"/>
  <c r="AS130" i="3" s="1"/>
  <c r="H127" i="3"/>
  <c r="I127" i="3" s="1"/>
  <c r="V10" i="29"/>
  <c r="V14" i="4"/>
  <c r="X6" i="4"/>
  <c r="W9" i="4"/>
  <c r="X9" i="4" s="1"/>
  <c r="X5" i="4"/>
  <c r="D14" i="4"/>
  <c r="F28" i="11"/>
  <c r="BJ134" i="3"/>
  <c r="BK134" i="3" s="1"/>
  <c r="AO126" i="3"/>
  <c r="AP126" i="3" s="1"/>
  <c r="AO131" i="3"/>
  <c r="AP131" i="3" s="1"/>
  <c r="BD131" i="3"/>
  <c r="BE131" i="3" s="1"/>
  <c r="BM126" i="3"/>
  <c r="D94" i="14" s="1"/>
  <c r="AU132" i="3"/>
  <c r="AV132" i="3" s="1"/>
  <c r="AL127" i="3"/>
  <c r="AM127" i="3" s="1"/>
  <c r="BJ129" i="3"/>
  <c r="D62" i="14" s="1"/>
  <c r="AF126" i="3"/>
  <c r="AG126" i="3" s="1"/>
  <c r="AX130" i="3"/>
  <c r="AY130" i="3" s="1"/>
  <c r="E28" i="11"/>
  <c r="U4" i="6"/>
  <c r="C23" i="11"/>
  <c r="M28" i="11"/>
  <c r="H28" i="11"/>
  <c r="G28" i="11"/>
  <c r="AU133" i="3"/>
  <c r="AV133" i="3" s="1"/>
  <c r="AI127" i="3"/>
  <c r="AJ127" i="3" s="1"/>
  <c r="AX129" i="3"/>
  <c r="AY129" i="3" s="1"/>
  <c r="W126" i="3"/>
  <c r="X126" i="3" s="1"/>
  <c r="BM133" i="3"/>
  <c r="BN133" i="3" s="1"/>
  <c r="AR133" i="3"/>
  <c r="AS133" i="3" s="1"/>
  <c r="AR132" i="3"/>
  <c r="AS132" i="3" s="1"/>
  <c r="AX131" i="3"/>
  <c r="AY131" i="3" s="1"/>
  <c r="BP127" i="3"/>
  <c r="D130" i="14" s="1"/>
  <c r="BP133" i="3"/>
  <c r="D136" i="14" s="1"/>
  <c r="AX135" i="3"/>
  <c r="AY135" i="3" s="1"/>
  <c r="AO127" i="3"/>
  <c r="AP127" i="3" s="1"/>
  <c r="AU135" i="3"/>
  <c r="AV135" i="3" s="1"/>
  <c r="BD127" i="3"/>
  <c r="BE127" i="3" s="1"/>
  <c r="BD135" i="3"/>
  <c r="BE135" i="3" s="1"/>
  <c r="BA127" i="3"/>
  <c r="BB127" i="3" s="1"/>
  <c r="AR131" i="3"/>
  <c r="AS131" i="3" s="1"/>
  <c r="BM134" i="3"/>
  <c r="BN134" i="3" s="1"/>
  <c r="AF127" i="3"/>
  <c r="AG127" i="3" s="1"/>
  <c r="Z126" i="3"/>
  <c r="AA126" i="3" s="1"/>
  <c r="AX126" i="3"/>
  <c r="AY126" i="3" s="1"/>
  <c r="BG135" i="3"/>
  <c r="BH135" i="3" s="1"/>
  <c r="BD126" i="3"/>
  <c r="BE126" i="3" s="1"/>
  <c r="BJ132" i="3"/>
  <c r="D65" i="14" s="1"/>
  <c r="BD128" i="3"/>
  <c r="BE128" i="3" s="1"/>
  <c r="Q126" i="3"/>
  <c r="R126" i="3" s="1"/>
  <c r="BA135" i="3"/>
  <c r="BB135" i="3" s="1"/>
  <c r="BJ127" i="3"/>
  <c r="BK127" i="3" s="1"/>
  <c r="BG128" i="3"/>
  <c r="BH128" i="3" s="1"/>
  <c r="AI126" i="3"/>
  <c r="AJ126" i="3" s="1"/>
  <c r="BM130" i="3"/>
  <c r="D98" i="14" s="1"/>
  <c r="AC127" i="3"/>
  <c r="AD127" i="3" s="1"/>
  <c r="N126" i="3"/>
  <c r="O126" i="3" s="1"/>
  <c r="BA132" i="3"/>
  <c r="BB132" i="3" s="1"/>
  <c r="BD130" i="3"/>
  <c r="BE130" i="3" s="1"/>
  <c r="AX133" i="3"/>
  <c r="AY133" i="3" s="1"/>
  <c r="AO129" i="3"/>
  <c r="AP129" i="3" s="1"/>
  <c r="BA134" i="3"/>
  <c r="BB134" i="3" s="1"/>
  <c r="AR134" i="3"/>
  <c r="AS134" i="3" s="1"/>
  <c r="AR135" i="3"/>
  <c r="AS135" i="3" s="1"/>
  <c r="BJ135" i="3"/>
  <c r="D68" i="14" s="1"/>
  <c r="AX132" i="3"/>
  <c r="AY132" i="3" s="1"/>
  <c r="Q127" i="3"/>
  <c r="R127" i="3" s="1"/>
  <c r="BM131" i="3"/>
  <c r="BP135" i="3"/>
  <c r="D138" i="14" s="1"/>
  <c r="AO134" i="3"/>
  <c r="AP134" i="3" s="1"/>
  <c r="BP134" i="3"/>
  <c r="BQ134" i="3" s="1"/>
  <c r="BP128" i="3"/>
  <c r="D131" i="14" s="1"/>
  <c r="AR126" i="3"/>
  <c r="AS126" i="3" s="1"/>
  <c r="AX128" i="3"/>
  <c r="AY128" i="3" s="1"/>
  <c r="BM132" i="3"/>
  <c r="D100" i="14" s="1"/>
  <c r="W127" i="3"/>
  <c r="X127" i="3" s="1"/>
  <c r="BG126" i="3"/>
  <c r="BH126" i="3" s="1"/>
  <c r="T126" i="3"/>
  <c r="U126" i="3" s="1"/>
  <c r="AU130" i="3"/>
  <c r="AV130" i="3" s="1"/>
  <c r="BJ126" i="3"/>
  <c r="BK126" i="3" s="1"/>
  <c r="BG127" i="3"/>
  <c r="BH127" i="3" s="1"/>
  <c r="BJ133" i="3"/>
  <c r="BK133" i="3" s="1"/>
  <c r="BM128" i="3"/>
  <c r="D96" i="14" s="1"/>
  <c r="BJ131" i="3"/>
  <c r="BK131" i="3" s="1"/>
  <c r="BD129" i="3"/>
  <c r="BE129" i="3" s="1"/>
  <c r="AO128" i="3"/>
  <c r="AP128" i="3" s="1"/>
  <c r="AO135" i="3"/>
  <c r="AP135" i="3" s="1"/>
  <c r="BG134" i="3"/>
  <c r="BH134" i="3" s="1"/>
  <c r="AO132" i="3"/>
  <c r="AP132" i="3" s="1"/>
  <c r="Z127" i="3"/>
  <c r="AA127" i="3" s="1"/>
  <c r="AU127" i="3"/>
  <c r="AV127" i="3" s="1"/>
  <c r="AX127" i="3"/>
  <c r="AY127" i="3" s="1"/>
  <c r="BM129" i="3"/>
  <c r="D97" i="14" s="1"/>
  <c r="BA126" i="3"/>
  <c r="BB126" i="3" s="1"/>
  <c r="BD133" i="3"/>
  <c r="BE133" i="3" s="1"/>
  <c r="BG130" i="3"/>
  <c r="BH130" i="3" s="1"/>
  <c r="AO133" i="3"/>
  <c r="AP133" i="3" s="1"/>
  <c r="AU128" i="3"/>
  <c r="AV128" i="3" s="1"/>
  <c r="BA129" i="3"/>
  <c r="BB129" i="3" s="1"/>
  <c r="AR129" i="3"/>
  <c r="AS129" i="3" s="1"/>
  <c r="BP129" i="3"/>
  <c r="D132" i="14" s="1"/>
  <c r="AR127" i="3"/>
  <c r="AS127" i="3" s="1"/>
  <c r="BA131" i="3"/>
  <c r="BB131" i="3" s="1"/>
  <c r="BJ128" i="3"/>
  <c r="BK128" i="3" s="1"/>
  <c r="BD132" i="3"/>
  <c r="BE132" i="3" s="1"/>
  <c r="BM135" i="3"/>
  <c r="D103" i="14" s="1"/>
  <c r="BP132" i="3"/>
  <c r="BQ132" i="3" s="1"/>
  <c r="T127" i="3"/>
  <c r="U127" i="3" s="1"/>
  <c r="AR128" i="3"/>
  <c r="AS128" i="3" s="1"/>
  <c r="N127" i="3"/>
  <c r="O127" i="3" s="1"/>
  <c r="AU131" i="3"/>
  <c r="AV131" i="3" s="1"/>
  <c r="BP130" i="3"/>
  <c r="D133" i="14" s="1"/>
  <c r="BP126" i="3"/>
  <c r="D129" i="14" s="1"/>
  <c r="AL126" i="3"/>
  <c r="AM126" i="3" s="1"/>
  <c r="H126" i="3"/>
  <c r="I126" i="3" s="1"/>
  <c r="BG131" i="3"/>
  <c r="BH131" i="3" s="1"/>
  <c r="BA133" i="3"/>
  <c r="BB133" i="3" s="1"/>
  <c r="BJ130" i="3"/>
  <c r="D63" i="14" s="1"/>
  <c r="BD134" i="3"/>
  <c r="BE134" i="3" s="1"/>
  <c r="AU129" i="3"/>
  <c r="AV129" i="3" s="1"/>
  <c r="BP131" i="3"/>
  <c r="BQ131" i="3" s="1"/>
  <c r="AX134" i="3"/>
  <c r="AY134" i="3" s="1"/>
  <c r="BM127" i="3"/>
  <c r="D95" i="14" s="1"/>
  <c r="BA128" i="3"/>
  <c r="BB128" i="3" s="1"/>
  <c r="BG133" i="3"/>
  <c r="BH133" i="3" s="1"/>
  <c r="AU134" i="3"/>
  <c r="AV134" i="3" s="1"/>
  <c r="BA130" i="3"/>
  <c r="BB130" i="3" s="1"/>
  <c r="BG132" i="3"/>
  <c r="BH132" i="3" s="1"/>
  <c r="BG129" i="3"/>
  <c r="BH129" i="3" s="1"/>
  <c r="AC126" i="3"/>
  <c r="AD126" i="3" s="1"/>
  <c r="AO130" i="3"/>
  <c r="AP130" i="3" s="1"/>
  <c r="AU126" i="3"/>
  <c r="AV126" i="3" s="1"/>
  <c r="N71" i="3"/>
  <c r="O71" i="3" s="1"/>
  <c r="N101" i="3" s="1"/>
  <c r="O101" i="3" s="1"/>
  <c r="BA69" i="3"/>
  <c r="BA79" i="3" s="1"/>
  <c r="BB79" i="3" s="1"/>
  <c r="BG74" i="3"/>
  <c r="BH74" i="3" s="1"/>
  <c r="BG104" i="3" s="1"/>
  <c r="BH104" i="3" s="1"/>
  <c r="AR70" i="3"/>
  <c r="AS70" i="3" s="1"/>
  <c r="AR100" i="3" s="1"/>
  <c r="AS100" i="3" s="1"/>
  <c r="BD69" i="3"/>
  <c r="BD79" i="3" s="1"/>
  <c r="BE79" i="3" s="1"/>
  <c r="BG75" i="3"/>
  <c r="BH75" i="3" s="1"/>
  <c r="BG105" i="3" s="1"/>
  <c r="BH105" i="3" s="1"/>
  <c r="AI66" i="3"/>
  <c r="AI76" i="3" s="1"/>
  <c r="AJ76" i="3" s="1"/>
  <c r="AO69" i="3"/>
  <c r="AP69" i="3" s="1"/>
  <c r="AO99" i="3" s="1"/>
  <c r="AP99" i="3" s="1"/>
  <c r="Q66" i="3"/>
  <c r="R66" i="3" s="1"/>
  <c r="Q96" i="3" s="1"/>
  <c r="R96" i="3" s="1"/>
  <c r="BP74" i="3"/>
  <c r="BQ74" i="3" s="1"/>
  <c r="BP104" i="3" s="1"/>
  <c r="BQ104" i="3" s="1"/>
  <c r="AC70" i="3"/>
  <c r="AD70" i="3" s="1"/>
  <c r="AC100" i="3" s="1"/>
  <c r="AD100" i="3" s="1"/>
  <c r="N70" i="3"/>
  <c r="N80" i="3" s="1"/>
  <c r="O80" i="3" s="1"/>
  <c r="BM72" i="3"/>
  <c r="BN72" i="3" s="1"/>
  <c r="BM102" i="3" s="1"/>
  <c r="BN102" i="3" s="1"/>
  <c r="H68" i="3"/>
  <c r="I68" i="3" s="1"/>
  <c r="H98" i="3" s="1"/>
  <c r="I98" i="3" s="1"/>
  <c r="BJ69" i="3"/>
  <c r="BK69" i="3" s="1"/>
  <c r="BJ99" i="3" s="1"/>
  <c r="BK99" i="3" s="1"/>
  <c r="T74" i="3"/>
  <c r="U74" i="3" s="1"/>
  <c r="T104" i="3" s="1"/>
  <c r="U104" i="3" s="1"/>
  <c r="AX69" i="3"/>
  <c r="AX79" i="3" s="1"/>
  <c r="AY79" i="3" s="1"/>
  <c r="W75" i="3"/>
  <c r="X75" i="3" s="1"/>
  <c r="W105" i="3" s="1"/>
  <c r="X105" i="3" s="1"/>
  <c r="Z71" i="3"/>
  <c r="Z81" i="3" s="1"/>
  <c r="AA81" i="3" s="1"/>
  <c r="BG73" i="3"/>
  <c r="BH73" i="3" s="1"/>
  <c r="BG103" i="3" s="1"/>
  <c r="BH103" i="3" s="1"/>
  <c r="BP73" i="3"/>
  <c r="BQ73" i="3" s="1"/>
  <c r="BP103" i="3" s="1"/>
  <c r="BQ103" i="3" s="1"/>
  <c r="Z72" i="3"/>
  <c r="Z82" i="3" s="1"/>
  <c r="AA82" i="3" s="1"/>
  <c r="BM70" i="3"/>
  <c r="BN70" i="3" s="1"/>
  <c r="BM100" i="3" s="1"/>
  <c r="BN100" i="3" s="1"/>
  <c r="AU67" i="3"/>
  <c r="AU77" i="3" s="1"/>
  <c r="AV77" i="3" s="1"/>
  <c r="AU71" i="3"/>
  <c r="AV71" i="3" s="1"/>
  <c r="AU101" i="3" s="1"/>
  <c r="AV101" i="3" s="1"/>
  <c r="H4" i="37"/>
  <c r="I4" i="37" s="1"/>
  <c r="H23" i="37"/>
  <c r="I23" i="37" s="1"/>
  <c r="H73" i="3"/>
  <c r="I73" i="3" s="1"/>
  <c r="H103" i="3" s="1"/>
  <c r="I103" i="3" s="1"/>
  <c r="BA66" i="3"/>
  <c r="BA72" i="3"/>
  <c r="BB72" i="3" s="1"/>
  <c r="BA102" i="3" s="1"/>
  <c r="BB102" i="3" s="1"/>
  <c r="H75" i="3"/>
  <c r="BA68" i="3"/>
  <c r="BB68" i="3" s="1"/>
  <c r="BA98" i="3" s="1"/>
  <c r="BB98" i="3" s="1"/>
  <c r="Q75" i="3"/>
  <c r="R75" i="3" s="1"/>
  <c r="Q105" i="3" s="1"/>
  <c r="R105" i="3" s="1"/>
  <c r="BD68" i="3"/>
  <c r="AL74" i="3"/>
  <c r="AR72" i="3"/>
  <c r="AS72" i="3" s="1"/>
  <c r="AR102" i="3" s="1"/>
  <c r="AS102" i="3" s="1"/>
  <c r="AL73" i="3"/>
  <c r="AC75" i="3"/>
  <c r="AU72" i="3"/>
  <c r="AU82" i="3" s="1"/>
  <c r="AV82" i="3" s="1"/>
  <c r="BD67" i="3"/>
  <c r="Z74" i="3"/>
  <c r="AA74" i="3" s="1"/>
  <c r="Z104" i="3" s="1"/>
  <c r="AA104" i="3" s="1"/>
  <c r="BA75" i="3"/>
  <c r="BA85" i="3" s="1"/>
  <c r="AF74" i="3"/>
  <c r="AG74" i="3" s="1"/>
  <c r="AF104" i="3" s="1"/>
  <c r="AG104" i="3" s="1"/>
  <c r="AX66" i="3"/>
  <c r="AY66" i="3" s="1"/>
  <c r="AX96" i="3" s="1"/>
  <c r="AY96" i="3" s="1"/>
  <c r="BG71" i="3"/>
  <c r="T68" i="3"/>
  <c r="T78" i="3" s="1"/>
  <c r="U78" i="3" s="1"/>
  <c r="AX67" i="3"/>
  <c r="T70" i="3"/>
  <c r="Q68" i="3"/>
  <c r="AL67" i="3"/>
  <c r="AL77" i="3" s="1"/>
  <c r="AM77" i="3" s="1"/>
  <c r="BJ66" i="3"/>
  <c r="BJ76" i="3" s="1"/>
  <c r="BK76" i="3" s="1"/>
  <c r="AC69" i="3"/>
  <c r="AL68" i="3"/>
  <c r="AM68" i="3" s="1"/>
  <c r="AL98" i="3" s="1"/>
  <c r="AM98" i="3" s="1"/>
  <c r="BJ72" i="3"/>
  <c r="BJ82" i="3" s="1"/>
  <c r="BK82" i="3" s="1"/>
  <c r="T73" i="3"/>
  <c r="AO68" i="3"/>
  <c r="AP68" i="3" s="1"/>
  <c r="AO98" i="3" s="1"/>
  <c r="AP98" i="3" s="1"/>
  <c r="BJ74" i="3"/>
  <c r="BJ84" i="3" s="1"/>
  <c r="BK84" i="3" s="1"/>
  <c r="AL69" i="3"/>
  <c r="AC68" i="3"/>
  <c r="AD68" i="3" s="1"/>
  <c r="AC98" i="3" s="1"/>
  <c r="AD98" i="3" s="1"/>
  <c r="AO67" i="3"/>
  <c r="AP67" i="3" s="1"/>
  <c r="AO97" i="3" s="1"/>
  <c r="AP97" i="3" s="1"/>
  <c r="AI72" i="3"/>
  <c r="AJ72" i="3" s="1"/>
  <c r="AI102" i="3" s="1"/>
  <c r="AJ102" i="3" s="1"/>
  <c r="AX71" i="3"/>
  <c r="AY71" i="3" s="1"/>
  <c r="AX101" i="3" s="1"/>
  <c r="AY101" i="3" s="1"/>
  <c r="Z68" i="3"/>
  <c r="AL66" i="3"/>
  <c r="Z73" i="3"/>
  <c r="AA73" i="3" s="1"/>
  <c r="Z103" i="3" s="1"/>
  <c r="AA103" i="3" s="1"/>
  <c r="W71" i="3"/>
  <c r="X71" i="3" s="1"/>
  <c r="W101" i="3" s="1"/>
  <c r="X101" i="3" s="1"/>
  <c r="BM66" i="3"/>
  <c r="AR73" i="3"/>
  <c r="H74" i="3"/>
  <c r="AF70" i="3"/>
  <c r="AO71" i="3"/>
  <c r="H67" i="3"/>
  <c r="N74" i="3"/>
  <c r="H71" i="3"/>
  <c r="AC74" i="3"/>
  <c r="AF67" i="3"/>
  <c r="W72" i="3"/>
  <c r="X72" i="3" s="1"/>
  <c r="W102" i="3" s="1"/>
  <c r="X102" i="3" s="1"/>
  <c r="BG72" i="3"/>
  <c r="BG82" i="3" s="1"/>
  <c r="BH82" i="3" s="1"/>
  <c r="W68" i="3"/>
  <c r="X68" i="3" s="1"/>
  <c r="W98" i="3" s="1"/>
  <c r="X98" i="3" s="1"/>
  <c r="BP72" i="3"/>
  <c r="H69" i="3"/>
  <c r="I69" i="3" s="1"/>
  <c r="H99" i="3" s="1"/>
  <c r="I99" i="3" s="1"/>
  <c r="AL72" i="3"/>
  <c r="AM72" i="3" s="1"/>
  <c r="AL102" i="3" s="1"/>
  <c r="AM102" i="3" s="1"/>
  <c r="Z70" i="3"/>
  <c r="AA70" i="3" s="1"/>
  <c r="Z100" i="3" s="1"/>
  <c r="AA100" i="3" s="1"/>
  <c r="AR75" i="3"/>
  <c r="AS75" i="3" s="1"/>
  <c r="AR105" i="3" s="1"/>
  <c r="AS105" i="3" s="1"/>
  <c r="BP70" i="3"/>
  <c r="BQ70" i="3" s="1"/>
  <c r="BP100" i="3" s="1"/>
  <c r="BQ100" i="3" s="1"/>
  <c r="Z69" i="3"/>
  <c r="AA69" i="3" s="1"/>
  <c r="Z99" i="3" s="1"/>
  <c r="AA99" i="3" s="1"/>
  <c r="BD75" i="3"/>
  <c r="BD85" i="3" s="1"/>
  <c r="AO75" i="3"/>
  <c r="AO85" i="3" s="1"/>
  <c r="AP85" i="3" s="1"/>
  <c r="AF68" i="3"/>
  <c r="AF78" i="3" s="1"/>
  <c r="AG78" i="3" s="1"/>
  <c r="Z67" i="3"/>
  <c r="AA67" i="3" s="1"/>
  <c r="Z97" i="3" s="1"/>
  <c r="AA97" i="3" s="1"/>
  <c r="BP67" i="3"/>
  <c r="BQ67" i="3" s="1"/>
  <c r="BP97" i="3" s="1"/>
  <c r="BQ97" i="3" s="1"/>
  <c r="BG68" i="3"/>
  <c r="BH68" i="3" s="1"/>
  <c r="BG98" i="3" s="1"/>
  <c r="BH98" i="3" s="1"/>
  <c r="H72" i="3"/>
  <c r="I72" i="3" s="1"/>
  <c r="H102" i="3" s="1"/>
  <c r="I102" i="3" s="1"/>
  <c r="N68" i="3"/>
  <c r="AX74" i="3"/>
  <c r="AX84" i="3" s="1"/>
  <c r="AY84" i="3" s="1"/>
  <c r="BD71" i="3"/>
  <c r="Q74" i="3"/>
  <c r="Q84" i="3" s="1"/>
  <c r="R84" i="3" s="1"/>
  <c r="AX75" i="3"/>
  <c r="AY75" i="3" s="1"/>
  <c r="AX105" i="3" s="1"/>
  <c r="AY105" i="3" s="1"/>
  <c r="W73" i="3"/>
  <c r="X73" i="3" s="1"/>
  <c r="W103" i="3" s="1"/>
  <c r="X103" i="3" s="1"/>
  <c r="BG70" i="3"/>
  <c r="BG80" i="3" s="1"/>
  <c r="BH80" i="3" s="1"/>
  <c r="BJ71" i="3"/>
  <c r="BK71" i="3" s="1"/>
  <c r="BJ101" i="3" s="1"/>
  <c r="BK101" i="3" s="1"/>
  <c r="AI68" i="3"/>
  <c r="AJ68" i="3" s="1"/>
  <c r="AI98" i="3" s="1"/>
  <c r="AJ98" i="3" s="1"/>
  <c r="BM67" i="3"/>
  <c r="BN67" i="3" s="1"/>
  <c r="BM97" i="3" s="1"/>
  <c r="BN97" i="3" s="1"/>
  <c r="AI69" i="3"/>
  <c r="AJ69" i="3" s="1"/>
  <c r="AI99" i="3" s="1"/>
  <c r="AJ99" i="3" s="1"/>
  <c r="AI73" i="3"/>
  <c r="AJ73" i="3" s="1"/>
  <c r="AI103" i="3" s="1"/>
  <c r="AJ103" i="3" s="1"/>
  <c r="AL71" i="3"/>
  <c r="AM71" i="3" s="1"/>
  <c r="AL101" i="3" s="1"/>
  <c r="AM101" i="3" s="1"/>
  <c r="BG66" i="3"/>
  <c r="BH66" i="3" s="1"/>
  <c r="BG96" i="3" s="1"/>
  <c r="BH96" i="3" s="1"/>
  <c r="W66" i="3"/>
  <c r="X66" i="3" s="1"/>
  <c r="W96" i="3" s="1"/>
  <c r="X96" i="3" s="1"/>
  <c r="BJ68" i="3"/>
  <c r="BK68" i="3" s="1"/>
  <c r="BJ98" i="3" s="1"/>
  <c r="BK98" i="3" s="1"/>
  <c r="Z66" i="3"/>
  <c r="AA66" i="3" s="1"/>
  <c r="Z96" i="3" s="1"/>
  <c r="AA96" i="3" s="1"/>
  <c r="AX72" i="3"/>
  <c r="AX82" i="3" s="1"/>
  <c r="AY82" i="3" s="1"/>
  <c r="N73" i="3"/>
  <c r="N83" i="3" s="1"/>
  <c r="O83" i="3" s="1"/>
  <c r="BM73" i="3"/>
  <c r="BN73" i="3" s="1"/>
  <c r="BM103" i="3" s="1"/>
  <c r="BN103" i="3" s="1"/>
  <c r="N75" i="3"/>
  <c r="O75" i="3" s="1"/>
  <c r="N105" i="3" s="1"/>
  <c r="O105" i="3" s="1"/>
  <c r="AU69" i="3"/>
  <c r="AU79" i="3" s="1"/>
  <c r="AV79" i="3" s="1"/>
  <c r="Q69" i="3"/>
  <c r="R69" i="3" s="1"/>
  <c r="Q99" i="3" s="1"/>
  <c r="R99" i="3" s="1"/>
  <c r="AX70" i="3"/>
  <c r="AY70" i="3" s="1"/>
  <c r="AX100" i="3" s="1"/>
  <c r="AY100" i="3" s="1"/>
  <c r="N67" i="3"/>
  <c r="O67" i="3" s="1"/>
  <c r="N97" i="3" s="1"/>
  <c r="O97" i="3" s="1"/>
  <c r="AU66" i="3"/>
  <c r="AV66" i="3" s="1"/>
  <c r="AU96" i="3" s="1"/>
  <c r="AV96" i="3" s="1"/>
  <c r="BM71" i="3"/>
  <c r="BN71" i="3" s="1"/>
  <c r="BM101" i="3" s="1"/>
  <c r="BN101" i="3" s="1"/>
  <c r="AC71" i="3"/>
  <c r="AX73" i="3"/>
  <c r="AY73" i="3" s="1"/>
  <c r="AX103" i="3" s="1"/>
  <c r="AY103" i="3" s="1"/>
  <c r="BP68" i="3"/>
  <c r="BQ68" i="3" s="1"/>
  <c r="BP98" i="3" s="1"/>
  <c r="BQ98" i="3" s="1"/>
  <c r="Q73" i="3"/>
  <c r="R73" i="3" s="1"/>
  <c r="Q103" i="3" s="1"/>
  <c r="R103" i="3" s="1"/>
  <c r="AU74" i="3"/>
  <c r="AV74" i="3" s="1"/>
  <c r="AU104" i="3" s="1"/>
  <c r="AV104" i="3" s="1"/>
  <c r="AI67" i="3"/>
  <c r="AJ67" i="3" s="1"/>
  <c r="AI97" i="3" s="1"/>
  <c r="AJ97" i="3" s="1"/>
  <c r="BA70" i="3"/>
  <c r="BA80" i="3" s="1"/>
  <c r="BB80" i="3" s="1"/>
  <c r="BG69" i="3"/>
  <c r="BH69" i="3" s="1"/>
  <c r="BG99" i="3" s="1"/>
  <c r="BH99" i="3" s="1"/>
  <c r="H70" i="3"/>
  <c r="I70" i="3" s="1"/>
  <c r="H100" i="3" s="1"/>
  <c r="I100" i="3" s="1"/>
  <c r="BD66" i="3"/>
  <c r="BE66" i="3" s="1"/>
  <c r="BD96" i="3" s="1"/>
  <c r="BE96" i="3" s="1"/>
  <c r="AF75" i="3"/>
  <c r="AG75" i="3" s="1"/>
  <c r="AF105" i="3" s="1"/>
  <c r="AG105" i="3" s="1"/>
  <c r="AC66" i="3"/>
  <c r="AC76" i="3" s="1"/>
  <c r="AD76" i="3" s="1"/>
  <c r="BD70" i="3"/>
  <c r="BE70" i="3" s="1"/>
  <c r="BD100" i="3" s="1"/>
  <c r="BE100" i="3" s="1"/>
  <c r="Q71" i="3"/>
  <c r="R71" i="3" s="1"/>
  <c r="Q101" i="3" s="1"/>
  <c r="R101" i="3" s="1"/>
  <c r="BA73" i="3"/>
  <c r="BA83" i="3" s="1"/>
  <c r="BB83" i="3" s="1"/>
  <c r="N69" i="3"/>
  <c r="O69" i="3" s="1"/>
  <c r="N99" i="3" s="1"/>
  <c r="O99" i="3" s="1"/>
  <c r="AO70" i="3"/>
  <c r="AP70" i="3" s="1"/>
  <c r="AO100" i="3" s="1"/>
  <c r="AP100" i="3" s="1"/>
  <c r="AC72" i="3"/>
  <c r="AD72" i="3" s="1"/>
  <c r="AC102" i="3" s="1"/>
  <c r="AD102" i="3" s="1"/>
  <c r="AR74" i="3"/>
  <c r="AS74" i="3" s="1"/>
  <c r="AR104" i="3" s="1"/>
  <c r="AS104" i="3" s="1"/>
  <c r="AF72" i="3"/>
  <c r="AG72" i="3" s="1"/>
  <c r="AF102" i="3" s="1"/>
  <c r="AG102" i="3" s="1"/>
  <c r="W70" i="3"/>
  <c r="W80" i="3" s="1"/>
  <c r="X80" i="3" s="1"/>
  <c r="AI71" i="3"/>
  <c r="AJ71" i="3" s="1"/>
  <c r="AI101" i="3" s="1"/>
  <c r="AJ101" i="3" s="1"/>
  <c r="AL70" i="3"/>
  <c r="AM70" i="3" s="1"/>
  <c r="AL100" i="3" s="1"/>
  <c r="AM100" i="3" s="1"/>
  <c r="BP66" i="3"/>
  <c r="BQ66" i="3" s="1"/>
  <c r="BP96" i="3" s="1"/>
  <c r="BQ96" i="3" s="1"/>
  <c r="AX68" i="3"/>
  <c r="AY68" i="3" s="1"/>
  <c r="AX98" i="3" s="1"/>
  <c r="AY98" i="3" s="1"/>
  <c r="Q67" i="3"/>
  <c r="R67" i="3" s="1"/>
  <c r="Q97" i="3" s="1"/>
  <c r="R97" i="3" s="1"/>
  <c r="BJ75" i="3"/>
  <c r="BK75" i="3" s="1"/>
  <c r="BJ105" i="3" s="1"/>
  <c r="BK105" i="3" s="1"/>
  <c r="AR67" i="3"/>
  <c r="AS67" i="3" s="1"/>
  <c r="AR97" i="3" s="1"/>
  <c r="AS97" i="3" s="1"/>
  <c r="BP75" i="3"/>
  <c r="BQ75" i="3" s="1"/>
  <c r="BP105" i="3" s="1"/>
  <c r="BQ105" i="3" s="1"/>
  <c r="AF71" i="3"/>
  <c r="AG71" i="3" s="1"/>
  <c r="AF101" i="3" s="1"/>
  <c r="AG101" i="3" s="1"/>
  <c r="BA71" i="3"/>
  <c r="BA81" i="3" s="1"/>
  <c r="BB81" i="3" s="1"/>
  <c r="H66" i="3"/>
  <c r="I66" i="3" s="1"/>
  <c r="H96" i="3" s="1"/>
  <c r="I96" i="3" s="1"/>
  <c r="T72" i="3"/>
  <c r="T82" i="3" s="1"/>
  <c r="U82" i="3" s="1"/>
  <c r="BA74" i="3"/>
  <c r="BB74" i="3" s="1"/>
  <c r="BA104" i="3" s="1"/>
  <c r="BB104" i="3" s="1"/>
  <c r="BP69" i="3"/>
  <c r="BQ69" i="3" s="1"/>
  <c r="BP99" i="3" s="1"/>
  <c r="BQ99" i="3" s="1"/>
  <c r="AU73" i="3"/>
  <c r="AU83" i="3" s="1"/>
  <c r="AV83" i="3" s="1"/>
  <c r="AC67" i="3"/>
  <c r="AC77" i="3" s="1"/>
  <c r="AD77" i="3" s="1"/>
  <c r="BP71" i="3"/>
  <c r="BQ71" i="3" s="1"/>
  <c r="BP101" i="3" s="1"/>
  <c r="BQ101" i="3" s="1"/>
  <c r="T69" i="3"/>
  <c r="U69" i="3" s="1"/>
  <c r="T99" i="3" s="1"/>
  <c r="U99" i="3" s="1"/>
  <c r="BJ73" i="3"/>
  <c r="BK73" i="3" s="1"/>
  <c r="BJ103" i="3" s="1"/>
  <c r="BK103" i="3" s="1"/>
  <c r="AR71" i="3"/>
  <c r="AR81" i="3" s="1"/>
  <c r="AS81" i="3" s="1"/>
  <c r="BD73" i="3"/>
  <c r="BE73" i="3" s="1"/>
  <c r="BD103" i="3" s="1"/>
  <c r="BE103" i="3" s="1"/>
  <c r="AU70" i="3"/>
  <c r="AV70" i="3" s="1"/>
  <c r="AU100" i="3" s="1"/>
  <c r="AV100" i="3" s="1"/>
  <c r="T71" i="3"/>
  <c r="U71" i="3" s="1"/>
  <c r="T101" i="3" s="1"/>
  <c r="U101" i="3" s="1"/>
  <c r="AF66" i="3"/>
  <c r="AF76" i="3" s="1"/>
  <c r="AG76" i="3" s="1"/>
  <c r="BM74" i="3"/>
  <c r="BN74" i="3" s="1"/>
  <c r="BM104" i="3" s="1"/>
  <c r="BN104" i="3" s="1"/>
  <c r="BJ67" i="3"/>
  <c r="BJ77" i="3" s="1"/>
  <c r="BK77" i="3" s="1"/>
  <c r="AR68" i="3"/>
  <c r="AR78" i="3" s="1"/>
  <c r="AS78" i="3" s="1"/>
  <c r="AF73" i="3"/>
  <c r="AG73" i="3" s="1"/>
  <c r="AF103" i="3" s="1"/>
  <c r="AG103" i="3" s="1"/>
  <c r="N66" i="3"/>
  <c r="O66" i="3" s="1"/>
  <c r="N96" i="3" s="1"/>
  <c r="O96" i="3" s="1"/>
  <c r="AR69" i="3"/>
  <c r="AR79" i="3" s="1"/>
  <c r="AS79" i="3" s="1"/>
  <c r="T67" i="3"/>
  <c r="U67" i="3" s="1"/>
  <c r="T97" i="3" s="1"/>
  <c r="U97" i="3" s="1"/>
  <c r="BM69" i="3"/>
  <c r="BN69" i="3" s="1"/>
  <c r="BM99" i="3" s="1"/>
  <c r="BN99" i="3" s="1"/>
  <c r="T75" i="3"/>
  <c r="U75" i="3" s="1"/>
  <c r="T105" i="3" s="1"/>
  <c r="U105" i="3" s="1"/>
  <c r="BJ70" i="3"/>
  <c r="BK70" i="3" s="1"/>
  <c r="BJ100" i="3" s="1"/>
  <c r="BK100" i="3" s="1"/>
  <c r="AC73" i="3"/>
  <c r="AD73" i="3" s="1"/>
  <c r="AC103" i="3" s="1"/>
  <c r="AD103" i="3" s="1"/>
  <c r="AF69" i="3"/>
  <c r="AG69" i="3" s="1"/>
  <c r="AF99" i="3" s="1"/>
  <c r="AG99" i="3" s="1"/>
  <c r="AR66" i="3"/>
  <c r="AS66" i="3" s="1"/>
  <c r="AR96" i="3" s="1"/>
  <c r="AS96" i="3" s="1"/>
  <c r="W74" i="3"/>
  <c r="W84" i="3" s="1"/>
  <c r="X84" i="3" s="1"/>
  <c r="AI75" i="3"/>
  <c r="AI85" i="3" s="1"/>
  <c r="AJ85" i="3" s="1"/>
  <c r="BD74" i="3"/>
  <c r="BE74" i="3" s="1"/>
  <c r="BD104" i="3" s="1"/>
  <c r="BE104" i="3" s="1"/>
  <c r="AO74" i="3"/>
  <c r="AP74" i="3" s="1"/>
  <c r="AO104" i="3" s="1"/>
  <c r="AP104" i="3" s="1"/>
  <c r="W69" i="3"/>
  <c r="X69" i="3" s="1"/>
  <c r="W99" i="3" s="1"/>
  <c r="X99" i="3" s="1"/>
  <c r="AO66" i="3"/>
  <c r="AP66" i="3" s="1"/>
  <c r="AO96" i="3" s="1"/>
  <c r="AP96" i="3" s="1"/>
  <c r="Z75" i="3"/>
  <c r="AA75" i="3" s="1"/>
  <c r="Z105" i="3" s="1"/>
  <c r="AA105" i="3" s="1"/>
  <c r="BM75" i="3"/>
  <c r="BN75" i="3" s="1"/>
  <c r="BM105" i="3" s="1"/>
  <c r="BN105" i="3" s="1"/>
  <c r="Q72" i="3"/>
  <c r="R72" i="3" s="1"/>
  <c r="Q102" i="3" s="1"/>
  <c r="R102" i="3" s="1"/>
  <c r="BG67" i="3"/>
  <c r="BG77" i="3" s="1"/>
  <c r="BH77" i="3" s="1"/>
  <c r="Q70" i="3"/>
  <c r="R70" i="3" s="1"/>
  <c r="Q100" i="3" s="1"/>
  <c r="R100" i="3" s="1"/>
  <c r="BA67" i="3"/>
  <c r="BB67" i="3" s="1"/>
  <c r="BA97" i="3" s="1"/>
  <c r="BB97" i="3" s="1"/>
  <c r="BD72" i="3"/>
  <c r="BD82" i="3" s="1"/>
  <c r="BE82" i="3" s="1"/>
  <c r="AL75" i="3"/>
  <c r="AM75" i="3" s="1"/>
  <c r="AL105" i="3" s="1"/>
  <c r="AM105" i="3" s="1"/>
  <c r="T66" i="3"/>
  <c r="T76" i="3" s="1"/>
  <c r="U76" i="3" s="1"/>
  <c r="W67" i="3"/>
  <c r="W77" i="3" s="1"/>
  <c r="X77" i="3" s="1"/>
  <c r="BM68" i="3"/>
  <c r="BM78" i="3" s="1"/>
  <c r="BN78" i="3" s="1"/>
  <c r="AI70" i="3"/>
  <c r="AJ70" i="3" s="1"/>
  <c r="AI100" i="3" s="1"/>
  <c r="AJ100" i="3" s="1"/>
  <c r="AU75" i="3"/>
  <c r="AV75" i="3" s="1"/>
  <c r="AU105" i="3" s="1"/>
  <c r="AV105" i="3" s="1"/>
  <c r="AO73" i="3"/>
  <c r="AP73" i="3" s="1"/>
  <c r="AO103" i="3" s="1"/>
  <c r="AP103" i="3" s="1"/>
  <c r="AO72" i="3"/>
  <c r="AP72" i="3" s="1"/>
  <c r="AO102" i="3" s="1"/>
  <c r="AP102" i="3" s="1"/>
  <c r="AI74" i="3"/>
  <c r="AJ74" i="3" s="1"/>
  <c r="AI104" i="3" s="1"/>
  <c r="AJ104" i="3" s="1"/>
  <c r="AU68" i="3"/>
  <c r="AV68" i="3" s="1"/>
  <c r="AU98" i="3" s="1"/>
  <c r="AV98" i="3" s="1"/>
  <c r="N72" i="3"/>
  <c r="N82" i="3" s="1"/>
  <c r="O82" i="3" s="1"/>
  <c r="K74" i="3"/>
  <c r="L74" i="3" s="1"/>
  <c r="K104" i="3" s="1"/>
  <c r="L104" i="3" s="1"/>
  <c r="L127" i="3"/>
  <c r="K126" i="3"/>
  <c r="K71" i="3"/>
  <c r="K81" i="3" s="1"/>
  <c r="L81" i="3" s="1"/>
  <c r="K70" i="3"/>
  <c r="K80" i="3" s="1"/>
  <c r="L80" i="3" s="1"/>
  <c r="K69" i="3"/>
  <c r="K68" i="3"/>
  <c r="L68" i="3" s="1"/>
  <c r="K98" i="3" s="1"/>
  <c r="K75" i="3"/>
  <c r="K85" i="3" s="1"/>
  <c r="K73" i="3"/>
  <c r="K72" i="3"/>
  <c r="K77" i="3"/>
  <c r="L67" i="3"/>
  <c r="K66" i="3"/>
  <c r="I96" i="9" l="1"/>
  <c r="N98" i="9"/>
  <c r="K98" i="9"/>
  <c r="I74" i="10"/>
  <c r="K74" i="10"/>
  <c r="E70" i="10"/>
  <c r="O96" i="9"/>
  <c r="M72" i="10"/>
  <c r="I95" i="9"/>
  <c r="O74" i="10"/>
  <c r="K95" i="9"/>
  <c r="L97" i="9"/>
  <c r="E69" i="10"/>
  <c r="O72" i="10"/>
  <c r="I73" i="10"/>
  <c r="J75" i="10"/>
  <c r="K73" i="10"/>
  <c r="E66" i="10"/>
  <c r="O95" i="9"/>
  <c r="O73" i="10"/>
  <c r="N96" i="9"/>
  <c r="K96" i="9"/>
  <c r="I72" i="10"/>
  <c r="K72" i="10"/>
  <c r="E68" i="10"/>
  <c r="N75" i="10"/>
  <c r="N97" i="9"/>
  <c r="L95" i="9"/>
  <c r="J74" i="10"/>
  <c r="E67" i="10"/>
  <c r="M74" i="10"/>
  <c r="M75" i="10"/>
  <c r="N73" i="10"/>
  <c r="N74" i="10"/>
  <c r="I98" i="9"/>
  <c r="J73" i="10"/>
  <c r="E71" i="10"/>
  <c r="Q71" i="52"/>
  <c r="P79" i="52"/>
  <c r="R78" i="52"/>
  <c r="S70" i="52"/>
  <c r="C9" i="32"/>
  <c r="C8" i="32"/>
  <c r="C7" i="32"/>
  <c r="C12" i="32"/>
  <c r="C6" i="32"/>
  <c r="C13" i="32"/>
  <c r="C11" i="32"/>
  <c r="C10" i="32"/>
  <c r="L218" i="30"/>
  <c r="L216" i="30"/>
  <c r="L217" i="30"/>
  <c r="L247" i="30"/>
  <c r="L239" i="30"/>
  <c r="L231" i="30"/>
  <c r="L223" i="30"/>
  <c r="L242" i="30"/>
  <c r="L234" i="30"/>
  <c r="L226" i="30"/>
  <c r="L245" i="30"/>
  <c r="L237" i="30"/>
  <c r="L229" i="30"/>
  <c r="L221" i="30"/>
  <c r="L248" i="30"/>
  <c r="L240" i="30"/>
  <c r="L232" i="30"/>
  <c r="L224" i="30"/>
  <c r="L243" i="30"/>
  <c r="L235" i="30"/>
  <c r="L227" i="30"/>
  <c r="L246" i="30"/>
  <c r="L238" i="30"/>
  <c r="L230" i="30"/>
  <c r="L222" i="30"/>
  <c r="L12" i="30"/>
  <c r="L241" i="30"/>
  <c r="L233" i="30"/>
  <c r="L225" i="30"/>
  <c r="L244" i="30"/>
  <c r="L236" i="30"/>
  <c r="L228" i="30"/>
  <c r="L220" i="30"/>
  <c r="N62" i="9"/>
  <c r="N43" i="9"/>
  <c r="N42" i="9"/>
  <c r="N44" i="9"/>
  <c r="I41" i="9"/>
  <c r="I57" i="9"/>
  <c r="I37" i="9"/>
  <c r="I59" i="9"/>
  <c r="I65" i="9"/>
  <c r="I63" i="9"/>
  <c r="L211" i="30"/>
  <c r="L212" i="30"/>
  <c r="L213" i="30"/>
  <c r="L91" i="30"/>
  <c r="L92" i="30"/>
  <c r="L93" i="30"/>
  <c r="L94" i="30"/>
  <c r="L164" i="30"/>
  <c r="L182" i="30"/>
  <c r="L175" i="30"/>
  <c r="L171" i="30"/>
  <c r="L165" i="30"/>
  <c r="L166" i="30"/>
  <c r="L183" i="30"/>
  <c r="L172" i="30"/>
  <c r="L168" i="30"/>
  <c r="L167" i="30"/>
  <c r="L184" i="30"/>
  <c r="L180" i="30"/>
  <c r="L169" i="30"/>
  <c r="L162" i="30"/>
  <c r="L178" i="30"/>
  <c r="L174" i="30"/>
  <c r="L170" i="30"/>
  <c r="L163" i="30"/>
  <c r="N82" i="37"/>
  <c r="N77" i="37"/>
  <c r="N70" i="37"/>
  <c r="N69" i="37"/>
  <c r="N71" i="37"/>
  <c r="D9" i="32"/>
  <c r="D8" i="32"/>
  <c r="D7" i="32"/>
  <c r="D10" i="32"/>
  <c r="D6" i="32"/>
  <c r="D13" i="32"/>
  <c r="D12" i="32"/>
  <c r="D11" i="32"/>
  <c r="L15" i="30"/>
  <c r="L39" i="30"/>
  <c r="O39" i="30" s="1"/>
  <c r="P39" i="30" s="1"/>
  <c r="L47" i="30"/>
  <c r="O47" i="30" s="1"/>
  <c r="P47" i="30" s="1"/>
  <c r="L71" i="30"/>
  <c r="O71" i="30" s="1"/>
  <c r="P71" i="30" s="1"/>
  <c r="L79" i="30"/>
  <c r="O79" i="30" s="1"/>
  <c r="P79" i="30" s="1"/>
  <c r="L87" i="30"/>
  <c r="L95" i="30"/>
  <c r="L111" i="30"/>
  <c r="L119" i="30"/>
  <c r="L127" i="30"/>
  <c r="L135" i="30"/>
  <c r="L143" i="30"/>
  <c r="L151" i="30"/>
  <c r="L16" i="30"/>
  <c r="L40" i="30"/>
  <c r="L48" i="30"/>
  <c r="L72" i="30"/>
  <c r="O72" i="30" s="1"/>
  <c r="P72" i="30" s="1"/>
  <c r="L80" i="30"/>
  <c r="O80" i="30" s="1"/>
  <c r="P80" i="30" s="1"/>
  <c r="L88" i="30"/>
  <c r="L96" i="30"/>
  <c r="L104" i="30"/>
  <c r="O104" i="30" s="1"/>
  <c r="P104" i="30" s="1"/>
  <c r="L112" i="30"/>
  <c r="L120" i="30"/>
  <c r="L128" i="30"/>
  <c r="L136" i="30"/>
  <c r="L144" i="30"/>
  <c r="L152" i="30"/>
  <c r="L17" i="30"/>
  <c r="O17" i="30" s="1"/>
  <c r="P17" i="30" s="1"/>
  <c r="L41" i="30"/>
  <c r="L73" i="30"/>
  <c r="O73" i="30" s="1"/>
  <c r="P73" i="30" s="1"/>
  <c r="L81" i="30"/>
  <c r="O81" i="30" s="1"/>
  <c r="P81" i="30" s="1"/>
  <c r="L89" i="30"/>
  <c r="L97" i="30"/>
  <c r="L105" i="30"/>
  <c r="O105" i="30" s="1"/>
  <c r="P105" i="30" s="1"/>
  <c r="L113" i="30"/>
  <c r="L121" i="30"/>
  <c r="L129" i="30"/>
  <c r="L137" i="30"/>
  <c r="L145" i="30"/>
  <c r="L153" i="30"/>
  <c r="L18" i="30"/>
  <c r="O18" i="30" s="1"/>
  <c r="P18" i="30" s="1"/>
  <c r="L42" i="30"/>
  <c r="L50" i="30"/>
  <c r="O50" i="30" s="1"/>
  <c r="P50" i="30" s="1"/>
  <c r="L58" i="30"/>
  <c r="O58" i="30" s="1"/>
  <c r="P58" i="30" s="1"/>
  <c r="L74" i="30"/>
  <c r="O74" i="30" s="1"/>
  <c r="P74" i="30" s="1"/>
  <c r="L82" i="30"/>
  <c r="O82" i="30" s="1"/>
  <c r="P82" i="30" s="1"/>
  <c r="L90" i="30"/>
  <c r="L106" i="30"/>
  <c r="O106" i="30" s="1"/>
  <c r="P106" i="30" s="1"/>
  <c r="L114" i="30"/>
  <c r="L122" i="30"/>
  <c r="L130" i="30"/>
  <c r="L138" i="30"/>
  <c r="L146" i="30"/>
  <c r="L154" i="30"/>
  <c r="L19" i="30"/>
  <c r="O19" i="30" s="1"/>
  <c r="P19" i="30" s="1"/>
  <c r="L43" i="30"/>
  <c r="L51" i="30"/>
  <c r="L67" i="30"/>
  <c r="O67" i="30" s="1"/>
  <c r="P67" i="30" s="1"/>
  <c r="L75" i="30"/>
  <c r="O75" i="30" s="1"/>
  <c r="P75" i="30" s="1"/>
  <c r="L83" i="30"/>
  <c r="O83" i="30" s="1"/>
  <c r="P83" i="30" s="1"/>
  <c r="L99" i="30"/>
  <c r="L107" i="30"/>
  <c r="O107" i="30" s="1"/>
  <c r="P107" i="30" s="1"/>
  <c r="L115" i="30"/>
  <c r="L123" i="30"/>
  <c r="L131" i="30"/>
  <c r="L139" i="30"/>
  <c r="L147" i="30"/>
  <c r="L155" i="30"/>
  <c r="L20" i="30"/>
  <c r="O20" i="30" s="1"/>
  <c r="P20" i="30" s="1"/>
  <c r="L28" i="30"/>
  <c r="O28" i="30" s="1"/>
  <c r="P28" i="30" s="1"/>
  <c r="L36" i="30"/>
  <c r="L44" i="30"/>
  <c r="L52" i="30"/>
  <c r="L68" i="30"/>
  <c r="O68" i="30" s="1"/>
  <c r="P68" i="30" s="1"/>
  <c r="L76" i="30"/>
  <c r="O76" i="30" s="1"/>
  <c r="P76" i="30" s="1"/>
  <c r="L84" i="30"/>
  <c r="O84" i="30" s="1"/>
  <c r="P84" i="30" s="1"/>
  <c r="L100" i="30"/>
  <c r="L108" i="30"/>
  <c r="O108" i="30" s="1"/>
  <c r="P108" i="30" s="1"/>
  <c r="L116" i="30"/>
  <c r="L124" i="30"/>
  <c r="L132" i="30"/>
  <c r="L140" i="30"/>
  <c r="L148" i="30"/>
  <c r="L156" i="30"/>
  <c r="L13" i="30"/>
  <c r="O13" i="30" s="1"/>
  <c r="P13" i="30" s="1"/>
  <c r="L21" i="30"/>
  <c r="O21" i="30" s="1"/>
  <c r="P21" i="30" s="1"/>
  <c r="L37" i="30"/>
  <c r="L53" i="30"/>
  <c r="L69" i="30"/>
  <c r="O69" i="30" s="1"/>
  <c r="P69" i="30" s="1"/>
  <c r="L77" i="30"/>
  <c r="O77" i="30" s="1"/>
  <c r="P77" i="30" s="1"/>
  <c r="L85" i="30"/>
  <c r="L117" i="30"/>
  <c r="L125" i="30"/>
  <c r="L133" i="30"/>
  <c r="L141" i="30"/>
  <c r="L149" i="30"/>
  <c r="L157" i="30"/>
  <c r="L22" i="30"/>
  <c r="O22" i="30" s="1"/>
  <c r="P22" i="30" s="1"/>
  <c r="L30" i="30"/>
  <c r="O30" i="30" s="1"/>
  <c r="P30" i="30" s="1"/>
  <c r="L38" i="30"/>
  <c r="L54" i="30"/>
  <c r="L62" i="30"/>
  <c r="O62" i="30" s="1"/>
  <c r="P62" i="30" s="1"/>
  <c r="L70" i="30"/>
  <c r="O70" i="30" s="1"/>
  <c r="P70" i="30" s="1"/>
  <c r="L78" i="30"/>
  <c r="O78" i="30" s="1"/>
  <c r="P78" i="30" s="1"/>
  <c r="L86" i="30"/>
  <c r="L118" i="30"/>
  <c r="L126" i="30"/>
  <c r="L134" i="30"/>
  <c r="L142" i="30"/>
  <c r="L150" i="30"/>
  <c r="L214" i="30"/>
  <c r="L219" i="30"/>
  <c r="L215" i="30"/>
  <c r="L206" i="30"/>
  <c r="L202" i="30"/>
  <c r="L198" i="30"/>
  <c r="L194" i="30"/>
  <c r="L190" i="30"/>
  <c r="L186" i="30"/>
  <c r="L207" i="30"/>
  <c r="L203" i="30"/>
  <c r="L199" i="30"/>
  <c r="L195" i="30"/>
  <c r="L191" i="30"/>
  <c r="L187" i="30"/>
  <c r="L179" i="30"/>
  <c r="L204" i="30"/>
  <c r="L200" i="30"/>
  <c r="L196" i="30"/>
  <c r="L192" i="30"/>
  <c r="L188" i="30"/>
  <c r="L161" i="30"/>
  <c r="L205" i="30"/>
  <c r="L201" i="30"/>
  <c r="L197" i="30"/>
  <c r="L193" i="30"/>
  <c r="L189" i="30"/>
  <c r="L185" i="30"/>
  <c r="N66" i="37"/>
  <c r="N67" i="37"/>
  <c r="H86" i="9"/>
  <c r="N65" i="37"/>
  <c r="N74" i="37"/>
  <c r="N80" i="37"/>
  <c r="N64" i="37"/>
  <c r="N81" i="37"/>
  <c r="N79" i="37"/>
  <c r="N78" i="37"/>
  <c r="N76" i="37"/>
  <c r="N75" i="37"/>
  <c r="BA11" i="20"/>
  <c r="N73" i="37"/>
  <c r="N72" i="37"/>
  <c r="T12" i="37"/>
  <c r="N68" i="37"/>
  <c r="T7" i="37"/>
  <c r="T9" i="37"/>
  <c r="T13" i="37"/>
  <c r="T15" i="37"/>
  <c r="T16" i="37"/>
  <c r="T14" i="37"/>
  <c r="T10" i="37"/>
  <c r="V22" i="37"/>
  <c r="T23" i="37"/>
  <c r="T8" i="37"/>
  <c r="T18" i="37"/>
  <c r="T4" i="37"/>
  <c r="T17" i="37"/>
  <c r="T19" i="37"/>
  <c r="T22" i="37"/>
  <c r="T6" i="37"/>
  <c r="V20" i="37"/>
  <c r="T5" i="37"/>
  <c r="U10" i="6"/>
  <c r="B10" i="2" s="1"/>
  <c r="F14" i="4"/>
  <c r="G28" i="28"/>
  <c r="H28" i="28" s="1"/>
  <c r="J28" i="28" s="1"/>
  <c r="X7" i="20"/>
  <c r="P65" i="10"/>
  <c r="X11" i="20"/>
  <c r="AY11" i="20"/>
  <c r="AZ11" i="20"/>
  <c r="AX7" i="20"/>
  <c r="Y11" i="20"/>
  <c r="W11" i="20"/>
  <c r="Y78" i="9"/>
  <c r="V11" i="20"/>
  <c r="V7" i="20"/>
  <c r="G73" i="28"/>
  <c r="H73" i="28" s="1"/>
  <c r="J73" i="28" s="1"/>
  <c r="J41" i="9"/>
  <c r="J65" i="9"/>
  <c r="G78" i="28"/>
  <c r="H78" i="28" s="1"/>
  <c r="J78" i="28" s="1"/>
  <c r="J57" i="9"/>
  <c r="J37" i="9"/>
  <c r="J61" i="9"/>
  <c r="J46" i="9"/>
  <c r="J44" i="9"/>
  <c r="I46" i="9"/>
  <c r="J43" i="9"/>
  <c r="J47" i="28"/>
  <c r="I47" i="28" s="1"/>
  <c r="J37" i="28"/>
  <c r="I37" i="28" s="1"/>
  <c r="G3" i="28"/>
  <c r="H3" i="28" s="1"/>
  <c r="J3" i="28" s="1"/>
  <c r="G13" i="28"/>
  <c r="H13" i="28" s="1"/>
  <c r="J13" i="28" s="1"/>
  <c r="I39" i="9"/>
  <c r="J22" i="28"/>
  <c r="I22" i="28" s="1"/>
  <c r="T11" i="20"/>
  <c r="I42" i="9"/>
  <c r="I66" i="9"/>
  <c r="G8" i="28"/>
  <c r="H8" i="28" s="1"/>
  <c r="J8" i="28" s="1"/>
  <c r="G38" i="28"/>
  <c r="H38" i="28" s="1"/>
  <c r="J38" i="28" s="1"/>
  <c r="I62" i="9"/>
  <c r="E62" i="9" s="1"/>
  <c r="J45" i="9"/>
  <c r="J92" i="28"/>
  <c r="I92" i="28" s="1"/>
  <c r="G98" i="28"/>
  <c r="H98" i="28" s="1"/>
  <c r="J98" i="28" s="1"/>
  <c r="R78" i="9"/>
  <c r="AU7" i="20"/>
  <c r="I61" i="9"/>
  <c r="I45" i="9"/>
  <c r="I64" i="9"/>
  <c r="E64" i="9" s="1"/>
  <c r="G48" i="28"/>
  <c r="H48" i="28" s="1"/>
  <c r="J48" i="28" s="1"/>
  <c r="G63" i="28"/>
  <c r="H63" i="28" s="1"/>
  <c r="J63" i="28" s="1"/>
  <c r="I43" i="9"/>
  <c r="J82" i="28"/>
  <c r="I82" i="28" s="1"/>
  <c r="T55" i="10"/>
  <c r="AS11" i="20"/>
  <c r="U78" i="9"/>
  <c r="X78" i="9"/>
  <c r="G88" i="28"/>
  <c r="H88" i="28" s="1"/>
  <c r="J88" i="28" s="1"/>
  <c r="J52" i="28"/>
  <c r="I52" i="28" s="1"/>
  <c r="G83" i="28"/>
  <c r="H83" i="28" s="1"/>
  <c r="J83" i="28" s="1"/>
  <c r="G43" i="28"/>
  <c r="H43" i="28" s="1"/>
  <c r="J43" i="28" s="1"/>
  <c r="J107" i="28"/>
  <c r="I107" i="28" s="1"/>
  <c r="J57" i="28"/>
  <c r="I57" i="28" s="1"/>
  <c r="J77" i="28"/>
  <c r="I77" i="28" s="1"/>
  <c r="J62" i="28"/>
  <c r="I62" i="28" s="1"/>
  <c r="S78" i="9"/>
  <c r="J7" i="28"/>
  <c r="I7" i="28" s="1"/>
  <c r="J17" i="28"/>
  <c r="I17" i="28" s="1"/>
  <c r="J102" i="28"/>
  <c r="I102" i="28" s="1"/>
  <c r="G53" i="28"/>
  <c r="H53" i="28" s="1"/>
  <c r="J53" i="28" s="1"/>
  <c r="J87" i="28"/>
  <c r="I87" i="28" s="1"/>
  <c r="J27" i="28"/>
  <c r="I27" i="28" s="1"/>
  <c r="G33" i="28"/>
  <c r="H33" i="28" s="1"/>
  <c r="J33" i="28" s="1"/>
  <c r="J42" i="28"/>
  <c r="I42" i="28" s="1"/>
  <c r="G23" i="28"/>
  <c r="H23" i="28" s="1"/>
  <c r="J23" i="28" s="1"/>
  <c r="G18" i="28"/>
  <c r="H18" i="28" s="1"/>
  <c r="J18" i="28" s="1"/>
  <c r="J32" i="28"/>
  <c r="I32" i="28" s="1"/>
  <c r="G68" i="28"/>
  <c r="H68" i="28" s="1"/>
  <c r="J68" i="28" s="1"/>
  <c r="J72" i="28"/>
  <c r="I72" i="28" s="1"/>
  <c r="J97" i="28"/>
  <c r="I97" i="28" s="1"/>
  <c r="AT11" i="20"/>
  <c r="S12" i="20"/>
  <c r="G58" i="28"/>
  <c r="H58" i="28" s="1"/>
  <c r="J58" i="28" s="1"/>
  <c r="N124" i="9"/>
  <c r="G103" i="28"/>
  <c r="H103" i="28" s="1"/>
  <c r="J103" i="28" s="1"/>
  <c r="L104" i="9"/>
  <c r="I105" i="9"/>
  <c r="N104" i="9"/>
  <c r="P125" i="9"/>
  <c r="P104" i="9"/>
  <c r="AS12" i="20"/>
  <c r="R55" i="10"/>
  <c r="S55" i="10"/>
  <c r="AS7" i="20"/>
  <c r="Q11" i="20"/>
  <c r="AT7" i="20"/>
  <c r="S11" i="20"/>
  <c r="J120" i="9"/>
  <c r="K122" i="9"/>
  <c r="K100" i="9"/>
  <c r="I104" i="9"/>
  <c r="J125" i="9"/>
  <c r="AU11" i="20"/>
  <c r="I122" i="9"/>
  <c r="M121" i="9"/>
  <c r="M102" i="9"/>
  <c r="N100" i="9"/>
  <c r="N102" i="9"/>
  <c r="N122" i="9"/>
  <c r="N123" i="9"/>
  <c r="N105" i="9"/>
  <c r="N101" i="9"/>
  <c r="N120" i="9"/>
  <c r="N121" i="9"/>
  <c r="N103" i="9"/>
  <c r="N125" i="9"/>
  <c r="O124" i="9"/>
  <c r="M101" i="9"/>
  <c r="P123" i="9"/>
  <c r="L103" i="9"/>
  <c r="L120" i="9"/>
  <c r="L123" i="9"/>
  <c r="L124" i="9"/>
  <c r="L122" i="9"/>
  <c r="L101" i="9"/>
  <c r="L105" i="9"/>
  <c r="L102" i="9"/>
  <c r="L100" i="9"/>
  <c r="L121" i="9"/>
  <c r="L125" i="9"/>
  <c r="M103" i="9"/>
  <c r="O100" i="9"/>
  <c r="M124" i="9"/>
  <c r="O121" i="9"/>
  <c r="O105" i="9"/>
  <c r="O122" i="9"/>
  <c r="O123" i="9"/>
  <c r="O120" i="9"/>
  <c r="P122" i="9"/>
  <c r="P102" i="9"/>
  <c r="K104" i="9"/>
  <c r="P58" i="10"/>
  <c r="P60" i="10"/>
  <c r="I103" i="9"/>
  <c r="I125" i="9"/>
  <c r="I120" i="9"/>
  <c r="J123" i="9"/>
  <c r="J102" i="9"/>
  <c r="O104" i="9"/>
  <c r="O102" i="9"/>
  <c r="K102" i="9"/>
  <c r="K124" i="9"/>
  <c r="P63" i="10"/>
  <c r="M104" i="9"/>
  <c r="O125" i="9"/>
  <c r="P124" i="9"/>
  <c r="M123" i="9"/>
  <c r="M122" i="9"/>
  <c r="M100" i="9"/>
  <c r="O103" i="9"/>
  <c r="P100" i="9"/>
  <c r="I100" i="9"/>
  <c r="I124" i="9"/>
  <c r="J122" i="9"/>
  <c r="P103" i="9"/>
  <c r="P120" i="9"/>
  <c r="P61" i="10"/>
  <c r="AV7" i="20"/>
  <c r="AV11" i="20"/>
  <c r="Y12" i="20"/>
  <c r="Z55" i="10"/>
  <c r="AX11" i="20"/>
  <c r="Y7" i="20"/>
  <c r="Z78" i="9"/>
  <c r="AY7" i="20"/>
  <c r="I101" i="9"/>
  <c r="AZ7" i="20"/>
  <c r="J103" i="9"/>
  <c r="J121" i="9"/>
  <c r="M125" i="9"/>
  <c r="O101" i="9"/>
  <c r="P101" i="9"/>
  <c r="K105" i="9"/>
  <c r="K125" i="9"/>
  <c r="P121" i="9"/>
  <c r="P105" i="9"/>
  <c r="K103" i="9"/>
  <c r="K123" i="9"/>
  <c r="P56" i="10"/>
  <c r="I102" i="9"/>
  <c r="K121" i="9"/>
  <c r="P62" i="10"/>
  <c r="I123" i="9"/>
  <c r="I121" i="9"/>
  <c r="J124" i="9"/>
  <c r="J105" i="9"/>
  <c r="M120" i="9"/>
  <c r="M105" i="9"/>
  <c r="K101" i="9"/>
  <c r="K120" i="9"/>
  <c r="P64" i="10"/>
  <c r="AU12" i="20"/>
  <c r="J101" i="9"/>
  <c r="P59" i="10"/>
  <c r="R11" i="20"/>
  <c r="J104" i="9"/>
  <c r="J100" i="9"/>
  <c r="C14" i="6"/>
  <c r="T7" i="20"/>
  <c r="BA7" i="20"/>
  <c r="E10" i="10"/>
  <c r="H39" i="9"/>
  <c r="H41" i="9"/>
  <c r="H65" i="9"/>
  <c r="H43" i="9"/>
  <c r="AG4" i="20"/>
  <c r="AY17" i="20"/>
  <c r="AY16" i="20" s="1"/>
  <c r="F124" i="3"/>
  <c r="F95" i="9"/>
  <c r="BB85" i="3"/>
  <c r="BA12" i="20"/>
  <c r="T78" i="9"/>
  <c r="W78" i="9"/>
  <c r="R7" i="20"/>
  <c r="E11" i="10"/>
  <c r="H46" i="9"/>
  <c r="AJ4" i="20"/>
  <c r="W7" i="20"/>
  <c r="F123" i="3"/>
  <c r="F88" i="3"/>
  <c r="H44" i="9"/>
  <c r="H45" i="9"/>
  <c r="H63" i="9"/>
  <c r="T12" i="20"/>
  <c r="Q12" i="20"/>
  <c r="F119" i="3"/>
  <c r="F125" i="3"/>
  <c r="F122" i="3"/>
  <c r="G40" i="11"/>
  <c r="BE85" i="3"/>
  <c r="H61" i="9"/>
  <c r="H66" i="9"/>
  <c r="H59" i="9"/>
  <c r="H42" i="9"/>
  <c r="AR11" i="20"/>
  <c r="H6" i="4"/>
  <c r="Y55" i="10"/>
  <c r="F15" i="4"/>
  <c r="H97" i="9"/>
  <c r="H90" i="9"/>
  <c r="Q55" i="10"/>
  <c r="AV4" i="20"/>
  <c r="BA8" i="20"/>
  <c r="S3" i="39"/>
  <c r="O3" i="39"/>
  <c r="U3" i="39" s="1"/>
  <c r="T3" i="39"/>
  <c r="Q3" i="39"/>
  <c r="V3" i="39" s="1"/>
  <c r="V12" i="20"/>
  <c r="I14" i="4"/>
  <c r="AV8" i="20"/>
  <c r="F116" i="3"/>
  <c r="E4" i="20"/>
  <c r="AV12" i="20"/>
  <c r="P12" i="20"/>
  <c r="U55" i="10"/>
  <c r="O5" i="9"/>
  <c r="V78" i="9"/>
  <c r="U8" i="6"/>
  <c r="B8" i="2" s="1"/>
  <c r="AR7" i="20"/>
  <c r="P11" i="20"/>
  <c r="X8" i="20"/>
  <c r="S5" i="9"/>
  <c r="F91" i="3"/>
  <c r="E11" i="4"/>
  <c r="F98" i="9"/>
  <c r="G18" i="39"/>
  <c r="D40" i="11"/>
  <c r="M4" i="6"/>
  <c r="W55" i="10"/>
  <c r="V55" i="10"/>
  <c r="T11" i="37"/>
  <c r="G16" i="39"/>
  <c r="AZ12" i="20"/>
  <c r="Q7" i="20"/>
  <c r="F92" i="3"/>
  <c r="Q5" i="9"/>
  <c r="T17" i="20"/>
  <c r="T16" i="20" s="1"/>
  <c r="H8" i="20"/>
  <c r="AT12" i="20"/>
  <c r="S7" i="20"/>
  <c r="D76" i="3"/>
  <c r="S4" i="4" s="1"/>
  <c r="T4" i="20"/>
  <c r="H81" i="9"/>
  <c r="X4" i="10"/>
  <c r="Z4" i="10"/>
  <c r="X12" i="20"/>
  <c r="E14" i="10"/>
  <c r="W12" i="20"/>
  <c r="F80" i="9"/>
  <c r="U7" i="20"/>
  <c r="U11" i="20"/>
  <c r="F85" i="9"/>
  <c r="U12" i="20"/>
  <c r="X55" i="10"/>
  <c r="G5" i="9"/>
  <c r="Y8" i="20"/>
  <c r="AY12" i="20"/>
  <c r="V8" i="20"/>
  <c r="AS17" i="20"/>
  <c r="AS16" i="20" s="1"/>
  <c r="X5" i="9"/>
  <c r="AU6" i="20"/>
  <c r="E53" i="29"/>
  <c r="G17" i="39"/>
  <c r="G15" i="39"/>
  <c r="AU10" i="20"/>
  <c r="D42" i="37"/>
  <c r="Q36" i="9"/>
  <c r="D61" i="37"/>
  <c r="V4" i="37"/>
  <c r="V18" i="37"/>
  <c r="V25" i="37"/>
  <c r="V7" i="37"/>
  <c r="V21" i="37"/>
  <c r="V17" i="37"/>
  <c r="V27" i="37"/>
  <c r="V23" i="37"/>
  <c r="V26" i="37"/>
  <c r="V8" i="37"/>
  <c r="V13" i="37"/>
  <c r="V16" i="37"/>
  <c r="S10" i="20"/>
  <c r="Q6" i="20"/>
  <c r="AV10" i="20"/>
  <c r="W36" i="9"/>
  <c r="Z36" i="9"/>
  <c r="X99" i="9"/>
  <c r="AZ10" i="20"/>
  <c r="S6" i="20"/>
  <c r="AY10" i="20"/>
  <c r="X10" i="20"/>
  <c r="AR10" i="20"/>
  <c r="U10" i="20"/>
  <c r="Q10" i="20"/>
  <c r="R10" i="20"/>
  <c r="S36" i="9"/>
  <c r="U36" i="9"/>
  <c r="U99" i="9"/>
  <c r="W99" i="9"/>
  <c r="AX6" i="20"/>
  <c r="Z99" i="9"/>
  <c r="BA6" i="20"/>
  <c r="W6" i="20"/>
  <c r="X6" i="20"/>
  <c r="Y99" i="9"/>
  <c r="AS6" i="20"/>
  <c r="T10" i="20"/>
  <c r="W10" i="20"/>
  <c r="V6" i="20"/>
  <c r="T6" i="20"/>
  <c r="P10" i="20"/>
  <c r="AT10" i="20"/>
  <c r="R99" i="9"/>
  <c r="AV6" i="20"/>
  <c r="Y36" i="9"/>
  <c r="S99" i="9"/>
  <c r="AZ6" i="20"/>
  <c r="R6" i="20"/>
  <c r="V10" i="20"/>
  <c r="X36" i="9"/>
  <c r="Y6" i="20"/>
  <c r="BA10" i="20"/>
  <c r="AY6" i="20"/>
  <c r="AX10" i="20"/>
  <c r="Y10" i="20"/>
  <c r="V36" i="9"/>
  <c r="Q99" i="9"/>
  <c r="AR6" i="20"/>
  <c r="AS10" i="20"/>
  <c r="AT6" i="20"/>
  <c r="AW10" i="20"/>
  <c r="V99" i="9"/>
  <c r="P6" i="20"/>
  <c r="R36" i="9"/>
  <c r="T99" i="9"/>
  <c r="T36" i="9"/>
  <c r="L10" i="30"/>
  <c r="L11" i="30"/>
  <c r="L9" i="30"/>
  <c r="L4" i="30"/>
  <c r="L3" i="30"/>
  <c r="L5" i="30"/>
  <c r="Y4" i="4"/>
  <c r="E4" i="2" s="1"/>
  <c r="AJ8" i="20"/>
  <c r="E8" i="10"/>
  <c r="Q11" i="39"/>
  <c r="V11" i="39" s="1"/>
  <c r="T11" i="39"/>
  <c r="S11" i="39"/>
  <c r="O11" i="39"/>
  <c r="U11" i="39" s="1"/>
  <c r="E13" i="10"/>
  <c r="N5" i="30"/>
  <c r="N3" i="30"/>
  <c r="N4" i="30"/>
  <c r="D83" i="3"/>
  <c r="S11" i="4" s="1"/>
  <c r="Q21" i="39"/>
  <c r="V21" i="39" s="1"/>
  <c r="O21" i="39"/>
  <c r="U21" i="39" s="1"/>
  <c r="T21" i="39"/>
  <c r="S21" i="39"/>
  <c r="H9" i="4"/>
  <c r="R9" i="6"/>
  <c r="U9" i="6" s="1"/>
  <c r="AX12" i="20"/>
  <c r="G94" i="9"/>
  <c r="E23" i="10"/>
  <c r="Q20" i="39"/>
  <c r="V20" i="39" s="1"/>
  <c r="T20" i="39"/>
  <c r="O20" i="39"/>
  <c r="U20" i="39" s="1"/>
  <c r="S20" i="39"/>
  <c r="Y11" i="4"/>
  <c r="U5" i="9"/>
  <c r="F108" i="3"/>
  <c r="S6" i="6"/>
  <c r="T6" i="6" s="1"/>
  <c r="F93" i="9"/>
  <c r="G97" i="9"/>
  <c r="G82" i="9"/>
  <c r="I4" i="10"/>
  <c r="E9" i="10"/>
  <c r="T5" i="9"/>
  <c r="Y4" i="10"/>
  <c r="M8" i="20"/>
  <c r="AO8" i="20"/>
  <c r="N4" i="10"/>
  <c r="E15" i="9"/>
  <c r="M7" i="11" s="1"/>
  <c r="M36" i="11" s="1"/>
  <c r="F87" i="9"/>
  <c r="AW11" i="20"/>
  <c r="H95" i="9"/>
  <c r="D23" i="37"/>
  <c r="G96" i="9"/>
  <c r="G91" i="9"/>
  <c r="E7" i="10"/>
  <c r="AZ8" i="20"/>
  <c r="F107" i="3"/>
  <c r="S5" i="6"/>
  <c r="T5" i="6" s="1"/>
  <c r="AP17" i="20"/>
  <c r="AP16" i="20" s="1"/>
  <c r="N17" i="20"/>
  <c r="N16" i="20" s="1"/>
  <c r="F87" i="3"/>
  <c r="H13" i="4"/>
  <c r="R13" i="6"/>
  <c r="U13" i="6" s="1"/>
  <c r="B13" i="2" s="1"/>
  <c r="E14" i="9"/>
  <c r="L7" i="11" s="1"/>
  <c r="L36" i="11" s="1"/>
  <c r="F83" i="9"/>
  <c r="F82" i="9"/>
  <c r="H12" i="4"/>
  <c r="R12" i="6"/>
  <c r="U12" i="6" s="1"/>
  <c r="B12" i="2" s="1"/>
  <c r="O14" i="39"/>
  <c r="U14" i="39" s="1"/>
  <c r="S14" i="39"/>
  <c r="T14" i="39"/>
  <c r="Q14" i="39"/>
  <c r="V14" i="39" s="1"/>
  <c r="G84" i="9"/>
  <c r="G85" i="9"/>
  <c r="AR8" i="20"/>
  <c r="P8" i="20"/>
  <c r="Q4" i="10"/>
  <c r="W8" i="20"/>
  <c r="U4" i="10"/>
  <c r="N4" i="20"/>
  <c r="AP4" i="20"/>
  <c r="E12" i="9"/>
  <c r="J7" i="11" s="1"/>
  <c r="J36" i="11" s="1"/>
  <c r="V15" i="37"/>
  <c r="F89" i="3"/>
  <c r="T7" i="6"/>
  <c r="G80" i="9"/>
  <c r="AY8" i="20"/>
  <c r="E5" i="10"/>
  <c r="D79" i="3"/>
  <c r="S7" i="4" s="1"/>
  <c r="Y7" i="4" s="1"/>
  <c r="D77" i="3"/>
  <c r="S5" i="4" s="1"/>
  <c r="Y5" i="4" s="1"/>
  <c r="E5" i="2" s="1"/>
  <c r="H11" i="4"/>
  <c r="R11" i="6"/>
  <c r="U11" i="6" s="1"/>
  <c r="J4" i="10"/>
  <c r="AK8" i="20"/>
  <c r="I8" i="20"/>
  <c r="E11" i="9"/>
  <c r="I7" i="11" s="1"/>
  <c r="I36" i="11" s="1"/>
  <c r="F94" i="9"/>
  <c r="V5" i="9"/>
  <c r="L298" i="30"/>
  <c r="L6" i="30"/>
  <c r="L7" i="30"/>
  <c r="L8" i="30"/>
  <c r="E24" i="10"/>
  <c r="F90" i="3"/>
  <c r="AU8" i="20"/>
  <c r="T4" i="10"/>
  <c r="S8" i="20"/>
  <c r="D84" i="3"/>
  <c r="S12" i="4" s="1"/>
  <c r="Y12" i="4" s="1"/>
  <c r="T4" i="6"/>
  <c r="E10" i="9"/>
  <c r="H7" i="11" s="1"/>
  <c r="H36" i="11" s="1"/>
  <c r="E13" i="9"/>
  <c r="K7" i="11" s="1"/>
  <c r="K36" i="11" s="1"/>
  <c r="F88" i="9"/>
  <c r="Y5" i="9"/>
  <c r="W17" i="20"/>
  <c r="W16" i="20" s="1"/>
  <c r="E22" i="10"/>
  <c r="D85" i="3"/>
  <c r="S13" i="4" s="1"/>
  <c r="Y13" i="4" s="1"/>
  <c r="E9" i="9"/>
  <c r="G7" i="11" s="1"/>
  <c r="G36" i="11" s="1"/>
  <c r="F81" i="9"/>
  <c r="AW7" i="20"/>
  <c r="W4" i="10"/>
  <c r="E21" i="10"/>
  <c r="E16" i="20"/>
  <c r="E8" i="4"/>
  <c r="W8" i="4"/>
  <c r="X8" i="4" s="1"/>
  <c r="X15" i="4" s="1"/>
  <c r="M2" i="29"/>
  <c r="E41" i="29"/>
  <c r="E8" i="9"/>
  <c r="F7" i="11" s="1"/>
  <c r="F36" i="11" s="1"/>
  <c r="F96" i="9"/>
  <c r="V9" i="37"/>
  <c r="F113" i="3"/>
  <c r="AX8" i="20"/>
  <c r="E20" i="10"/>
  <c r="S8" i="6"/>
  <c r="T8" i="6" s="1"/>
  <c r="F110" i="3"/>
  <c r="AG17" i="20"/>
  <c r="W5" i="9"/>
  <c r="F91" i="9"/>
  <c r="V14" i="37"/>
  <c r="T11" i="6"/>
  <c r="AW8" i="20"/>
  <c r="V4" i="10"/>
  <c r="U8" i="20"/>
  <c r="H93" i="9"/>
  <c r="H85" i="9"/>
  <c r="G90" i="9"/>
  <c r="R5" i="9"/>
  <c r="E18" i="10"/>
  <c r="K17" i="20"/>
  <c r="K16" i="20" s="1"/>
  <c r="AM17" i="20"/>
  <c r="AM16" i="20" s="1"/>
  <c r="E6" i="9"/>
  <c r="F5" i="9"/>
  <c r="V19" i="37"/>
  <c r="M5" i="30"/>
  <c r="M3" i="30"/>
  <c r="M4" i="30"/>
  <c r="U6" i="20"/>
  <c r="G14" i="4"/>
  <c r="H96" i="9"/>
  <c r="H92" i="9"/>
  <c r="H91" i="9"/>
  <c r="AW12" i="20"/>
  <c r="Q78" i="9"/>
  <c r="G81" i="9"/>
  <c r="AP8" i="20"/>
  <c r="N8" i="20"/>
  <c r="O4" i="10"/>
  <c r="R4" i="10"/>
  <c r="AS8" i="20"/>
  <c r="Q8" i="20"/>
  <c r="E17" i="10"/>
  <c r="AL8" i="20"/>
  <c r="K4" i="10"/>
  <c r="J8" i="20"/>
  <c r="K4" i="20"/>
  <c r="D4" i="20" s="1"/>
  <c r="AM4" i="20"/>
  <c r="H17" i="20"/>
  <c r="H16" i="20" s="1"/>
  <c r="AJ17" i="20"/>
  <c r="AJ16" i="20" s="1"/>
  <c r="S12" i="6"/>
  <c r="F114" i="3"/>
  <c r="V24" i="37"/>
  <c r="V6" i="37"/>
  <c r="M298" i="30"/>
  <c r="M6" i="30"/>
  <c r="M7" i="30"/>
  <c r="M8" i="30"/>
  <c r="H82" i="9"/>
  <c r="T20" i="37"/>
  <c r="P7" i="20"/>
  <c r="AR12" i="20"/>
  <c r="H83" i="9"/>
  <c r="H88" i="9"/>
  <c r="G88" i="9"/>
  <c r="F86" i="3"/>
  <c r="F117" i="3"/>
  <c r="AV17" i="20"/>
  <c r="AV16" i="20" s="1"/>
  <c r="V11" i="37"/>
  <c r="F90" i="9"/>
  <c r="Z5" i="9"/>
  <c r="M11" i="30"/>
  <c r="M9" i="30"/>
  <c r="M10" i="30"/>
  <c r="G98" i="9"/>
  <c r="H98" i="9"/>
  <c r="R12" i="20"/>
  <c r="H87" i="9"/>
  <c r="H94" i="9"/>
  <c r="E16" i="10"/>
  <c r="E13" i="4"/>
  <c r="U7" i="6"/>
  <c r="H84" i="9"/>
  <c r="G86" i="9"/>
  <c r="G93" i="9"/>
  <c r="AT8" i="20"/>
  <c r="R8" i="20"/>
  <c r="S4" i="10"/>
  <c r="E19" i="10"/>
  <c r="AN8" i="20"/>
  <c r="L8" i="20"/>
  <c r="M4" i="10"/>
  <c r="F111" i="3"/>
  <c r="S9" i="6"/>
  <c r="S14" i="6" s="1"/>
  <c r="Q4" i="20"/>
  <c r="AS4" i="20"/>
  <c r="D80" i="3"/>
  <c r="S8" i="4" s="1"/>
  <c r="Y8" i="4" s="1"/>
  <c r="D78" i="3"/>
  <c r="S6" i="4" s="1"/>
  <c r="Y6" i="4" s="1"/>
  <c r="E6" i="2" s="1"/>
  <c r="F95" i="3"/>
  <c r="V10" i="37"/>
  <c r="F84" i="9"/>
  <c r="H5" i="9"/>
  <c r="AW6" i="20"/>
  <c r="H80" i="9"/>
  <c r="G87" i="9"/>
  <c r="E12" i="10"/>
  <c r="N10" i="30"/>
  <c r="N11" i="30"/>
  <c r="N9" i="30"/>
  <c r="D81" i="3"/>
  <c r="S9" i="4" s="1"/>
  <c r="Y9" i="4" s="1"/>
  <c r="E9" i="2" s="1"/>
  <c r="V12" i="37"/>
  <c r="T10" i="6"/>
  <c r="F92" i="9"/>
  <c r="V5" i="37"/>
  <c r="G83" i="9"/>
  <c r="G92" i="9"/>
  <c r="G95" i="9"/>
  <c r="T8" i="20"/>
  <c r="AQ8" i="20"/>
  <c r="P4" i="10"/>
  <c r="O8" i="20"/>
  <c r="E15" i="10"/>
  <c r="N298" i="30"/>
  <c r="N8" i="30"/>
  <c r="N6" i="30"/>
  <c r="N7" i="30"/>
  <c r="D82" i="3"/>
  <c r="S10" i="4" s="1"/>
  <c r="F97" i="9"/>
  <c r="F86" i="9"/>
  <c r="F121" i="3"/>
  <c r="F115" i="3"/>
  <c r="I15" i="4"/>
  <c r="G15" i="4"/>
  <c r="I14" i="6"/>
  <c r="B6" i="2"/>
  <c r="B5" i="2"/>
  <c r="C28" i="11"/>
  <c r="D25" i="14"/>
  <c r="B4" i="2"/>
  <c r="D102" i="14"/>
  <c r="BK129" i="3"/>
  <c r="D67" i="14"/>
  <c r="BN126" i="3"/>
  <c r="F14" i="6"/>
  <c r="D135" i="14"/>
  <c r="D59" i="14"/>
  <c r="D61" i="14"/>
  <c r="D64" i="14"/>
  <c r="BQ127" i="3"/>
  <c r="BQ126" i="3"/>
  <c r="BK130" i="3"/>
  <c r="BQ128" i="3"/>
  <c r="D101" i="14"/>
  <c r="BN130" i="3"/>
  <c r="AW23" i="20"/>
  <c r="BN127" i="3"/>
  <c r="BQ135" i="3"/>
  <c r="Q23" i="20"/>
  <c r="T23" i="20"/>
  <c r="BN132" i="3"/>
  <c r="BQ133" i="3"/>
  <c r="D137" i="14"/>
  <c r="D60" i="14"/>
  <c r="AS23" i="20"/>
  <c r="P23" i="20"/>
  <c r="AT23" i="20"/>
  <c r="BN135" i="3"/>
  <c r="V23" i="20"/>
  <c r="AV23" i="20"/>
  <c r="AU23" i="20"/>
  <c r="U23" i="20"/>
  <c r="AR23" i="20"/>
  <c r="S23" i="20"/>
  <c r="BK135" i="3"/>
  <c r="D66" i="14"/>
  <c r="R23" i="20"/>
  <c r="AX23" i="20"/>
  <c r="D24" i="14"/>
  <c r="BQ129" i="3"/>
  <c r="BK132" i="3"/>
  <c r="BN131" i="3"/>
  <c r="D99" i="14"/>
  <c r="BQ130" i="3"/>
  <c r="BN129" i="3"/>
  <c r="E127" i="3"/>
  <c r="Q5" i="4" s="1"/>
  <c r="R5" i="4" s="1"/>
  <c r="BN128" i="3"/>
  <c r="D134" i="14"/>
  <c r="BJ79" i="3"/>
  <c r="BK79" i="3" s="1"/>
  <c r="AJ66" i="3"/>
  <c r="AI96" i="3" s="1"/>
  <c r="AJ96" i="3" s="1"/>
  <c r="BM80" i="3"/>
  <c r="BN80" i="3" s="1"/>
  <c r="BB69" i="3"/>
  <c r="BA99" i="3" s="1"/>
  <c r="AR80" i="3"/>
  <c r="AS80" i="3" s="1"/>
  <c r="AA72" i="3"/>
  <c r="Z102" i="3" s="1"/>
  <c r="AA102" i="3" s="1"/>
  <c r="T84" i="3"/>
  <c r="U84" i="3" s="1"/>
  <c r="N81" i="3"/>
  <c r="O81" i="3" s="1"/>
  <c r="BG83" i="3"/>
  <c r="BH83" i="3" s="1"/>
  <c r="O70" i="3"/>
  <c r="N100" i="3" s="1"/>
  <c r="O100" i="3" s="1"/>
  <c r="BG85" i="3"/>
  <c r="BH85" i="3" s="1"/>
  <c r="BP84" i="3"/>
  <c r="BQ84" i="3" s="1"/>
  <c r="Q76" i="3"/>
  <c r="R76" i="3" s="1"/>
  <c r="BP83" i="3"/>
  <c r="BQ83" i="3" s="1"/>
  <c r="BE69" i="3"/>
  <c r="BD99" i="3" s="1"/>
  <c r="BE99" i="3" s="1"/>
  <c r="BM82" i="3"/>
  <c r="BN82" i="3" s="1"/>
  <c r="BG84" i="3"/>
  <c r="BH84" i="3" s="1"/>
  <c r="AC80" i="3"/>
  <c r="AD80" i="3" s="1"/>
  <c r="AA71" i="3"/>
  <c r="Z101" i="3" s="1"/>
  <c r="AA101" i="3" s="1"/>
  <c r="AL81" i="3"/>
  <c r="AM81" i="3" s="1"/>
  <c r="AU81" i="3"/>
  <c r="AV81" i="3" s="1"/>
  <c r="AO79" i="3"/>
  <c r="AP79" i="3" s="1"/>
  <c r="AV67" i="3"/>
  <c r="AU97" i="3" s="1"/>
  <c r="AV97" i="3" s="1"/>
  <c r="W85" i="3"/>
  <c r="X85" i="3" s="1"/>
  <c r="AV73" i="3"/>
  <c r="AU103" i="3" s="1"/>
  <c r="AV103" i="3" s="1"/>
  <c r="U68" i="3"/>
  <c r="T98" i="3" s="1"/>
  <c r="U98" i="3" s="1"/>
  <c r="AY69" i="3"/>
  <c r="AX99" i="3" s="1"/>
  <c r="AY99" i="3" s="1"/>
  <c r="Q77" i="3"/>
  <c r="R77" i="3" s="1"/>
  <c r="T77" i="3"/>
  <c r="U77" i="3" s="1"/>
  <c r="H78" i="3"/>
  <c r="I78" i="3" s="1"/>
  <c r="AX81" i="3"/>
  <c r="AY81" i="3" s="1"/>
  <c r="AL78" i="3"/>
  <c r="AM78" i="3" s="1"/>
  <c r="AG66" i="3"/>
  <c r="AF96" i="3" s="1"/>
  <c r="AG96" i="3" s="1"/>
  <c r="BP85" i="3"/>
  <c r="BQ85" i="3" s="1"/>
  <c r="BA82" i="3"/>
  <c r="BB82" i="3" s="1"/>
  <c r="Q80" i="3"/>
  <c r="R80" i="3" s="1"/>
  <c r="BK72" i="3"/>
  <c r="BJ102" i="3" s="1"/>
  <c r="BK102" i="3" s="1"/>
  <c r="AM67" i="3"/>
  <c r="AL97" i="3" s="1"/>
  <c r="AM97" i="3" s="1"/>
  <c r="AD67" i="3"/>
  <c r="AC97" i="3" s="1"/>
  <c r="AD97" i="3" s="1"/>
  <c r="U66" i="3"/>
  <c r="T96" i="3" s="1"/>
  <c r="U96" i="3" s="1"/>
  <c r="BJ80" i="3"/>
  <c r="BK80" i="3" s="1"/>
  <c r="AL82" i="3"/>
  <c r="AM82" i="3" s="1"/>
  <c r="BM79" i="3"/>
  <c r="BN79" i="3" s="1"/>
  <c r="H82" i="3"/>
  <c r="I82" i="3" s="1"/>
  <c r="AU84" i="3"/>
  <c r="AV84" i="3" s="1"/>
  <c r="BE72" i="3"/>
  <c r="BD102" i="3" s="1"/>
  <c r="BE102" i="3" s="1"/>
  <c r="AI77" i="3"/>
  <c r="AJ77" i="3" s="1"/>
  <c r="N77" i="3"/>
  <c r="O77" i="3" s="1"/>
  <c r="AI81" i="3"/>
  <c r="AJ81" i="3" s="1"/>
  <c r="BK66" i="3"/>
  <c r="BJ96" i="3" s="1"/>
  <c r="BK96" i="3" s="1"/>
  <c r="BD80" i="3"/>
  <c r="BE80" i="3" s="1"/>
  <c r="AS68" i="3"/>
  <c r="AR98" i="3" s="1"/>
  <c r="AS98" i="3" s="1"/>
  <c r="AX85" i="3"/>
  <c r="AY85" i="3" s="1"/>
  <c r="Q81" i="3"/>
  <c r="R81" i="3" s="1"/>
  <c r="AC82" i="3"/>
  <c r="AD82" i="3" s="1"/>
  <c r="AX83" i="3"/>
  <c r="AY83" i="3" s="1"/>
  <c r="AV72" i="3"/>
  <c r="AU102" i="3" s="1"/>
  <c r="AV102" i="3" s="1"/>
  <c r="Z79" i="3"/>
  <c r="AA79" i="3" s="1"/>
  <c r="AI78" i="3"/>
  <c r="AJ78" i="3" s="1"/>
  <c r="BD84" i="3"/>
  <c r="BE84" i="3" s="1"/>
  <c r="H80" i="3"/>
  <c r="I80" i="3" s="1"/>
  <c r="BH70" i="3"/>
  <c r="BG100" i="3" s="1"/>
  <c r="BH100" i="3" s="1"/>
  <c r="AO78" i="3"/>
  <c r="AP78" i="3" s="1"/>
  <c r="Z77" i="3"/>
  <c r="AA77" i="3" s="1"/>
  <c r="AI82" i="3"/>
  <c r="AJ82" i="3" s="1"/>
  <c r="AI83" i="3"/>
  <c r="AJ83" i="3" s="1"/>
  <c r="BM84" i="3"/>
  <c r="BN84" i="3" s="1"/>
  <c r="AX76" i="3"/>
  <c r="AY76" i="3" s="1"/>
  <c r="AR82" i="3"/>
  <c r="AS82" i="3" s="1"/>
  <c r="U72" i="3"/>
  <c r="T102" i="3" s="1"/>
  <c r="U102" i="3" s="1"/>
  <c r="AU78" i="3"/>
  <c r="AV78" i="3" s="1"/>
  <c r="N76" i="3"/>
  <c r="O76" i="3" s="1"/>
  <c r="AC78" i="3"/>
  <c r="AD78" i="3" s="1"/>
  <c r="H83" i="3"/>
  <c r="I83" i="3" s="1"/>
  <c r="BJ81" i="3"/>
  <c r="BK81" i="3" s="1"/>
  <c r="AF84" i="3"/>
  <c r="AG84" i="3" s="1"/>
  <c r="AI80" i="3"/>
  <c r="AJ80" i="3" s="1"/>
  <c r="BP80" i="3"/>
  <c r="BQ80" i="3" s="1"/>
  <c r="BM81" i="3"/>
  <c r="BN81" i="3" s="1"/>
  <c r="E67" i="3"/>
  <c r="X74" i="3"/>
  <c r="W104" i="3" s="1"/>
  <c r="X104" i="3" s="1"/>
  <c r="Z85" i="3"/>
  <c r="AA85" i="3" s="1"/>
  <c r="AL85" i="3"/>
  <c r="AM85" i="3" s="1"/>
  <c r="BJ78" i="3"/>
  <c r="BK78" i="3" s="1"/>
  <c r="AU85" i="3"/>
  <c r="AV85" i="3" s="1"/>
  <c r="AF83" i="3"/>
  <c r="AG83" i="3" s="1"/>
  <c r="BH72" i="3"/>
  <c r="BG102" i="3" s="1"/>
  <c r="BH102" i="3" s="1"/>
  <c r="X70" i="3"/>
  <c r="W100" i="3" s="1"/>
  <c r="X100" i="3" s="1"/>
  <c r="Z76" i="3"/>
  <c r="AA76" i="3" s="1"/>
  <c r="W82" i="3"/>
  <c r="X82" i="3" s="1"/>
  <c r="AF81" i="3"/>
  <c r="AG81" i="3" s="1"/>
  <c r="AX80" i="3"/>
  <c r="AY80" i="3" s="1"/>
  <c r="D4" i="37"/>
  <c r="W79" i="3"/>
  <c r="X79" i="3" s="1"/>
  <c r="AF82" i="3"/>
  <c r="AG82" i="3" s="1"/>
  <c r="AR85" i="3"/>
  <c r="AS85" i="3" s="1"/>
  <c r="BK74" i="3"/>
  <c r="BJ104" i="3" s="1"/>
  <c r="BK104" i="3" s="1"/>
  <c r="T79" i="3"/>
  <c r="U79" i="3" s="1"/>
  <c r="W78" i="3"/>
  <c r="X78" i="3" s="1"/>
  <c r="AJ75" i="3"/>
  <c r="AI105" i="3" s="1"/>
  <c r="AJ105" i="3" s="1"/>
  <c r="BP76" i="3"/>
  <c r="BQ76" i="3" s="1"/>
  <c r="AI79" i="3"/>
  <c r="AJ79" i="3" s="1"/>
  <c r="AP75" i="3"/>
  <c r="AO105" i="3" s="1"/>
  <c r="AP105" i="3" s="1"/>
  <c r="BE75" i="3"/>
  <c r="BD105" i="3" s="1"/>
  <c r="BE105" i="3" s="1"/>
  <c r="AO84" i="3"/>
  <c r="AP84" i="3" s="1"/>
  <c r="Z83" i="3"/>
  <c r="AA83" i="3" s="1"/>
  <c r="N79" i="3"/>
  <c r="O79" i="3" s="1"/>
  <c r="AY72" i="3"/>
  <c r="AX102" i="3" s="1"/>
  <c r="AY102" i="3" s="1"/>
  <c r="AO82" i="3"/>
  <c r="AP82" i="3" s="1"/>
  <c r="BG79" i="3"/>
  <c r="BH79" i="3" s="1"/>
  <c r="AU80" i="3"/>
  <c r="AV80" i="3" s="1"/>
  <c r="Q82" i="3"/>
  <c r="R82" i="3" s="1"/>
  <c r="BK67" i="3"/>
  <c r="BJ97" i="3" s="1"/>
  <c r="BK97" i="3" s="1"/>
  <c r="Q85" i="3"/>
  <c r="R85" i="3" s="1"/>
  <c r="O73" i="3"/>
  <c r="N103" i="3" s="1"/>
  <c r="O103" i="3" s="1"/>
  <c r="Z84" i="3"/>
  <c r="AA84" i="3" s="1"/>
  <c r="T81" i="3"/>
  <c r="U81" i="3" s="1"/>
  <c r="BH67" i="3"/>
  <c r="BG97" i="3" s="1"/>
  <c r="BH97" i="3" s="1"/>
  <c r="BM77" i="3"/>
  <c r="BN77" i="3" s="1"/>
  <c r="E72" i="3"/>
  <c r="BG76" i="3"/>
  <c r="BH76" i="3" s="1"/>
  <c r="E69" i="3"/>
  <c r="Z80" i="3"/>
  <c r="AA80" i="3" s="1"/>
  <c r="AF85" i="3"/>
  <c r="AG85" i="3" s="1"/>
  <c r="BD83" i="3"/>
  <c r="BE83" i="3" s="1"/>
  <c r="AO77" i="3"/>
  <c r="AP77" i="3" s="1"/>
  <c r="W83" i="3"/>
  <c r="X83" i="3" s="1"/>
  <c r="AR76" i="3"/>
  <c r="AS76" i="3" s="1"/>
  <c r="I1" i="37"/>
  <c r="BB70" i="3"/>
  <c r="BA100" i="3" s="1"/>
  <c r="BB100" i="3" s="1"/>
  <c r="BD76" i="3"/>
  <c r="BE76" i="3" s="1"/>
  <c r="W81" i="3"/>
  <c r="X81" i="3" s="1"/>
  <c r="BN68" i="3"/>
  <c r="BM98" i="3" s="1"/>
  <c r="BN98" i="3" s="1"/>
  <c r="BP81" i="3"/>
  <c r="BQ81" i="3" s="1"/>
  <c r="AS71" i="3"/>
  <c r="AR101" i="3" s="1"/>
  <c r="AS101" i="3" s="1"/>
  <c r="AY74" i="3"/>
  <c r="AX104" i="3" s="1"/>
  <c r="AY104" i="3" s="1"/>
  <c r="BA78" i="3"/>
  <c r="BB78" i="3" s="1"/>
  <c r="BM85" i="3"/>
  <c r="BN85" i="3" s="1"/>
  <c r="AD66" i="3"/>
  <c r="AC96" i="3" s="1"/>
  <c r="AD96" i="3" s="1"/>
  <c r="BJ85" i="3"/>
  <c r="BK85" i="3" s="1"/>
  <c r="N85" i="3"/>
  <c r="O85" i="3" s="1"/>
  <c r="BM83" i="3"/>
  <c r="BN83" i="3" s="1"/>
  <c r="BA77" i="3"/>
  <c r="BB77" i="3" s="1"/>
  <c r="AD71" i="3"/>
  <c r="AC101" i="3" s="1"/>
  <c r="AD101" i="3" s="1"/>
  <c r="AC81" i="3"/>
  <c r="AD81" i="3" s="1"/>
  <c r="I71" i="3"/>
  <c r="H101" i="3" s="1"/>
  <c r="I101" i="3" s="1"/>
  <c r="H81" i="3"/>
  <c r="I81" i="3" s="1"/>
  <c r="AM69" i="3"/>
  <c r="AL99" i="3" s="1"/>
  <c r="AM99" i="3" s="1"/>
  <c r="AL79" i="3"/>
  <c r="AM79" i="3" s="1"/>
  <c r="BE68" i="3"/>
  <c r="BD98" i="3" s="1"/>
  <c r="BE98" i="3" s="1"/>
  <c r="BD78" i="3"/>
  <c r="BE78" i="3" s="1"/>
  <c r="BB75" i="3"/>
  <c r="BA105" i="3" s="1"/>
  <c r="BB105" i="3" s="1"/>
  <c r="T85" i="3"/>
  <c r="U85" i="3" s="1"/>
  <c r="BJ83" i="3"/>
  <c r="BK83" i="3" s="1"/>
  <c r="BP79" i="3"/>
  <c r="BQ79" i="3" s="1"/>
  <c r="BG78" i="3"/>
  <c r="BH78" i="3" s="1"/>
  <c r="AO83" i="3"/>
  <c r="AP83" i="3" s="1"/>
  <c r="BB73" i="3"/>
  <c r="BA103" i="3" s="1"/>
  <c r="BB103" i="3" s="1"/>
  <c r="AL80" i="3"/>
  <c r="AM80" i="3" s="1"/>
  <c r="AX78" i="3"/>
  <c r="AY78" i="3" s="1"/>
  <c r="BP78" i="3"/>
  <c r="BQ78" i="3" s="1"/>
  <c r="BE71" i="3"/>
  <c r="BD101" i="3" s="1"/>
  <c r="BE101" i="3" s="1"/>
  <c r="BD81" i="3"/>
  <c r="BE81" i="3" s="1"/>
  <c r="BQ72" i="3"/>
  <c r="BP102" i="3" s="1"/>
  <c r="BQ102" i="3" s="1"/>
  <c r="BA20" i="20" s="1"/>
  <c r="BP82" i="3"/>
  <c r="BQ82" i="3" s="1"/>
  <c r="O74" i="3"/>
  <c r="N104" i="3" s="1"/>
  <c r="O104" i="3" s="1"/>
  <c r="N84" i="3"/>
  <c r="O84" i="3" s="1"/>
  <c r="R68" i="3"/>
  <c r="Q98" i="3" s="1"/>
  <c r="R98" i="3" s="1"/>
  <c r="Q78" i="3"/>
  <c r="R78" i="3" s="1"/>
  <c r="O72" i="3"/>
  <c r="N102" i="3" s="1"/>
  <c r="O102" i="3" s="1"/>
  <c r="AO80" i="3"/>
  <c r="AP80" i="3" s="1"/>
  <c r="I67" i="3"/>
  <c r="H97" i="3" s="1"/>
  <c r="I97" i="3" s="1"/>
  <c r="H77" i="3"/>
  <c r="I77" i="3" s="1"/>
  <c r="AL76" i="3"/>
  <c r="AM76" i="3" s="1"/>
  <c r="AM66" i="3"/>
  <c r="AL96" i="3" s="1"/>
  <c r="AM96" i="3" s="1"/>
  <c r="U70" i="3"/>
  <c r="T100" i="3" s="1"/>
  <c r="U100" i="3" s="1"/>
  <c r="T80" i="3"/>
  <c r="U80" i="3" s="1"/>
  <c r="BE67" i="3"/>
  <c r="BD97" i="3" s="1"/>
  <c r="BE97" i="3" s="1"/>
  <c r="BD77" i="3"/>
  <c r="BE77" i="3" s="1"/>
  <c r="R74" i="3"/>
  <c r="Q104" i="3" s="1"/>
  <c r="R104" i="3" s="1"/>
  <c r="AS69" i="3"/>
  <c r="AR99" i="3" s="1"/>
  <c r="AS99" i="3" s="1"/>
  <c r="Q79" i="3"/>
  <c r="R79" i="3" s="1"/>
  <c r="AI84" i="3"/>
  <c r="AJ84" i="3" s="1"/>
  <c r="BP77" i="3"/>
  <c r="BQ77" i="3" s="1"/>
  <c r="H79" i="3"/>
  <c r="I79" i="3" s="1"/>
  <c r="AF79" i="3"/>
  <c r="AG79" i="3" s="1"/>
  <c r="BB71" i="3"/>
  <c r="BA101" i="3" s="1"/>
  <c r="BB101" i="3" s="1"/>
  <c r="AR77" i="3"/>
  <c r="AS77" i="3" s="1"/>
  <c r="W76" i="3"/>
  <c r="X76" i="3" s="1"/>
  <c r="AU76" i="3"/>
  <c r="AV76" i="3" s="1"/>
  <c r="AV69" i="3"/>
  <c r="AU99" i="3" s="1"/>
  <c r="AV99" i="3" s="1"/>
  <c r="O68" i="3"/>
  <c r="N98" i="3" s="1"/>
  <c r="O98" i="3" s="1"/>
  <c r="N78" i="3"/>
  <c r="O78" i="3" s="1"/>
  <c r="AO81" i="3"/>
  <c r="AP81" i="3" s="1"/>
  <c r="AP71" i="3"/>
  <c r="AO101" i="3" s="1"/>
  <c r="AP101" i="3" s="1"/>
  <c r="Z78" i="3"/>
  <c r="AA78" i="3" s="1"/>
  <c r="AA68" i="3"/>
  <c r="Z98" i="3" s="1"/>
  <c r="AA98" i="3" s="1"/>
  <c r="U73" i="3"/>
  <c r="T103" i="3" s="1"/>
  <c r="U103" i="3" s="1"/>
  <c r="T83" i="3"/>
  <c r="U83" i="3" s="1"/>
  <c r="AY67" i="3"/>
  <c r="AX97" i="3" s="1"/>
  <c r="AY97" i="3" s="1"/>
  <c r="AX77" i="3"/>
  <c r="AY77" i="3" s="1"/>
  <c r="I75" i="3"/>
  <c r="H105" i="3" s="1"/>
  <c r="I105" i="3" s="1"/>
  <c r="H85" i="3"/>
  <c r="I85" i="3" s="1"/>
  <c r="X67" i="3"/>
  <c r="W97" i="3" s="1"/>
  <c r="X97" i="3" s="1"/>
  <c r="BA84" i="3"/>
  <c r="BB84" i="3" s="1"/>
  <c r="H76" i="3"/>
  <c r="I76" i="3" s="1"/>
  <c r="AG68" i="3"/>
  <c r="AF98" i="3" s="1"/>
  <c r="AG98" i="3" s="1"/>
  <c r="AR84" i="3"/>
  <c r="AS84" i="3" s="1"/>
  <c r="Q83" i="3"/>
  <c r="R83" i="3" s="1"/>
  <c r="AG70" i="3"/>
  <c r="AF100" i="3" s="1"/>
  <c r="AG100" i="3" s="1"/>
  <c r="AF80" i="3"/>
  <c r="AG80" i="3" s="1"/>
  <c r="AD75" i="3"/>
  <c r="AC105" i="3" s="1"/>
  <c r="AD105" i="3" s="1"/>
  <c r="AC85" i="3"/>
  <c r="AD85" i="3" s="1"/>
  <c r="AO76" i="3"/>
  <c r="AP76" i="3" s="1"/>
  <c r="H84" i="3"/>
  <c r="I84" i="3" s="1"/>
  <c r="I74" i="3"/>
  <c r="H104" i="3" s="1"/>
  <c r="I104" i="3" s="1"/>
  <c r="BH71" i="3"/>
  <c r="BG101" i="3" s="1"/>
  <c r="BH101" i="3" s="1"/>
  <c r="BG81" i="3"/>
  <c r="BH81" i="3" s="1"/>
  <c r="AL83" i="3"/>
  <c r="AM83" i="3" s="1"/>
  <c r="AM73" i="3"/>
  <c r="AL103" i="3" s="1"/>
  <c r="AM103" i="3" s="1"/>
  <c r="BB66" i="3"/>
  <c r="BA96" i="3" s="1"/>
  <c r="BB96" i="3" s="1"/>
  <c r="BA76" i="3"/>
  <c r="BB76" i="3" s="1"/>
  <c r="AG67" i="3"/>
  <c r="AF97" i="3" s="1"/>
  <c r="AG97" i="3" s="1"/>
  <c r="AF77" i="3"/>
  <c r="AG77" i="3" s="1"/>
  <c r="AS73" i="3"/>
  <c r="AR103" i="3" s="1"/>
  <c r="AS103" i="3" s="1"/>
  <c r="AR83" i="3"/>
  <c r="AS83" i="3" s="1"/>
  <c r="AD69" i="3"/>
  <c r="AC99" i="3" s="1"/>
  <c r="AD99" i="3" s="1"/>
  <c r="AC79" i="3"/>
  <c r="AD79" i="3" s="1"/>
  <c r="AC83" i="3"/>
  <c r="AD83" i="3" s="1"/>
  <c r="AD74" i="3"/>
  <c r="AC104" i="3" s="1"/>
  <c r="AD104" i="3" s="1"/>
  <c r="AC84" i="3"/>
  <c r="AD84" i="3" s="1"/>
  <c r="BN66" i="3"/>
  <c r="BM96" i="3" s="1"/>
  <c r="BN96" i="3" s="1"/>
  <c r="BM76" i="3"/>
  <c r="BN76" i="3" s="1"/>
  <c r="AL84" i="3"/>
  <c r="AM84" i="3" s="1"/>
  <c r="AM74" i="3"/>
  <c r="AL104" i="3" s="1"/>
  <c r="AM104" i="3" s="1"/>
  <c r="K84" i="3"/>
  <c r="E74" i="3"/>
  <c r="K78" i="3"/>
  <c r="L78" i="3" s="1"/>
  <c r="E68" i="3"/>
  <c r="L85" i="3"/>
  <c r="L126" i="3"/>
  <c r="E126" i="3"/>
  <c r="Q4" i="4" s="1"/>
  <c r="L98" i="3"/>
  <c r="L73" i="3"/>
  <c r="E73" i="3"/>
  <c r="L75" i="3"/>
  <c r="E75" i="3"/>
  <c r="L69" i="3"/>
  <c r="K99" i="3" s="1"/>
  <c r="L99" i="3" s="1"/>
  <c r="K79" i="3"/>
  <c r="L79" i="3" s="1"/>
  <c r="L70" i="3"/>
  <c r="E70" i="3"/>
  <c r="K83" i="3"/>
  <c r="L71" i="3"/>
  <c r="E71" i="3"/>
  <c r="L72" i="3"/>
  <c r="K82" i="3"/>
  <c r="L82" i="3" s="1"/>
  <c r="L66" i="3"/>
  <c r="K76" i="3"/>
  <c r="E66" i="3"/>
  <c r="K97" i="3"/>
  <c r="L77" i="3"/>
  <c r="S78" i="52" l="1"/>
  <c r="T70" i="52"/>
  <c r="T78" i="52" s="1"/>
  <c r="R71" i="52"/>
  <c r="Q79" i="52"/>
  <c r="N37" i="30"/>
  <c r="N93" i="30"/>
  <c r="N112" i="30"/>
  <c r="N116" i="30"/>
  <c r="N120" i="30"/>
  <c r="N124" i="30"/>
  <c r="N128" i="30"/>
  <c r="N132" i="30"/>
  <c r="N136" i="30"/>
  <c r="N140" i="30"/>
  <c r="N144" i="30"/>
  <c r="N148" i="30"/>
  <c r="N152" i="30"/>
  <c r="N156" i="30"/>
  <c r="N41" i="30"/>
  <c r="N89" i="30"/>
  <c r="N48" i="30"/>
  <c r="N51" i="30"/>
  <c r="N38" i="30"/>
  <c r="N52" i="30"/>
  <c r="N85" i="30"/>
  <c r="N94" i="30"/>
  <c r="N113" i="30"/>
  <c r="N117" i="30"/>
  <c r="N121" i="30"/>
  <c r="N125" i="30"/>
  <c r="N129" i="30"/>
  <c r="N133" i="30"/>
  <c r="N137" i="30"/>
  <c r="N141" i="30"/>
  <c r="N145" i="30"/>
  <c r="N149" i="30"/>
  <c r="N153" i="30"/>
  <c r="N157" i="30"/>
  <c r="N42" i="30"/>
  <c r="N90" i="30"/>
  <c r="N53" i="30"/>
  <c r="N86" i="30"/>
  <c r="N95" i="30"/>
  <c r="N99" i="30"/>
  <c r="N114" i="30"/>
  <c r="N118" i="30"/>
  <c r="N122" i="30"/>
  <c r="N126" i="30"/>
  <c r="N130" i="30"/>
  <c r="N134" i="30"/>
  <c r="N138" i="30"/>
  <c r="N142" i="30"/>
  <c r="N146" i="30"/>
  <c r="N150" i="30"/>
  <c r="N154" i="30"/>
  <c r="N43" i="30"/>
  <c r="N91" i="30"/>
  <c r="N87" i="30"/>
  <c r="N100" i="30"/>
  <c r="N111" i="30"/>
  <c r="N115" i="30"/>
  <c r="N119" i="30"/>
  <c r="N123" i="30"/>
  <c r="N127" i="30"/>
  <c r="N131" i="30"/>
  <c r="N135" i="30"/>
  <c r="N139" i="30"/>
  <c r="N143" i="30"/>
  <c r="N147" i="30"/>
  <c r="N151" i="30"/>
  <c r="N155" i="30"/>
  <c r="N36" i="30"/>
  <c r="N40" i="30"/>
  <c r="N44" i="30"/>
  <c r="N97" i="30"/>
  <c r="N92" i="30"/>
  <c r="N88" i="30"/>
  <c r="N96" i="30"/>
  <c r="N242" i="30"/>
  <c r="N12" i="30"/>
  <c r="N236" i="30"/>
  <c r="N246" i="30"/>
  <c r="N248" i="30"/>
  <c r="N244" i="30"/>
  <c r="N221" i="30"/>
  <c r="N226" i="30"/>
  <c r="N223" i="30"/>
  <c r="N225" i="30"/>
  <c r="N227" i="30"/>
  <c r="N229" i="30"/>
  <c r="N234" i="30"/>
  <c r="N231" i="30"/>
  <c r="N233" i="30"/>
  <c r="N235" i="30"/>
  <c r="N237" i="30"/>
  <c r="N239" i="30"/>
  <c r="N241" i="30"/>
  <c r="N243" i="30"/>
  <c r="N245" i="30"/>
  <c r="N247" i="30"/>
  <c r="N222" i="30"/>
  <c r="N224" i="30"/>
  <c r="N220" i="30"/>
  <c r="N230" i="30"/>
  <c r="N232" i="30"/>
  <c r="N228" i="30"/>
  <c r="N238" i="30"/>
  <c r="N240" i="30"/>
  <c r="N206" i="30"/>
  <c r="N167" i="30"/>
  <c r="N163" i="30"/>
  <c r="N185" i="30"/>
  <c r="N201" i="30"/>
  <c r="N175" i="30"/>
  <c r="N188" i="30"/>
  <c r="N204" i="30"/>
  <c r="N174" i="30"/>
  <c r="N187" i="30"/>
  <c r="N203" i="30"/>
  <c r="N178" i="30"/>
  <c r="N190" i="30"/>
  <c r="N179" i="30"/>
  <c r="N189" i="30"/>
  <c r="N205" i="30"/>
  <c r="N180" i="30"/>
  <c r="N168" i="30"/>
  <c r="N192" i="30"/>
  <c r="N191" i="30"/>
  <c r="N207" i="30"/>
  <c r="N170" i="30"/>
  <c r="N194" i="30"/>
  <c r="N193" i="30"/>
  <c r="N172" i="30"/>
  <c r="N196" i="30"/>
  <c r="N169" i="30"/>
  <c r="N195" i="30"/>
  <c r="N166" i="30"/>
  <c r="N165" i="30"/>
  <c r="N182" i="30"/>
  <c r="N198" i="30"/>
  <c r="N171" i="30"/>
  <c r="N197" i="30"/>
  <c r="N162" i="30"/>
  <c r="N161" i="30"/>
  <c r="N184" i="30"/>
  <c r="N200" i="30"/>
  <c r="N164" i="30"/>
  <c r="N183" i="30"/>
  <c r="N199" i="30"/>
  <c r="N186" i="30"/>
  <c r="N202" i="30"/>
  <c r="N216" i="30"/>
  <c r="N218" i="30"/>
  <c r="N219" i="30"/>
  <c r="N211" i="30"/>
  <c r="N212" i="30"/>
  <c r="N213" i="30"/>
  <c r="N217" i="30"/>
  <c r="N214" i="30"/>
  <c r="N215" i="30"/>
  <c r="E63" i="9"/>
  <c r="E59" i="9"/>
  <c r="M216" i="30"/>
  <c r="M218" i="30"/>
  <c r="M217" i="30"/>
  <c r="M247" i="30"/>
  <c r="M243" i="30"/>
  <c r="M239" i="30"/>
  <c r="O239" i="30" s="1"/>
  <c r="P239" i="30" s="1"/>
  <c r="M235" i="30"/>
  <c r="M231" i="30"/>
  <c r="M227" i="30"/>
  <c r="M223" i="30"/>
  <c r="O223" i="30" s="1"/>
  <c r="P223" i="30" s="1"/>
  <c r="M245" i="30"/>
  <c r="M225" i="30"/>
  <c r="M242" i="30"/>
  <c r="O242" i="30" s="1"/>
  <c r="P242" i="30" s="1"/>
  <c r="M234" i="30"/>
  <c r="M230" i="30"/>
  <c r="M237" i="30"/>
  <c r="M229" i="30"/>
  <c r="M221" i="30"/>
  <c r="O221" i="30" s="1"/>
  <c r="P221" i="30" s="1"/>
  <c r="M12" i="30"/>
  <c r="M238" i="30"/>
  <c r="M226" i="30"/>
  <c r="O226" i="30" s="1"/>
  <c r="P226" i="30" s="1"/>
  <c r="M248" i="30"/>
  <c r="M244" i="30"/>
  <c r="M240" i="30"/>
  <c r="M236" i="30"/>
  <c r="M232" i="30"/>
  <c r="M228" i="30"/>
  <c r="M224" i="30"/>
  <c r="O224" i="30" s="1"/>
  <c r="P224" i="30" s="1"/>
  <c r="M220" i="30"/>
  <c r="O220" i="30" s="1"/>
  <c r="P220" i="30" s="1"/>
  <c r="M241" i="30"/>
  <c r="M233" i="30"/>
  <c r="M246" i="30"/>
  <c r="O246" i="30" s="1"/>
  <c r="P246" i="30" s="1"/>
  <c r="M222" i="30"/>
  <c r="M90" i="30"/>
  <c r="M85" i="30"/>
  <c r="M93" i="30"/>
  <c r="O93" i="30" s="1"/>
  <c r="P93" i="30" s="1"/>
  <c r="M53" i="30"/>
  <c r="M88" i="30"/>
  <c r="O88" i="30" s="1"/>
  <c r="P88" i="30" s="1"/>
  <c r="M96" i="30"/>
  <c r="M86" i="30"/>
  <c r="O86" i="30" s="1"/>
  <c r="P86" i="30" s="1"/>
  <c r="M94" i="30"/>
  <c r="M91" i="30"/>
  <c r="M89" i="30"/>
  <c r="M97" i="30"/>
  <c r="M48" i="30"/>
  <c r="O48" i="30" s="1"/>
  <c r="P48" i="30" s="1"/>
  <c r="M92" i="30"/>
  <c r="M87" i="30"/>
  <c r="O87" i="30" s="1"/>
  <c r="P87" i="30" s="1"/>
  <c r="M95" i="30"/>
  <c r="M174" i="30"/>
  <c r="M171" i="30"/>
  <c r="O171" i="30" s="1"/>
  <c r="P171" i="30" s="1"/>
  <c r="M163" i="30"/>
  <c r="M166" i="30"/>
  <c r="M183" i="30"/>
  <c r="M180" i="30"/>
  <c r="M178" i="30"/>
  <c r="M169" i="30"/>
  <c r="M175" i="30"/>
  <c r="M172" i="30"/>
  <c r="O172" i="30" s="1"/>
  <c r="P172" i="30" s="1"/>
  <c r="M184" i="30"/>
  <c r="M164" i="30"/>
  <c r="M182" i="30"/>
  <c r="M165" i="30"/>
  <c r="M170" i="30"/>
  <c r="O170" i="30" s="1"/>
  <c r="P170" i="30" s="1"/>
  <c r="M167" i="30"/>
  <c r="M162" i="30"/>
  <c r="M168" i="30"/>
  <c r="O168" i="30" s="1"/>
  <c r="P168" i="30" s="1"/>
  <c r="O163" i="30"/>
  <c r="P163" i="30" s="1"/>
  <c r="G5" i="26"/>
  <c r="G26" i="26"/>
  <c r="G35" i="26"/>
  <c r="G29" i="26"/>
  <c r="G20" i="26"/>
  <c r="G14" i="26"/>
  <c r="G23" i="26"/>
  <c r="G17" i="26"/>
  <c r="G32" i="26"/>
  <c r="G7" i="26"/>
  <c r="G25" i="26"/>
  <c r="G34" i="26"/>
  <c r="G19" i="26"/>
  <c r="G13" i="26"/>
  <c r="G28" i="26"/>
  <c r="G22" i="26"/>
  <c r="G31" i="26"/>
  <c r="G16" i="26"/>
  <c r="G6" i="26"/>
  <c r="G18" i="26"/>
  <c r="G27" i="26"/>
  <c r="G12" i="26"/>
  <c r="G21" i="26"/>
  <c r="G30" i="26"/>
  <c r="G15" i="26"/>
  <c r="G33" i="26"/>
  <c r="G24" i="26"/>
  <c r="M42" i="30"/>
  <c r="O42" i="30" s="1"/>
  <c r="P42" i="30" s="1"/>
  <c r="M54" i="30"/>
  <c r="O54" i="30" s="1"/>
  <c r="P54" i="30" s="1"/>
  <c r="M118" i="30"/>
  <c r="O118" i="30" s="1"/>
  <c r="P118" i="30" s="1"/>
  <c r="M126" i="30"/>
  <c r="M134" i="30"/>
  <c r="M142" i="30"/>
  <c r="M150" i="30"/>
  <c r="O150" i="30" s="1"/>
  <c r="P150" i="30" s="1"/>
  <c r="M37" i="30"/>
  <c r="O37" i="30" s="1"/>
  <c r="P37" i="30" s="1"/>
  <c r="M113" i="30"/>
  <c r="O113" i="30" s="1"/>
  <c r="P113" i="30" s="1"/>
  <c r="M121" i="30"/>
  <c r="O121" i="30" s="1"/>
  <c r="P121" i="30" s="1"/>
  <c r="M129" i="30"/>
  <c r="O129" i="30" s="1"/>
  <c r="P129" i="30" s="1"/>
  <c r="M137" i="30"/>
  <c r="M145" i="30"/>
  <c r="M153" i="30"/>
  <c r="O153" i="30" s="1"/>
  <c r="P153" i="30" s="1"/>
  <c r="M16" i="30"/>
  <c r="O16" i="30" s="1"/>
  <c r="P16" i="30" s="1"/>
  <c r="M40" i="30"/>
  <c r="O40" i="30" s="1"/>
  <c r="P40" i="30" s="1"/>
  <c r="M52" i="30"/>
  <c r="O52" i="30" s="1"/>
  <c r="P52" i="30" s="1"/>
  <c r="M100" i="30"/>
  <c r="M116" i="30"/>
  <c r="O116" i="30" s="1"/>
  <c r="P116" i="30" s="1"/>
  <c r="M124" i="30"/>
  <c r="M132" i="30"/>
  <c r="M140" i="30"/>
  <c r="O140" i="30" s="1"/>
  <c r="P140" i="30" s="1"/>
  <c r="M148" i="30"/>
  <c r="M156" i="30"/>
  <c r="O156" i="30" s="1"/>
  <c r="P156" i="30" s="1"/>
  <c r="M99" i="30"/>
  <c r="O99" i="30" s="1"/>
  <c r="P99" i="30" s="1"/>
  <c r="M115" i="30"/>
  <c r="O115" i="30" s="1"/>
  <c r="P115" i="30" s="1"/>
  <c r="M123" i="30"/>
  <c r="O123" i="30" s="1"/>
  <c r="P123" i="30" s="1"/>
  <c r="M131" i="30"/>
  <c r="M147" i="30"/>
  <c r="O147" i="30" s="1"/>
  <c r="P147" i="30" s="1"/>
  <c r="M155" i="30"/>
  <c r="O155" i="30" s="1"/>
  <c r="P155" i="30" s="1"/>
  <c r="M43" i="30"/>
  <c r="M111" i="30"/>
  <c r="O111" i="30" s="1"/>
  <c r="P111" i="30" s="1"/>
  <c r="M119" i="30"/>
  <c r="O119" i="30" s="1"/>
  <c r="P119" i="30" s="1"/>
  <c r="M127" i="30"/>
  <c r="O127" i="30" s="1"/>
  <c r="P127" i="30" s="1"/>
  <c r="M135" i="30"/>
  <c r="M143" i="30"/>
  <c r="O143" i="30" s="1"/>
  <c r="P143" i="30" s="1"/>
  <c r="M151" i="30"/>
  <c r="O151" i="30" s="1"/>
  <c r="P151" i="30" s="1"/>
  <c r="M38" i="30"/>
  <c r="O38" i="30" s="1"/>
  <c r="P38" i="30" s="1"/>
  <c r="M114" i="30"/>
  <c r="O114" i="30" s="1"/>
  <c r="P114" i="30" s="1"/>
  <c r="M122" i="30"/>
  <c r="O122" i="30" s="1"/>
  <c r="P122" i="30" s="1"/>
  <c r="M130" i="30"/>
  <c r="O130" i="30" s="1"/>
  <c r="P130" i="30" s="1"/>
  <c r="M138" i="30"/>
  <c r="O138" i="30" s="1"/>
  <c r="P138" i="30" s="1"/>
  <c r="M146" i="30"/>
  <c r="O146" i="30" s="1"/>
  <c r="P146" i="30" s="1"/>
  <c r="M154" i="30"/>
  <c r="O154" i="30" s="1"/>
  <c r="P154" i="30" s="1"/>
  <c r="M41" i="30"/>
  <c r="M125" i="30"/>
  <c r="O125" i="30" s="1"/>
  <c r="P125" i="30" s="1"/>
  <c r="M133" i="30"/>
  <c r="M141" i="30"/>
  <c r="O141" i="30" s="1"/>
  <c r="P141" i="30" s="1"/>
  <c r="M149" i="30"/>
  <c r="O149" i="30" s="1"/>
  <c r="P149" i="30" s="1"/>
  <c r="M157" i="30"/>
  <c r="O157" i="30" s="1"/>
  <c r="P157" i="30" s="1"/>
  <c r="M51" i="30"/>
  <c r="O51" i="30" s="1"/>
  <c r="P51" i="30" s="1"/>
  <c r="M44" i="30"/>
  <c r="M112" i="30"/>
  <c r="O112" i="30" s="1"/>
  <c r="P112" i="30" s="1"/>
  <c r="M120" i="30"/>
  <c r="M128" i="30"/>
  <c r="M136" i="30"/>
  <c r="O136" i="30" s="1"/>
  <c r="P136" i="30" s="1"/>
  <c r="M144" i="30"/>
  <c r="O144" i="30" s="1"/>
  <c r="P144" i="30" s="1"/>
  <c r="M152" i="30"/>
  <c r="O152" i="30" s="1"/>
  <c r="P152" i="30" s="1"/>
  <c r="M117" i="30"/>
  <c r="M36" i="30"/>
  <c r="M15" i="30"/>
  <c r="O15" i="30" s="1"/>
  <c r="P15" i="30" s="1"/>
  <c r="M139" i="30"/>
  <c r="M205" i="30"/>
  <c r="M197" i="30"/>
  <c r="M189" i="30"/>
  <c r="M200" i="30"/>
  <c r="O200" i="30" s="1"/>
  <c r="P200" i="30" s="1"/>
  <c r="M192" i="30"/>
  <c r="M161" i="30"/>
  <c r="M203" i="30"/>
  <c r="O203" i="30" s="1"/>
  <c r="P203" i="30" s="1"/>
  <c r="M195" i="30"/>
  <c r="M187" i="30"/>
  <c r="O187" i="30" s="1"/>
  <c r="P187" i="30" s="1"/>
  <c r="M206" i="30"/>
  <c r="O206" i="30" s="1"/>
  <c r="P206" i="30" s="1"/>
  <c r="M198" i="30"/>
  <c r="M190" i="30"/>
  <c r="O190" i="30" s="1"/>
  <c r="P190" i="30" s="1"/>
  <c r="M201" i="30"/>
  <c r="M193" i="30"/>
  <c r="O193" i="30" s="1"/>
  <c r="P193" i="30" s="1"/>
  <c r="M185" i="30"/>
  <c r="M204" i="30"/>
  <c r="M196" i="30"/>
  <c r="O196" i="30" s="1"/>
  <c r="P196" i="30" s="1"/>
  <c r="M188" i="30"/>
  <c r="M207" i="30"/>
  <c r="O207" i="30" s="1"/>
  <c r="P207" i="30" s="1"/>
  <c r="M199" i="30"/>
  <c r="M191" i="30"/>
  <c r="M179" i="30"/>
  <c r="M202" i="30"/>
  <c r="O202" i="30" s="1"/>
  <c r="P202" i="30" s="1"/>
  <c r="M194" i="30"/>
  <c r="M186" i="30"/>
  <c r="O186" i="30" s="1"/>
  <c r="P186" i="30" s="1"/>
  <c r="M215" i="30"/>
  <c r="O215" i="30" s="1"/>
  <c r="P215" i="30" s="1"/>
  <c r="M212" i="30"/>
  <c r="M219" i="30"/>
  <c r="O219" i="30" s="1"/>
  <c r="P219" i="30" s="1"/>
  <c r="M213" i="30"/>
  <c r="M214" i="30"/>
  <c r="O214" i="30" s="1"/>
  <c r="P214" i="30" s="1"/>
  <c r="M211" i="30"/>
  <c r="X77" i="9"/>
  <c r="L5" i="9"/>
  <c r="K5" i="9"/>
  <c r="I12" i="11"/>
  <c r="I41" i="11" s="1"/>
  <c r="N5" i="9"/>
  <c r="E39" i="9"/>
  <c r="G10" i="26"/>
  <c r="G9" i="26"/>
  <c r="E11" i="2"/>
  <c r="E13" i="2"/>
  <c r="E12" i="2"/>
  <c r="J12" i="11"/>
  <c r="J41" i="11" s="1"/>
  <c r="V5" i="20"/>
  <c r="Y77" i="9"/>
  <c r="X5" i="20"/>
  <c r="V9" i="20"/>
  <c r="Q4" i="9"/>
  <c r="E65" i="9"/>
  <c r="R77" i="9"/>
  <c r="E66" i="9"/>
  <c r="S77" i="9"/>
  <c r="E42" i="9"/>
  <c r="I9" i="11" s="1"/>
  <c r="I38" i="11" s="1"/>
  <c r="E43" i="9"/>
  <c r="K7" i="20"/>
  <c r="E44" i="9"/>
  <c r="K9" i="11" s="1"/>
  <c r="K38" i="11" s="1"/>
  <c r="AS9" i="20"/>
  <c r="E45" i="9"/>
  <c r="E46" i="9"/>
  <c r="E61" i="9"/>
  <c r="AL7" i="20"/>
  <c r="E41" i="9"/>
  <c r="U77" i="9"/>
  <c r="E56" i="10"/>
  <c r="D13" i="11" s="1"/>
  <c r="D42" i="11" s="1"/>
  <c r="AQ12" i="20"/>
  <c r="AP7" i="20"/>
  <c r="S9" i="20"/>
  <c r="AO7" i="20"/>
  <c r="AJ12" i="20"/>
  <c r="E79" i="9"/>
  <c r="O55" i="10"/>
  <c r="N7" i="20"/>
  <c r="AM7" i="20"/>
  <c r="Y9" i="20"/>
  <c r="Z77" i="9"/>
  <c r="E100" i="9"/>
  <c r="L78" i="9"/>
  <c r="BA5" i="20"/>
  <c r="AL12" i="20"/>
  <c r="P55" i="10"/>
  <c r="K78" i="9"/>
  <c r="N12" i="20"/>
  <c r="Y5" i="20"/>
  <c r="W77" i="9"/>
  <c r="E89" i="9"/>
  <c r="J12" i="20"/>
  <c r="N55" i="10"/>
  <c r="M7" i="20"/>
  <c r="O12" i="20"/>
  <c r="AK12" i="20"/>
  <c r="AP11" i="20"/>
  <c r="N78" i="9"/>
  <c r="E120" i="9"/>
  <c r="R9" i="20"/>
  <c r="J7" i="20"/>
  <c r="AP12" i="20"/>
  <c r="H12" i="20"/>
  <c r="Q9" i="20"/>
  <c r="I55" i="10"/>
  <c r="K55" i="10"/>
  <c r="E58" i="10"/>
  <c r="F13" i="11" s="1"/>
  <c r="F42" i="11" s="1"/>
  <c r="P9" i="20"/>
  <c r="O78" i="9"/>
  <c r="AN12" i="20"/>
  <c r="M55" i="10"/>
  <c r="L12" i="20"/>
  <c r="H7" i="20"/>
  <c r="AJ7" i="20"/>
  <c r="I78" i="9"/>
  <c r="AO12" i="20"/>
  <c r="T9" i="20"/>
  <c r="AV5" i="20"/>
  <c r="AU9" i="20"/>
  <c r="N11" i="20"/>
  <c r="J55" i="10"/>
  <c r="I12" i="20"/>
  <c r="R5" i="20"/>
  <c r="X9" i="20"/>
  <c r="M12" i="20"/>
  <c r="G7" i="20"/>
  <c r="AZ9" i="20"/>
  <c r="AU5" i="20"/>
  <c r="C40" i="11"/>
  <c r="G11" i="26"/>
  <c r="S14" i="4"/>
  <c r="S5" i="20"/>
  <c r="AT9" i="20"/>
  <c r="E80" i="9"/>
  <c r="E8" i="2"/>
  <c r="AZ5" i="20"/>
  <c r="S4" i="9"/>
  <c r="E14" i="4"/>
  <c r="T77" i="9"/>
  <c r="F78" i="9"/>
  <c r="E7" i="2"/>
  <c r="W5" i="20"/>
  <c r="AY9" i="20"/>
  <c r="AV9" i="20"/>
  <c r="G3" i="26"/>
  <c r="W14" i="4"/>
  <c r="BA9" i="20"/>
  <c r="Y4" i="9"/>
  <c r="W9" i="20"/>
  <c r="G8" i="26"/>
  <c r="K12" i="11"/>
  <c r="K41" i="11" s="1"/>
  <c r="E15" i="4"/>
  <c r="L12" i="11"/>
  <c r="L41" i="11" s="1"/>
  <c r="AX5" i="20"/>
  <c r="AH7" i="20"/>
  <c r="AF4" i="20"/>
  <c r="M12" i="11"/>
  <c r="M41" i="11" s="1"/>
  <c r="U4" i="9"/>
  <c r="Z4" i="9"/>
  <c r="O8" i="30"/>
  <c r="P8" i="30" s="1"/>
  <c r="T5" i="20"/>
  <c r="O7" i="30"/>
  <c r="P7" i="30" s="1"/>
  <c r="V77" i="9"/>
  <c r="AY5" i="20"/>
  <c r="O6" i="30"/>
  <c r="P6" i="30" s="1"/>
  <c r="Q5" i="20"/>
  <c r="AW5" i="20"/>
  <c r="O298" i="30"/>
  <c r="P298" i="30" s="1"/>
  <c r="E93" i="9"/>
  <c r="U9" i="20"/>
  <c r="M14" i="6"/>
  <c r="N4" i="6"/>
  <c r="G4" i="26"/>
  <c r="X14" i="4"/>
  <c r="X4" i="9"/>
  <c r="AS5" i="20"/>
  <c r="AR9" i="20"/>
  <c r="M15" i="6"/>
  <c r="T12" i="6"/>
  <c r="AR5" i="20"/>
  <c r="AX9" i="20"/>
  <c r="W4" i="9"/>
  <c r="P5" i="20"/>
  <c r="V4" i="9"/>
  <c r="AT5" i="20"/>
  <c r="Q77" i="9"/>
  <c r="AW9" i="20"/>
  <c r="R4" i="9"/>
  <c r="T4" i="9"/>
  <c r="B9" i="2"/>
  <c r="B11" i="2"/>
  <c r="U14" i="6"/>
  <c r="Y10" i="4"/>
  <c r="E10" i="2" s="1"/>
  <c r="R14" i="6"/>
  <c r="AG11" i="20"/>
  <c r="T13" i="6"/>
  <c r="Y14" i="4"/>
  <c r="E84" i="9"/>
  <c r="E91" i="9"/>
  <c r="AH11" i="20"/>
  <c r="G78" i="9"/>
  <c r="G12" i="11"/>
  <c r="G6" i="39"/>
  <c r="E94" i="9"/>
  <c r="H14" i="4"/>
  <c r="H15" i="4"/>
  <c r="B7" i="2"/>
  <c r="E92" i="9"/>
  <c r="S15" i="6"/>
  <c r="U5" i="20"/>
  <c r="AF17" i="20"/>
  <c r="AG16" i="20"/>
  <c r="AF16" i="20" s="1"/>
  <c r="O5" i="30"/>
  <c r="P5" i="30" s="1"/>
  <c r="D12" i="11"/>
  <c r="E81" i="9"/>
  <c r="F12" i="11"/>
  <c r="O3" i="30"/>
  <c r="P3" i="30" s="1"/>
  <c r="AI7" i="20"/>
  <c r="E11" i="20"/>
  <c r="O4" i="30"/>
  <c r="P4" i="30" s="1"/>
  <c r="E59" i="10"/>
  <c r="G13" i="11" s="1"/>
  <c r="G42" i="11" s="1"/>
  <c r="O9" i="30"/>
  <c r="P9" i="30" s="1"/>
  <c r="T9" i="6"/>
  <c r="D16" i="20"/>
  <c r="O11" i="30"/>
  <c r="P11" i="30" s="1"/>
  <c r="F7" i="20"/>
  <c r="D17" i="20"/>
  <c r="E61" i="10"/>
  <c r="I13" i="11" s="1"/>
  <c r="I42" i="11" s="1"/>
  <c r="E60" i="10"/>
  <c r="H13" i="11" s="1"/>
  <c r="E82" i="9"/>
  <c r="F11" i="20"/>
  <c r="O10" i="30"/>
  <c r="P10" i="30" s="1"/>
  <c r="AI11" i="20"/>
  <c r="H78" i="9"/>
  <c r="G11" i="20"/>
  <c r="E83" i="9"/>
  <c r="E57" i="10"/>
  <c r="E13" i="11" s="1"/>
  <c r="E42" i="11" s="1"/>
  <c r="AG7" i="20"/>
  <c r="E90" i="9"/>
  <c r="E7" i="20"/>
  <c r="D7" i="11"/>
  <c r="H12" i="11"/>
  <c r="H41" i="11" s="1"/>
  <c r="F127" i="3"/>
  <c r="AY23" i="20"/>
  <c r="W23" i="20"/>
  <c r="BA23" i="20"/>
  <c r="X23" i="20"/>
  <c r="Y23" i="20"/>
  <c r="AZ23" i="20"/>
  <c r="N20" i="20"/>
  <c r="Q16" i="39"/>
  <c r="V16" i="39" s="1"/>
  <c r="AM20" i="20"/>
  <c r="AT20" i="20"/>
  <c r="AY20" i="20"/>
  <c r="AL20" i="20"/>
  <c r="AZ21" i="20"/>
  <c r="AP20" i="20"/>
  <c r="S20" i="20"/>
  <c r="N21" i="20"/>
  <c r="AU21" i="20"/>
  <c r="V20" i="20"/>
  <c r="X20" i="20"/>
  <c r="W20" i="20"/>
  <c r="AX20" i="20"/>
  <c r="R21" i="20"/>
  <c r="O20" i="20"/>
  <c r="P20" i="20"/>
  <c r="AR21" i="20"/>
  <c r="AO21" i="20"/>
  <c r="AZ20" i="20"/>
  <c r="P21" i="20"/>
  <c r="F82" i="3"/>
  <c r="F85" i="3"/>
  <c r="M21" i="20"/>
  <c r="AY21" i="20"/>
  <c r="J21" i="20"/>
  <c r="L20" i="20"/>
  <c r="AL21" i="20"/>
  <c r="AJ21" i="20"/>
  <c r="X21" i="20"/>
  <c r="AN21" i="20"/>
  <c r="E20" i="20"/>
  <c r="G20" i="20"/>
  <c r="BA21" i="20"/>
  <c r="AJ20" i="20"/>
  <c r="AW21" i="20"/>
  <c r="E81" i="3"/>
  <c r="T9" i="4" s="1"/>
  <c r="U9" i="4" s="1"/>
  <c r="AT21" i="20"/>
  <c r="AM21" i="20"/>
  <c r="F79" i="3"/>
  <c r="I20" i="20"/>
  <c r="G21" i="20"/>
  <c r="O21" i="20"/>
  <c r="Q20" i="20"/>
  <c r="F67" i="3"/>
  <c r="H21" i="20"/>
  <c r="F81" i="3"/>
  <c r="M20" i="20"/>
  <c r="S21" i="20"/>
  <c r="T21" i="20"/>
  <c r="AX21" i="20"/>
  <c r="AP21" i="20"/>
  <c r="AR20" i="20"/>
  <c r="AQ20" i="20"/>
  <c r="U20" i="20"/>
  <c r="Q21" i="20"/>
  <c r="E21" i="20"/>
  <c r="J20" i="20"/>
  <c r="K21" i="20"/>
  <c r="E104" i="3"/>
  <c r="N12" i="4" s="1"/>
  <c r="E98" i="3"/>
  <c r="N6" i="4" s="1"/>
  <c r="V21" i="20"/>
  <c r="AO20" i="20"/>
  <c r="AN20" i="20"/>
  <c r="AS20" i="20"/>
  <c r="F104" i="3"/>
  <c r="AU20" i="20"/>
  <c r="AW20" i="20"/>
  <c r="AG20" i="20"/>
  <c r="F98" i="3"/>
  <c r="Y20" i="20"/>
  <c r="L21" i="20"/>
  <c r="AS21" i="20"/>
  <c r="Y21" i="20"/>
  <c r="E84" i="3"/>
  <c r="T12" i="4" s="1"/>
  <c r="U12" i="4" s="1"/>
  <c r="F80" i="3"/>
  <c r="I21" i="20"/>
  <c r="AK21" i="20"/>
  <c r="AV21" i="20"/>
  <c r="AG21" i="20"/>
  <c r="AI21" i="20"/>
  <c r="AQ21" i="20"/>
  <c r="U21" i="20"/>
  <c r="F68" i="3"/>
  <c r="K20" i="20"/>
  <c r="E77" i="3"/>
  <c r="T5" i="4" s="1"/>
  <c r="U5" i="4" s="1"/>
  <c r="F78" i="3"/>
  <c r="AK20" i="20"/>
  <c r="W21" i="20"/>
  <c r="H20" i="20"/>
  <c r="E80" i="3"/>
  <c r="T8" i="4" s="1"/>
  <c r="U8" i="4" s="1"/>
  <c r="F77" i="3"/>
  <c r="R20" i="20"/>
  <c r="AI20" i="20"/>
  <c r="F74" i="3"/>
  <c r="E85" i="3"/>
  <c r="T13" i="4" s="1"/>
  <c r="L84" i="3"/>
  <c r="F84" i="3" s="1"/>
  <c r="F69" i="3"/>
  <c r="E78" i="3"/>
  <c r="T6" i="4" s="1"/>
  <c r="U6" i="4" s="1"/>
  <c r="E79" i="3"/>
  <c r="T7" i="4" s="1"/>
  <c r="U7" i="4" s="1"/>
  <c r="E82" i="3"/>
  <c r="T10" i="4" s="1"/>
  <c r="U10" i="4" s="1"/>
  <c r="F126" i="3"/>
  <c r="R4" i="4"/>
  <c r="K100" i="3"/>
  <c r="F70" i="3"/>
  <c r="K105" i="3"/>
  <c r="F75" i="3"/>
  <c r="K102" i="3"/>
  <c r="F72" i="3"/>
  <c r="K103" i="3"/>
  <c r="F73" i="3"/>
  <c r="F71" i="3"/>
  <c r="K101" i="3"/>
  <c r="L83" i="3"/>
  <c r="F83" i="3" s="1"/>
  <c r="E83" i="3"/>
  <c r="T11" i="4" s="1"/>
  <c r="U11" i="4" s="1"/>
  <c r="L97" i="3"/>
  <c r="F97" i="3" s="1"/>
  <c r="E97" i="3"/>
  <c r="N5" i="4" s="1"/>
  <c r="L76" i="3"/>
  <c r="E76" i="3"/>
  <c r="T4" i="4" s="1"/>
  <c r="K96" i="3"/>
  <c r="F66" i="3"/>
  <c r="BB99" i="3"/>
  <c r="E99" i="3"/>
  <c r="N7" i="4" s="1"/>
  <c r="O197" i="30" l="1"/>
  <c r="P197" i="30" s="1"/>
  <c r="O180" i="30"/>
  <c r="P180" i="30" s="1"/>
  <c r="O92" i="30"/>
  <c r="P92" i="30" s="1"/>
  <c r="O213" i="30"/>
  <c r="P213" i="30" s="1"/>
  <c r="O192" i="30"/>
  <c r="P192" i="30" s="1"/>
  <c r="O162" i="30"/>
  <c r="P162" i="30" s="1"/>
  <c r="O174" i="30"/>
  <c r="P174" i="30" s="1"/>
  <c r="O222" i="30"/>
  <c r="P222" i="30" s="1"/>
  <c r="O199" i="30"/>
  <c r="P199" i="30" s="1"/>
  <c r="O167" i="30"/>
  <c r="P167" i="30" s="1"/>
  <c r="O169" i="30"/>
  <c r="P169" i="30" s="1"/>
  <c r="O240" i="30"/>
  <c r="P240" i="30" s="1"/>
  <c r="O237" i="30"/>
  <c r="P237" i="30" s="1"/>
  <c r="O231" i="30"/>
  <c r="P231" i="30" s="1"/>
  <c r="O212" i="30"/>
  <c r="P212" i="30" s="1"/>
  <c r="O198" i="30"/>
  <c r="P198" i="30" s="1"/>
  <c r="O178" i="30"/>
  <c r="P178" i="30" s="1"/>
  <c r="O96" i="30"/>
  <c r="P96" i="30" s="1"/>
  <c r="O233" i="30"/>
  <c r="P233" i="30" s="1"/>
  <c r="O244" i="30"/>
  <c r="P244" i="30" s="1"/>
  <c r="O235" i="30"/>
  <c r="P235" i="30" s="1"/>
  <c r="R79" i="52"/>
  <c r="S71" i="52"/>
  <c r="O230" i="30"/>
  <c r="P230" i="30" s="1"/>
  <c r="O165" i="30"/>
  <c r="P165" i="30" s="1"/>
  <c r="O179" i="30"/>
  <c r="P179" i="30" s="1"/>
  <c r="O161" i="30"/>
  <c r="P161" i="30" s="1"/>
  <c r="O36" i="30"/>
  <c r="P36" i="30" s="1"/>
  <c r="O44" i="30"/>
  <c r="P44" i="30" s="1"/>
  <c r="O131" i="30"/>
  <c r="P131" i="30" s="1"/>
  <c r="O124" i="30"/>
  <c r="P124" i="30" s="1"/>
  <c r="O137" i="30"/>
  <c r="P137" i="30" s="1"/>
  <c r="O126" i="30"/>
  <c r="P126" i="30" s="1"/>
  <c r="O100" i="30"/>
  <c r="P100" i="30" s="1"/>
  <c r="O95" i="30"/>
  <c r="P95" i="30" s="1"/>
  <c r="O128" i="30"/>
  <c r="P128" i="30" s="1"/>
  <c r="O133" i="30"/>
  <c r="P133" i="30" s="1"/>
  <c r="O43" i="30"/>
  <c r="P43" i="30" s="1"/>
  <c r="O148" i="30"/>
  <c r="P148" i="30" s="1"/>
  <c r="O188" i="30"/>
  <c r="P188" i="30" s="1"/>
  <c r="O234" i="30"/>
  <c r="P234" i="30" s="1"/>
  <c r="O139" i="30"/>
  <c r="P139" i="30" s="1"/>
  <c r="O189" i="30"/>
  <c r="P189" i="30" s="1"/>
  <c r="O248" i="30"/>
  <c r="P248" i="30" s="1"/>
  <c r="O41" i="30"/>
  <c r="P41" i="30" s="1"/>
  <c r="O194" i="30"/>
  <c r="P194" i="30" s="1"/>
  <c r="J9" i="11"/>
  <c r="J38" i="11" s="1"/>
  <c r="F9" i="11"/>
  <c r="F38" i="11" s="1"/>
  <c r="O191" i="30"/>
  <c r="P191" i="30" s="1"/>
  <c r="O201" i="30"/>
  <c r="P201" i="30" s="1"/>
  <c r="O117" i="30"/>
  <c r="P117" i="30" s="1"/>
  <c r="O135" i="30"/>
  <c r="P135" i="30" s="1"/>
  <c r="O175" i="30"/>
  <c r="P175" i="30" s="1"/>
  <c r="O94" i="30"/>
  <c r="P94" i="30" s="1"/>
  <c r="O236" i="30"/>
  <c r="P236" i="30" s="1"/>
  <c r="O229" i="30"/>
  <c r="P229" i="30" s="1"/>
  <c r="O227" i="30"/>
  <c r="P227" i="30" s="1"/>
  <c r="O216" i="30"/>
  <c r="P216" i="30" s="1"/>
  <c r="O241" i="30"/>
  <c r="P241" i="30" s="1"/>
  <c r="O205" i="30"/>
  <c r="P205" i="30" s="1"/>
  <c r="O183" i="30"/>
  <c r="P183" i="30" s="1"/>
  <c r="O204" i="30"/>
  <c r="P204" i="30" s="1"/>
  <c r="O195" i="30"/>
  <c r="P195" i="30" s="1"/>
  <c r="O120" i="30"/>
  <c r="P120" i="30" s="1"/>
  <c r="O142" i="30"/>
  <c r="P142" i="30" s="1"/>
  <c r="O247" i="30"/>
  <c r="P247" i="30" s="1"/>
  <c r="O132" i="30"/>
  <c r="P132" i="30" s="1"/>
  <c r="O89" i="30"/>
  <c r="P89" i="30" s="1"/>
  <c r="O217" i="30"/>
  <c r="P217" i="30" s="1"/>
  <c r="O91" i="30"/>
  <c r="P91" i="30" s="1"/>
  <c r="O90" i="30"/>
  <c r="P90" i="30" s="1"/>
  <c r="O232" i="30"/>
  <c r="P232" i="30" s="1"/>
  <c r="O218" i="30"/>
  <c r="P218" i="30" s="1"/>
  <c r="O182" i="30"/>
  <c r="P182" i="30" s="1"/>
  <c r="O53" i="30"/>
  <c r="P53" i="30" s="1"/>
  <c r="O243" i="30"/>
  <c r="P243" i="30" s="1"/>
  <c r="O164" i="30"/>
  <c r="P164" i="30" s="1"/>
  <c r="O166" i="30"/>
  <c r="P166" i="30" s="1"/>
  <c r="O97" i="30"/>
  <c r="P97" i="30" s="1"/>
  <c r="O238" i="30"/>
  <c r="P238" i="30" s="1"/>
  <c r="O225" i="30"/>
  <c r="P225" i="30" s="1"/>
  <c r="O211" i="30"/>
  <c r="P211" i="30" s="1"/>
  <c r="O185" i="30"/>
  <c r="P185" i="30" s="1"/>
  <c r="O145" i="30"/>
  <c r="P145" i="30" s="1"/>
  <c r="O134" i="30"/>
  <c r="P134" i="30" s="1"/>
  <c r="O184" i="30"/>
  <c r="P184" i="30" s="1"/>
  <c r="O85" i="30"/>
  <c r="P85" i="30" s="1"/>
  <c r="O228" i="30"/>
  <c r="P228" i="30" s="1"/>
  <c r="O12" i="30"/>
  <c r="P12" i="30" s="1"/>
  <c r="O245" i="30"/>
  <c r="P245" i="30" s="1"/>
  <c r="AM11" i="20"/>
  <c r="M11" i="20"/>
  <c r="AO11" i="20"/>
  <c r="AL11" i="20"/>
  <c r="K11" i="20"/>
  <c r="J11" i="20"/>
  <c r="L9" i="11"/>
  <c r="L38" i="11" s="1"/>
  <c r="E14" i="2"/>
  <c r="M9" i="11"/>
  <c r="M38" i="11" s="1"/>
  <c r="H9" i="11"/>
  <c r="H38" i="11" s="1"/>
  <c r="J6" i="32"/>
  <c r="D8" i="11"/>
  <c r="D37" i="11" s="1"/>
  <c r="D10" i="11"/>
  <c r="D39" i="11" s="1"/>
  <c r="E8" i="11"/>
  <c r="E37" i="11" s="1"/>
  <c r="B14" i="2"/>
  <c r="G8" i="11"/>
  <c r="G37" i="11" s="1"/>
  <c r="T15" i="6"/>
  <c r="T14" i="6"/>
  <c r="J5" i="32"/>
  <c r="I8" i="11"/>
  <c r="I37" i="11" s="1"/>
  <c r="J4" i="32"/>
  <c r="D9" i="6"/>
  <c r="E9" i="6" s="1"/>
  <c r="N15" i="6"/>
  <c r="N14" i="6"/>
  <c r="H8" i="11"/>
  <c r="D8" i="6"/>
  <c r="E8" i="6" s="1"/>
  <c r="H42" i="11"/>
  <c r="G41" i="11"/>
  <c r="D7" i="6"/>
  <c r="E7" i="6" s="1"/>
  <c r="J3" i="32"/>
  <c r="F41" i="11"/>
  <c r="D6" i="6"/>
  <c r="E6" i="6" s="1"/>
  <c r="F8" i="11"/>
  <c r="D36" i="11"/>
  <c r="D41" i="11"/>
  <c r="D4" i="6"/>
  <c r="O6" i="39"/>
  <c r="U6" i="39" s="1"/>
  <c r="S6" i="39"/>
  <c r="Q6" i="39"/>
  <c r="V6" i="39" s="1"/>
  <c r="T6" i="39"/>
  <c r="Z5" i="4"/>
  <c r="U13" i="4"/>
  <c r="O12" i="4"/>
  <c r="O6" i="4"/>
  <c r="BA19" i="20"/>
  <c r="BA15" i="20" s="1"/>
  <c r="T18" i="39"/>
  <c r="O18" i="39"/>
  <c r="U18" i="39" s="1"/>
  <c r="S18" i="39"/>
  <c r="Q18" i="39"/>
  <c r="V18" i="39" s="1"/>
  <c r="T16" i="39"/>
  <c r="S16" i="39"/>
  <c r="O16" i="39"/>
  <c r="U16" i="39" s="1"/>
  <c r="AT19" i="20"/>
  <c r="AT15" i="20" s="1"/>
  <c r="AY19" i="20"/>
  <c r="AY15" i="20" s="1"/>
  <c r="V19" i="20"/>
  <c r="V15" i="20" s="1"/>
  <c r="S19" i="20"/>
  <c r="S15" i="20" s="1"/>
  <c r="AU19" i="20"/>
  <c r="AU15" i="20" s="1"/>
  <c r="AX19" i="20"/>
  <c r="AX15" i="20" s="1"/>
  <c r="AZ19" i="20"/>
  <c r="AZ15" i="20" s="1"/>
  <c r="P19" i="20"/>
  <c r="P15" i="20" s="1"/>
  <c r="AR19" i="20"/>
  <c r="AR15" i="20" s="1"/>
  <c r="Q19" i="20"/>
  <c r="Q15" i="20" s="1"/>
  <c r="W19" i="20"/>
  <c r="W15" i="20" s="1"/>
  <c r="X19" i="20"/>
  <c r="X15" i="20" s="1"/>
  <c r="R19" i="20"/>
  <c r="R15" i="20" s="1"/>
  <c r="AW19" i="20"/>
  <c r="AW15" i="20" s="1"/>
  <c r="U19" i="20"/>
  <c r="U15" i="20" s="1"/>
  <c r="AS19" i="20"/>
  <c r="AS15" i="20" s="1"/>
  <c r="Y19" i="20"/>
  <c r="Y15" i="20" s="1"/>
  <c r="L101" i="3"/>
  <c r="F101" i="3" s="1"/>
  <c r="E101" i="3"/>
  <c r="N9" i="4" s="1"/>
  <c r="L103" i="3"/>
  <c r="F103" i="3" s="1"/>
  <c r="E103" i="3"/>
  <c r="N11" i="4" s="1"/>
  <c r="L102" i="3"/>
  <c r="F102" i="3" s="1"/>
  <c r="E102" i="3"/>
  <c r="N10" i="4" s="1"/>
  <c r="L105" i="3"/>
  <c r="F105" i="3" s="1"/>
  <c r="E105" i="3"/>
  <c r="N13" i="4" s="1"/>
  <c r="L100" i="3"/>
  <c r="F100" i="3" s="1"/>
  <c r="E100" i="3"/>
  <c r="N8" i="4" s="1"/>
  <c r="L96" i="3"/>
  <c r="E96" i="3"/>
  <c r="N4" i="4" s="1"/>
  <c r="Z4" i="4" s="1"/>
  <c r="T14" i="4"/>
  <c r="U4" i="4"/>
  <c r="O7" i="4"/>
  <c r="F99" i="3"/>
  <c r="T20" i="20"/>
  <c r="T19" i="20" s="1"/>
  <c r="T15" i="20" s="1"/>
  <c r="AV20" i="20"/>
  <c r="AV19" i="20" s="1"/>
  <c r="AV15" i="20" s="1"/>
  <c r="F21" i="20"/>
  <c r="D21" i="20" s="1"/>
  <c r="F76" i="3"/>
  <c r="AH21" i="20"/>
  <c r="AF21" i="20" s="1"/>
  <c r="O5" i="4"/>
  <c r="S79" i="52" l="1"/>
  <c r="T71" i="52"/>
  <c r="T79" i="52" s="1"/>
  <c r="J13" i="32"/>
  <c r="J7" i="32"/>
  <c r="J9" i="32"/>
  <c r="J10" i="32"/>
  <c r="G4" i="6"/>
  <c r="H4" i="6" s="1"/>
  <c r="G9" i="6"/>
  <c r="H9" i="6" s="1"/>
  <c r="G7" i="6"/>
  <c r="H7" i="6" s="1"/>
  <c r="H57" i="9"/>
  <c r="G8" i="6"/>
  <c r="H8" i="6" s="1"/>
  <c r="H37" i="11"/>
  <c r="E4" i="6"/>
  <c r="F37" i="11"/>
  <c r="G6" i="6"/>
  <c r="O8" i="4"/>
  <c r="O13" i="4"/>
  <c r="O10" i="4"/>
  <c r="O11" i="4"/>
  <c r="O9" i="4"/>
  <c r="AA5" i="4"/>
  <c r="F20" i="20"/>
  <c r="AH20" i="20"/>
  <c r="F96" i="3"/>
  <c r="U15" i="4"/>
  <c r="U14" i="4"/>
  <c r="N14" i="4"/>
  <c r="O4" i="4"/>
  <c r="J1" i="32" l="1"/>
  <c r="F21" i="26"/>
  <c r="I21" i="26" s="1"/>
  <c r="F34" i="26"/>
  <c r="I34" i="26" s="1"/>
  <c r="F8" i="26"/>
  <c r="I8" i="26" s="1"/>
  <c r="F62" i="26"/>
  <c r="I62" i="26" s="1"/>
  <c r="F42" i="26"/>
  <c r="I42" i="26" s="1"/>
  <c r="F33" i="26"/>
  <c r="I33" i="26" s="1"/>
  <c r="F45" i="26"/>
  <c r="I45" i="26" s="1"/>
  <c r="F57" i="26"/>
  <c r="I57" i="26" s="1"/>
  <c r="F17" i="26"/>
  <c r="I17" i="26" s="1"/>
  <c r="F43" i="26"/>
  <c r="I43" i="26" s="1"/>
  <c r="F19" i="26"/>
  <c r="I19" i="26" s="1"/>
  <c r="F22" i="26"/>
  <c r="I22" i="26" s="1"/>
  <c r="F50" i="26"/>
  <c r="I50" i="26" s="1"/>
  <c r="F9" i="26"/>
  <c r="I9" i="26" s="1"/>
  <c r="F41" i="26"/>
  <c r="I41" i="26" s="1"/>
  <c r="F65" i="26"/>
  <c r="I65" i="26" s="1"/>
  <c r="F36" i="26"/>
  <c r="I36" i="26" s="1"/>
  <c r="F51" i="26"/>
  <c r="I51" i="26" s="1"/>
  <c r="F7" i="26"/>
  <c r="I7" i="26" s="1"/>
  <c r="F12" i="26"/>
  <c r="I12" i="26" s="1"/>
  <c r="D28" i="29"/>
  <c r="K30" i="29" s="1"/>
  <c r="M30" i="29" s="1"/>
  <c r="F55" i="26"/>
  <c r="I55" i="26" s="1"/>
  <c r="F3" i="26"/>
  <c r="F54" i="26"/>
  <c r="I54" i="26" s="1"/>
  <c r="F60" i="26"/>
  <c r="I60" i="26" s="1"/>
  <c r="F30" i="26"/>
  <c r="I30" i="26" s="1"/>
  <c r="F35" i="26"/>
  <c r="I35" i="26" s="1"/>
  <c r="F32" i="26"/>
  <c r="I32" i="26" s="1"/>
  <c r="F44" i="26"/>
  <c r="I44" i="26" s="1"/>
  <c r="F5" i="26"/>
  <c r="I5" i="26" s="1"/>
  <c r="F20" i="26"/>
  <c r="I20" i="26" s="1"/>
  <c r="F56" i="26"/>
  <c r="I56" i="26" s="1"/>
  <c r="F46" i="26"/>
  <c r="I46" i="26" s="1"/>
  <c r="F37" i="26"/>
  <c r="I37" i="26" s="1"/>
  <c r="F52" i="26"/>
  <c r="I52" i="26" s="1"/>
  <c r="F64" i="26"/>
  <c r="I64" i="26" s="1"/>
  <c r="F59" i="26"/>
  <c r="I59" i="26" s="1"/>
  <c r="F16" i="26"/>
  <c r="I16" i="26" s="1"/>
  <c r="F63" i="26"/>
  <c r="I63" i="26" s="1"/>
  <c r="F15" i="26"/>
  <c r="I15" i="26" s="1"/>
  <c r="F14" i="26"/>
  <c r="I14" i="26" s="1"/>
  <c r="F29" i="26"/>
  <c r="I29" i="26" s="1"/>
  <c r="F47" i="26"/>
  <c r="I47" i="26" s="1"/>
  <c r="F58" i="26"/>
  <c r="I58" i="26" s="1"/>
  <c r="F10" i="26"/>
  <c r="I10" i="26" s="1"/>
  <c r="F25" i="26"/>
  <c r="I25" i="26" s="1"/>
  <c r="F53" i="26"/>
  <c r="I53" i="26" s="1"/>
  <c r="F13" i="26"/>
  <c r="I13" i="26" s="1"/>
  <c r="F26" i="26"/>
  <c r="I26" i="26" s="1"/>
  <c r="F27" i="26"/>
  <c r="I27" i="26" s="1"/>
  <c r="N58" i="9" s="1"/>
  <c r="F23" i="26"/>
  <c r="I23" i="26" s="1"/>
  <c r="F38" i="26"/>
  <c r="I38" i="26" s="1"/>
  <c r="F39" i="26"/>
  <c r="I39" i="26" s="1"/>
  <c r="F31" i="26"/>
  <c r="I31" i="26" s="1"/>
  <c r="F61" i="26"/>
  <c r="I61" i="26" s="1"/>
  <c r="F4" i="26"/>
  <c r="I4" i="26" s="1"/>
  <c r="F48" i="26"/>
  <c r="I48" i="26" s="1"/>
  <c r="D16" i="29"/>
  <c r="K21" i="29" s="1"/>
  <c r="M21" i="29" s="1"/>
  <c r="F49" i="26"/>
  <c r="I49" i="26" s="1"/>
  <c r="F6" i="26"/>
  <c r="I6" i="26" s="1"/>
  <c r="F24" i="26"/>
  <c r="I24" i="26" s="1"/>
  <c r="D4" i="29"/>
  <c r="F11" i="26"/>
  <c r="I11" i="26" s="1"/>
  <c r="F28" i="26"/>
  <c r="I28" i="26" s="1"/>
  <c r="F40" i="26"/>
  <c r="I40" i="26" s="1"/>
  <c r="F18" i="26"/>
  <c r="I18" i="26" s="1"/>
  <c r="I58" i="9"/>
  <c r="O58" i="9"/>
  <c r="K58" i="9"/>
  <c r="P60" i="9"/>
  <c r="H60" i="9"/>
  <c r="G60" i="9"/>
  <c r="M60" i="9"/>
  <c r="L60" i="9"/>
  <c r="J60" i="9"/>
  <c r="H6" i="6"/>
  <c r="O14" i="4"/>
  <c r="O15" i="4"/>
  <c r="AA4" i="4"/>
  <c r="AF20" i="20"/>
  <c r="D20" i="20"/>
  <c r="K15" i="29" l="1"/>
  <c r="M15" i="29" s="1"/>
  <c r="D2" i="29"/>
  <c r="K29" i="29"/>
  <c r="M29" i="29" s="1"/>
  <c r="I3" i="26"/>
  <c r="I1" i="26" s="1"/>
  <c r="F1" i="26"/>
  <c r="L58" i="9"/>
  <c r="K28" i="29"/>
  <c r="M28" i="29" s="1"/>
  <c r="H58" i="9"/>
  <c r="K9" i="29"/>
  <c r="K34" i="29"/>
  <c r="M34" i="29" s="1"/>
  <c r="K35" i="29"/>
  <c r="M35" i="29" s="1"/>
  <c r="K36" i="29"/>
  <c r="M36" i="29" s="1"/>
  <c r="K7" i="29"/>
  <c r="M7" i="29" s="1"/>
  <c r="I60" i="9"/>
  <c r="K33" i="29"/>
  <c r="M33" i="29" s="1"/>
  <c r="K39" i="29"/>
  <c r="M39" i="29" s="1"/>
  <c r="K38" i="29"/>
  <c r="M38" i="29" s="1"/>
  <c r="K37" i="29"/>
  <c r="M37" i="29" s="1"/>
  <c r="K31" i="29"/>
  <c r="M31" i="29" s="1"/>
  <c r="K32" i="29"/>
  <c r="M32" i="29" s="1"/>
  <c r="K17" i="29"/>
  <c r="M17" i="29" s="1"/>
  <c r="K60" i="9"/>
  <c r="P58" i="9"/>
  <c r="K24" i="29"/>
  <c r="M24" i="29" s="1"/>
  <c r="J58" i="9"/>
  <c r="K25" i="29"/>
  <c r="M25" i="29" s="1"/>
  <c r="N60" i="9"/>
  <c r="K20" i="29"/>
  <c r="M20" i="29" s="1"/>
  <c r="K10" i="29"/>
  <c r="M10" i="29" s="1"/>
  <c r="K19" i="29"/>
  <c r="M19" i="29" s="1"/>
  <c r="K8" i="29"/>
  <c r="M8" i="29" s="1"/>
  <c r="M58" i="9"/>
  <c r="K27" i="29"/>
  <c r="M27" i="29" s="1"/>
  <c r="O60" i="9"/>
  <c r="K26" i="29"/>
  <c r="M26" i="29" s="1"/>
  <c r="K4" i="29"/>
  <c r="G58" i="9"/>
  <c r="K23" i="29"/>
  <c r="M23" i="29" s="1"/>
  <c r="K14" i="29"/>
  <c r="M14" i="29" s="1"/>
  <c r="K5" i="29"/>
  <c r="M5" i="29" s="1"/>
  <c r="K18" i="29"/>
  <c r="M18" i="29" s="1"/>
  <c r="K13" i="29"/>
  <c r="M13" i="29" s="1"/>
  <c r="K6" i="29"/>
  <c r="M6" i="29" s="1"/>
  <c r="K22" i="29"/>
  <c r="M22" i="29" s="1"/>
  <c r="K16" i="29"/>
  <c r="M16" i="29" s="1"/>
  <c r="K12" i="29"/>
  <c r="K11" i="29"/>
  <c r="F60" i="9"/>
  <c r="M9" i="29"/>
  <c r="F57" i="9"/>
  <c r="E57" i="9" s="1"/>
  <c r="U15" i="29" l="1"/>
  <c r="M4" i="29"/>
  <c r="K1" i="29"/>
  <c r="F58" i="9"/>
  <c r="E58" i="9" s="1"/>
  <c r="U11" i="29"/>
  <c r="E28" i="29"/>
  <c r="H20" i="26" s="1"/>
  <c r="M12" i="29"/>
  <c r="E60" i="9"/>
  <c r="U7" i="29"/>
  <c r="U5" i="29"/>
  <c r="U6" i="29"/>
  <c r="U8" i="29"/>
  <c r="U14" i="29"/>
  <c r="C16" i="29"/>
  <c r="U4" i="29"/>
  <c r="U13" i="29"/>
  <c r="M11" i="29"/>
  <c r="E16" i="29"/>
  <c r="H11" i="26"/>
  <c r="H8" i="26"/>
  <c r="C4" i="29"/>
  <c r="O1" i="32"/>
  <c r="H29" i="26" l="1"/>
  <c r="H26" i="26"/>
  <c r="H32" i="26"/>
  <c r="H35" i="26"/>
  <c r="H17" i="26"/>
  <c r="H23" i="26"/>
  <c r="H5" i="26"/>
  <c r="H14" i="26"/>
  <c r="E4" i="29"/>
  <c r="H6" i="26" s="1"/>
  <c r="M1" i="29"/>
  <c r="G5" i="39"/>
  <c r="O5" i="39" s="1"/>
  <c r="U5" i="39" s="1"/>
  <c r="V11" i="29"/>
  <c r="C28" i="29"/>
  <c r="E65" i="26" s="1"/>
  <c r="V4" i="29"/>
  <c r="V5" i="29"/>
  <c r="W14" i="29"/>
  <c r="V13" i="29"/>
  <c r="W12" i="29"/>
  <c r="W8" i="29"/>
  <c r="W11" i="29"/>
  <c r="V6" i="29"/>
  <c r="W4" i="29"/>
  <c r="W6" i="29"/>
  <c r="W5" i="29"/>
  <c r="V8" i="29"/>
  <c r="W7" i="29"/>
  <c r="W10" i="29"/>
  <c r="V14" i="29"/>
  <c r="W15" i="29"/>
  <c r="V7" i="29"/>
  <c r="V15" i="29"/>
  <c r="W13" i="29"/>
  <c r="W9" i="29"/>
  <c r="T5" i="39"/>
  <c r="H3" i="26"/>
  <c r="H21" i="26"/>
  <c r="H27" i="26"/>
  <c r="H18" i="26"/>
  <c r="H12" i="26"/>
  <c r="H30" i="26"/>
  <c r="H10" i="26"/>
  <c r="H13" i="26"/>
  <c r="H31" i="26"/>
  <c r="H22" i="26"/>
  <c r="H25" i="26"/>
  <c r="H16" i="26"/>
  <c r="H34" i="26"/>
  <c r="H28" i="26"/>
  <c r="H19" i="26"/>
  <c r="H7" i="26"/>
  <c r="H4" i="26"/>
  <c r="O5" i="32"/>
  <c r="O19" i="32"/>
  <c r="O18" i="32"/>
  <c r="O11" i="32"/>
  <c r="E27" i="26" s="1"/>
  <c r="O10" i="32"/>
  <c r="E25" i="26" s="1"/>
  <c r="O22" i="32"/>
  <c r="O17" i="32"/>
  <c r="O9" i="32"/>
  <c r="E23" i="26" s="1"/>
  <c r="O16" i="32"/>
  <c r="O8" i="32"/>
  <c r="E20" i="26" s="1"/>
  <c r="O23" i="32"/>
  <c r="O15" i="32"/>
  <c r="O7" i="32"/>
  <c r="E16" i="26" s="1"/>
  <c r="O14" i="32"/>
  <c r="O4" i="32"/>
  <c r="O6" i="32"/>
  <c r="E13" i="26" s="1"/>
  <c r="O21" i="32"/>
  <c r="O13" i="32"/>
  <c r="E35" i="26" s="1"/>
  <c r="O3" i="32"/>
  <c r="O20" i="32"/>
  <c r="O12" i="32"/>
  <c r="E30" i="26" s="1"/>
  <c r="E36" i="26"/>
  <c r="E54" i="26"/>
  <c r="E57" i="26"/>
  <c r="E45" i="26"/>
  <c r="E42" i="26"/>
  <c r="E48" i="26"/>
  <c r="E63" i="26"/>
  <c r="E39" i="26"/>
  <c r="E60" i="26"/>
  <c r="E51" i="26"/>
  <c r="G1" i="37"/>
  <c r="E64" i="26"/>
  <c r="E55" i="26"/>
  <c r="E61" i="26"/>
  <c r="E52" i="26"/>
  <c r="E40" i="26"/>
  <c r="E58" i="26"/>
  <c r="E37" i="26"/>
  <c r="E43" i="26"/>
  <c r="E46" i="26"/>
  <c r="E49" i="26"/>
  <c r="E44" i="26" l="1"/>
  <c r="H33" i="26"/>
  <c r="H15" i="26"/>
  <c r="H9" i="26"/>
  <c r="H24" i="26"/>
  <c r="S5" i="39"/>
  <c r="Q5" i="39"/>
  <c r="V5" i="39" s="1"/>
  <c r="E62" i="26"/>
  <c r="J62" i="26" s="1"/>
  <c r="K62" i="26" s="1"/>
  <c r="E38" i="26"/>
  <c r="J38" i="26" s="1"/>
  <c r="K38" i="26" s="1"/>
  <c r="E50" i="26"/>
  <c r="E56" i="26"/>
  <c r="J56" i="26" s="1"/>
  <c r="K56" i="26" s="1"/>
  <c r="E47" i="26"/>
  <c r="J47" i="26" s="1"/>
  <c r="K47" i="26" s="1"/>
  <c r="E53" i="26"/>
  <c r="J53" i="26" s="1"/>
  <c r="K53" i="26" s="1"/>
  <c r="E41" i="26"/>
  <c r="J41" i="26" s="1"/>
  <c r="K41" i="26" s="1"/>
  <c r="E59" i="26"/>
  <c r="J59" i="26" s="1"/>
  <c r="K59" i="26" s="1"/>
  <c r="E18" i="26"/>
  <c r="J18" i="26" s="1"/>
  <c r="E19" i="26"/>
  <c r="J19" i="26" s="1"/>
  <c r="K19" i="26" s="1"/>
  <c r="E28" i="26"/>
  <c r="J28" i="26" s="1"/>
  <c r="K28" i="26" s="1"/>
  <c r="E31" i="26"/>
  <c r="J31" i="26" s="1"/>
  <c r="K31" i="26" s="1"/>
  <c r="E12" i="26"/>
  <c r="J12" i="26" s="1"/>
  <c r="I38" i="9" s="1"/>
  <c r="E29" i="26"/>
  <c r="J29" i="26" s="1"/>
  <c r="K29" i="26" s="1"/>
  <c r="E33" i="26"/>
  <c r="J33" i="26" s="1"/>
  <c r="E34" i="26"/>
  <c r="J34" i="26" s="1"/>
  <c r="K34" i="26" s="1"/>
  <c r="E14" i="26"/>
  <c r="J14" i="26" s="1"/>
  <c r="K14" i="26" s="1"/>
  <c r="E21" i="26"/>
  <c r="J21" i="26" s="1"/>
  <c r="E24" i="26"/>
  <c r="E22" i="26"/>
  <c r="J22" i="26" s="1"/>
  <c r="K22" i="26" s="1"/>
  <c r="E15" i="26"/>
  <c r="J15" i="26" s="1"/>
  <c r="E17" i="26"/>
  <c r="J17" i="26" s="1"/>
  <c r="K17" i="26" s="1"/>
  <c r="E26" i="26"/>
  <c r="J26" i="26" s="1"/>
  <c r="K26" i="26" s="1"/>
  <c r="E32" i="26"/>
  <c r="J32" i="26" s="1"/>
  <c r="K32" i="26" s="1"/>
  <c r="J63" i="26"/>
  <c r="K63" i="26" s="1"/>
  <c r="J61" i="26"/>
  <c r="K61" i="26" s="1"/>
  <c r="J48" i="26"/>
  <c r="K48" i="26" s="1"/>
  <c r="J49" i="26"/>
  <c r="K49" i="26" s="1"/>
  <c r="J13" i="26"/>
  <c r="K13" i="26" s="1"/>
  <c r="J64" i="26"/>
  <c r="K64" i="26" s="1"/>
  <c r="J27" i="26"/>
  <c r="N38" i="9" s="1"/>
  <c r="J30" i="26"/>
  <c r="J35" i="26"/>
  <c r="K35" i="26" s="1"/>
  <c r="J44" i="26"/>
  <c r="K44" i="26" s="1"/>
  <c r="J54" i="26"/>
  <c r="K54" i="26" s="1"/>
  <c r="J42" i="26"/>
  <c r="K42" i="26" s="1"/>
  <c r="J51" i="26"/>
  <c r="K51" i="26" s="1"/>
  <c r="J65" i="26"/>
  <c r="K65" i="26" s="1"/>
  <c r="J55" i="26"/>
  <c r="K55" i="26" s="1"/>
  <c r="J46" i="26"/>
  <c r="K46" i="26" s="1"/>
  <c r="J40" i="26"/>
  <c r="K40" i="26" s="1"/>
  <c r="J45" i="26"/>
  <c r="K45" i="26" s="1"/>
  <c r="J36" i="26"/>
  <c r="K36" i="26" s="1"/>
  <c r="J16" i="26"/>
  <c r="K16" i="26" s="1"/>
  <c r="J23" i="26"/>
  <c r="K23" i="26" s="1"/>
  <c r="J43" i="26"/>
  <c r="K43" i="26" s="1"/>
  <c r="J60" i="26"/>
  <c r="K60" i="26" s="1"/>
  <c r="J20" i="26"/>
  <c r="K20" i="26" s="1"/>
  <c r="J37" i="26"/>
  <c r="K37" i="26" s="1"/>
  <c r="J58" i="26"/>
  <c r="K58" i="26" s="1"/>
  <c r="J25" i="26"/>
  <c r="K25" i="26" s="1"/>
  <c r="J52" i="26"/>
  <c r="K52" i="26" s="1"/>
  <c r="J39" i="26"/>
  <c r="K39" i="26" s="1"/>
  <c r="J57" i="26"/>
  <c r="K57" i="26" s="1"/>
  <c r="J50" i="26"/>
  <c r="K50" i="26" s="1"/>
  <c r="E3" i="26"/>
  <c r="E5" i="26"/>
  <c r="E4" i="26"/>
  <c r="E11" i="26"/>
  <c r="E10" i="26"/>
  <c r="E9" i="26"/>
  <c r="J9" i="26" s="1"/>
  <c r="E8" i="26"/>
  <c r="E7" i="26"/>
  <c r="E6" i="26"/>
  <c r="J6" i="26" s="1"/>
  <c r="J3" i="26" l="1"/>
  <c r="E1" i="26"/>
  <c r="J24" i="26"/>
  <c r="L14" i="27"/>
  <c r="H14" i="27" s="1"/>
  <c r="I14" i="27" s="1"/>
  <c r="P7" i="9" s="1"/>
  <c r="L10" i="27"/>
  <c r="H10" i="27" s="1"/>
  <c r="I10" i="27" s="1"/>
  <c r="M7" i="9" s="1"/>
  <c r="L7" i="27"/>
  <c r="H7" i="27" s="1"/>
  <c r="I7" i="27" s="1"/>
  <c r="J7" i="9" s="1"/>
  <c r="L9" i="27"/>
  <c r="H9" i="27" s="1"/>
  <c r="I9" i="27" s="1"/>
  <c r="L6" i="10" s="1"/>
  <c r="P38" i="9"/>
  <c r="J38" i="9"/>
  <c r="O38" i="9"/>
  <c r="M38" i="9"/>
  <c r="L38" i="9"/>
  <c r="K38" i="9"/>
  <c r="K33" i="26"/>
  <c r="P40" i="9"/>
  <c r="K30" i="26"/>
  <c r="O40" i="9"/>
  <c r="K27" i="26"/>
  <c r="N40" i="9"/>
  <c r="K24" i="26"/>
  <c r="M40" i="9"/>
  <c r="K21" i="26"/>
  <c r="L40" i="9"/>
  <c r="K18" i="26"/>
  <c r="K40" i="9"/>
  <c r="K15" i="26"/>
  <c r="J40" i="9"/>
  <c r="K12" i="26"/>
  <c r="I40" i="9"/>
  <c r="E17" i="9"/>
  <c r="I5" i="9"/>
  <c r="AJ11" i="20"/>
  <c r="H11" i="20"/>
  <c r="J5" i="26"/>
  <c r="K5" i="26" s="1"/>
  <c r="J7" i="26"/>
  <c r="K7" i="26" s="1"/>
  <c r="J4" i="26"/>
  <c r="K4" i="26" s="1"/>
  <c r="J8" i="26"/>
  <c r="K8" i="26" s="1"/>
  <c r="J11" i="26"/>
  <c r="K11" i="26" s="1"/>
  <c r="J10" i="26"/>
  <c r="K10" i="26" s="1"/>
  <c r="H37" i="9"/>
  <c r="K9" i="26"/>
  <c r="K6" i="26"/>
  <c r="L73" i="10" l="1"/>
  <c r="L72" i="10"/>
  <c r="L74" i="10"/>
  <c r="L75" i="10"/>
  <c r="J96" i="9"/>
  <c r="J97" i="9"/>
  <c r="J95" i="9"/>
  <c r="J98" i="9"/>
  <c r="M5" i="9"/>
  <c r="M97" i="9"/>
  <c r="M98" i="9"/>
  <c r="M96" i="9"/>
  <c r="M95" i="9"/>
  <c r="P5" i="9"/>
  <c r="P95" i="9"/>
  <c r="P96" i="9"/>
  <c r="P98" i="9"/>
  <c r="P97" i="9"/>
  <c r="J1" i="26"/>
  <c r="K8" i="20"/>
  <c r="AM8" i="20"/>
  <c r="L4" i="10"/>
  <c r="L5" i="27"/>
  <c r="H5" i="27" s="1"/>
  <c r="I5" i="27" s="1"/>
  <c r="H6" i="10" s="1"/>
  <c r="E7" i="9"/>
  <c r="E7" i="11" s="1"/>
  <c r="L4" i="27"/>
  <c r="H4" i="27" s="1"/>
  <c r="I4" i="27" s="1"/>
  <c r="G6" i="10" s="1"/>
  <c r="J5" i="9"/>
  <c r="L3" i="27"/>
  <c r="H38" i="9"/>
  <c r="G38" i="9"/>
  <c r="F38" i="9"/>
  <c r="G40" i="9"/>
  <c r="P107" i="9"/>
  <c r="P106" i="9"/>
  <c r="P108" i="9"/>
  <c r="P36" i="9"/>
  <c r="P127" i="9"/>
  <c r="P128" i="9"/>
  <c r="P109" i="9"/>
  <c r="P126" i="9"/>
  <c r="P129" i="9"/>
  <c r="O127" i="9"/>
  <c r="O109" i="9"/>
  <c r="O106" i="9"/>
  <c r="O108" i="9"/>
  <c r="O126" i="9"/>
  <c r="O36" i="9"/>
  <c r="O4" i="9" s="1"/>
  <c r="O128" i="9"/>
  <c r="O129" i="9"/>
  <c r="O107" i="9"/>
  <c r="N106" i="9"/>
  <c r="N36" i="9"/>
  <c r="N4" i="9" s="1"/>
  <c r="N127" i="9"/>
  <c r="N129" i="9"/>
  <c r="N107" i="9"/>
  <c r="N109" i="9"/>
  <c r="N126" i="9"/>
  <c r="N108" i="9"/>
  <c r="N128" i="9"/>
  <c r="M106" i="9"/>
  <c r="M108" i="9"/>
  <c r="M107" i="9"/>
  <c r="M109" i="9"/>
  <c r="M127" i="9"/>
  <c r="M128" i="9"/>
  <c r="M36" i="9"/>
  <c r="M4" i="9" s="1"/>
  <c r="M129" i="9"/>
  <c r="M126" i="9"/>
  <c r="L126" i="9"/>
  <c r="L109" i="9"/>
  <c r="L129" i="9"/>
  <c r="L128" i="9"/>
  <c r="L36" i="9"/>
  <c r="L4" i="9" s="1"/>
  <c r="L106" i="9"/>
  <c r="L107" i="9"/>
  <c r="L108" i="9"/>
  <c r="L127" i="9"/>
  <c r="K107" i="9"/>
  <c r="K126" i="9"/>
  <c r="K108" i="9"/>
  <c r="K109" i="9"/>
  <c r="K127" i="9"/>
  <c r="K128" i="9"/>
  <c r="K36" i="9"/>
  <c r="K4" i="9" s="1"/>
  <c r="K129" i="9"/>
  <c r="K106" i="9"/>
  <c r="J126" i="9"/>
  <c r="J108" i="9"/>
  <c r="J109" i="9"/>
  <c r="J129" i="9"/>
  <c r="J107" i="9"/>
  <c r="J127" i="9"/>
  <c r="J36" i="9"/>
  <c r="J106" i="9"/>
  <c r="J128" i="9"/>
  <c r="I36" i="9"/>
  <c r="I4" i="9" s="1"/>
  <c r="I107" i="9"/>
  <c r="I128" i="9"/>
  <c r="I127" i="9"/>
  <c r="I129" i="9"/>
  <c r="I109" i="9"/>
  <c r="I126" i="9"/>
  <c r="I108" i="9"/>
  <c r="I106" i="9"/>
  <c r="H40" i="9"/>
  <c r="F40" i="9"/>
  <c r="G8" i="39"/>
  <c r="K3" i="26"/>
  <c r="K1" i="26" s="1"/>
  <c r="F37" i="9"/>
  <c r="G125" i="9"/>
  <c r="G101" i="9"/>
  <c r="G104" i="9"/>
  <c r="G121" i="9"/>
  <c r="G105" i="9"/>
  <c r="G103" i="9"/>
  <c r="G123" i="9"/>
  <c r="G122" i="9"/>
  <c r="G124" i="9"/>
  <c r="G102" i="9"/>
  <c r="H123" i="9"/>
  <c r="H102" i="9"/>
  <c r="H104" i="9"/>
  <c r="H121" i="9"/>
  <c r="H105" i="9"/>
  <c r="H103" i="9"/>
  <c r="H101" i="9"/>
  <c r="H125" i="9"/>
  <c r="H122" i="9"/>
  <c r="H124" i="9"/>
  <c r="H75" i="10" l="1"/>
  <c r="H72" i="10"/>
  <c r="H74" i="10"/>
  <c r="H73" i="10"/>
  <c r="P4" i="9"/>
  <c r="G73" i="10"/>
  <c r="G72" i="10"/>
  <c r="F8" i="20" s="1"/>
  <c r="G75" i="10"/>
  <c r="G74" i="10"/>
  <c r="G36" i="9"/>
  <c r="G4" i="9" s="1"/>
  <c r="J4" i="9"/>
  <c r="E5" i="9"/>
  <c r="H127" i="9"/>
  <c r="E38" i="9"/>
  <c r="E9" i="11" s="1"/>
  <c r="E38" i="11" s="1"/>
  <c r="E95" i="9"/>
  <c r="AN7" i="20"/>
  <c r="O7" i="20"/>
  <c r="AQ7" i="20"/>
  <c r="E85" i="9"/>
  <c r="J78" i="9"/>
  <c r="I11" i="20"/>
  <c r="AK11" i="20"/>
  <c r="AI8" i="20"/>
  <c r="G8" i="20"/>
  <c r="H4" i="10"/>
  <c r="G129" i="9"/>
  <c r="L7" i="20"/>
  <c r="M78" i="9"/>
  <c r="L11" i="20"/>
  <c r="AN11" i="20"/>
  <c r="E97" i="9"/>
  <c r="E87" i="9"/>
  <c r="L55" i="10"/>
  <c r="K12" i="20"/>
  <c r="AM12" i="20"/>
  <c r="E88" i="9"/>
  <c r="E96" i="9"/>
  <c r="P78" i="9"/>
  <c r="AQ11" i="20"/>
  <c r="O11" i="20"/>
  <c r="AK7" i="20"/>
  <c r="G4" i="10"/>
  <c r="H3" i="27"/>
  <c r="I3" i="27" s="1"/>
  <c r="L1" i="27"/>
  <c r="I7" i="20"/>
  <c r="E86" i="9"/>
  <c r="E98" i="9"/>
  <c r="G128" i="9"/>
  <c r="G106" i="9"/>
  <c r="G126" i="9"/>
  <c r="G127" i="9"/>
  <c r="G109" i="9"/>
  <c r="G108" i="9"/>
  <c r="G107" i="9"/>
  <c r="AQ6" i="20"/>
  <c r="O6" i="20"/>
  <c r="P99" i="9"/>
  <c r="AQ10" i="20"/>
  <c r="O10" i="20"/>
  <c r="AP6" i="20"/>
  <c r="AP5" i="20" s="1"/>
  <c r="N6" i="20"/>
  <c r="N5" i="20" s="1"/>
  <c r="O99" i="9"/>
  <c r="O77" i="9" s="1"/>
  <c r="N10" i="20"/>
  <c r="N9" i="20" s="1"/>
  <c r="AP10" i="20"/>
  <c r="AP9" i="20" s="1"/>
  <c r="M6" i="20"/>
  <c r="M5" i="20" s="1"/>
  <c r="E40" i="9"/>
  <c r="G9" i="11" s="1"/>
  <c r="G38" i="11" s="1"/>
  <c r="AO6" i="20"/>
  <c r="AO5" i="20" s="1"/>
  <c r="N99" i="9"/>
  <c r="N77" i="9" s="1"/>
  <c r="M10" i="20"/>
  <c r="M9" i="20" s="1"/>
  <c r="AO10" i="20"/>
  <c r="AO9" i="20" s="1"/>
  <c r="L6" i="20"/>
  <c r="M99" i="9"/>
  <c r="AN10" i="20"/>
  <c r="L10" i="20"/>
  <c r="AN6" i="20"/>
  <c r="AM6" i="20"/>
  <c r="AM5" i="20" s="1"/>
  <c r="K6" i="20"/>
  <c r="K5" i="20" s="1"/>
  <c r="L99" i="9"/>
  <c r="L77" i="9" s="1"/>
  <c r="AM10" i="20"/>
  <c r="K10" i="20"/>
  <c r="AL6" i="20"/>
  <c r="AL5" i="20" s="1"/>
  <c r="J6" i="20"/>
  <c r="J5" i="20" s="1"/>
  <c r="I6" i="20"/>
  <c r="K99" i="9"/>
  <c r="K77" i="9" s="1"/>
  <c r="AL10" i="20"/>
  <c r="AL9" i="20" s="1"/>
  <c r="J10" i="20"/>
  <c r="J9" i="20" s="1"/>
  <c r="H36" i="9"/>
  <c r="H4" i="9" s="1"/>
  <c r="H126" i="9"/>
  <c r="H6" i="20"/>
  <c r="H5" i="20" s="1"/>
  <c r="AK6" i="20"/>
  <c r="J99" i="9"/>
  <c r="I10" i="20"/>
  <c r="AK10" i="20"/>
  <c r="H129" i="9"/>
  <c r="H128" i="9"/>
  <c r="H108" i="9"/>
  <c r="H106" i="9"/>
  <c r="H109" i="9"/>
  <c r="H107" i="9"/>
  <c r="AJ6" i="20"/>
  <c r="AJ5" i="20" s="1"/>
  <c r="I99" i="9"/>
  <c r="I77" i="9" s="1"/>
  <c r="H10" i="20"/>
  <c r="H9" i="20" s="1"/>
  <c r="AJ10" i="20"/>
  <c r="AJ9" i="20" s="1"/>
  <c r="S8" i="39"/>
  <c r="O8" i="39"/>
  <c r="U8" i="39" s="1"/>
  <c r="Q8" i="39"/>
  <c r="V8" i="39" s="1"/>
  <c r="T8" i="39"/>
  <c r="E36" i="11"/>
  <c r="C36" i="11" s="1"/>
  <c r="C7" i="11"/>
  <c r="G5" i="6"/>
  <c r="F127" i="9"/>
  <c r="F126" i="9"/>
  <c r="F108" i="9"/>
  <c r="F109" i="9"/>
  <c r="F102" i="9"/>
  <c r="E102" i="9" s="1"/>
  <c r="F107" i="9"/>
  <c r="F104" i="9"/>
  <c r="E104" i="9" s="1"/>
  <c r="F122" i="9"/>
  <c r="E122" i="9" s="1"/>
  <c r="F101" i="9"/>
  <c r="F124" i="9"/>
  <c r="E124" i="9" s="1"/>
  <c r="F123" i="9"/>
  <c r="E123" i="9" s="1"/>
  <c r="F105" i="9"/>
  <c r="E105" i="9" s="1"/>
  <c r="F129" i="9"/>
  <c r="F128" i="9"/>
  <c r="F103" i="9"/>
  <c r="E103" i="9" s="1"/>
  <c r="F121" i="9"/>
  <c r="E121" i="9" s="1"/>
  <c r="F125" i="9"/>
  <c r="E125" i="9" s="1"/>
  <c r="F36" i="9"/>
  <c r="F4" i="9" s="1"/>
  <c r="F106" i="9"/>
  <c r="E37" i="9"/>
  <c r="AH8" i="20" l="1"/>
  <c r="O5" i="20"/>
  <c r="I9" i="20"/>
  <c r="M77" i="9"/>
  <c r="I5" i="20"/>
  <c r="AN5" i="20"/>
  <c r="J77" i="9"/>
  <c r="AF7" i="20"/>
  <c r="AQ9" i="20"/>
  <c r="L8" i="11"/>
  <c r="L37" i="11" s="1"/>
  <c r="AQ5" i="20"/>
  <c r="L9" i="20"/>
  <c r="AN9" i="20"/>
  <c r="P77" i="9"/>
  <c r="K8" i="11"/>
  <c r="G11" i="6" s="1"/>
  <c r="H11" i="6" s="1"/>
  <c r="AK9" i="20"/>
  <c r="D7" i="20"/>
  <c r="H55" i="10"/>
  <c r="AI12" i="20"/>
  <c r="G12" i="20"/>
  <c r="O9" i="20"/>
  <c r="M8" i="11"/>
  <c r="AK5" i="20"/>
  <c r="F6" i="10"/>
  <c r="I1" i="27"/>
  <c r="I85" i="37" s="1"/>
  <c r="I84" i="37" s="1"/>
  <c r="AF11" i="20"/>
  <c r="D11" i="20"/>
  <c r="K9" i="20"/>
  <c r="AM9" i="20"/>
  <c r="L5" i="20"/>
  <c r="AH12" i="20"/>
  <c r="F12" i="20"/>
  <c r="G55" i="10"/>
  <c r="J8" i="11"/>
  <c r="E78" i="9"/>
  <c r="AH6" i="20"/>
  <c r="AH5" i="20" s="1"/>
  <c r="F6" i="20"/>
  <c r="F5" i="20" s="1"/>
  <c r="E127" i="9"/>
  <c r="G99" i="9"/>
  <c r="G77" i="9" s="1"/>
  <c r="F10" i="20"/>
  <c r="AH10" i="20"/>
  <c r="E109" i="9"/>
  <c r="E106" i="9"/>
  <c r="G6" i="20"/>
  <c r="G5" i="20" s="1"/>
  <c r="E126" i="9"/>
  <c r="H99" i="9"/>
  <c r="H77" i="9" s="1"/>
  <c r="AI6" i="20"/>
  <c r="AI5" i="20" s="1"/>
  <c r="E108" i="9"/>
  <c r="G10" i="20"/>
  <c r="E128" i="9"/>
  <c r="E129" i="9"/>
  <c r="AI10" i="20"/>
  <c r="E107" i="9"/>
  <c r="H5" i="6"/>
  <c r="G10" i="11"/>
  <c r="G39" i="11" s="1"/>
  <c r="H10" i="11"/>
  <c r="J8" i="6" s="1"/>
  <c r="K8" i="6" s="1"/>
  <c r="E101" i="9"/>
  <c r="E10" i="20"/>
  <c r="AG10" i="20"/>
  <c r="F99" i="9"/>
  <c r="F77" i="9" s="1"/>
  <c r="E6" i="20"/>
  <c r="AG6" i="20"/>
  <c r="F10" i="11"/>
  <c r="D9" i="11"/>
  <c r="G4" i="39"/>
  <c r="E36" i="9"/>
  <c r="I10" i="11"/>
  <c r="F72" i="10" l="1"/>
  <c r="E72" i="10" s="1"/>
  <c r="F73" i="10"/>
  <c r="E73" i="10" s="1"/>
  <c r="F74" i="10"/>
  <c r="E74" i="10" s="1"/>
  <c r="F75" i="10"/>
  <c r="E75" i="10" s="1"/>
  <c r="G12" i="6"/>
  <c r="H12" i="6" s="1"/>
  <c r="AH9" i="20"/>
  <c r="F9" i="20"/>
  <c r="K10" i="11"/>
  <c r="J11" i="6" s="1"/>
  <c r="AI9" i="20"/>
  <c r="G9" i="20"/>
  <c r="K37" i="11"/>
  <c r="G19" i="39"/>
  <c r="I2" i="37"/>
  <c r="D73" i="37"/>
  <c r="E6" i="10"/>
  <c r="E64" i="10"/>
  <c r="L13" i="11" s="1"/>
  <c r="E65" i="10"/>
  <c r="E63" i="10"/>
  <c r="K13" i="11" s="1"/>
  <c r="F4" i="10"/>
  <c r="M37" i="11"/>
  <c r="G13" i="6"/>
  <c r="H13" i="6" s="1"/>
  <c r="J37" i="11"/>
  <c r="G10" i="6"/>
  <c r="C8" i="11"/>
  <c r="J10" i="11"/>
  <c r="J39" i="11" s="1"/>
  <c r="M10" i="11"/>
  <c r="M39" i="11" s="1"/>
  <c r="L10" i="11"/>
  <c r="J12" i="6" s="1"/>
  <c r="K12" i="6" s="1"/>
  <c r="G10" i="39"/>
  <c r="O10" i="39" s="1"/>
  <c r="U10" i="39" s="1"/>
  <c r="J7" i="6"/>
  <c r="K7" i="6" s="1"/>
  <c r="H39" i="11"/>
  <c r="AF6" i="20"/>
  <c r="D6" i="20"/>
  <c r="D38" i="11"/>
  <c r="C38" i="11" s="1"/>
  <c r="J4" i="6"/>
  <c r="C9" i="11"/>
  <c r="S4" i="39"/>
  <c r="O4" i="39"/>
  <c r="U4" i="39" s="1"/>
  <c r="Q4" i="39"/>
  <c r="V4" i="39" s="1"/>
  <c r="T4" i="39"/>
  <c r="I39" i="11"/>
  <c r="J9" i="6"/>
  <c r="K9" i="6" s="1"/>
  <c r="AF10" i="20"/>
  <c r="E4" i="9"/>
  <c r="C3" i="39"/>
  <c r="F39" i="11"/>
  <c r="J6" i="6"/>
  <c r="K6" i="6" s="1"/>
  <c r="D10" i="20"/>
  <c r="E10" i="11"/>
  <c r="G9" i="39"/>
  <c r="E99" i="9"/>
  <c r="M13" i="11" l="1"/>
  <c r="AG8" i="20"/>
  <c r="AF8" i="20" s="1"/>
  <c r="E8" i="20"/>
  <c r="D8" i="20" s="1"/>
  <c r="G13" i="39"/>
  <c r="K39" i="11"/>
  <c r="J10" i="6"/>
  <c r="K10" i="6" s="1"/>
  <c r="E5" i="20"/>
  <c r="D5" i="20" s="1"/>
  <c r="C37" i="11"/>
  <c r="L42" i="11"/>
  <c r="D12" i="6"/>
  <c r="E12" i="6" s="1"/>
  <c r="H10" i="6"/>
  <c r="G14" i="6"/>
  <c r="G15" i="6"/>
  <c r="E12" i="11"/>
  <c r="E4" i="10"/>
  <c r="C6" i="39" s="1"/>
  <c r="G7" i="39"/>
  <c r="K42" i="11"/>
  <c r="D11" i="6"/>
  <c r="E11" i="6" s="1"/>
  <c r="F55" i="10"/>
  <c r="E62" i="10"/>
  <c r="E12" i="20"/>
  <c r="AG12" i="20"/>
  <c r="M42" i="11"/>
  <c r="D13" i="6"/>
  <c r="E13" i="6" s="1"/>
  <c r="O19" i="39"/>
  <c r="U19" i="39" s="1"/>
  <c r="S19" i="39"/>
  <c r="Q19" i="39"/>
  <c r="V19" i="39" s="1"/>
  <c r="T19" i="39"/>
  <c r="J13" i="6"/>
  <c r="K13" i="6" s="1"/>
  <c r="Q10" i="39"/>
  <c r="V10" i="39" s="1"/>
  <c r="L39" i="11"/>
  <c r="S10" i="39"/>
  <c r="T10" i="39"/>
  <c r="I154" i="9"/>
  <c r="I158" i="9"/>
  <c r="I164" i="9"/>
  <c r="I163" i="9"/>
  <c r="Q155" i="9"/>
  <c r="Q159" i="9"/>
  <c r="Q167" i="9"/>
  <c r="Q153" i="9"/>
  <c r="Y155" i="9"/>
  <c r="Y159" i="9"/>
  <c r="Y165" i="9"/>
  <c r="K165" i="9"/>
  <c r="K169" i="9"/>
  <c r="K160" i="9"/>
  <c r="K157" i="9"/>
  <c r="S166" i="9"/>
  <c r="S170" i="9"/>
  <c r="S153" i="9"/>
  <c r="I157" i="9"/>
  <c r="Q170" i="9"/>
  <c r="Y158" i="9"/>
  <c r="Y167" i="9"/>
  <c r="K164" i="9"/>
  <c r="S165" i="9"/>
  <c r="S160" i="9"/>
  <c r="I155" i="9"/>
  <c r="I159" i="9"/>
  <c r="I168" i="9"/>
  <c r="I167" i="9"/>
  <c r="I170" i="9"/>
  <c r="Q156" i="9"/>
  <c r="Q160" i="9"/>
  <c r="Q165" i="9"/>
  <c r="Q168" i="9"/>
  <c r="Y156" i="9"/>
  <c r="Y160" i="9"/>
  <c r="Y153" i="9"/>
  <c r="Y169" i="9"/>
  <c r="K166" i="9"/>
  <c r="K170" i="9"/>
  <c r="K154" i="9"/>
  <c r="K156" i="9"/>
  <c r="S163" i="9"/>
  <c r="S167" i="9"/>
  <c r="S157" i="9"/>
  <c r="S154" i="9"/>
  <c r="I153" i="9"/>
  <c r="I169" i="9"/>
  <c r="Q158" i="9"/>
  <c r="Q164" i="9"/>
  <c r="Y154" i="9"/>
  <c r="Y168" i="9"/>
  <c r="Y170" i="9"/>
  <c r="K168" i="9"/>
  <c r="S155" i="9"/>
  <c r="I156" i="9"/>
  <c r="I160" i="9"/>
  <c r="I166" i="9"/>
  <c r="I165" i="9"/>
  <c r="Q157" i="9"/>
  <c r="Q166" i="9"/>
  <c r="Q169" i="9"/>
  <c r="Q163" i="9"/>
  <c r="Y157" i="9"/>
  <c r="Y164" i="9"/>
  <c r="Y163" i="9"/>
  <c r="Y166" i="9"/>
  <c r="K163" i="9"/>
  <c r="K167" i="9"/>
  <c r="K155" i="9"/>
  <c r="K158" i="9"/>
  <c r="K153" i="9"/>
  <c r="S164" i="9"/>
  <c r="S168" i="9"/>
  <c r="S156" i="9"/>
  <c r="S158" i="9"/>
  <c r="S159" i="9"/>
  <c r="Q154" i="9"/>
  <c r="K159" i="9"/>
  <c r="S169" i="9"/>
  <c r="R156" i="9"/>
  <c r="R166" i="9"/>
  <c r="R158" i="9"/>
  <c r="P165" i="9"/>
  <c r="P163" i="9"/>
  <c r="P154" i="9"/>
  <c r="P170" i="9"/>
  <c r="Z165" i="9"/>
  <c r="Z153" i="9"/>
  <c r="Z157" i="9"/>
  <c r="Z155" i="9"/>
  <c r="Z170" i="9"/>
  <c r="U156" i="9"/>
  <c r="U160" i="9"/>
  <c r="U163" i="9"/>
  <c r="U170" i="9"/>
  <c r="U167" i="9"/>
  <c r="M157" i="9"/>
  <c r="M153" i="9"/>
  <c r="M165" i="9"/>
  <c r="X163" i="9"/>
  <c r="X166" i="9"/>
  <c r="X168" i="9"/>
  <c r="O164" i="9"/>
  <c r="O168" i="9"/>
  <c r="O154" i="9"/>
  <c r="L156" i="9"/>
  <c r="L169" i="9"/>
  <c r="L153" i="9"/>
  <c r="V155" i="9"/>
  <c r="V164" i="9"/>
  <c r="V158" i="9"/>
  <c r="V157" i="9"/>
  <c r="J158" i="9"/>
  <c r="J157" i="9"/>
  <c r="J170" i="9"/>
  <c r="J167" i="9"/>
  <c r="T164" i="9"/>
  <c r="T158" i="9"/>
  <c r="T169" i="9"/>
  <c r="T165" i="9"/>
  <c r="T155" i="9"/>
  <c r="N164" i="9"/>
  <c r="N156" i="9"/>
  <c r="N154" i="9"/>
  <c r="N170" i="9"/>
  <c r="W165" i="9"/>
  <c r="W169" i="9"/>
  <c r="W155" i="9"/>
  <c r="W158" i="9"/>
  <c r="W154" i="9"/>
  <c r="R160" i="9"/>
  <c r="R170" i="9"/>
  <c r="R165" i="9"/>
  <c r="R164" i="9"/>
  <c r="P169" i="9"/>
  <c r="P164" i="9"/>
  <c r="P158" i="9"/>
  <c r="P160" i="9"/>
  <c r="P167" i="9"/>
  <c r="Z169" i="9"/>
  <c r="Z167" i="9"/>
  <c r="Z159" i="9"/>
  <c r="U157" i="9"/>
  <c r="U165" i="9"/>
  <c r="U164" i="9"/>
  <c r="U153" i="9"/>
  <c r="M154" i="9"/>
  <c r="M158" i="9"/>
  <c r="M163" i="9"/>
  <c r="M166" i="9"/>
  <c r="M168" i="9"/>
  <c r="X167" i="9"/>
  <c r="X170" i="9"/>
  <c r="X154" i="9"/>
  <c r="X169" i="9"/>
  <c r="X158" i="9"/>
  <c r="O165" i="9"/>
  <c r="O169" i="9"/>
  <c r="O158" i="9"/>
  <c r="O155" i="9"/>
  <c r="O156" i="9"/>
  <c r="L160" i="9"/>
  <c r="L155" i="9"/>
  <c r="L154" i="9"/>
  <c r="V159" i="9"/>
  <c r="V165" i="9"/>
  <c r="V163" i="9"/>
  <c r="J165" i="9"/>
  <c r="J153" i="9"/>
  <c r="J159" i="9"/>
  <c r="J156" i="9"/>
  <c r="T168" i="9"/>
  <c r="T163" i="9"/>
  <c r="T159" i="9"/>
  <c r="T166" i="9"/>
  <c r="T160" i="9"/>
  <c r="N168" i="9"/>
  <c r="N166" i="9"/>
  <c r="N160" i="9"/>
  <c r="N169" i="9"/>
  <c r="N159" i="9"/>
  <c r="W166" i="9"/>
  <c r="W170" i="9"/>
  <c r="W159" i="9"/>
  <c r="W167" i="9"/>
  <c r="W156" i="9"/>
  <c r="W157" i="9"/>
  <c r="R167" i="9"/>
  <c r="R159" i="9"/>
  <c r="R157" i="9"/>
  <c r="R169" i="9"/>
  <c r="P159" i="9"/>
  <c r="P156" i="9"/>
  <c r="P153" i="9"/>
  <c r="Z158" i="9"/>
  <c r="Z166" i="9"/>
  <c r="U155" i="9"/>
  <c r="M160" i="9"/>
  <c r="X160" i="9"/>
  <c r="X153" i="9"/>
  <c r="O167" i="9"/>
  <c r="O153" i="9"/>
  <c r="L170" i="9"/>
  <c r="L165" i="9"/>
  <c r="L157" i="9"/>
  <c r="V170" i="9"/>
  <c r="V154" i="9"/>
  <c r="V156" i="9"/>
  <c r="J168" i="9"/>
  <c r="J160" i="9"/>
  <c r="T157" i="9"/>
  <c r="N153" i="9"/>
  <c r="N165" i="9"/>
  <c r="W164" i="9"/>
  <c r="W160" i="9"/>
  <c r="R163" i="9"/>
  <c r="R153" i="9"/>
  <c r="R155" i="9"/>
  <c r="R168" i="9"/>
  <c r="R154" i="9"/>
  <c r="P155" i="9"/>
  <c r="P168" i="9"/>
  <c r="P166" i="9"/>
  <c r="P157" i="9"/>
  <c r="Z154" i="9"/>
  <c r="Z164" i="9"/>
  <c r="Z163" i="9"/>
  <c r="Z156" i="9"/>
  <c r="U154" i="9"/>
  <c r="U158" i="9"/>
  <c r="U169" i="9"/>
  <c r="U168" i="9"/>
  <c r="U166" i="9"/>
  <c r="M155" i="9"/>
  <c r="M159" i="9"/>
  <c r="M167" i="9"/>
  <c r="M170" i="9"/>
  <c r="M169" i="9"/>
  <c r="X157" i="9"/>
  <c r="X156" i="9"/>
  <c r="X164" i="9"/>
  <c r="X159" i="9"/>
  <c r="X155" i="9"/>
  <c r="O166" i="9"/>
  <c r="O170" i="9"/>
  <c r="O157" i="9"/>
  <c r="O159" i="9"/>
  <c r="L166" i="9"/>
  <c r="L164" i="9"/>
  <c r="L159" i="9"/>
  <c r="L167" i="9"/>
  <c r="L168" i="9"/>
  <c r="V166" i="9"/>
  <c r="V153" i="9"/>
  <c r="V169" i="9"/>
  <c r="V160" i="9"/>
  <c r="V167" i="9"/>
  <c r="J169" i="9"/>
  <c r="J164" i="9"/>
  <c r="J155" i="9"/>
  <c r="J166" i="9"/>
  <c r="T167" i="9"/>
  <c r="T156" i="9"/>
  <c r="T153" i="9"/>
  <c r="N157" i="9"/>
  <c r="N163" i="9"/>
  <c r="N158" i="9"/>
  <c r="W163" i="9"/>
  <c r="W153" i="9"/>
  <c r="Z168" i="9"/>
  <c r="Z160" i="9"/>
  <c r="U159" i="9"/>
  <c r="M156" i="9"/>
  <c r="M164" i="9"/>
  <c r="X165" i="9"/>
  <c r="O163" i="9"/>
  <c r="O160" i="9"/>
  <c r="L163" i="9"/>
  <c r="L158" i="9"/>
  <c r="V168" i="9"/>
  <c r="J154" i="9"/>
  <c r="J163" i="9"/>
  <c r="T154" i="9"/>
  <c r="T170" i="9"/>
  <c r="N167" i="9"/>
  <c r="N155" i="9"/>
  <c r="W168" i="9"/>
  <c r="H163" i="9"/>
  <c r="H166" i="9"/>
  <c r="H165" i="9"/>
  <c r="H154" i="9"/>
  <c r="G164" i="9"/>
  <c r="G168" i="9"/>
  <c r="G160" i="9"/>
  <c r="G157" i="9"/>
  <c r="G153" i="9"/>
  <c r="H153" i="9"/>
  <c r="H160" i="9"/>
  <c r="G163" i="9"/>
  <c r="H167" i="9"/>
  <c r="H170" i="9"/>
  <c r="H168" i="9"/>
  <c r="H155" i="9"/>
  <c r="G165" i="9"/>
  <c r="G169" i="9"/>
  <c r="G155" i="9"/>
  <c r="G158" i="9"/>
  <c r="H157" i="9"/>
  <c r="H156" i="9"/>
  <c r="H158" i="9"/>
  <c r="H164" i="9"/>
  <c r="H159" i="9"/>
  <c r="G166" i="9"/>
  <c r="G170" i="9"/>
  <c r="G159" i="9"/>
  <c r="G154" i="9"/>
  <c r="H169" i="9"/>
  <c r="G167" i="9"/>
  <c r="G156" i="9"/>
  <c r="F164" i="9"/>
  <c r="F170" i="9"/>
  <c r="F163" i="9"/>
  <c r="F154" i="9"/>
  <c r="F165" i="9"/>
  <c r="F166" i="9"/>
  <c r="F168" i="9"/>
  <c r="F156" i="9"/>
  <c r="F169" i="9"/>
  <c r="F155" i="9"/>
  <c r="F157" i="9"/>
  <c r="F158" i="9"/>
  <c r="F160" i="9"/>
  <c r="F153" i="9"/>
  <c r="F159" i="9"/>
  <c r="F167" i="9"/>
  <c r="K4" i="6"/>
  <c r="E77" i="9"/>
  <c r="C9" i="39"/>
  <c r="E39" i="11"/>
  <c r="C10" i="11"/>
  <c r="J5" i="6"/>
  <c r="K5" i="6" s="1"/>
  <c r="K11" i="6"/>
  <c r="T9" i="39"/>
  <c r="S9" i="39"/>
  <c r="Q9" i="39"/>
  <c r="V9" i="39" s="1"/>
  <c r="O9" i="39"/>
  <c r="S13" i="39" l="1"/>
  <c r="O13" i="39"/>
  <c r="U13" i="39" s="1"/>
  <c r="Q13" i="39"/>
  <c r="V13" i="39" s="1"/>
  <c r="T13" i="39"/>
  <c r="AG5" i="20"/>
  <c r="AF5" i="20" s="1"/>
  <c r="O162" i="9"/>
  <c r="V152" i="9"/>
  <c r="M162" i="9"/>
  <c r="G151" i="9"/>
  <c r="Z162" i="9"/>
  <c r="P162" i="9"/>
  <c r="F161" i="9"/>
  <c r="T152" i="9"/>
  <c r="V161" i="9"/>
  <c r="N152" i="9"/>
  <c r="I152" i="9"/>
  <c r="H162" i="9"/>
  <c r="Y162" i="9"/>
  <c r="X151" i="9"/>
  <c r="V162" i="9"/>
  <c r="I162" i="9"/>
  <c r="G162" i="9"/>
  <c r="S162" i="9"/>
  <c r="Z161" i="9"/>
  <c r="G152" i="9"/>
  <c r="O161" i="9"/>
  <c r="L161" i="9"/>
  <c r="F162" i="9"/>
  <c r="F151" i="9"/>
  <c r="U152" i="9"/>
  <c r="V151" i="9"/>
  <c r="P161" i="9"/>
  <c r="M161" i="9"/>
  <c r="W152" i="9"/>
  <c r="R152" i="9"/>
  <c r="T151" i="9"/>
  <c r="O152" i="9"/>
  <c r="Y151" i="9"/>
  <c r="M151" i="9"/>
  <c r="N151" i="9"/>
  <c r="H161" i="9"/>
  <c r="H152" i="9"/>
  <c r="W151" i="9"/>
  <c r="L152" i="9"/>
  <c r="X162" i="9"/>
  <c r="R162" i="9"/>
  <c r="G161" i="9"/>
  <c r="W161" i="9"/>
  <c r="J151" i="9"/>
  <c r="M152" i="9"/>
  <c r="R161" i="9"/>
  <c r="Y152" i="9"/>
  <c r="N162" i="9"/>
  <c r="L162" i="9"/>
  <c r="K162" i="9"/>
  <c r="P152" i="9"/>
  <c r="U151" i="9"/>
  <c r="J152" i="9"/>
  <c r="L151" i="9"/>
  <c r="Z151" i="9"/>
  <c r="J161" i="9"/>
  <c r="X152" i="9"/>
  <c r="I161" i="9"/>
  <c r="Q161" i="9"/>
  <c r="U162" i="9"/>
  <c r="H151" i="9"/>
  <c r="N161" i="9"/>
  <c r="U161" i="9"/>
  <c r="T161" i="9"/>
  <c r="Z152" i="9"/>
  <c r="P151" i="9"/>
  <c r="T162" i="9"/>
  <c r="Q162" i="9"/>
  <c r="W162" i="9"/>
  <c r="J162" i="9"/>
  <c r="F152" i="9"/>
  <c r="O151" i="9"/>
  <c r="S151" i="9"/>
  <c r="I151" i="9"/>
  <c r="Y161" i="9"/>
  <c r="K151" i="9"/>
  <c r="Q152" i="9"/>
  <c r="K161" i="9"/>
  <c r="R151" i="9"/>
  <c r="S152" i="9"/>
  <c r="X161" i="9"/>
  <c r="Q7" i="39"/>
  <c r="V7" i="39" s="1"/>
  <c r="T7" i="39"/>
  <c r="S7" i="39"/>
  <c r="O7" i="39"/>
  <c r="U7" i="39" s="1"/>
  <c r="AF12" i="20"/>
  <c r="AG9" i="20"/>
  <c r="AF9" i="20" s="1"/>
  <c r="D12" i="20"/>
  <c r="E9" i="20"/>
  <c r="D9" i="20" s="1"/>
  <c r="E41" i="11"/>
  <c r="C41" i="11" s="1"/>
  <c r="C12" i="11"/>
  <c r="D5" i="6"/>
  <c r="J13" i="11"/>
  <c r="E55" i="10"/>
  <c r="C12" i="39" s="1"/>
  <c r="G12" i="39"/>
  <c r="H14" i="6"/>
  <c r="H15" i="6"/>
  <c r="K152" i="9"/>
  <c r="S161" i="9"/>
  <c r="Q151" i="9"/>
  <c r="P22" i="39"/>
  <c r="E167" i="9"/>
  <c r="E169" i="9"/>
  <c r="E159" i="9"/>
  <c r="E158" i="9"/>
  <c r="E157" i="9"/>
  <c r="E170" i="9"/>
  <c r="E160" i="9"/>
  <c r="E168" i="9"/>
  <c r="E154" i="9"/>
  <c r="E166" i="9"/>
  <c r="C39" i="11"/>
  <c r="E155" i="9"/>
  <c r="E163" i="9"/>
  <c r="J14" i="6"/>
  <c r="J15" i="6"/>
  <c r="E153" i="9"/>
  <c r="E165" i="9"/>
  <c r="K14" i="6"/>
  <c r="K15" i="6"/>
  <c r="E156" i="9"/>
  <c r="E164" i="9"/>
  <c r="H150" i="9" l="1"/>
  <c r="G13" i="20" s="1"/>
  <c r="G3" i="20" s="1"/>
  <c r="AP13" i="20"/>
  <c r="AP3" i="20" s="1"/>
  <c r="G150" i="9"/>
  <c r="F13" i="20" s="1"/>
  <c r="F3" i="20" s="1"/>
  <c r="AW13" i="20"/>
  <c r="AW3" i="20" s="1"/>
  <c r="I150" i="9"/>
  <c r="H13" i="20" s="1"/>
  <c r="H3" i="20" s="1"/>
  <c r="AJ13" i="20"/>
  <c r="AJ3" i="20" s="1"/>
  <c r="V150" i="9"/>
  <c r="U13" i="20" s="1"/>
  <c r="U3" i="20" s="1"/>
  <c r="AH13" i="20"/>
  <c r="AH3" i="20" s="1"/>
  <c r="M150" i="9"/>
  <c r="L13" i="20" s="1"/>
  <c r="L3" i="20" s="1"/>
  <c r="F150" i="9"/>
  <c r="E13" i="20" s="1"/>
  <c r="E3" i="20" s="1"/>
  <c r="AO13" i="20"/>
  <c r="AO3" i="20" s="1"/>
  <c r="X150" i="9"/>
  <c r="W13" i="20" s="1"/>
  <c r="W3" i="20" s="1"/>
  <c r="AY13" i="20"/>
  <c r="AY3" i="20" s="1"/>
  <c r="L150" i="9"/>
  <c r="K13" i="20" s="1"/>
  <c r="K3" i="20" s="1"/>
  <c r="O150" i="9"/>
  <c r="N13" i="20" s="1"/>
  <c r="N3" i="20" s="1"/>
  <c r="AT13" i="20"/>
  <c r="AT3" i="20" s="1"/>
  <c r="AU13" i="20"/>
  <c r="AU3" i="20" s="1"/>
  <c r="BA13" i="20"/>
  <c r="BA3" i="20" s="1"/>
  <c r="AX13" i="20"/>
  <c r="AX3" i="20" s="1"/>
  <c r="AZ13" i="20"/>
  <c r="AZ3" i="20" s="1"/>
  <c r="J150" i="9"/>
  <c r="I13" i="20" s="1"/>
  <c r="I3" i="20" s="1"/>
  <c r="T150" i="9"/>
  <c r="S13" i="20" s="1"/>
  <c r="S3" i="20" s="1"/>
  <c r="AL13" i="20"/>
  <c r="AL3" i="20" s="1"/>
  <c r="E162" i="9"/>
  <c r="Z150" i="9"/>
  <c r="Y13" i="20" s="1"/>
  <c r="Y3" i="20" s="1"/>
  <c r="AN13" i="20"/>
  <c r="AN3" i="20" s="1"/>
  <c r="U150" i="9"/>
  <c r="T13" i="20" s="1"/>
  <c r="T3" i="20" s="1"/>
  <c r="AQ13" i="20"/>
  <c r="AQ3" i="20" s="1"/>
  <c r="AS13" i="20"/>
  <c r="AS3" i="20" s="1"/>
  <c r="E152" i="9"/>
  <c r="AV13" i="20"/>
  <c r="AV3" i="20" s="1"/>
  <c r="AG13" i="20"/>
  <c r="AG3" i="20" s="1"/>
  <c r="Q150" i="9"/>
  <c r="P13" i="20" s="1"/>
  <c r="P3" i="20" s="1"/>
  <c r="AK13" i="20"/>
  <c r="AK3" i="20" s="1"/>
  <c r="Y150" i="9"/>
  <c r="X13" i="20" s="1"/>
  <c r="X3" i="20" s="1"/>
  <c r="P150" i="9"/>
  <c r="O13" i="20" s="1"/>
  <c r="O3" i="20" s="1"/>
  <c r="E161" i="9"/>
  <c r="AI13" i="20"/>
  <c r="AI3" i="20" s="1"/>
  <c r="E151" i="9"/>
  <c r="AM13" i="20"/>
  <c r="AM3" i="20" s="1"/>
  <c r="W150" i="9"/>
  <c r="V13" i="20" s="1"/>
  <c r="V3" i="20" s="1"/>
  <c r="N150" i="9"/>
  <c r="M13" i="20" s="1"/>
  <c r="M3" i="20" s="1"/>
  <c r="AR13" i="20"/>
  <c r="AR3" i="20" s="1"/>
  <c r="K150" i="9"/>
  <c r="J13" i="20" s="1"/>
  <c r="J3" i="20" s="1"/>
  <c r="S150" i="9"/>
  <c r="R13" i="20" s="1"/>
  <c r="R3" i="20" s="1"/>
  <c r="R150" i="9"/>
  <c r="Q13" i="20" s="1"/>
  <c r="Q3" i="20" s="1"/>
  <c r="Q12" i="39"/>
  <c r="T12" i="39"/>
  <c r="O12" i="39"/>
  <c r="U12" i="39" s="1"/>
  <c r="S12" i="39"/>
  <c r="U9" i="39"/>
  <c r="J42" i="11"/>
  <c r="C42" i="11" s="1"/>
  <c r="C13" i="11"/>
  <c r="D10" i="6"/>
  <c r="E10" i="6" s="1"/>
  <c r="E5" i="6"/>
  <c r="J14" i="11"/>
  <c r="P10" i="6" s="1"/>
  <c r="L14" i="11"/>
  <c r="P12" i="6" s="1"/>
  <c r="K14" i="11"/>
  <c r="M14" i="11"/>
  <c r="I14" i="11"/>
  <c r="F14" i="11"/>
  <c r="F43" i="11" s="1"/>
  <c r="F44" i="11" s="1"/>
  <c r="H14" i="11"/>
  <c r="H43" i="11" s="1"/>
  <c r="H44" i="11" s="1"/>
  <c r="G14" i="11"/>
  <c r="G43" i="11" s="1"/>
  <c r="G44" i="11" s="1"/>
  <c r="C15" i="39" l="1"/>
  <c r="E14" i="11"/>
  <c r="E43" i="11" s="1"/>
  <c r="E44" i="11" s="1"/>
  <c r="C17" i="39"/>
  <c r="E150" i="9"/>
  <c r="D14" i="11"/>
  <c r="D15" i="11" s="1"/>
  <c r="AF3" i="20"/>
  <c r="D3" i="20"/>
  <c r="AI64" i="3" s="1"/>
  <c r="D13" i="20"/>
  <c r="AF13" i="20"/>
  <c r="D15" i="6"/>
  <c r="D14" i="6"/>
  <c r="E14" i="6"/>
  <c r="E15" i="6"/>
  <c r="R22" i="39"/>
  <c r="J15" i="11"/>
  <c r="J43" i="11"/>
  <c r="J44" i="11" s="1"/>
  <c r="L15" i="11"/>
  <c r="L43" i="11"/>
  <c r="L44" i="11" s="1"/>
  <c r="Q12" i="6"/>
  <c r="V12" i="6"/>
  <c r="K43" i="11"/>
  <c r="K44" i="11" s="1"/>
  <c r="P11" i="6"/>
  <c r="K15" i="11"/>
  <c r="M43" i="11"/>
  <c r="M44" i="11" s="1"/>
  <c r="P13" i="6"/>
  <c r="M15" i="11"/>
  <c r="Q10" i="6"/>
  <c r="V10" i="6"/>
  <c r="P9" i="6"/>
  <c r="Q9" i="6" s="1"/>
  <c r="I43" i="11"/>
  <c r="I44" i="11" s="1"/>
  <c r="I15" i="11"/>
  <c r="F15" i="11"/>
  <c r="P6" i="6"/>
  <c r="Q6" i="6" s="1"/>
  <c r="H15" i="11"/>
  <c r="P8" i="6"/>
  <c r="G15" i="11"/>
  <c r="P7" i="6"/>
  <c r="S17" i="39"/>
  <c r="T17" i="39"/>
  <c r="O17" i="39"/>
  <c r="U17" i="39" s="1"/>
  <c r="Q17" i="39"/>
  <c r="V17" i="39" s="1"/>
  <c r="AI61" i="3" l="1"/>
  <c r="AI58" i="3"/>
  <c r="N58" i="3"/>
  <c r="AC58" i="3"/>
  <c r="W60" i="3"/>
  <c r="X60" i="3" s="1"/>
  <c r="H57" i="3"/>
  <c r="I57" i="3" s="1"/>
  <c r="AF58" i="3"/>
  <c r="AL57" i="3"/>
  <c r="AM57" i="3" s="1"/>
  <c r="Q60" i="3"/>
  <c r="T60" i="3"/>
  <c r="K57" i="3"/>
  <c r="Z59" i="3"/>
  <c r="AI57" i="3"/>
  <c r="AC62" i="3"/>
  <c r="W64" i="3"/>
  <c r="X64" i="3" s="1"/>
  <c r="AF62" i="3"/>
  <c r="AL61" i="3"/>
  <c r="Q64" i="3"/>
  <c r="T64" i="3"/>
  <c r="Z63" i="3"/>
  <c r="W63" i="3"/>
  <c r="X63" i="3" s="1"/>
  <c r="K60" i="3"/>
  <c r="Z57" i="3"/>
  <c r="AC63" i="3"/>
  <c r="H59" i="3"/>
  <c r="I59" i="3" s="1"/>
  <c r="AF64" i="3"/>
  <c r="AL62" i="3"/>
  <c r="Q61" i="3"/>
  <c r="T58" i="3"/>
  <c r="K59" i="3"/>
  <c r="AI62" i="3"/>
  <c r="N59" i="3"/>
  <c r="AC57" i="3"/>
  <c r="W57" i="3"/>
  <c r="H60" i="3"/>
  <c r="AF63" i="3"/>
  <c r="AG63" i="3" s="1"/>
  <c r="AL59" i="3"/>
  <c r="AM59" i="3" s="1"/>
  <c r="Q59" i="3"/>
  <c r="T62" i="3"/>
  <c r="Z60" i="3"/>
  <c r="AI59" i="3"/>
  <c r="N63" i="3"/>
  <c r="AC61" i="3"/>
  <c r="W61" i="3"/>
  <c r="X61" i="3" s="1"/>
  <c r="H58" i="3"/>
  <c r="AF59" i="3"/>
  <c r="AG59" i="3" s="1"/>
  <c r="AL63" i="3"/>
  <c r="AM63" i="3" s="1"/>
  <c r="Q63" i="3"/>
  <c r="T57" i="3"/>
  <c r="K64" i="3"/>
  <c r="Z64" i="3"/>
  <c r="AI63" i="3"/>
  <c r="N62" i="3"/>
  <c r="H63" i="3"/>
  <c r="I63" i="3" s="1"/>
  <c r="K61" i="3"/>
  <c r="N57" i="3"/>
  <c r="AC64" i="3"/>
  <c r="W59" i="3"/>
  <c r="X59" i="3" s="1"/>
  <c r="H64" i="3"/>
  <c r="I64" i="3" s="1"/>
  <c r="AF60" i="3"/>
  <c r="AF131" i="3" s="1"/>
  <c r="AG131" i="3" s="1"/>
  <c r="AL58" i="3"/>
  <c r="Q62" i="3"/>
  <c r="T61" i="3"/>
  <c r="K58" i="3"/>
  <c r="N61" i="3"/>
  <c r="Z61" i="3"/>
  <c r="N60" i="3"/>
  <c r="AC59" i="3"/>
  <c r="W58" i="3"/>
  <c r="H61" i="3"/>
  <c r="H132" i="3" s="1"/>
  <c r="AF57" i="3"/>
  <c r="AF128" i="3" s="1"/>
  <c r="AG128" i="3" s="1"/>
  <c r="AL60" i="3"/>
  <c r="AM60" i="3" s="1"/>
  <c r="Q57" i="3"/>
  <c r="T59" i="3"/>
  <c r="K62" i="3"/>
  <c r="Z58" i="3"/>
  <c r="AI60" i="3"/>
  <c r="N64" i="3"/>
  <c r="AC60" i="3"/>
  <c r="W62" i="3"/>
  <c r="X62" i="3" s="1"/>
  <c r="H62" i="3"/>
  <c r="H133" i="3" s="1"/>
  <c r="AF61" i="3"/>
  <c r="AG61" i="3" s="1"/>
  <c r="AL64" i="3"/>
  <c r="AM64" i="3" s="1"/>
  <c r="Q58" i="3"/>
  <c r="T63" i="3"/>
  <c r="K63" i="3"/>
  <c r="Z62" i="3"/>
  <c r="C22" i="39"/>
  <c r="D43" i="11"/>
  <c r="D44" i="11" s="1"/>
  <c r="C44" i="11" s="1"/>
  <c r="P4" i="6"/>
  <c r="Q4" i="6" s="1"/>
  <c r="E15" i="11"/>
  <c r="E16" i="11" s="1"/>
  <c r="P5" i="6"/>
  <c r="Q5" i="6" s="1"/>
  <c r="AG64" i="3"/>
  <c r="C14" i="11"/>
  <c r="C15" i="11" s="1"/>
  <c r="AM61" i="3"/>
  <c r="X57" i="3"/>
  <c r="V12" i="39"/>
  <c r="Q13" i="6"/>
  <c r="V13" i="6"/>
  <c r="Q11" i="6"/>
  <c r="V11" i="6"/>
  <c r="W10" i="6"/>
  <c r="C10" i="2"/>
  <c r="D10" i="2" s="1"/>
  <c r="I10" i="2" s="1"/>
  <c r="C12" i="2"/>
  <c r="D12" i="2" s="1"/>
  <c r="I12" i="2" s="1"/>
  <c r="W12" i="6"/>
  <c r="V9" i="6"/>
  <c r="V6" i="6"/>
  <c r="V8" i="6"/>
  <c r="Q8" i="6"/>
  <c r="Q15" i="39"/>
  <c r="G22" i="39"/>
  <c r="T15" i="39"/>
  <c r="T22" i="39" s="1"/>
  <c r="O15" i="39"/>
  <c r="S15" i="39"/>
  <c r="S22" i="39" s="1"/>
  <c r="Q7" i="6"/>
  <c r="V7" i="6"/>
  <c r="C43" i="11" l="1"/>
  <c r="W131" i="3"/>
  <c r="X131" i="3" s="1"/>
  <c r="V4" i="6"/>
  <c r="F4" i="2" s="1"/>
  <c r="V5" i="6"/>
  <c r="W5" i="6" s="1"/>
  <c r="P14" i="6"/>
  <c r="W134" i="3"/>
  <c r="X134" i="3" s="1"/>
  <c r="AF135" i="3"/>
  <c r="AG135" i="3" s="1"/>
  <c r="P15" i="6"/>
  <c r="I62" i="3"/>
  <c r="W128" i="3"/>
  <c r="X128" i="3" s="1"/>
  <c r="AL132" i="3"/>
  <c r="AM132" i="3" s="1"/>
  <c r="H135" i="3"/>
  <c r="D33" i="14" s="1"/>
  <c r="I61" i="3"/>
  <c r="W132" i="3"/>
  <c r="X132" i="3" s="1"/>
  <c r="W133" i="3"/>
  <c r="X133" i="3" s="1"/>
  <c r="H128" i="3"/>
  <c r="I128" i="3" s="1"/>
  <c r="AG57" i="3"/>
  <c r="AF130" i="3"/>
  <c r="AG130" i="3" s="1"/>
  <c r="AL130" i="3"/>
  <c r="AM130" i="3" s="1"/>
  <c r="AL134" i="3"/>
  <c r="AM134" i="3" s="1"/>
  <c r="H130" i="3"/>
  <c r="I130" i="3" s="1"/>
  <c r="W130" i="3"/>
  <c r="X130" i="3" s="1"/>
  <c r="AL131" i="3"/>
  <c r="AM131" i="3" s="1"/>
  <c r="AL135" i="3"/>
  <c r="AM135" i="3" s="1"/>
  <c r="AF134" i="3"/>
  <c r="AG134" i="3" s="1"/>
  <c r="W135" i="3"/>
  <c r="X135" i="3" s="1"/>
  <c r="AF132" i="3"/>
  <c r="AG132" i="3" s="1"/>
  <c r="H134" i="3"/>
  <c r="I134" i="3" s="1"/>
  <c r="AL128" i="3"/>
  <c r="AM128" i="3" s="1"/>
  <c r="AG60" i="3"/>
  <c r="E59" i="3"/>
  <c r="E62" i="3"/>
  <c r="E64" i="3"/>
  <c r="AG58" i="3"/>
  <c r="AF129" i="3"/>
  <c r="AG129" i="3" s="1"/>
  <c r="AD64" i="3"/>
  <c r="AC135" i="3"/>
  <c r="AD135" i="3" s="1"/>
  <c r="AD62" i="3"/>
  <c r="AC133" i="3"/>
  <c r="AD133" i="3" s="1"/>
  <c r="AJ57" i="3"/>
  <c r="AI128" i="3"/>
  <c r="AJ128" i="3" s="1"/>
  <c r="L58" i="3"/>
  <c r="K129" i="3"/>
  <c r="L129" i="3" s="1"/>
  <c r="I133" i="3"/>
  <c r="D31" i="14"/>
  <c r="AM58" i="3"/>
  <c r="AL129" i="3"/>
  <c r="AM129" i="3" s="1"/>
  <c r="AD60" i="3"/>
  <c r="AC131" i="3"/>
  <c r="AD131" i="3" s="1"/>
  <c r="R60" i="3"/>
  <c r="Q131" i="3"/>
  <c r="R131" i="3" s="1"/>
  <c r="AD58" i="3"/>
  <c r="AC129" i="3"/>
  <c r="AD129" i="3" s="1"/>
  <c r="E58" i="3"/>
  <c r="I58" i="3"/>
  <c r="H129" i="3"/>
  <c r="AA61" i="3"/>
  <c r="Z132" i="3"/>
  <c r="AA132" i="3" s="1"/>
  <c r="AJ63" i="3"/>
  <c r="AI134" i="3"/>
  <c r="AJ134" i="3" s="1"/>
  <c r="L63" i="3"/>
  <c r="K134" i="3"/>
  <c r="L134" i="3" s="1"/>
  <c r="AD61" i="3"/>
  <c r="AC132" i="3"/>
  <c r="AD132" i="3" s="1"/>
  <c r="O62" i="3"/>
  <c r="N133" i="3"/>
  <c r="O133" i="3" s="1"/>
  <c r="R62" i="3"/>
  <c r="Q133" i="3"/>
  <c r="R133" i="3" s="1"/>
  <c r="AD63" i="3"/>
  <c r="AC134" i="3"/>
  <c r="AD134" i="3" s="1"/>
  <c r="U64" i="3"/>
  <c r="T135" i="3"/>
  <c r="U135" i="3" s="1"/>
  <c r="AA59" i="3"/>
  <c r="Z130" i="3"/>
  <c r="AA130" i="3" s="1"/>
  <c r="AJ58" i="3"/>
  <c r="AI129" i="3"/>
  <c r="AJ129" i="3" s="1"/>
  <c r="O61" i="3"/>
  <c r="N132" i="3"/>
  <c r="O132" i="3" s="1"/>
  <c r="O57" i="3"/>
  <c r="N128" i="3"/>
  <c r="O128" i="3" s="1"/>
  <c r="R64" i="3"/>
  <c r="Q135" i="3"/>
  <c r="R135" i="3" s="1"/>
  <c r="U62" i="3"/>
  <c r="T133" i="3"/>
  <c r="U133" i="3" s="1"/>
  <c r="L61" i="3"/>
  <c r="K132" i="3"/>
  <c r="L132" i="3" s="1"/>
  <c r="O59" i="3"/>
  <c r="N130" i="3"/>
  <c r="O130" i="3" s="1"/>
  <c r="E61" i="3"/>
  <c r="AA64" i="3"/>
  <c r="Z135" i="3"/>
  <c r="AA135" i="3" s="1"/>
  <c r="L59" i="3"/>
  <c r="K130" i="3"/>
  <c r="L130" i="3" s="1"/>
  <c r="L62" i="3"/>
  <c r="K133" i="3"/>
  <c r="L133" i="3" s="1"/>
  <c r="AM62" i="3"/>
  <c r="AL133" i="3"/>
  <c r="AM133" i="3" s="1"/>
  <c r="L64" i="3"/>
  <c r="K135" i="3"/>
  <c r="L135" i="3" s="1"/>
  <c r="AA63" i="3"/>
  <c r="Z134" i="3"/>
  <c r="AA134" i="3" s="1"/>
  <c r="U63" i="3"/>
  <c r="T134" i="3"/>
  <c r="U134" i="3" s="1"/>
  <c r="U57" i="3"/>
  <c r="T128" i="3"/>
  <c r="U128" i="3" s="1"/>
  <c r="E60" i="3"/>
  <c r="I60" i="3"/>
  <c r="H131" i="3"/>
  <c r="E57" i="3"/>
  <c r="R63" i="3"/>
  <c r="Q134" i="3"/>
  <c r="R134" i="3" s="1"/>
  <c r="L60" i="3"/>
  <c r="K131" i="3"/>
  <c r="L131" i="3" s="1"/>
  <c r="R61" i="3"/>
  <c r="Q132" i="3"/>
  <c r="R132" i="3" s="1"/>
  <c r="AJ59" i="3"/>
  <c r="AI130" i="3"/>
  <c r="AJ130" i="3" s="1"/>
  <c r="O58" i="3"/>
  <c r="N129" i="3"/>
  <c r="O129" i="3" s="1"/>
  <c r="R58" i="3"/>
  <c r="Q129" i="3"/>
  <c r="R129" i="3" s="1"/>
  <c r="AJ60" i="3"/>
  <c r="AI131" i="3"/>
  <c r="AJ131" i="3" s="1"/>
  <c r="R57" i="3"/>
  <c r="Q128" i="3"/>
  <c r="R128" i="3" s="1"/>
  <c r="U60" i="3"/>
  <c r="T131" i="3"/>
  <c r="U131" i="3" s="1"/>
  <c r="U58" i="3"/>
  <c r="T129" i="3"/>
  <c r="U129" i="3" s="1"/>
  <c r="O64" i="3"/>
  <c r="N135" i="3"/>
  <c r="O135" i="3" s="1"/>
  <c r="AJ64" i="3"/>
  <c r="AI135" i="3"/>
  <c r="AJ135" i="3" s="1"/>
  <c r="AA57" i="3"/>
  <c r="Z128" i="3"/>
  <c r="AA128" i="3" s="1"/>
  <c r="O60" i="3"/>
  <c r="N131" i="3"/>
  <c r="O131" i="3" s="1"/>
  <c r="AJ61" i="3"/>
  <c r="AI132" i="3"/>
  <c r="AJ132" i="3" s="1"/>
  <c r="I132" i="3"/>
  <c r="D30" i="14"/>
  <c r="E63" i="3"/>
  <c r="AD59" i="3"/>
  <c r="AC130" i="3"/>
  <c r="AD130" i="3" s="1"/>
  <c r="L57" i="3"/>
  <c r="K128" i="3"/>
  <c r="L128" i="3" s="1"/>
  <c r="AJ62" i="3"/>
  <c r="AI133" i="3"/>
  <c r="AJ133" i="3" s="1"/>
  <c r="U61" i="3"/>
  <c r="T132" i="3"/>
  <c r="U132" i="3" s="1"/>
  <c r="X58" i="3"/>
  <c r="W129" i="3"/>
  <c r="X129" i="3" s="1"/>
  <c r="O63" i="3"/>
  <c r="N134" i="3"/>
  <c r="O134" i="3" s="1"/>
  <c r="AD57" i="3"/>
  <c r="AC128" i="3"/>
  <c r="AD128" i="3" s="1"/>
  <c r="AA62" i="3"/>
  <c r="Z133" i="3"/>
  <c r="AA133" i="3" s="1"/>
  <c r="U59" i="3"/>
  <c r="T130" i="3"/>
  <c r="U130" i="3" s="1"/>
  <c r="AA60" i="3"/>
  <c r="Z131" i="3"/>
  <c r="AA131" i="3" s="1"/>
  <c r="R59" i="3"/>
  <c r="Q130" i="3"/>
  <c r="R130" i="3" s="1"/>
  <c r="AA58" i="3"/>
  <c r="Z129" i="3"/>
  <c r="AA129" i="3" s="1"/>
  <c r="AG62" i="3"/>
  <c r="AF133" i="3"/>
  <c r="AG133" i="3" s="1"/>
  <c r="C9" i="2"/>
  <c r="D9" i="2" s="1"/>
  <c r="I9" i="2" s="1"/>
  <c r="W6" i="6"/>
  <c r="W11" i="6"/>
  <c r="C11" i="2"/>
  <c r="D11" i="2" s="1"/>
  <c r="I11" i="2" s="1"/>
  <c r="W13" i="6"/>
  <c r="C13" i="2"/>
  <c r="D13" i="2" s="1"/>
  <c r="I13" i="2" s="1"/>
  <c r="W9" i="6"/>
  <c r="C6" i="2"/>
  <c r="D6" i="2" s="1"/>
  <c r="I6" i="2" s="1"/>
  <c r="W8" i="6"/>
  <c r="C8" i="2"/>
  <c r="D8" i="2" s="1"/>
  <c r="I8" i="2" s="1"/>
  <c r="Q22" i="39"/>
  <c r="V15" i="39"/>
  <c r="Q15" i="6"/>
  <c r="Q14" i="6"/>
  <c r="U15" i="39"/>
  <c r="O22" i="39"/>
  <c r="W7" i="6"/>
  <c r="C7" i="2"/>
  <c r="D7" i="2" s="1"/>
  <c r="I7" i="2" s="1"/>
  <c r="W4" i="6" l="1"/>
  <c r="W15" i="6" s="1"/>
  <c r="C4" i="2"/>
  <c r="D4" i="2" s="1"/>
  <c r="C5" i="2"/>
  <c r="D5" i="2" s="1"/>
  <c r="I5" i="2" s="1"/>
  <c r="V15" i="6"/>
  <c r="V14" i="6"/>
  <c r="F5" i="2"/>
  <c r="G5" i="2" s="1"/>
  <c r="J5" i="2" s="1"/>
  <c r="I135" i="3"/>
  <c r="F135" i="3" s="1"/>
  <c r="D26" i="14"/>
  <c r="D28" i="14"/>
  <c r="J23" i="20"/>
  <c r="J19" i="20" s="1"/>
  <c r="J15" i="20" s="1"/>
  <c r="D32" i="14"/>
  <c r="F57" i="3"/>
  <c r="F61" i="3"/>
  <c r="M23" i="20"/>
  <c r="M19" i="20" s="1"/>
  <c r="M15" i="20" s="1"/>
  <c r="F59" i="3"/>
  <c r="F63" i="3"/>
  <c r="F62" i="3"/>
  <c r="F64" i="3"/>
  <c r="AQ23" i="20"/>
  <c r="AQ19" i="20" s="1"/>
  <c r="AQ15" i="20" s="1"/>
  <c r="E132" i="3"/>
  <c r="Q10" i="4" s="1"/>
  <c r="R10" i="4" s="1"/>
  <c r="F132" i="3"/>
  <c r="E133" i="3"/>
  <c r="Q11" i="4" s="1"/>
  <c r="R11" i="4" s="1"/>
  <c r="O23" i="20"/>
  <c r="O19" i="20" s="1"/>
  <c r="O15" i="20" s="1"/>
  <c r="F23" i="20"/>
  <c r="F19" i="20" s="1"/>
  <c r="F15" i="20" s="1"/>
  <c r="AH23" i="20"/>
  <c r="AH19" i="20" s="1"/>
  <c r="AH15" i="20" s="1"/>
  <c r="H23" i="20"/>
  <c r="H19" i="20" s="1"/>
  <c r="H15" i="20" s="1"/>
  <c r="AJ23" i="20"/>
  <c r="AJ19" i="20" s="1"/>
  <c r="AJ15" i="20" s="1"/>
  <c r="N23" i="20"/>
  <c r="N19" i="20" s="1"/>
  <c r="N15" i="20" s="1"/>
  <c r="AP23" i="20"/>
  <c r="AP19" i="20" s="1"/>
  <c r="AP15" i="20" s="1"/>
  <c r="AL23" i="20"/>
  <c r="AL19" i="20" s="1"/>
  <c r="AL15" i="20" s="1"/>
  <c r="G23" i="20"/>
  <c r="G19" i="20" s="1"/>
  <c r="G15" i="20" s="1"/>
  <c r="AI23" i="20"/>
  <c r="AI19" i="20" s="1"/>
  <c r="AI15" i="20" s="1"/>
  <c r="E128" i="3"/>
  <c r="Q6" i="4" s="1"/>
  <c r="I129" i="3"/>
  <c r="F129" i="3" s="1"/>
  <c r="D27" i="14"/>
  <c r="E129" i="3"/>
  <c r="Q7" i="4" s="1"/>
  <c r="E130" i="3"/>
  <c r="Q8" i="4" s="1"/>
  <c r="AO23" i="20"/>
  <c r="AO19" i="20" s="1"/>
  <c r="AO15" i="20" s="1"/>
  <c r="F60" i="3"/>
  <c r="F134" i="3"/>
  <c r="F58" i="3"/>
  <c r="F130" i="3"/>
  <c r="E135" i="3"/>
  <c r="Q13" i="4" s="1"/>
  <c r="AM23" i="20"/>
  <c r="AM19" i="20" s="1"/>
  <c r="AM15" i="20" s="1"/>
  <c r="K23" i="20"/>
  <c r="K19" i="20" s="1"/>
  <c r="K15" i="20" s="1"/>
  <c r="E134" i="3"/>
  <c r="Q12" i="4" s="1"/>
  <c r="F133" i="3"/>
  <c r="D29" i="14"/>
  <c r="I131" i="3"/>
  <c r="E131" i="3"/>
  <c r="Q9" i="4" s="1"/>
  <c r="F128" i="3"/>
  <c r="L23" i="20"/>
  <c r="L19" i="20" s="1"/>
  <c r="L15" i="20" s="1"/>
  <c r="AN23" i="20"/>
  <c r="AN19" i="20" s="1"/>
  <c r="AN15" i="20" s="1"/>
  <c r="AK23" i="20"/>
  <c r="AK19" i="20" s="1"/>
  <c r="AK15" i="20" s="1"/>
  <c r="I23" i="20"/>
  <c r="I19" i="20" s="1"/>
  <c r="I15" i="20" s="1"/>
  <c r="W14" i="6"/>
  <c r="G4" i="2"/>
  <c r="C14" i="2" l="1"/>
  <c r="Z10" i="4"/>
  <c r="AA10" i="4" s="1"/>
  <c r="Z11" i="4"/>
  <c r="F11" i="2" s="1"/>
  <c r="G11" i="2" s="1"/>
  <c r="J11" i="2" s="1"/>
  <c r="R9" i="4"/>
  <c r="Z9" i="4"/>
  <c r="E23" i="20"/>
  <c r="F131" i="3"/>
  <c r="R6" i="4"/>
  <c r="Q14" i="4"/>
  <c r="Z6" i="4"/>
  <c r="R12" i="4"/>
  <c r="Z12" i="4"/>
  <c r="R8" i="4"/>
  <c r="Z8" i="4"/>
  <c r="R7" i="4"/>
  <c r="Z7" i="4"/>
  <c r="AG23" i="20"/>
  <c r="R13" i="4"/>
  <c r="Z13" i="4"/>
  <c r="J4" i="2"/>
  <c r="D14" i="2"/>
  <c r="I4" i="2"/>
  <c r="I14" i="2" s="1"/>
  <c r="J21" i="2" s="1"/>
  <c r="J18" i="2"/>
  <c r="F10" i="2" l="1"/>
  <c r="G10" i="2" s="1"/>
  <c r="J10" i="2" s="1"/>
  <c r="AA11" i="4"/>
  <c r="AA7" i="4"/>
  <c r="F7" i="2"/>
  <c r="G7" i="2" s="1"/>
  <c r="J7" i="2" s="1"/>
  <c r="AA6" i="4"/>
  <c r="Z14" i="4"/>
  <c r="F6" i="2"/>
  <c r="AA8" i="4"/>
  <c r="F8" i="2"/>
  <c r="G8" i="2" s="1"/>
  <c r="J8" i="2" s="1"/>
  <c r="R15" i="4"/>
  <c r="R14" i="4"/>
  <c r="AA13" i="4"/>
  <c r="F13" i="2"/>
  <c r="G13" i="2" s="1"/>
  <c r="J13" i="2" s="1"/>
  <c r="AA12" i="4"/>
  <c r="F12" i="2"/>
  <c r="G12" i="2" s="1"/>
  <c r="J12" i="2" s="1"/>
  <c r="E19" i="20"/>
  <c r="D23" i="20"/>
  <c r="AA9" i="4"/>
  <c r="F9" i="2"/>
  <c r="G9" i="2" s="1"/>
  <c r="J9" i="2" s="1"/>
  <c r="AG19" i="20"/>
  <c r="AF23" i="20"/>
  <c r="K4" i="2"/>
  <c r="E15" i="20" l="1"/>
  <c r="D15" i="20" s="1"/>
  <c r="D19" i="20"/>
  <c r="G6" i="2"/>
  <c r="F14" i="2"/>
  <c r="AA15" i="4"/>
  <c r="AA16" i="4" s="1"/>
  <c r="J17" i="2" s="1"/>
  <c r="B2" i="7" s="1"/>
  <c r="AA14" i="4"/>
  <c r="AG15" i="20"/>
  <c r="AF15" i="20" s="1"/>
  <c r="AF19" i="20"/>
  <c r="L4" i="2"/>
  <c r="K5" i="2"/>
  <c r="C7" i="7" l="1"/>
  <c r="L7" i="7"/>
  <c r="I7" i="7"/>
  <c r="C26" i="7"/>
  <c r="F7" i="7"/>
  <c r="C42" i="7"/>
  <c r="O7" i="7"/>
  <c r="R7" i="7"/>
  <c r="J6" i="2"/>
  <c r="J14" i="2" s="1"/>
  <c r="J22" i="2" s="1"/>
  <c r="J19" i="2"/>
  <c r="G14" i="2"/>
  <c r="L5" i="2"/>
  <c r="K6" i="2" l="1"/>
  <c r="K7" i="2" s="1"/>
  <c r="K8" i="2" s="1"/>
  <c r="K9" i="2" s="1"/>
  <c r="K10" i="2" s="1"/>
  <c r="K11" i="2" s="1"/>
  <c r="K12" i="2" s="1"/>
  <c r="K13" i="2" s="1"/>
  <c r="L6" i="2" l="1"/>
  <c r="L7" i="2" s="1"/>
  <c r="L8" i="2" s="1"/>
  <c r="L9" i="2" s="1"/>
  <c r="L10" i="2" s="1"/>
  <c r="L11" i="2" s="1"/>
  <c r="L12" i="2" s="1"/>
  <c r="L1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00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vyplniť žlté polia a identifikovať tak projekt a vlastníka projektu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3" authorId="0" shapeId="0" xr:uid="{00000000-0006-0000-0F00-000001000000}">
      <text>
        <r>
          <rPr>
            <b/>
            <sz val="9"/>
            <color indexed="81"/>
            <rFont val="Segoe UI"/>
            <family val="2"/>
          </rPr>
          <t>USER1:</t>
        </r>
        <r>
          <rPr>
            <sz val="9"/>
            <color indexed="81"/>
            <rFont val="Segoe UI"/>
            <family val="2"/>
          </rPr>
          <t xml:space="preserve">
V tejto záložke je potrebné transformvoať odhadovnú prácnosť projektu na jednotlivé etapy projektu:
 - analýza a dizajn
 - implementácia a testovanie
 - nasadenie
Rovnako je potrebné definovať pozície, ktoré sa na projekte budú podieľať.
Počty MDs pre dané pozície sú vypočítané z celkovej predpokladanej náročnosti projektu * % podielu danej etapy na projekte * % podiel pozície na danej etape projektu</t>
        </r>
      </text>
    </comment>
    <comment ref="B3" authorId="0" shapeId="0" xr:uid="{00000000-0006-0000-0F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Možné zadať % hodnoty pre danú etapu projektu vyjadrené v % z celkového počtu potrebných kapacít
</t>
        </r>
        <r>
          <rPr>
            <sz val="9"/>
            <color rgb="FF000000"/>
            <rFont val="Segoe UI"/>
            <family val="2"/>
            <charset val="1"/>
          </rPr>
          <t xml:space="preserve">
</t>
        </r>
        <r>
          <rPr>
            <sz val="9"/>
            <color rgb="FF000000"/>
            <rFont val="Segoe UI"/>
            <family val="2"/>
            <charset val="1"/>
          </rPr>
          <t>Celková hodnota za všetky etapy projektu musí byť 100%. V opačnom prípade budú hodnoty zvýrazené červenou</t>
        </r>
      </text>
    </comment>
    <comment ref="E3" authorId="0" shapeId="0" xr:uid="{00000000-0006-0000-0F00-000003000000}">
      <text>
        <r>
          <rPr>
            <b/>
            <sz val="9"/>
            <color indexed="81"/>
            <rFont val="Segoe UI"/>
            <family val="2"/>
          </rPr>
          <t>USER1:</t>
        </r>
        <r>
          <rPr>
            <sz val="9"/>
            <color indexed="81"/>
            <rFont val="Segoe UI"/>
            <family val="2"/>
          </rPr>
          <t xml:space="preserve">
Priemerná vážená sadzba je potrebná pre rozdelenie nákladov v záložke Rozpoct - Vyvoje aplikacie</t>
        </r>
      </text>
    </comment>
    <comment ref="F3" authorId="0" shapeId="0" xr:uid="{00000000-0006-0000-0F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vybrať pozície, ktoré sa na danej etape budú podieľať. Výber je z preddefinovaného číselníka pozícií.</t>
        </r>
      </text>
    </comment>
    <comment ref="J3" authorId="0" shapeId="0" xr:uid="{00000000-0006-0000-0F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potrebné stanoviť %, ktorým bude participovať daná pozícia na etape. Suma % za všetky pozície na danej etape musí byť 100%.
</t>
        </r>
        <r>
          <rPr>
            <sz val="9"/>
            <color rgb="FF000000"/>
            <rFont val="Segoe UI"/>
            <family val="2"/>
            <charset val="1"/>
          </rPr>
          <t>V opačnom prípade budú hodnoty označené červenou farbou</t>
        </r>
      </text>
    </comment>
    <comment ref="Q3" authorId="0" shapeId="0" xr:uid="{00000000-0006-0000-0F00-000006000000}">
      <text>
        <r>
          <rPr>
            <b/>
            <sz val="9"/>
            <color rgb="FF000000"/>
            <rFont val="Segoe UI"/>
            <family val="2"/>
            <charset val="1"/>
          </rPr>
          <t>USER1:</t>
        </r>
        <r>
          <rPr>
            <sz val="9"/>
            <color rgb="FF000000"/>
            <rFont val="Segoe UI"/>
            <family val="2"/>
            <charset val="1"/>
          </rPr>
          <t xml:space="preserve">
Číselník pozícií je možné doplniť o špecifické pozície a zladiť ak je to možné s dokumentom revízie výdavkov na informatizáciu</t>
        </r>
      </text>
    </comment>
    <comment ref="R3" authorId="0" shapeId="0" xr:uid="{00000000-0006-0000-0F00-000007000000}">
      <text>
        <r>
          <rPr>
            <b/>
            <sz val="9"/>
            <color rgb="FF000000"/>
            <rFont val="Segoe UI"/>
            <family val="2"/>
            <charset val="1"/>
          </rPr>
          <t>USER1:</t>
        </r>
        <r>
          <rPr>
            <sz val="9"/>
            <color rgb="FF000000"/>
            <rFont val="Segoe UI"/>
            <family val="2"/>
            <charset val="1"/>
          </rPr>
          <t xml:space="preserve">
Je potrebné stanoviť predpokladanú hodnotu sadzby pre danú pozíciu. Hodnota nesmie prekročiť referenčný limit pre niektoré pozície stanovaný revíziou výdavkov na informatizáciu resp. musí splniť pravidlá stanovené metodickým pokynom pre CBA.
V opačnom prípade je zvýrazená oranžovou farbou.</t>
        </r>
      </text>
    </comment>
    <comment ref="W3" authorId="0" shapeId="0" xr:uid="{00000000-0006-0000-0F00-000008000000}">
      <text>
        <r>
          <rPr>
            <b/>
            <sz val="9"/>
            <color indexed="81"/>
            <rFont val="Segoe UI"/>
            <family val="2"/>
          </rPr>
          <t>USER1:</t>
        </r>
        <r>
          <rPr>
            <sz val="9"/>
            <color indexed="81"/>
            <rFont val="Segoe UI"/>
            <family val="2"/>
          </rPr>
          <t xml:space="preserve">
V tajto časti možno vidieť podiel pozície na celkovm počte MDs pre daný projekt. 
V prípade, ak je hodnota vyššia ako hodnota satanovená príručkou je tejto fakt zvýrazený ako NAD.
V opačnom prípade, je súlad označný ako OK.</t>
        </r>
      </text>
    </comment>
    <comment ref="B4" authorId="0" shapeId="0" xr:uid="{00000000-0006-0000-0F00-000009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10% - 35%</t>
        </r>
      </text>
    </comment>
    <comment ref="B16" authorId="0" shapeId="0" xr:uid="{00000000-0006-0000-0F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30% - 80%</t>
        </r>
      </text>
    </comment>
    <comment ref="B28" authorId="0" shapeId="0" xr:uid="{00000000-0006-0000-0F00-00000B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15% - 30%</t>
        </r>
      </text>
    </comment>
    <comment ref="B40" authorId="0" shapeId="0" xr:uid="{00000000-0006-0000-0F00-00000C000000}">
      <text>
        <r>
          <rPr>
            <b/>
            <sz val="9"/>
            <color indexed="81"/>
            <rFont val="Segoe UI"/>
            <family val="2"/>
          </rPr>
          <t>USER1:</t>
        </r>
        <r>
          <rPr>
            <sz val="9"/>
            <color indexed="81"/>
            <rFont val="Segoe UI"/>
            <family val="2"/>
          </rPr>
          <t xml:space="preserve">
Je potrebné stanoviť dĺžku trvania danej podpornej oblasti projektu, pričom následne sa táto hodnota využije na definovanie počtu MDs pre danú pozíciu na oblasti.</t>
        </r>
      </text>
    </comment>
    <comment ref="F40" authorId="0" shapeId="0" xr:uid="{00000000-0006-0000-0F00-00000D000000}">
      <text>
        <r>
          <rPr>
            <b/>
            <sz val="9"/>
            <color indexed="81"/>
            <rFont val="Segoe UI"/>
            <family val="2"/>
          </rPr>
          <t>USER1:</t>
        </r>
        <r>
          <rPr>
            <sz val="9"/>
            <color indexed="81"/>
            <rFont val="Segoe UI"/>
            <family val="2"/>
          </rPr>
          <t xml:space="preserve">
Je potrebné vybrať pozície, ktoré sa na danej podpornej oblasti budú podieľať. Výber je z preddefinovaného číselníka pozícií.</t>
        </r>
      </text>
    </comment>
    <comment ref="J40" authorId="0" shapeId="0" xr:uid="{00000000-0006-0000-0F00-00000E000000}">
      <text>
        <r>
          <rPr>
            <b/>
            <sz val="9"/>
            <color indexed="81"/>
            <rFont val="Segoe UI"/>
            <family val="2"/>
          </rPr>
          <t>USER1:</t>
        </r>
        <r>
          <rPr>
            <sz val="9"/>
            <color indexed="81"/>
            <rFont val="Segoe UI"/>
            <family val="2"/>
          </rPr>
          <t xml:space="preserve">
Jedná sa o stanovenie alokácie danej pozície na podpornej oblasti vyjadrenej FTE (full time equvivalent)
Ak požadujem napr.:
 - 1 PM IT projektu aby sa venoval riadeniu na 50%, tak v bunke sa uvedie hodnota 0,5.
 - 2 Finančných manažérov, pričom jeden bude FULL TIME a druhý na 50%, počas trvania podpornej oblasti, uvedie sa hodnota 1,5 
a pod.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USER1</author>
    <author>Bederka Andrej</author>
  </authors>
  <commentList>
    <comment ref="Q1" authorId="0" shapeId="0" xr:uid="{DF5C1B31-6D06-824A-AA85-23799DB889D5}">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určiť hodnotu odvodoveho koeficientu zamestnávateľa - napr. 0,3595 (ak neprispieva do garančného fondu), alebo 0,362 (ak prispieva do garančného fondu), alebo iné - podľa typu zamestnaneckého pomeru</t>
        </r>
      </text>
    </comment>
    <comment ref="Q2" authorId="0" shapeId="0" xr:uid="{A4EC6D63-D597-714F-9D85-5814F75F5BD9}">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možné stanoviť % odmeny z hrubej mzdy.
</t>
        </r>
        <r>
          <rPr>
            <sz val="9"/>
            <color rgb="FF000000"/>
            <rFont val="Segoe UI"/>
            <family val="2"/>
            <charset val="1"/>
          </rPr>
          <t xml:space="preserve">V prípade projektov z PSK sú odmeny súčasťou maximálnej hod. sadzby (nie je možné využiť túto formu uplatnenia). 
</t>
        </r>
        <r>
          <rPr>
            <sz val="9"/>
            <color rgb="FF000000"/>
            <rFont val="Segoe UI"/>
            <family val="2"/>
            <charset val="1"/>
          </rPr>
          <t xml:space="preserve">Hodnota by nemala vybočovať s štandardov v danej organizácií pre obdobné pozície. 
</t>
        </r>
      </text>
    </comment>
    <comment ref="A3" authorId="0" shapeId="0" xr:uid="{00000000-0006-0000-1000-000003000000}">
      <text>
        <r>
          <rPr>
            <b/>
            <sz val="9"/>
            <color indexed="81"/>
            <rFont val="Segoe UI"/>
            <family val="2"/>
          </rPr>
          <t>USER1:</t>
        </r>
        <r>
          <rPr>
            <sz val="9"/>
            <color indexed="81"/>
            <rFont val="Segoe UI"/>
            <family val="2"/>
          </rPr>
          <t xml:space="preserve">
V tejto záložke má možnosť klient naplánovať interné zdroje na projekt, pričom sa jedná o pridelenie pozícií k danej etape projektu alebo podpornej oblasti projektu a stanovenie ich utilizácie na danej etape alebo oblasti.</t>
        </r>
      </text>
    </comment>
    <comment ref="B3" authorId="0" shapeId="0" xr:uid="{00000000-0006-0000-1000-000004000000}">
      <text>
        <r>
          <rPr>
            <b/>
            <sz val="9"/>
            <color rgb="FF000000"/>
            <rFont val="Segoe UI"/>
            <family val="2"/>
            <charset val="1"/>
          </rPr>
          <t>USER1:</t>
        </r>
        <r>
          <rPr>
            <sz val="9"/>
            <color rgb="FF000000"/>
            <rFont val="Segoe UI"/>
            <family val="2"/>
            <charset val="1"/>
          </rPr>
          <t xml:space="preserve">
Je potrebné stanoviť dĺžku trvania danej etapy projektu alebo podpornej oblasti projektu, pričom následne sa táto hodnota využije na definovanie počtu MDs pre danú pozíciu na etape alebo oblasti.</t>
        </r>
      </text>
    </comment>
    <comment ref="C3" authorId="0" shapeId="0" xr:uid="{00000000-0006-0000-10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Ide o sumár počtu MDs pre danú etapu projektu alebo podpornú oblasť projektu za všetky pozície</t>
        </r>
      </text>
    </comment>
    <comment ref="D3" authorId="0" shapeId="0" xr:uid="{00000000-0006-0000-10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Táto hodnota sa použie na rozloženie nákladov na moduly v záložke Rozpočet - vyvoj aplikácie</t>
        </r>
      </text>
    </comment>
    <comment ref="E3" authorId="0" shapeId="0" xr:uid="{00000000-0006-0000-1000-000007000000}">
      <text>
        <r>
          <rPr>
            <b/>
            <sz val="9"/>
            <color rgb="FF000000"/>
            <rFont val="Segoe UI"/>
            <family val="2"/>
            <charset val="1"/>
          </rPr>
          <t>USER1:</t>
        </r>
        <r>
          <rPr>
            <sz val="9"/>
            <color rgb="FF000000"/>
            <rFont val="Segoe UI"/>
            <family val="2"/>
            <charset val="1"/>
          </rPr>
          <t xml:space="preserve">
Je potrebné vybrať pozície, ktoré sa na danej etape projektu alebo podpornej oblasti projektu budú podieľať. Výber je z preddefinovaného číselníka pozícií, ktorý je možné dopĺňať podľa potreby o pozície, ktoré nie sú štandardizovane pomenované.</t>
        </r>
      </text>
    </comment>
    <comment ref="F3" authorId="0" shapeId="0" xr:uid="{00000000-0006-0000-10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Jedná sa o stanovenie alokácie danej pozície na etape projektu alebo podpornej oblasti projektu vyjadrenej v honote % z jej 100% pracovnej náplne.
</t>
        </r>
        <r>
          <rPr>
            <sz val="9"/>
            <color rgb="FF000000"/>
            <rFont val="Segoe UI"/>
            <family val="2"/>
            <charset val="1"/>
          </rPr>
          <t xml:space="preserve">
</t>
        </r>
        <r>
          <rPr>
            <sz val="9"/>
            <color rgb="FF000000"/>
            <rFont val="Segoe UI"/>
            <family val="2"/>
            <charset val="1"/>
          </rPr>
          <t>Ak mám napr. IT architekta a chcem aby sa podieľal na analýze svojimi 30 % tak uvedená hodnota bude 30%</t>
        </r>
      </text>
    </comment>
    <comment ref="G3" authorId="0" shapeId="0" xr:uid="{00000000-0006-0000-1000-000009000000}">
      <text>
        <r>
          <rPr>
            <b/>
            <sz val="9"/>
            <color indexed="81"/>
            <rFont val="Segoe UI"/>
            <family val="2"/>
          </rPr>
          <t>USER1:</t>
        </r>
        <r>
          <rPr>
            <sz val="9"/>
            <color indexed="81"/>
            <rFont val="Segoe UI"/>
            <family val="2"/>
          </rPr>
          <t xml:space="preserve">
Jedná sa o počet MDs danej pozície na etape projektu alebo podpornej oblasti projektu, vypočítanej ako počet pozícií * trvanie etapy alebo oblasti * % utilizácie na projekte * 20 dní v mesiaci</t>
        </r>
      </text>
    </comment>
    <comment ref="M3" authorId="0" shapeId="0" xr:uid="{00000000-0006-0000-1000-00000A000000}">
      <text>
        <r>
          <rPr>
            <b/>
            <sz val="9"/>
            <color indexed="81"/>
            <rFont val="Segoe UI"/>
            <family val="2"/>
          </rPr>
          <t>USER1:</t>
        </r>
        <r>
          <rPr>
            <sz val="9"/>
            <color indexed="81"/>
            <rFont val="Segoe UI"/>
            <family val="2"/>
          </rPr>
          <t xml:space="preserve">
Jedná sa o preddefinovaný číselník pozícií, ktorý je možné doplniť v prípade potreby o špecifické pozície</t>
        </r>
      </text>
    </comment>
    <comment ref="O3" authorId="0" shapeId="0" xr:uid="{00000000-0006-0000-1000-00000B000000}">
      <text>
        <r>
          <rPr>
            <b/>
            <sz val="9"/>
            <color indexed="81"/>
            <rFont val="Segoe UI"/>
            <family val="2"/>
          </rPr>
          <t>USER1:</t>
        </r>
        <r>
          <rPr>
            <sz val="9"/>
            <color indexed="81"/>
            <rFont val="Segoe UI"/>
            <family val="2"/>
          </rPr>
          <t xml:space="preserve">
Jedná sa o stanovenie počtu pozícii, ktoré na projekte budú participovať. Napr. budeme mať 2 Analytikov a 1 IT Architekta</t>
        </r>
      </text>
    </comment>
    <comment ref="P3" authorId="0" shapeId="0" xr:uid="{00000000-0006-0000-1000-00000C000000}">
      <text>
        <r>
          <rPr>
            <b/>
            <sz val="9"/>
            <color indexed="81"/>
            <rFont val="Segoe UI"/>
            <family val="2"/>
          </rPr>
          <t>USER1:</t>
        </r>
        <r>
          <rPr>
            <sz val="9"/>
            <color indexed="81"/>
            <rFont val="Segoe UI"/>
            <family val="2"/>
          </rPr>
          <t xml:space="preserve">
Jedná sa o stanovenie osobných hodinových nákladov na danú pozíciu. Teda o tzv. suberhrubú mzdu, ktorá zohľadňuje aj náklady na strane zamestanávateľa.
Hodnota by nemala vybočovať so štandardizovaných osobných nákladov v danej organizácií pre obdobené pozície. 
Rovnako by nemala presiahnúť stanovené limity v zmysle metodickej príručky, ak sa jedná o EŠIF projekty.</t>
        </r>
      </text>
    </comment>
    <comment ref="U3" authorId="0" shapeId="0" xr:uid="{00000000-0006-0000-1000-00000D000000}">
      <text>
        <r>
          <rPr>
            <b/>
            <sz val="9"/>
            <color indexed="81"/>
            <rFont val="Segoe UI"/>
            <family val="2"/>
          </rPr>
          <t>USER1:</t>
        </r>
        <r>
          <rPr>
            <sz val="9"/>
            <color indexed="81"/>
            <rFont val="Segoe UI"/>
            <family val="2"/>
          </rPr>
          <t xml:space="preserve">
Jedná sa o maximálnu možnú sadzbu v zmysle príručky pre žiadateľov PSK, ktorá je nasledovná:
 - hlavné etapy
       - 25€/hodina - hrubá mzda (vrátane prípadnej odmeny)
 - podporne oblasti - odporúčaná max 15 €/hodina - hrubá mzda (pri projektoch mimo PSK). Pri projektoch PSK sú uplatňované paušálne výdavky.</t>
        </r>
      </text>
    </comment>
    <comment ref="O71" authorId="1" shapeId="0" xr:uid="{613319FD-B2A4-6942-88F2-1F1E263905E1}">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100-000001000000}">
      <text>
        <r>
          <rPr>
            <b/>
            <sz val="9"/>
            <color indexed="81"/>
            <rFont val="Segoe UI"/>
            <family val="2"/>
          </rPr>
          <t>USER1:</t>
        </r>
        <r>
          <rPr>
            <sz val="9"/>
            <color indexed="81"/>
            <rFont val="Segoe UI"/>
            <family val="2"/>
          </rPr>
          <t xml:space="preserve">
Je potrebné vybrať modul, pre ktorý boli definované náklady na vývoj aplikácie. 
Každý modul je potrebné priradiť ku všetkým etapám projektu. 
Následne budú všetky nákaldy na moduly prepočítané ako pre:
 - interné zdroje - cez váhu nákladov modulov na celkových odhadovanýych nákladoch vývoja aplikácií
 - externé zdroje - rovnako cez váhu modulov na projekte</t>
        </r>
      </text>
    </comment>
    <comment ref="D2" authorId="0" shapeId="0" xr:uid="{00000000-0006-0000-1100-000002000000}">
      <text>
        <r>
          <rPr>
            <b/>
            <sz val="9"/>
            <color indexed="81"/>
            <rFont val="Segoe UI"/>
            <family val="2"/>
          </rPr>
          <t>USER1:</t>
        </r>
        <r>
          <rPr>
            <sz val="9"/>
            <color indexed="81"/>
            <rFont val="Segoe UI"/>
            <family val="2"/>
          </rPr>
          <t xml:space="preserve">
V prípade potreby možno doplniť detailizáciu pre daný modul a danú etapu</t>
        </r>
      </text>
    </comment>
    <comment ref="K2" authorId="0" shapeId="0" xr:uid="{00000000-0006-0000-1100-000003000000}">
      <text>
        <r>
          <rPr>
            <b/>
            <sz val="9"/>
            <color indexed="81"/>
            <rFont val="Segoe UI"/>
            <family val="2"/>
          </rPr>
          <t>USER1:</t>
        </r>
        <r>
          <rPr>
            <sz val="9"/>
            <color indexed="81"/>
            <rFont val="Segoe UI"/>
            <family val="2"/>
          </rPr>
          <t xml:space="preserve">
Náklady sú následne transformované do záložky TCO TO BE - SW do časti vývoj aplikácií</t>
        </r>
      </text>
    </comment>
    <comment ref="L2" authorId="0" shapeId="0" xr:uid="{00000000-0006-0000-1100-000004000000}">
      <text>
        <r>
          <rPr>
            <b/>
            <sz val="9"/>
            <color indexed="81"/>
            <rFont val="Segoe UI"/>
            <family val="2"/>
          </rPr>
          <t>USER1:</t>
        </r>
        <r>
          <rPr>
            <sz val="9"/>
            <color indexed="81"/>
            <rFont val="Segoe UI"/>
            <family val="2"/>
          </rPr>
          <t xml:space="preserve">
V prípade potreby je možné doplniť potrebné poznámky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13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Pre každú zadefinovanú položku je potrebné stanoviť aj modul, pre ktorý je daná položka plánovaná.</t>
        </r>
      </text>
    </comment>
    <comment ref="B2" authorId="0" shapeId="0" xr:uid="{00000000-0006-0000-13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pomenovať položku, ktorá bude predmetom dodávky</t>
        </r>
      </text>
    </comment>
    <comment ref="C2" authorId="0" shapeId="0" xr:uid="{00000000-0006-0000-1300-000003000000}">
      <text>
        <r>
          <rPr>
            <b/>
            <sz val="9"/>
            <color indexed="81"/>
            <rFont val="Segoe UI"/>
            <family val="2"/>
          </rPr>
          <t>USER1:</t>
        </r>
        <r>
          <rPr>
            <sz val="9"/>
            <color indexed="81"/>
            <rFont val="Segoe UI"/>
            <family val="2"/>
          </rPr>
          <t xml:space="preserve">
Je potrebné vybrať z nasledovných možností, aby sa dali náklady transformovať následne do príslušných zošitov:
 - HW - TCO TO BE - HW
 - SW pre HW - TCO TO BE - HW
 - SW - TCO TO BE - SW</t>
        </r>
      </text>
    </comment>
    <comment ref="D2" authorId="0" shapeId="0" xr:uid="{00000000-0006-0000-13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Účtovná položka slúži na správne zaradenie nákladov podľa účtových položiek to TCO TO BE - SW alebo TCO TO BE - HW.
</t>
        </r>
        <r>
          <rPr>
            <sz val="9"/>
            <color rgb="FF000000"/>
            <rFont val="Segoe UI"/>
            <family val="2"/>
            <charset val="1"/>
          </rPr>
          <t xml:space="preserve">
</t>
        </r>
        <r>
          <rPr>
            <sz val="9"/>
            <color rgb="FF000000"/>
            <rFont val="Segoe UI"/>
            <family val="2"/>
            <charset val="1"/>
          </rPr>
          <t xml:space="preserve">Pre TCO TO BE - HW použite položky 022 a 112
</t>
        </r>
        <r>
          <rPr>
            <sz val="9"/>
            <color rgb="FF000000"/>
            <rFont val="Segoe UI"/>
            <family val="2"/>
            <charset val="1"/>
          </rPr>
          <t>Pre TCO TO BE - SW použitie položku 013</t>
        </r>
      </text>
    </comment>
    <comment ref="E2" authorId="0" shapeId="0" xr:uid="{00000000-0006-0000-1300-000005000000}">
      <text>
        <r>
          <rPr>
            <b/>
            <sz val="9"/>
            <color indexed="81"/>
            <rFont val="Segoe UI"/>
            <family val="2"/>
          </rPr>
          <t>USER1:</t>
        </r>
        <r>
          <rPr>
            <sz val="9"/>
            <color indexed="81"/>
            <rFont val="Segoe UI"/>
            <family val="2"/>
          </rPr>
          <t xml:space="preserve">
Predstavuje mernú jednotku pre danú položku - väčšinou sa jedná o takú jednotku na ktorú je viazaná cenotvorba</t>
        </r>
      </text>
    </comment>
    <comment ref="F2" authorId="0" shapeId="0" xr:uid="{00000000-0006-0000-1300-000006000000}">
      <text>
        <r>
          <rPr>
            <b/>
            <sz val="9"/>
            <color indexed="81"/>
            <rFont val="Segoe UI"/>
            <family val="2"/>
          </rPr>
          <t>USER1:</t>
        </r>
        <r>
          <rPr>
            <sz val="9"/>
            <color indexed="81"/>
            <rFont val="Segoe UI"/>
            <family val="2"/>
          </rPr>
          <t xml:space="preserve">
Stanovíte počet jednotiek danej položky</t>
        </r>
      </text>
    </comment>
    <comment ref="G2" authorId="0" shapeId="0" xr:uid="{00000000-0006-0000-1300-000007000000}">
      <text>
        <r>
          <rPr>
            <b/>
            <sz val="9"/>
            <color indexed="81"/>
            <rFont val="Segoe UI"/>
            <family val="2"/>
          </rPr>
          <t>USER1:</t>
        </r>
        <r>
          <rPr>
            <sz val="9"/>
            <color indexed="81"/>
            <rFont val="Segoe UI"/>
            <family val="2"/>
          </rPr>
          <t xml:space="preserve">
Predstavuje rok, v ktorom by mali byť položky dodané. 
Na základe stanoveného roku sa naplánujú aj predmetné náklady do daného roku.
Jedná sa o stanovenie císelnej hodnoty od 1 - 10, ktora predstavuje rok trvania projektu v ktoriom sa doda predmetná položka - viď. metodika</t>
        </r>
      </text>
    </comment>
    <comment ref="H2" authorId="0" shapeId="0" xr:uid="{00000000-0006-0000-13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jednotkovej ceny danej položky, ktorá vstupuje do celkových nákladov danej položky</t>
        </r>
      </text>
    </comment>
    <comment ref="J2" authorId="0" shapeId="0" xr:uid="{00000000-0006-0000-1300-000009000000}">
      <text>
        <r>
          <rPr>
            <b/>
            <sz val="9"/>
            <color indexed="81"/>
            <rFont val="Segoe UI"/>
            <family val="2"/>
          </rPr>
          <t>USER1:</t>
        </r>
        <r>
          <rPr>
            <sz val="9"/>
            <color indexed="81"/>
            <rFont val="Segoe UI"/>
            <family val="2"/>
          </rPr>
          <t xml:space="preserve">
Je potrebné jasne stanoviť z akého zdroja boli ceny prebraté. Väčšinou sa jedná či už o existujúce zmluvy alebo o prieskum trhu alebo o cenníkové ceny potenciálneho dodávateľa a pod.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400-000001000000}">
      <text>
        <r>
          <rPr>
            <b/>
            <sz val="9"/>
            <color indexed="81"/>
            <rFont val="Segoe UI"/>
            <family val="2"/>
          </rPr>
          <t>USER1:</t>
        </r>
        <r>
          <rPr>
            <sz val="9"/>
            <color indexed="81"/>
            <rFont val="Segoe UI"/>
            <family val="2"/>
          </rPr>
          <t xml:space="preserve">
Táto záložka slúži na vytvorenie relatívne rýchleho harmonogramu projektu cez mesiace trvania etáp a jeho gantovej podoby.
V prvom momente je potrebné vybrať moduly pre ktoré sa harmonogram tvorí.</t>
        </r>
      </text>
    </comment>
    <comment ref="D2" authorId="0" shapeId="0" xr:uid="{00000000-0006-0000-1400-000002000000}">
      <text>
        <r>
          <rPr>
            <b/>
            <sz val="9"/>
            <color indexed="81"/>
            <rFont val="Segoe UI"/>
            <family val="2"/>
          </rPr>
          <t>USER1:</t>
        </r>
        <r>
          <rPr>
            <sz val="9"/>
            <color indexed="81"/>
            <rFont val="Segoe UI"/>
            <family val="2"/>
          </rPr>
          <t xml:space="preserve">
Po výbere modulu sa dotiahne príslušný inkrement, v ktorom má byť modul dodaný aj s dátumom začiatku a konca daného inkrementu.</t>
        </r>
      </text>
    </comment>
    <comment ref="G2" authorId="0" shapeId="0" xr:uid="{00000000-0006-0000-1400-000003000000}">
      <text>
        <r>
          <rPr>
            <b/>
            <sz val="9"/>
            <color indexed="81"/>
            <rFont val="Segoe UI"/>
            <family val="2"/>
          </rPr>
          <t>USER1:</t>
        </r>
        <r>
          <rPr>
            <sz val="9"/>
            <color indexed="81"/>
            <rFont val="Segoe UI"/>
            <family val="2"/>
          </rPr>
          <t xml:space="preserve">
Pre každý inkrement sa stanoví začiatočný mesiac inkrementu z pohľadu celého projektu.
Pre daľšie etapy projektu je potrebné zvoliť ich začiatočný mesiac (od začiatku projektu)</t>
        </r>
      </text>
    </comment>
    <comment ref="H2" authorId="0" shapeId="0" xr:uid="{00000000-0006-0000-1400-000004000000}">
      <text>
        <r>
          <rPr>
            <b/>
            <sz val="9"/>
            <color indexed="81"/>
            <rFont val="Segoe UI"/>
            <family val="2"/>
          </rPr>
          <t>USER1:</t>
        </r>
        <r>
          <rPr>
            <sz val="9"/>
            <color indexed="81"/>
            <rFont val="Segoe UI"/>
            <family val="2"/>
          </rPr>
          <t xml:space="preserve">
Jedná sa o technický parameter pre potreby Gant Chartu</t>
        </r>
      </text>
    </comment>
    <comment ref="I2" authorId="0" shapeId="0" xr:uid="{00000000-0006-0000-1400-000005000000}">
      <text>
        <r>
          <rPr>
            <b/>
            <sz val="9"/>
            <color indexed="81"/>
            <rFont val="Segoe UI"/>
            <family val="2"/>
          </rPr>
          <t>USER1:</t>
        </r>
        <r>
          <rPr>
            <sz val="9"/>
            <color indexed="81"/>
            <rFont val="Segoe UI"/>
            <family val="2"/>
          </rPr>
          <t xml:space="preserve">
Pre každú etapu projektu (orekm poslednej - ta je dopočítaná automaticky) je ptorebné stanoviť dobu trvania v mesiacoch.</t>
        </r>
      </text>
    </comment>
    <comment ref="J2" authorId="0" shapeId="0" xr:uid="{00000000-0006-0000-1400-000006000000}">
      <text>
        <r>
          <rPr>
            <b/>
            <sz val="9"/>
            <color indexed="81"/>
            <rFont val="Segoe UI"/>
            <family val="2"/>
          </rPr>
          <t>USER1:</t>
        </r>
        <r>
          <rPr>
            <sz val="9"/>
            <color indexed="81"/>
            <rFont val="Segoe UI"/>
            <family val="2"/>
          </rPr>
          <t xml:space="preserve">
Koniec danej etapy je prepočítaný na základe hodnoty Start a Trvanie.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1800-000001000000}">
      <text>
        <r>
          <rPr>
            <b/>
            <sz val="9"/>
            <color indexed="81"/>
            <rFont val="Segoe UI"/>
            <family val="2"/>
          </rPr>
          <t>USER1:</t>
        </r>
        <r>
          <rPr>
            <sz val="9"/>
            <color indexed="81"/>
            <rFont val="Segoe UI"/>
            <family val="2"/>
          </rPr>
          <t xml:space="preserve">
Do tejto často sa transformujú náklady zo záložky Rozpočet - HW a licencie označené ako SW.
Pričom sú kalkulované v roku dodania danej položky.</t>
        </r>
      </text>
    </comment>
    <comment ref="A16" authorId="0" shapeId="0" xr:uid="{00000000-0006-0000-1800-000002000000}">
      <text>
        <r>
          <rPr>
            <b/>
            <sz val="9"/>
            <color indexed="81"/>
            <rFont val="Segoe UI"/>
            <family val="2"/>
          </rPr>
          <t>USER1:</t>
        </r>
        <r>
          <rPr>
            <sz val="9"/>
            <color indexed="81"/>
            <rFont val="Segoe UI"/>
            <family val="2"/>
          </rPr>
          <t xml:space="preserve">
Túto sekciu je potrebné vyplniť v prípade potreby manuálne</t>
        </r>
      </text>
    </comment>
    <comment ref="A26" authorId="0" shapeId="0" xr:uid="{00000000-0006-0000-1800-000003000000}">
      <text>
        <r>
          <rPr>
            <b/>
            <sz val="9"/>
            <color indexed="81"/>
            <rFont val="Segoe UI"/>
            <family val="2"/>
          </rPr>
          <t>USER1:</t>
        </r>
        <r>
          <rPr>
            <sz val="9"/>
            <color indexed="81"/>
            <rFont val="Segoe UI"/>
            <family val="2"/>
          </rPr>
          <t xml:space="preserve">
Túto sekciu je potrebné vyplniť v prípade potreby manuálne</t>
        </r>
      </text>
    </comment>
    <comment ref="A37" authorId="0" shapeId="0" xr:uid="{00000000-0006-0000-1800-000004000000}">
      <text>
        <r>
          <rPr>
            <b/>
            <sz val="9"/>
            <color indexed="81"/>
            <rFont val="Segoe UI"/>
            <family val="2"/>
          </rPr>
          <t>USER1:</t>
        </r>
        <r>
          <rPr>
            <sz val="9"/>
            <color indexed="81"/>
            <rFont val="Segoe UI"/>
            <family val="2"/>
          </rPr>
          <t xml:space="preserve">
Do tejto sekcie sa pre jednotlivé moduly transformujú náklady z Rozpocet - Vyvoj aplikacii, pričom sú kalkulované v roku, kedy končí inkrement, do ktorého je modul zaradený</t>
        </r>
      </text>
    </comment>
    <comment ref="A47" authorId="0" shapeId="0" xr:uid="{00000000-0006-0000-1800-000005000000}">
      <text>
        <r>
          <rPr>
            <b/>
            <sz val="9"/>
            <color indexed="81"/>
            <rFont val="Segoe UI"/>
            <family val="2"/>
          </rPr>
          <t>USER1:</t>
        </r>
        <r>
          <rPr>
            <sz val="9"/>
            <color indexed="81"/>
            <rFont val="Segoe UI"/>
            <family val="2"/>
          </rPr>
          <t xml:space="preserve">
Túto sekciu je potrebné vyplniť v prípade potreby manuálne</t>
        </r>
      </text>
    </comment>
    <comment ref="A57" authorId="0" shapeId="0" xr:uid="{00000000-0006-0000-1800-000006000000}">
      <text>
        <r>
          <rPr>
            <b/>
            <sz val="9"/>
            <color indexed="81"/>
            <rFont val="Segoe UI"/>
            <family val="2"/>
          </rPr>
          <t>USER1:</t>
        </r>
        <r>
          <rPr>
            <sz val="9"/>
            <color indexed="81"/>
            <rFont val="Segoe UI"/>
            <family val="2"/>
          </rPr>
          <t xml:space="preserve">
Do tejto seckcie sa transformujú náklady definované v časti POZICIE_INTERNE a to z hlavných etapách (Analýa a dizajn, Implementácia a nasadenie, Testovanie).
Rovnako sú kalkulované do roku ukončenia príslušného inkrementu.</t>
        </r>
      </text>
    </comment>
    <comment ref="A67" authorId="0" shapeId="0" xr:uid="{00000000-0006-0000-1800-000007000000}">
      <text>
        <r>
          <rPr>
            <b/>
            <sz val="9"/>
            <color indexed="81"/>
            <rFont val="Segoe UI"/>
            <family val="2"/>
          </rPr>
          <t>USER1:</t>
        </r>
        <r>
          <rPr>
            <sz val="9"/>
            <color indexed="81"/>
            <rFont val="Segoe UI"/>
            <family val="2"/>
          </rPr>
          <t xml:space="preserve">
Túto sekciu je potrebné vyplniť v prípade potreby manuálne</t>
        </r>
      </text>
    </comment>
    <comment ref="A79" authorId="0" shapeId="0" xr:uid="{00000000-0006-0000-18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Táto sekcia počíta náklady ako obstarávacia hodnota SW produktov (013 Softvér) * hodnota supportov pre daný modul stanovená v záložke MODULY
</t>
        </r>
        <r>
          <rPr>
            <sz val="9"/>
            <color rgb="FF000000"/>
            <rFont val="Segoe UI"/>
            <family val="2"/>
            <charset val="1"/>
          </rPr>
          <t xml:space="preserve">
</t>
        </r>
        <r>
          <rPr>
            <sz val="9"/>
            <color rgb="FF000000"/>
            <rFont val="Segoe UI"/>
            <family val="2"/>
            <charset val="1"/>
          </rPr>
          <t xml:space="preserve">Kalkulácia začína rokom uvedeným ako začiatok podpory / supportu pre daný modul  v záložke MODULY
</t>
        </r>
        <r>
          <rPr>
            <sz val="9"/>
            <color rgb="FF000000"/>
            <rFont val="Segoe UI"/>
            <family val="2"/>
            <charset val="1"/>
          </rPr>
          <t xml:space="preserve">
</t>
        </r>
        <r>
          <rPr>
            <sz val="9"/>
            <color rgb="FF000000"/>
            <rFont val="Segoe UI"/>
            <family val="2"/>
            <charset val="1"/>
          </rPr>
          <t>Náklady sú rozložené podľa váhy modulov.</t>
        </r>
      </text>
    </comment>
    <comment ref="A89" authorId="0" shapeId="0" xr:uid="{00000000-0006-0000-1800-000009000000}">
      <text>
        <r>
          <rPr>
            <b/>
            <sz val="9"/>
            <color indexed="81"/>
            <rFont val="Segoe UI"/>
            <family val="2"/>
          </rPr>
          <t>USER1:</t>
        </r>
        <r>
          <rPr>
            <sz val="9"/>
            <color indexed="81"/>
            <rFont val="Segoe UI"/>
            <family val="2"/>
          </rPr>
          <t xml:space="preserve">
Táto sekcia počíta náklady ako obstarávacia hodnota SW produktov (013 Softvér) * hodnota Rovzoja pre daný modul stanovená v záložke MODULY
Kalkulácia začína rokom uvedeným ako začiatok podpory / supportu pre daný modul  v záložke MODULY
Náklady sú rozložené podľa váhy modulov.</t>
        </r>
      </text>
    </comment>
    <comment ref="A100" authorId="0" shapeId="0" xr:uid="{00000000-0006-0000-1800-00000A000000}">
      <text>
        <r>
          <rPr>
            <b/>
            <sz val="9"/>
            <color indexed="81"/>
            <rFont val="Segoe UI"/>
            <family val="2"/>
          </rPr>
          <t>USER1:</t>
        </r>
        <r>
          <rPr>
            <sz val="9"/>
            <color indexed="81"/>
            <rFont val="Segoe UI"/>
            <family val="2"/>
          </rPr>
          <t xml:space="preserve">
Táto sekcia počíta náklady ako obstarávacia hodnota Aplikácií (013 Softvér) * hodnota Aplikačnej podpory pre daný modul stanovená v záložke MODULY
Kalkulácia začína rokom uvedeným ako začiatok podpory / supportu pre daný modul  v záložke MODULY
Náklady sú rozložené podľa váhy modulov.</t>
        </r>
      </text>
    </comment>
    <comment ref="A110" authorId="0" shapeId="0" xr:uid="{00000000-0006-0000-1800-00000B000000}">
      <text>
        <r>
          <rPr>
            <b/>
            <sz val="9"/>
            <color indexed="81"/>
            <rFont val="Segoe UI"/>
            <family val="2"/>
          </rPr>
          <t>USER1:</t>
        </r>
        <r>
          <rPr>
            <sz val="9"/>
            <color indexed="81"/>
            <rFont val="Segoe UI"/>
            <family val="2"/>
          </rPr>
          <t xml:space="preserve">
Túto sekciu je potrebné vyplniť v prípade potreby manuálne</t>
        </r>
      </text>
    </comment>
    <comment ref="A120" authorId="0" shapeId="0" xr:uid="{00000000-0006-0000-1800-00000C000000}">
      <text>
        <r>
          <rPr>
            <b/>
            <sz val="9"/>
            <color indexed="81"/>
            <rFont val="Segoe UI"/>
            <family val="2"/>
          </rPr>
          <t>USER1:</t>
        </r>
        <r>
          <rPr>
            <sz val="9"/>
            <color indexed="81"/>
            <rFont val="Segoe UI"/>
            <family val="2"/>
          </rPr>
          <t xml:space="preserve">
Táto sekcia počíta náklady ako obstarávacia hodnota Aplikácií (013 Softvér) * hodnota Rozvoja pre daný modul stanovená v záložke MODULY
Kalkulácia začína rokom uvedeným ako začiatok podpory / supportu pre daný modul  v záložke MODULY
Náklady sú rozložené podľa váhy modulov.</t>
        </r>
      </text>
    </comment>
    <comment ref="A130" authorId="0" shapeId="0" xr:uid="{00000000-0006-0000-1800-00000D000000}">
      <text>
        <r>
          <rPr>
            <b/>
            <sz val="9"/>
            <color indexed="81"/>
            <rFont val="Segoe UI"/>
            <family val="2"/>
          </rPr>
          <t>USER1:</t>
        </r>
        <r>
          <rPr>
            <sz val="9"/>
            <color indexed="81"/>
            <rFont val="Segoe UI"/>
            <family val="2"/>
          </rPr>
          <t xml:space="preserve">
Túto sekciu je potrebné vyplniť v prípade potreby manuálne</t>
        </r>
      </text>
    </comment>
    <comment ref="A140" authorId="0" shapeId="0" xr:uid="{00000000-0006-0000-1800-00000E000000}">
      <text>
        <r>
          <rPr>
            <b/>
            <sz val="9"/>
            <color indexed="81"/>
            <rFont val="Segoe UI"/>
            <family val="2"/>
          </rPr>
          <t>USER1:</t>
        </r>
        <r>
          <rPr>
            <sz val="9"/>
            <color indexed="81"/>
            <rFont val="Segoe UI"/>
            <family val="2"/>
          </rPr>
          <t xml:space="preserve">
Túto sekciu je potrebné vyplniť v prípade potreby manuálne</t>
        </r>
      </text>
    </comment>
    <comment ref="A151" authorId="0" shapeId="0" xr:uid="{00000000-0006-0000-1800-00000F000000}">
      <text>
        <r>
          <rPr>
            <b/>
            <sz val="9"/>
            <color indexed="81"/>
            <rFont val="Segoe UI"/>
            <family val="2"/>
          </rPr>
          <t>USER1:</t>
        </r>
        <r>
          <rPr>
            <sz val="9"/>
            <color indexed="81"/>
            <rFont val="Segoe UI"/>
            <family val="2"/>
          </rPr>
          <t xml:space="preserve">
Táto sekcia je predvyplnená na základe údajov uvedených v záložke POZICIE_INTERNE z podpornej oblasti projektové riadenie.
Náklady sú kalkulované na základe váh jednotlivých modulov ako aj dĺžky trvania projektu v jednotlivých rokoch.
V prípade, ak by bolo projektové riadenie zabezpečované externými zdrojmi, je potrebné manuálne doplniť tieto údaje</t>
        </r>
      </text>
    </comment>
    <comment ref="A161" authorId="0" shapeId="0" xr:uid="{00000000-0006-0000-1800-000010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72" authorId="0" shapeId="0" xr:uid="{00000000-0006-0000-1800-00001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82" authorId="0" shapeId="0" xr:uid="{00000000-0006-0000-1800-00001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5" authorId="0" shapeId="0" xr:uid="{00000000-0006-0000-1900-000001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022 Samostatné hnuteľné veci a súbory hnuteľných vecí
Rok kalkulácie nákladu závisí od roku uvedeného ako rok dodávky daného komponentu</t>
        </r>
      </text>
    </comment>
    <comment ref="A15" authorId="0" shapeId="0" xr:uid="{00000000-0006-0000-1900-000002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112 Zásoby
Rok kalkulácie nákladu závisí od roku uvedeného ako rok dodávky daného komponentu</t>
        </r>
      </text>
    </comment>
    <comment ref="A25" authorId="0" shapeId="0" xr:uid="{00000000-0006-0000-1900-000003000000}">
      <text>
        <r>
          <rPr>
            <b/>
            <sz val="9"/>
            <color indexed="81"/>
            <rFont val="Segoe UI"/>
            <family val="2"/>
          </rPr>
          <t>USER1:</t>
        </r>
        <r>
          <rPr>
            <sz val="9"/>
            <color indexed="81"/>
            <rFont val="Segoe UI"/>
            <family val="2"/>
          </rPr>
          <t xml:space="preserve">
Túto sekciu je potrebné v prípade potreby vyplniť manuálne</t>
        </r>
      </text>
    </comment>
    <comment ref="A35" authorId="0" shapeId="0" xr:uid="{00000000-0006-0000-1900-000004000000}">
      <text>
        <r>
          <rPr>
            <b/>
            <sz val="9"/>
            <color indexed="81"/>
            <rFont val="Segoe UI"/>
            <family val="2"/>
          </rPr>
          <t>USER1:</t>
        </r>
        <r>
          <rPr>
            <sz val="9"/>
            <color indexed="81"/>
            <rFont val="Segoe UI"/>
            <family val="2"/>
          </rPr>
          <t xml:space="preserve">
Túto sekciu je potrebné v prípade potreby vyplniť manuálne
Jedná sa o mzdové výdavky interných pracovíkov, ktoré sú využité na inštalačné práce a pod.</t>
        </r>
      </text>
    </comment>
    <comment ref="A45" authorId="0" shapeId="0" xr:uid="{00000000-0006-0000-1900-000005000000}">
      <text>
        <r>
          <rPr>
            <b/>
            <sz val="9"/>
            <color indexed="81"/>
            <rFont val="Segoe UI"/>
            <family val="2"/>
          </rPr>
          <t>USER1:</t>
        </r>
        <r>
          <rPr>
            <sz val="9"/>
            <color indexed="81"/>
            <rFont val="Segoe UI"/>
            <family val="2"/>
          </rPr>
          <t xml:space="preserve">
Túto sekciu je potrebné v prípade potreby vyplniť manuálne</t>
        </r>
      </text>
    </comment>
    <comment ref="A56" authorId="0" shapeId="0" xr:uid="{00000000-0006-0000-1900-000006000000}">
      <text>
        <r>
          <rPr>
            <b/>
            <sz val="9"/>
            <color indexed="81"/>
            <rFont val="Segoe UI"/>
            <family val="2"/>
          </rPr>
          <t>USER1:</t>
        </r>
        <r>
          <rPr>
            <sz val="9"/>
            <color indexed="81"/>
            <rFont val="Segoe UI"/>
            <family val="2"/>
          </rPr>
          <t xml:space="preserve">
Táto sekcia počíta náklady ako obstarávacia hodnota Nákup, inštalácia a sprevádzkovanie HW 
vrátane systémového SW (022) * hodnota supportov pre daný modul stanovená v záložke MODULY
Kalkulácia začína rokom uvedeným ako začiatok podpory / supportu pre daný modul  v záložke MODULY
Náklady sú rozložené podľa váhy modulov.</t>
        </r>
      </text>
    </comment>
    <comment ref="A66" authorId="0" shapeId="0" xr:uid="{00000000-0006-0000-1900-000007000000}">
      <text>
        <r>
          <rPr>
            <b/>
            <sz val="9"/>
            <color indexed="81"/>
            <rFont val="Segoe UI"/>
            <family val="2"/>
          </rPr>
          <t>USER1:</t>
        </r>
        <r>
          <rPr>
            <sz val="9"/>
            <color indexed="81"/>
            <rFont val="Segoe UI"/>
            <family val="2"/>
          </rPr>
          <t xml:space="preserve">
Túto sekciu je potrebné v prípade potreby vyplniť manuálne</t>
        </r>
      </text>
    </comment>
    <comment ref="A76" authorId="0" shapeId="0" xr:uid="{00000000-0006-0000-1900-000008000000}">
      <text>
        <r>
          <rPr>
            <b/>
            <sz val="9"/>
            <color indexed="81"/>
            <rFont val="Segoe UI"/>
            <family val="2"/>
          </rPr>
          <t>USER1:</t>
        </r>
        <r>
          <rPr>
            <sz val="9"/>
            <color indexed="81"/>
            <rFont val="Segoe UI"/>
            <family val="2"/>
          </rPr>
          <t xml:space="preserve">
Túto sekciu je potrebné v prípade potreby vyplniť manuálne</t>
        </r>
      </text>
    </comment>
    <comment ref="A86" authorId="0" shapeId="0" xr:uid="{00000000-0006-0000-1900-000009000000}">
      <text>
        <r>
          <rPr>
            <b/>
            <sz val="9"/>
            <color indexed="81"/>
            <rFont val="Segoe UI"/>
            <family val="2"/>
          </rPr>
          <t>USER1:</t>
        </r>
        <r>
          <rPr>
            <sz val="9"/>
            <color indexed="81"/>
            <rFont val="Segoe UI"/>
            <family val="2"/>
          </rPr>
          <t xml:space="preserve">
Túto sekciu je potrebné v prípade potreby vyplniť manuálne</t>
        </r>
      </text>
    </comment>
    <comment ref="A96" authorId="0" shapeId="0" xr:uid="{00000000-0006-0000-1900-00000A000000}">
      <text>
        <r>
          <rPr>
            <b/>
            <sz val="9"/>
            <color indexed="81"/>
            <rFont val="Segoe UI"/>
            <family val="2"/>
          </rPr>
          <t>USER1:</t>
        </r>
        <r>
          <rPr>
            <sz val="9"/>
            <color indexed="81"/>
            <rFont val="Segoe UI"/>
            <family val="2"/>
          </rPr>
          <t xml:space="preserve">
Túto sekciu je potrebné v prípade potreby vyplniť manuálne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7" authorId="0" shapeId="0" xr:uid="{00000000-0006-0000-1A00-000001000000}">
      <text>
        <r>
          <rPr>
            <b/>
            <sz val="9"/>
            <color indexed="81"/>
            <rFont val="Segoe UI"/>
            <family val="2"/>
          </rPr>
          <t>USER1:</t>
        </r>
        <r>
          <rPr>
            <sz val="9"/>
            <color indexed="81"/>
            <rFont val="Segoe UI"/>
            <family val="2"/>
          </rPr>
          <t xml:space="preserve">
Potrebné aktualizovať podľa informácii zo SU SR</t>
        </r>
      </text>
    </comment>
    <comment ref="A10" authorId="0" shapeId="0" xr:uid="{00000000-0006-0000-1A00-000002000000}">
      <text>
        <r>
          <rPr>
            <b/>
            <sz val="9"/>
            <color indexed="81"/>
            <rFont val="Segoe UI"/>
            <family val="2"/>
          </rPr>
          <t>USER1:</t>
        </r>
        <r>
          <rPr>
            <sz val="9"/>
            <color indexed="81"/>
            <rFont val="Segoe UI"/>
            <family val="2"/>
          </rPr>
          <t xml:space="preserve">
Potrebné aktualizovať podľa informácii zo SU SR</t>
        </r>
      </text>
    </comment>
    <comment ref="A12" authorId="0" shapeId="0" xr:uid="{00000000-0006-0000-1A00-000003000000}">
      <text>
        <r>
          <rPr>
            <b/>
            <sz val="9"/>
            <color indexed="81"/>
            <rFont val="Segoe UI"/>
            <family val="2"/>
          </rPr>
          <t>USER1:</t>
        </r>
        <r>
          <rPr>
            <sz val="9"/>
            <color indexed="81"/>
            <rFont val="Segoe UI"/>
            <family val="2"/>
          </rPr>
          <t xml:space="preserve">
Potrebne aktualizovať pre daný rok, v ktorom sa plánuje pojekt realizovať</t>
        </r>
      </text>
    </comment>
    <comment ref="A13" authorId="0" shapeId="0" xr:uid="{00000000-0006-0000-1A00-000004000000}">
      <text>
        <r>
          <rPr>
            <b/>
            <sz val="9"/>
            <color indexed="81"/>
            <rFont val="Segoe UI"/>
            <family val="2"/>
          </rPr>
          <t>USER1:</t>
        </r>
        <r>
          <rPr>
            <sz val="9"/>
            <color indexed="81"/>
            <rFont val="Segoe UI"/>
            <family val="2"/>
          </rPr>
          <t xml:space="preserve">
Potrebne aktualizovať pre daný rok, v ktorom sa plánuje pojekt realizovať</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2" authorId="0" shapeId="0" xr:uid="{4F29FF57-D6C8-644E-A202-EF2C17F90A68}">
      <text>
        <r>
          <rPr>
            <b/>
            <sz val="9"/>
            <color indexed="81"/>
            <rFont val="Segoe UI"/>
            <family val="2"/>
          </rPr>
          <t>Autor:</t>
        </r>
        <r>
          <rPr>
            <sz val="9"/>
            <color indexed="81"/>
            <rFont val="Segoe UI"/>
            <family val="2"/>
          </rPr>
          <t xml:space="preserve">
Belasá farba = doplnené vyhodnotenie, alebo určené DODané počty pre účely NP NetAcad</t>
        </r>
      </text>
    </comment>
    <comment ref="Z2" authorId="0" shapeId="0" xr:uid="{E0D07C6D-5FC2-6543-B87F-33A6BB1FC3C5}">
      <text>
        <r>
          <rPr>
            <b/>
            <sz val="9"/>
            <color indexed="81"/>
            <rFont val="Segoe UI"/>
            <family val="2"/>
          </rPr>
          <t>Autor:</t>
        </r>
        <r>
          <rPr>
            <sz val="9"/>
            <color indexed="81"/>
            <rFont val="Segoe UI"/>
            <family val="2"/>
          </rPr>
          <t xml:space="preserve">
Ponuka pedagógov pre projekt vo voľnom čase: Áno1 = overené kvalitné školy, Áno2 = na zváženie</t>
        </r>
      </text>
    </comment>
    <comment ref="AA2" authorId="0" shapeId="0" xr:uid="{9A585CAF-80D0-494A-B481-209EBC654633}">
      <text>
        <r>
          <rPr>
            <b/>
            <sz val="9"/>
            <color indexed="81"/>
            <rFont val="Segoe UI"/>
            <family val="2"/>
            <charset val="238"/>
          </rPr>
          <t>Autor:</t>
        </r>
        <r>
          <rPr>
            <sz val="9"/>
            <color indexed="81"/>
            <rFont val="Segoe UI"/>
            <family val="2"/>
            <charset val="238"/>
          </rPr>
          <t xml:space="preserve">
dodatočné pole podľa štatistiky CISCO - kurzy začaté v roku 2024 a skončené:
-</t>
        </r>
        <r>
          <rPr>
            <b/>
            <sz val="9"/>
            <color indexed="81"/>
            <rFont val="Segoe UI"/>
            <family val="2"/>
            <charset val="238"/>
          </rPr>
          <t xml:space="preserve"> NIE </t>
        </r>
        <r>
          <rPr>
            <sz val="9"/>
            <color indexed="81"/>
            <rFont val="Segoe UI"/>
            <family val="2"/>
            <charset val="238"/>
          </rPr>
          <t>znamená, že škola nepracuje s certifikačnými kurzami cez NetAcad.com = rezerva pre zlepšenie kvality!! možné však je, že využívajú preklady do slovenčiny a tým pádom nezískavajú certifikáty (t.j. vzdelávajú podľa NetAcad, ale nie pod kontrolou CISCO)
- číslo: utilizácia, t.j. ako intenzívne škola používa zdroje pre certifikačné kurzu (v priemere koľko murozv navštívil študent), ak je číslo 1, potom je používanie na základenj úrovni a vlastne nie je kapacita na rozširovanie intenzity (= kvality), max. číslo je 4,22 SPŠE Prešov, optimálne využívanie musíme nastaviť = napr. = 3!</t>
        </r>
      </text>
    </comment>
    <comment ref="AD2" authorId="0" shapeId="0" xr:uid="{78483845-7DFE-BE40-88E1-A63686E4F396}">
      <text>
        <r>
          <rPr>
            <b/>
            <sz val="9"/>
            <color indexed="81"/>
            <rFont val="Segoe UI"/>
            <family val="2"/>
          </rPr>
          <t>Autor:</t>
        </r>
        <r>
          <rPr>
            <sz val="9"/>
            <color indexed="81"/>
            <rFont val="Segoe UI"/>
            <family val="2"/>
          </rPr>
          <t xml:space="preserve">
Každá škola, ktorá bude spolupracovať a pripájať sa do IS NetAcad, okrem pripájania sa výlučne na VIKI, potrebuje vstupný bezpečnostný firewall (asi PaloAlto) - v tomto stĺpci sú jeho počty = to zodpovedá položke 03 NetAcad LAB spoločná komunikačná infraštruktúra</t>
        </r>
      </text>
    </comment>
    <comment ref="BG2" authorId="0" shapeId="0" xr:uid="{8E4A8C08-5AA0-2B4B-95E5-6E974B22FC3A}">
      <text>
        <r>
          <rPr>
            <b/>
            <sz val="9"/>
            <color indexed="81"/>
            <rFont val="Segoe UI"/>
            <family val="2"/>
          </rPr>
          <t>Autor:</t>
        </r>
        <r>
          <rPr>
            <sz val="9"/>
            <color indexed="81"/>
            <rFont val="Segoe UI"/>
            <family val="2"/>
          </rPr>
          <t xml:space="preserve">
Počet pedagógov školy vzdelávajúcich v IKT, informatike, matematike celkom</t>
        </r>
      </text>
    </comment>
    <comment ref="BH2" authorId="0" shapeId="0" xr:uid="{D6405ACC-F96F-A14C-BB27-B9E1EF17C5E3}">
      <text>
        <r>
          <rPr>
            <b/>
            <sz val="9"/>
            <color indexed="81"/>
            <rFont val="Segoe UI"/>
            <family val="2"/>
          </rPr>
          <t>Autor:</t>
        </r>
        <r>
          <rPr>
            <sz val="9"/>
            <color indexed="81"/>
            <rFont val="Segoe UI"/>
            <family val="2"/>
          </rPr>
          <t xml:space="preserve">
Počet pedagógov školy vzdelávajúcich v kľúčových IKT oblastiach, ktorých chce škola vzdelávanť (zrejme inštruktori NetAcad?)</t>
        </r>
      </text>
    </comment>
    <comment ref="BI2" authorId="0" shapeId="0" xr:uid="{CBC6D0E1-4B3E-4940-A863-8129242E2C79}">
      <text>
        <r>
          <rPr>
            <b/>
            <sz val="9"/>
            <color indexed="81"/>
            <rFont val="Segoe UI"/>
            <family val="2"/>
          </rPr>
          <t>Autor:</t>
        </r>
        <r>
          <rPr>
            <sz val="9"/>
            <color indexed="81"/>
            <rFont val="Segoe UI"/>
            <family val="2"/>
          </rPr>
          <t xml:space="preserve">
Počet re/certifikačných vzdelvávaní</t>
        </r>
      </text>
    </comment>
    <comment ref="BJ2" authorId="0" shapeId="0" xr:uid="{00BB857E-7D20-7E49-90E6-611E968A201D}">
      <text>
        <r>
          <rPr>
            <b/>
            <sz val="9"/>
            <color indexed="81"/>
            <rFont val="Segoe UI"/>
            <family val="2"/>
          </rPr>
          <t>Autor:</t>
        </r>
        <r>
          <rPr>
            <sz val="9"/>
            <color indexed="81"/>
            <rFont val="Segoe UI"/>
            <family val="2"/>
          </rPr>
          <t xml:space="preserve">
Počet inovačných vzdelávaní (viac ako 50 hod)</t>
        </r>
      </text>
    </comment>
    <comment ref="BK2" authorId="0" shapeId="0" xr:uid="{6B431004-BD75-6642-9BE8-9CB4E6DA4B1D}">
      <text>
        <r>
          <rPr>
            <b/>
            <sz val="9"/>
            <color indexed="81"/>
            <rFont val="Segoe UI"/>
            <family val="2"/>
          </rPr>
          <t>Autor:</t>
        </r>
        <r>
          <rPr>
            <sz val="9"/>
            <color indexed="81"/>
            <rFont val="Segoe UI"/>
            <family val="2"/>
          </rPr>
          <t xml:space="preserve">
Počet ďalších školení v kľúčových oblastiach </t>
        </r>
      </text>
    </comment>
    <comment ref="BL2" authorId="0" shapeId="0" xr:uid="{FE6DE2CA-1333-8E45-B34B-ED826C8FB15F}">
      <text>
        <r>
          <rPr>
            <b/>
            <sz val="9"/>
            <color indexed="81"/>
            <rFont val="Segoe UI"/>
            <family val="2"/>
          </rPr>
          <t>Autor:</t>
        </r>
        <r>
          <rPr>
            <sz val="9"/>
            <color indexed="81"/>
            <rFont val="Segoe UI"/>
            <family val="2"/>
          </rPr>
          <t xml:space="preserve">
Počet inovačných vzdelávaní (viac ako 50 hod) v nie kľúčových oblastiach</t>
        </r>
      </text>
    </comment>
    <comment ref="BM2" authorId="0" shapeId="0" xr:uid="{8C72BC2C-D068-234A-B0ED-B0FBD9DFD81E}">
      <text>
        <r>
          <rPr>
            <b/>
            <sz val="9"/>
            <color indexed="81"/>
            <rFont val="Segoe UI"/>
            <family val="2"/>
          </rPr>
          <t>Autor:</t>
        </r>
        <r>
          <rPr>
            <sz val="9"/>
            <color indexed="81"/>
            <rFont val="Segoe UI"/>
            <family val="2"/>
          </rPr>
          <t xml:space="preserve">
Počet ďalších školení NIE v kľúčových oblastiach </t>
        </r>
      </text>
    </comment>
    <comment ref="AH5" authorId="0" shapeId="0" xr:uid="{4DB701C1-43AA-F54B-BD4F-144C71EDFCEA}">
      <text>
        <r>
          <rPr>
            <b/>
            <sz val="9"/>
            <color indexed="81"/>
            <rFont val="Segoe UI"/>
            <family val="2"/>
          </rPr>
          <t>Autor:</t>
        </r>
        <r>
          <rPr>
            <sz val="9"/>
            <color indexed="81"/>
            <rFont val="Segoe UI"/>
            <family val="2"/>
          </rPr>
          <t xml:space="preserve">
OK Žiadali 24 pracovísk-žiakov v laboratóriu NetAcad typ A</t>
        </r>
      </text>
    </comment>
    <comment ref="AJ7" authorId="0" shapeId="0" xr:uid="{A6E238CA-01F0-5048-85BC-574A7EA44F10}">
      <text>
        <r>
          <rPr>
            <b/>
            <sz val="9"/>
            <color indexed="81"/>
            <rFont val="Segoe UI"/>
            <family val="2"/>
          </rPr>
          <t>Autor:</t>
        </r>
        <r>
          <rPr>
            <sz val="9"/>
            <color indexed="81"/>
            <rFont val="Segoe UI"/>
            <family val="2"/>
          </rPr>
          <t xml:space="preserve">
Namiesto Levíc, ale máme len 10, môžeme dodať neskôr</t>
        </r>
      </text>
    </comment>
    <comment ref="N14" authorId="0" shapeId="0" xr:uid="{B2C9E73F-A0DB-0B40-90B8-9DA6243B0BDC}">
      <text>
        <r>
          <rPr>
            <b/>
            <sz val="9"/>
            <color indexed="81"/>
            <rFont val="Segoe UI"/>
            <family val="2"/>
          </rPr>
          <t>Autor:</t>
        </r>
        <r>
          <rPr>
            <sz val="9"/>
            <color indexed="81"/>
            <rFont val="Segoe UI"/>
            <family val="2"/>
          </rPr>
          <t xml:space="preserve">
výnimočne hodnotená pod 6,0 - lebo to potrebuje</t>
        </r>
      </text>
    </comment>
    <comment ref="AH14" authorId="0" shapeId="0" xr:uid="{B5809640-284C-D846-BB79-CB68BDC2A113}">
      <text>
        <r>
          <rPr>
            <b/>
            <sz val="9"/>
            <color indexed="81"/>
            <rFont val="Segoe UI"/>
            <family val="2"/>
          </rPr>
          <t>Autor:</t>
        </r>
        <r>
          <rPr>
            <sz val="9"/>
            <color indexed="81"/>
            <rFont val="Segoe UI"/>
            <family val="2"/>
          </rPr>
          <t xml:space="preserve">
OK Škola žiadala 45, čo je v skutočnosti 3 * 15 = 45</t>
        </r>
      </text>
    </comment>
    <comment ref="AH16" authorId="0" shapeId="0" xr:uid="{12911249-AF51-5A44-AAC9-3F0429EC270D}">
      <text>
        <r>
          <rPr>
            <b/>
            <sz val="9"/>
            <color indexed="81"/>
            <rFont val="Segoe UI"/>
            <family val="2"/>
          </rPr>
          <t>Autor:</t>
        </r>
        <r>
          <rPr>
            <sz val="9"/>
            <color indexed="81"/>
            <rFont val="Segoe UI"/>
            <family val="2"/>
          </rPr>
          <t xml:space="preserve">
Škola žiadala 32, otázka: je to v skutočnosti 2 * 16 = 30?</t>
        </r>
      </text>
    </comment>
    <comment ref="Q18" authorId="0" shapeId="0" xr:uid="{F5207DF4-BC84-D745-971A-96DE42E01477}">
      <text>
        <r>
          <rPr>
            <b/>
            <sz val="9"/>
            <color indexed="81"/>
            <rFont val="Segoe UI"/>
            <family val="2"/>
            <charset val="238"/>
          </rPr>
          <t>Autor:</t>
        </r>
        <r>
          <rPr>
            <sz val="9"/>
            <color indexed="81"/>
            <rFont val="Segoe UI"/>
            <family val="2"/>
            <charset val="238"/>
          </rPr>
          <t xml:space="preserve">
Zlučovanie</t>
        </r>
      </text>
    </comment>
    <comment ref="AI19" authorId="0" shapeId="0" xr:uid="{57DB2877-E59A-F647-9115-E73B08669441}">
      <text>
        <r>
          <rPr>
            <b/>
            <sz val="9"/>
            <color indexed="81"/>
            <rFont val="Segoe UI"/>
            <family val="2"/>
          </rPr>
          <t>Autor:</t>
        </r>
        <r>
          <rPr>
            <sz val="9"/>
            <color indexed="81"/>
            <rFont val="Segoe UI"/>
            <family val="2"/>
          </rPr>
          <t xml:space="preserve">
Síce chceli LAB B, ale pridelil som im LAB A ako super škole v NETWORKINGU a na LAB B zatiaľ počkajú</t>
        </r>
      </text>
    </comment>
    <comment ref="N22" authorId="0" shapeId="0" xr:uid="{177CEE25-D343-6B44-A12C-0B2972980BF3}">
      <text>
        <r>
          <rPr>
            <b/>
            <sz val="9"/>
            <color indexed="81"/>
            <rFont val="Segoe UI"/>
            <family val="2"/>
          </rPr>
          <t>Autor:</t>
        </r>
        <r>
          <rPr>
            <sz val="9"/>
            <color indexed="81"/>
            <rFont val="Segoe UI"/>
            <family val="2"/>
          </rPr>
          <t xml:space="preserve">
Pre ilustráciu - zlý výsledok pod 6</t>
        </r>
      </text>
    </comment>
    <comment ref="AH22" authorId="0" shapeId="0" xr:uid="{D2B4A785-25DD-0541-A7A0-33B95CFEAA3C}">
      <text>
        <r>
          <rPr>
            <b/>
            <sz val="9"/>
            <color indexed="81"/>
            <rFont val="Segoe UI"/>
            <family val="2"/>
          </rPr>
          <t>Autor:</t>
        </r>
        <r>
          <rPr>
            <sz val="9"/>
            <color indexed="81"/>
            <rFont val="Segoe UI"/>
            <family val="2"/>
          </rPr>
          <t xml:space="preserve">
Škola žiadala 30, otázka: je to v skutočnosti 2 * 15 = 30?</t>
        </r>
      </text>
    </comment>
    <comment ref="AJ22" authorId="0" shapeId="0" xr:uid="{C0D7A73C-BE04-1544-A2EA-74F5C572F858}">
      <text>
        <r>
          <rPr>
            <b/>
            <sz val="9"/>
            <color indexed="81"/>
            <rFont val="Segoe UI"/>
            <family val="2"/>
          </rPr>
          <t>Autor:</t>
        </r>
        <r>
          <rPr>
            <sz val="9"/>
            <color indexed="81"/>
            <rFont val="Segoe UI"/>
            <family val="2"/>
          </rPr>
          <t xml:space="preserve">
Pôvodne 15 - koľko vlastne chcú? Dal som 30 ale treba sa spýtať!</t>
        </r>
      </text>
    </comment>
    <comment ref="AH23" authorId="0" shapeId="0" xr:uid="{5CCE6735-A201-2143-90A0-4EBF539E1BCD}">
      <text>
        <r>
          <rPr>
            <b/>
            <sz val="9"/>
            <color indexed="81"/>
            <rFont val="Segoe UI"/>
            <family val="2"/>
          </rPr>
          <t>Autor:</t>
        </r>
        <r>
          <rPr>
            <sz val="9"/>
            <color indexed="81"/>
            <rFont val="Segoe UI"/>
            <family val="2"/>
          </rPr>
          <t xml:space="preserve">
škola vyplnila 63, oprava na 3 * 21= 63</t>
        </r>
      </text>
    </comment>
    <comment ref="Q25" authorId="0" shapeId="0" xr:uid="{205C82D2-0232-9844-8A7C-AAB2282461B4}">
      <text>
        <r>
          <rPr>
            <b/>
            <sz val="9"/>
            <color indexed="81"/>
            <rFont val="Segoe UI"/>
            <family val="2"/>
            <charset val="238"/>
          </rPr>
          <t>Autor:</t>
        </r>
        <r>
          <rPr>
            <sz val="9"/>
            <color indexed="81"/>
            <rFont val="Segoe UI"/>
            <family val="2"/>
            <charset val="238"/>
          </rPr>
          <t xml:space="preserve">
Zlučovanie bez dopadu na vzdelávania v IKT - dôležitá škola</t>
        </r>
      </text>
    </comment>
    <comment ref="AA31" authorId="0" shapeId="0" xr:uid="{90B72DD2-035F-1642-BF2A-C85EA7660875}">
      <text>
        <r>
          <rPr>
            <b/>
            <sz val="9"/>
            <color indexed="81"/>
            <rFont val="Segoe UI"/>
            <family val="2"/>
            <charset val="238"/>
          </rPr>
          <t>Autor:</t>
        </r>
        <r>
          <rPr>
            <sz val="9"/>
            <color indexed="81"/>
            <rFont val="Segoe UI"/>
            <family val="2"/>
            <charset val="238"/>
          </rPr>
          <t xml:space="preserve">
S odborom IKT sk.25 len začali</t>
        </r>
      </text>
    </comment>
    <comment ref="N33" authorId="0" shapeId="0" xr:uid="{B0A96A4D-0B0C-D24C-95C5-B1E8DCFAC67A}">
      <text>
        <r>
          <rPr>
            <b/>
            <sz val="9"/>
            <color indexed="81"/>
            <rFont val="Segoe UI"/>
            <family val="2"/>
          </rPr>
          <t>Autor:</t>
        </r>
        <r>
          <rPr>
            <sz val="9"/>
            <color indexed="81"/>
            <rFont val="Segoe UI"/>
            <family val="2"/>
          </rPr>
          <t xml:space="preserve">
výnimočne hodnotená pod 6,0 - lebo ju ťahajú dole iné ne-IKT odbory</t>
        </r>
      </text>
    </comment>
    <comment ref="AJ33" authorId="0" shapeId="0" xr:uid="{1492BADE-83B4-F94B-AAF8-4E26BB9E1EB6}">
      <text>
        <r>
          <rPr>
            <b/>
            <sz val="9"/>
            <color indexed="81"/>
            <rFont val="Segoe UI"/>
            <family val="2"/>
          </rPr>
          <t>Autor:</t>
        </r>
        <r>
          <rPr>
            <sz val="9"/>
            <color indexed="81"/>
            <rFont val="Segoe UI"/>
            <family val="2"/>
          </rPr>
          <t xml:space="preserve">
Majú na mysli - ako pôvodne uviedli 20 alebo 2 * 20?? Dávam 40, ale treba sa spýtať.</t>
        </r>
      </text>
    </comment>
    <comment ref="AM33" authorId="0" shapeId="0" xr:uid="{4080B6B7-9A3D-B74E-99FD-0254ECFFFA34}">
      <text>
        <r>
          <rPr>
            <b/>
            <sz val="9"/>
            <color indexed="81"/>
            <rFont val="Segoe UI"/>
            <family val="2"/>
          </rPr>
          <t>Autor:</t>
        </r>
        <r>
          <rPr>
            <sz val="9"/>
            <color indexed="81"/>
            <rFont val="Segoe UI"/>
            <family val="2"/>
          </rPr>
          <t xml:space="preserve">
LabB nie je možné dodať - podobné riešenie si už obstarali od ALEF</t>
        </r>
      </text>
    </comment>
    <comment ref="AH34" authorId="0" shapeId="0" xr:uid="{C74B62F0-2D70-1449-BBF7-488B006E5B07}">
      <text>
        <r>
          <rPr>
            <b/>
            <sz val="9"/>
            <color indexed="81"/>
            <rFont val="Segoe UI"/>
            <family val="2"/>
          </rPr>
          <t>Autor:</t>
        </r>
        <r>
          <rPr>
            <sz val="9"/>
            <color indexed="81"/>
            <rFont val="Segoe UI"/>
            <family val="2"/>
          </rPr>
          <t xml:space="preserve">
Škola žiadala 30, otázka: je to v skutočnosti 2 * 15 = 30?</t>
        </r>
      </text>
    </comment>
    <comment ref="Q40" authorId="0" shapeId="0" xr:uid="{8E7DFD5E-AD8C-3F45-B382-058FA22CA52E}">
      <text>
        <r>
          <rPr>
            <b/>
            <sz val="9"/>
            <color indexed="81"/>
            <rFont val="Segoe UI"/>
            <family val="2"/>
            <charset val="238"/>
          </rPr>
          <t>Autor:</t>
        </r>
        <r>
          <rPr>
            <sz val="9"/>
            <color indexed="81"/>
            <rFont val="Segoe UI"/>
            <family val="2"/>
            <charset val="238"/>
          </rPr>
          <t xml:space="preserve">
zrejme spájanie, vzdelávacie kapacity sa nerušia</t>
        </r>
      </text>
    </comment>
    <comment ref="Q46" authorId="0" shapeId="0" xr:uid="{8A0462C4-F9B6-0B43-9859-080FB7A29D1D}">
      <text>
        <r>
          <rPr>
            <b/>
            <sz val="9"/>
            <color indexed="81"/>
            <rFont val="Segoe UI"/>
            <family val="2"/>
            <charset val="238"/>
          </rPr>
          <t>Autor:</t>
        </r>
        <r>
          <rPr>
            <sz val="9"/>
            <color indexed="81"/>
            <rFont val="Segoe UI"/>
            <family val="2"/>
            <charset val="238"/>
          </rPr>
          <t xml:space="preserve">
spájanie, IKT zostáva</t>
        </r>
      </text>
    </comment>
    <comment ref="AA47" authorId="0" shapeId="0" xr:uid="{980D1E7C-1BA8-494D-91FE-A8908392F1CC}">
      <text>
        <r>
          <rPr>
            <b/>
            <sz val="9"/>
            <color indexed="81"/>
            <rFont val="Segoe UI"/>
            <family val="2"/>
            <charset val="238"/>
          </rPr>
          <t>Autor:</t>
        </r>
        <r>
          <rPr>
            <sz val="9"/>
            <color indexed="81"/>
            <rFont val="Segoe UI"/>
            <family val="2"/>
            <charset val="238"/>
          </rPr>
          <t xml:space="preserve">
Pani riaditeľka z nepochopiteľných dôvodov nepodporuje NetAcad</t>
        </r>
      </text>
    </comment>
    <comment ref="Q51" authorId="0" shapeId="0" xr:uid="{661DC43F-DD22-5842-B1CC-8037BD98BCDB}">
      <text>
        <r>
          <rPr>
            <b/>
            <sz val="9"/>
            <color indexed="81"/>
            <rFont val="Segoe UI"/>
            <family val="2"/>
            <charset val="238"/>
          </rPr>
          <t>Autor:</t>
        </r>
        <r>
          <rPr>
            <sz val="9"/>
            <color indexed="81"/>
            <rFont val="Segoe UI"/>
            <family val="2"/>
            <charset val="238"/>
          </rPr>
          <t xml:space="preserve">
V tomto prípade optimalizácia zlúčením s gymnáziom  napomôže odbornému rastu pedagógov, digitálnym zručnostiam a lepšiemu vnímaniu školy potenciálnymi študentmi a ich rodičmi. Gymnázium získa. Riaditeľom bude riaditeľ SPŠ IT.</t>
        </r>
      </text>
    </comment>
    <comment ref="AH51" authorId="0" shapeId="0" xr:uid="{C88AA2E3-E01F-CB42-89AA-3EF42FA35E37}">
      <text>
        <r>
          <rPr>
            <b/>
            <sz val="9"/>
            <color indexed="81"/>
            <rFont val="Segoe UI"/>
            <family val="2"/>
          </rPr>
          <t>Autor:</t>
        </r>
        <r>
          <rPr>
            <sz val="9"/>
            <color indexed="81"/>
            <rFont val="Segoe UI"/>
            <family val="2"/>
          </rPr>
          <t xml:space="preserve">
Škola žiadala 30, otázka: je to v skutočnosti 2 * 15 = 30?</t>
        </r>
      </text>
    </comment>
    <comment ref="AJ51" authorId="0" shapeId="0" xr:uid="{DEAE1302-78FB-B545-B736-E4056EF0B422}">
      <text>
        <r>
          <rPr>
            <b/>
            <sz val="9"/>
            <color indexed="81"/>
            <rFont val="Segoe UI"/>
            <family val="2"/>
          </rPr>
          <t>Autor:</t>
        </r>
        <r>
          <rPr>
            <sz val="9"/>
            <color indexed="81"/>
            <rFont val="Segoe UI"/>
            <family val="2"/>
          </rPr>
          <t xml:space="preserve">
Pôvodne 15, avšak snáď myslia 2 * 15 = 30 ?? Dávam 30, ale treba sa spýtať!</t>
        </r>
      </text>
    </comment>
    <comment ref="Q54" authorId="0" shapeId="0" xr:uid="{839899F5-D16E-8E48-94F8-5D513071B2C8}">
      <text>
        <r>
          <rPr>
            <b/>
            <sz val="9"/>
            <color indexed="81"/>
            <rFont val="Segoe UI"/>
            <family val="2"/>
            <charset val="238"/>
          </rPr>
          <t>Autor:</t>
        </r>
        <r>
          <rPr>
            <sz val="9"/>
            <color indexed="81"/>
            <rFont val="Segoe UI"/>
            <family val="2"/>
            <charset val="238"/>
          </rPr>
          <t xml:space="preserve">
Zlučovanie, IT zostáva</t>
        </r>
      </text>
    </comment>
    <comment ref="N58" authorId="0" shapeId="0" xr:uid="{5417F4C1-B2EE-964B-AFF3-0F7BB79C1BE4}">
      <text>
        <r>
          <rPr>
            <b/>
            <sz val="9"/>
            <color indexed="81"/>
            <rFont val="Segoe UI"/>
            <family val="2"/>
          </rPr>
          <t>Autor:</t>
        </r>
        <r>
          <rPr>
            <sz val="9"/>
            <color indexed="81"/>
            <rFont val="Segoe UI"/>
            <family val="2"/>
          </rPr>
          <t xml:space="preserve">
len pre informáciu</t>
        </r>
      </text>
    </comment>
    <comment ref="Q59" authorId="0" shapeId="0" xr:uid="{25E8F542-619A-844B-ADEF-289AC916558D}">
      <text>
        <r>
          <rPr>
            <b/>
            <sz val="9"/>
            <color indexed="81"/>
            <rFont val="Segoe UI"/>
            <family val="2"/>
            <charset val="238"/>
          </rPr>
          <t>Autor:</t>
        </r>
        <r>
          <rPr>
            <sz val="9"/>
            <color indexed="81"/>
            <rFont val="Segoe UI"/>
            <family val="2"/>
            <charset val="238"/>
          </rPr>
          <t xml:space="preserve">
Zlučovanie so SPŠ stroj a elektro - len dobré!</t>
        </r>
      </text>
    </comment>
    <comment ref="AI59" authorId="0" shapeId="0" xr:uid="{83043DD6-1AF2-9444-AE06-37419DED7F11}">
      <text>
        <r>
          <rPr>
            <b/>
            <sz val="9"/>
            <color indexed="81"/>
            <rFont val="Segoe UI"/>
            <family val="2"/>
          </rPr>
          <t>Autor:</t>
        </r>
        <r>
          <rPr>
            <sz val="9"/>
            <color indexed="81"/>
            <rFont val="Segoe UI"/>
            <family val="2"/>
          </rPr>
          <t xml:space="preserve">
Znížime z 2 na 1 dôvody vedľa. Ak sa zdôvodní, môžeme dodať neskôr.</t>
        </r>
      </text>
    </comment>
    <comment ref="AJ59" authorId="0" shapeId="0" xr:uid="{6DDA3423-A92A-5545-9F3E-4B1C57B950C1}">
      <text>
        <r>
          <rPr>
            <b/>
            <sz val="9"/>
            <color indexed="81"/>
            <rFont val="Segoe UI"/>
            <family val="2"/>
          </rPr>
          <t>Autor:</t>
        </r>
        <r>
          <rPr>
            <sz val="9"/>
            <color indexed="81"/>
            <rFont val="Segoe UI"/>
            <family val="2"/>
          </rPr>
          <t xml:space="preserve">
Znížime z 24 na 12, sú v optimalizácii a majú len 2 IT učiteľov.</t>
        </r>
      </text>
    </comment>
    <comment ref="AJ60" authorId="0" shapeId="0" xr:uid="{B0CC1EA8-FB1F-924D-8E8B-2DC187D7E4AE}">
      <text>
        <r>
          <rPr>
            <b/>
            <sz val="9"/>
            <color indexed="81"/>
            <rFont val="Segoe UI"/>
            <family val="2"/>
          </rPr>
          <t>Autor:</t>
        </r>
        <r>
          <rPr>
            <sz val="9"/>
            <color indexed="81"/>
            <rFont val="Segoe UI"/>
            <family val="2"/>
          </rPr>
          <t xml:space="preserve">
Pôvodne zadali 4, ale koľko vlastne naozaj chcú? Možno sa pán riaditeľ pomýli - dávam 10 a treba sa spýtať!</t>
        </r>
      </text>
    </comment>
    <comment ref="AA61" authorId="0" shapeId="0" xr:uid="{E83C2EEF-63D6-B64A-9A59-9C2F0ACD22AA}">
      <text>
        <r>
          <rPr>
            <b/>
            <sz val="9"/>
            <color indexed="81"/>
            <rFont val="Segoe UI"/>
            <family val="2"/>
            <charset val="238"/>
          </rPr>
          <t>Autor:</t>
        </r>
        <r>
          <rPr>
            <sz val="9"/>
            <color indexed="81"/>
            <rFont val="Segoe UI"/>
            <family val="2"/>
            <charset val="238"/>
          </rPr>
          <t xml:space="preserve">
Len začínajú</t>
        </r>
      </text>
    </comment>
    <comment ref="Q73" authorId="0" shapeId="0" xr:uid="{AE74A150-E025-4B40-936C-A693CF66C540}">
      <text>
        <r>
          <rPr>
            <b/>
            <sz val="9"/>
            <color indexed="81"/>
            <rFont val="Segoe UI"/>
            <family val="2"/>
            <charset val="238"/>
          </rPr>
          <t>Autor:</t>
        </r>
        <r>
          <rPr>
            <sz val="9"/>
            <color indexed="81"/>
            <rFont val="Segoe UI"/>
            <family val="2"/>
            <charset val="238"/>
          </rPr>
          <t xml:space="preserve">
zlučovanie?</t>
        </r>
      </text>
    </comment>
    <comment ref="AD81" authorId="0" shapeId="0" xr:uid="{D0D2FD13-FD13-3C4C-BD18-95BDFE5D2EAB}">
      <text>
        <r>
          <rPr>
            <b/>
            <sz val="9"/>
            <color indexed="81"/>
            <rFont val="Segoe UI"/>
            <family val="2"/>
          </rPr>
          <t>Autor:</t>
        </r>
        <r>
          <rPr>
            <sz val="9"/>
            <color indexed="81"/>
            <rFont val="Segoe UI"/>
            <family val="2"/>
          </rPr>
          <t xml:space="preserve">
ponechať firewall pre komunikáciu a prípadnú spoluprácu</t>
        </r>
      </text>
    </comment>
    <comment ref="AI83" authorId="0" shapeId="0" xr:uid="{77BFF988-FA1B-3D4A-A343-DF83C41A479C}">
      <text>
        <r>
          <rPr>
            <b/>
            <sz val="9"/>
            <color indexed="81"/>
            <rFont val="Segoe UI"/>
            <family val="2"/>
          </rPr>
          <t>Autor:</t>
        </r>
        <r>
          <rPr>
            <sz val="9"/>
            <color indexed="81"/>
            <rFont val="Segoe UI"/>
            <family val="2"/>
          </rPr>
          <t xml:space="preserve">
"zrušiť" znamená, že sme pôvodne pre školu chceli dodať, ale kvôli BSK sme museli zrušiť a dodať inej škole</t>
        </r>
      </text>
    </comment>
    <comment ref="BI86" authorId="0" shapeId="0" xr:uid="{2CFFC713-630F-0D40-BD9B-5F8E690751E4}">
      <text>
        <r>
          <rPr>
            <b/>
            <sz val="9"/>
            <color indexed="81"/>
            <rFont val="Segoe UI"/>
            <family val="2"/>
          </rPr>
          <t>Autor:</t>
        </r>
        <r>
          <rPr>
            <sz val="9"/>
            <color indexed="81"/>
            <rFont val="Segoe UI"/>
            <family val="2"/>
          </rPr>
          <t xml:space="preserve">
Len predpoklad</t>
        </r>
      </text>
    </comment>
    <comment ref="BJ86" authorId="0" shapeId="0" xr:uid="{AD4B0012-C6FA-744A-B8DB-E333FA51A15E}">
      <text>
        <r>
          <rPr>
            <b/>
            <sz val="9"/>
            <color indexed="81"/>
            <rFont val="Segoe UI"/>
            <family val="2"/>
          </rPr>
          <t>Autor:</t>
        </r>
        <r>
          <rPr>
            <sz val="9"/>
            <color indexed="81"/>
            <rFont val="Segoe UI"/>
            <family val="2"/>
          </rPr>
          <t xml:space="preserve">
Len predpoklad</t>
        </r>
      </text>
    </comment>
    <comment ref="BK86" authorId="0" shapeId="0" xr:uid="{AFF499A1-AC62-BD4F-B631-30FFEFD72D87}">
      <text>
        <r>
          <rPr>
            <b/>
            <sz val="9"/>
            <color indexed="81"/>
            <rFont val="Segoe UI"/>
            <family val="2"/>
          </rPr>
          <t>Autor:</t>
        </r>
        <r>
          <rPr>
            <sz val="9"/>
            <color indexed="81"/>
            <rFont val="Segoe UI"/>
            <family val="2"/>
          </rPr>
          <t xml:space="preserve">
Len predpoklad</t>
        </r>
      </text>
    </comment>
    <comment ref="R89" authorId="0" shapeId="0" xr:uid="{83BCD4A1-6B55-6042-946B-EC10C6839595}">
      <text>
        <r>
          <rPr>
            <b/>
            <sz val="9"/>
            <color indexed="81"/>
            <rFont val="Segoe UI"/>
            <family val="2"/>
            <charset val="238"/>
          </rPr>
          <t>Autor:</t>
        </r>
        <r>
          <rPr>
            <sz val="9"/>
            <color indexed="81"/>
            <rFont val="Segoe UI"/>
            <family val="2"/>
            <charset val="238"/>
          </rPr>
          <t xml:space="preserve">
Podľa oficiálnych údajov CVTI SR k 31.10.2024</t>
        </r>
      </text>
    </comment>
    <comment ref="BK89" authorId="0" shapeId="0" xr:uid="{891F5611-F3DC-6744-AD8A-E425A42B39FA}">
      <text>
        <r>
          <rPr>
            <b/>
            <sz val="9"/>
            <color indexed="81"/>
            <rFont val="Segoe UI"/>
            <family val="2"/>
          </rPr>
          <t>Autor:</t>
        </r>
        <r>
          <rPr>
            <sz val="9"/>
            <color indexed="81"/>
            <rFont val="Segoe UI"/>
            <family val="2"/>
          </rPr>
          <t xml:space="preserve">
Počet záujmu o školenia pedagógov * počet rokov 3</t>
        </r>
      </text>
    </comment>
    <comment ref="R90" authorId="0" shapeId="0" xr:uid="{FF6514D3-349F-F046-84E8-AEDB2E62D7C0}">
      <text>
        <r>
          <rPr>
            <b/>
            <sz val="9"/>
            <color indexed="81"/>
            <rFont val="Segoe UI"/>
            <family val="2"/>
            <charset val="238"/>
          </rPr>
          <t>Autor:</t>
        </r>
        <r>
          <rPr>
            <sz val="9"/>
            <color indexed="81"/>
            <rFont val="Segoe UI"/>
            <family val="2"/>
            <charset val="238"/>
          </rPr>
          <t xml:space="preserve">
Odhad pre počty štutujúcich matematiku a informatiku</t>
        </r>
      </text>
    </comment>
    <comment ref="AD91" authorId="0" shapeId="0" xr:uid="{7A078307-78D3-2C47-B3B2-C4D7FA0C09F4}">
      <text>
        <r>
          <rPr>
            <b/>
            <sz val="9"/>
            <color indexed="81"/>
            <rFont val="Segoe UI"/>
            <family val="2"/>
          </rPr>
          <t>Autor:</t>
        </r>
        <r>
          <rPr>
            <sz val="9"/>
            <color indexed="81"/>
            <rFont val="Segoe UI"/>
            <family val="2"/>
          </rPr>
          <t xml:space="preserve">
ponechať firewall kvôli poskytovaniu školení</t>
        </r>
      </text>
    </comment>
    <comment ref="AR91" authorId="0" shapeId="0" xr:uid="{746E63B0-AC2B-7F4F-9079-92E616BBACF7}">
      <text>
        <r>
          <rPr>
            <b/>
            <sz val="9"/>
            <color indexed="81"/>
            <rFont val="Segoe UI"/>
            <family val="2"/>
          </rPr>
          <t>Autor:</t>
        </r>
        <r>
          <rPr>
            <sz val="9"/>
            <color indexed="81"/>
            <rFont val="Segoe UI"/>
            <family val="2"/>
          </rPr>
          <t xml:space="preserve">
na FIIT zatiaľ nevieme kto by to chcel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Bederka Andrej</author>
  </authors>
  <commentList>
    <comment ref="O3" authorId="0" shapeId="0" xr:uid="{03C604BD-5ED0-D14D-B0ED-BD66BA0B3D36}">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2026: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251 pracovných dní, t.j. 2008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251 pracovných dní, t.j. 1882.5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r>
          <rPr>
            <sz val="9"/>
            <color rgb="FF000000"/>
            <rFont val="Segoe UI"/>
            <family val="2"/>
            <charset val="238"/>
          </rPr>
          <t xml:space="preserve">
</t>
        </r>
        <r>
          <rPr>
            <sz val="9"/>
            <color rgb="FF000000"/>
            <rFont val="Segoe UI"/>
            <family val="2"/>
            <charset val="238"/>
          </rPr>
          <t>Prvé mesiace 2026 sú určené pre prípravu a administráciu projektu.</t>
        </r>
      </text>
    </comment>
    <comment ref="P3" authorId="0" shapeId="0" xr:uid="{C0AB1A54-4253-9649-A7D2-C0F6577E98EC}">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2027: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252 pracovných dní, t.j. 2016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252 pracovných dní, t.j. 1890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text>
    </comment>
    <comment ref="Q3" authorId="0" shapeId="0" xr:uid="{BEAF0DC8-4143-7E4F-B5EF-32C7BE071E3C}">
      <text>
        <r>
          <rPr>
            <b/>
            <sz val="9"/>
            <color indexed="81"/>
            <rFont val="Segoe UI"/>
            <family val="2"/>
            <charset val="238"/>
          </rPr>
          <t>Bederka Andrej:</t>
        </r>
        <r>
          <rPr>
            <sz val="9"/>
            <color indexed="81"/>
            <rFont val="Segoe UI"/>
            <family val="2"/>
            <charset val="238"/>
          </rPr>
          <t xml:space="preserve">
Podľa fondu pracovného času 2028: 
</t>
        </r>
        <r>
          <rPr>
            <b/>
            <sz val="9"/>
            <color indexed="81"/>
            <rFont val="Segoe UI"/>
            <family val="2"/>
            <charset val="238"/>
          </rPr>
          <t>8 hodinový pracovný čas</t>
        </r>
        <r>
          <rPr>
            <sz val="9"/>
            <color indexed="81"/>
            <rFont val="Segoe UI"/>
            <family val="2"/>
            <charset val="238"/>
          </rPr>
          <t xml:space="preserve">
Rok má dokopy 248 pracovných dní, t.j. 1984 pracovných hodín.
S platenými sviatkami má rok 260 pracovných dní, t.j. 2080 pracovných hodín.
</t>
        </r>
        <r>
          <rPr>
            <b/>
            <sz val="9"/>
            <color indexed="81"/>
            <rFont val="Segoe UI"/>
            <family val="2"/>
            <charset val="238"/>
          </rPr>
          <t>7,5 hodinový pracovný čas</t>
        </r>
        <r>
          <rPr>
            <sz val="9"/>
            <color indexed="81"/>
            <rFont val="Segoe UI"/>
            <family val="2"/>
            <charset val="238"/>
          </rPr>
          <t xml:space="preserve">
Rok má dokopy 248 pracovných dní, t.j. 1860 pracovných hodín.
S platenými sviatkami má rok 260 pracovných dní, t.j. 1950 pracovných hodín.
</t>
        </r>
        <r>
          <rPr>
            <b/>
            <sz val="9"/>
            <color indexed="81"/>
            <rFont val="Segoe UI"/>
            <family val="2"/>
            <charset val="238"/>
          </rPr>
          <t>Pre začiatok budeme pracovať s 8-hod.prac.časom ako s rezervou.</t>
        </r>
      </text>
    </comment>
    <comment ref="R3" authorId="0" shapeId="0" xr:uid="{9A0AFDC7-AD8C-FD48-B8C2-C16C114D5049}">
      <text>
        <r>
          <rPr>
            <b/>
            <sz val="9"/>
            <color rgb="FF000000"/>
            <rFont val="Segoe UI"/>
            <family val="2"/>
            <charset val="238"/>
          </rPr>
          <t xml:space="preserve">Bederka:
</t>
        </r>
        <r>
          <rPr>
            <b/>
            <sz val="9"/>
            <color rgb="FF000000"/>
            <rFont val="Segoe UI"/>
            <family val="2"/>
            <charset val="238"/>
          </rPr>
          <t xml:space="preserve">Podľa fondu pracovného času na rok 2029: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250 pracovných dní, t.j. 2000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250 pracovných dní, t.j. 1875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 xml:space="preserve">Pre začiatok budeme pracovať s 8-hod.prac.časom ako s rezervou.
</t>
        </r>
        <r>
          <rPr>
            <sz val="9"/>
            <color rgb="FF000000"/>
            <rFont val="Segoe UI"/>
            <family val="2"/>
            <charset val="238"/>
          </rPr>
          <t>Posledný mesiac 2029 je určený na administráciu, spracovanie a hodnotenie projektu pri ukončení.</t>
        </r>
      </text>
    </comment>
    <comment ref="O4" authorId="0" shapeId="0" xr:uid="{15ECAFD8-E9A3-5844-9CDD-05580999C99A}">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od 4/2026-12/2026</t>
        </r>
      </text>
    </comment>
    <comment ref="R4" authorId="0" shapeId="0" xr:uid="{0C5902DA-B504-C047-B711-1FA884472BFA}">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len do 11/2029</t>
        </r>
      </text>
    </comment>
    <comment ref="E10" authorId="0" shapeId="0" xr:uid="{C05C0B23-2F2A-F049-BCF3-2F68891A417A}">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1" authorId="0" shapeId="0" xr:uid="{D65DEADC-81DA-B740-83AC-931C52D214D6}">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15 má byť 11, opraviť pri finálnom nacenení pred VO (a upraviť celkovú cenu)</t>
        </r>
      </text>
    </comment>
    <comment ref="E12" authorId="0" shapeId="0" xr:uid="{09FB7155-AC37-5740-97EA-95B6E11A90F2}">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15 má byť 11, opraviť pri finálnom nacenení pred VO (a upraviť celkovú cenu)</t>
        </r>
      </text>
    </comment>
    <comment ref="E13" authorId="0" shapeId="0" xr:uid="{9FDE5F13-D9DD-EA48-8CAE-61DE96A6932F}">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E14" authorId="0" shapeId="0" xr:uid="{D1262185-400B-8647-8076-3D21FE471C87}">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E15" authorId="0" shapeId="0" xr:uid="{383D6097-C73D-054F-986B-FC18D7B1A41E}">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A35" authorId="0" shapeId="0" xr:uid="{F18D498E-F2F8-424C-97B4-ACA6C838006A}">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Účtované ako PAUŠÁL ale len aby vyšla KALKULÁCIA, inak je to 11 - aktivity</t>
        </r>
      </text>
    </comment>
    <comment ref="E42" authorId="0" shapeId="0" xr:uid="{86AE7F7E-26D6-6E45-8AD7-EC77EBD429BB}">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K45" authorId="0" shapeId="0" xr:uid="{5E6900B4-9812-4245-A4F0-B21FEC51AD60}">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V63" authorId="0" shapeId="0" xr:uid="{0327FCEF-9DEE-C943-AEAE-4E89E13083DE}">
      <text>
        <r>
          <rPr>
            <b/>
            <sz val="9"/>
            <color indexed="81"/>
            <rFont val="Segoe UI"/>
            <family val="2"/>
          </rPr>
          <t>Bederka Andrej:</t>
        </r>
        <r>
          <rPr>
            <sz val="9"/>
            <color indexed="81"/>
            <rFont val="Segoe UI"/>
            <family val="2"/>
          </rPr>
          <t xml:space="preserve">
vzdelávanie bude počítané BEZ DPH (i keď CEE Lab je platca DPH)</t>
        </r>
      </text>
    </comment>
    <comment ref="A73" authorId="0" shapeId="0" xr:uid="{4F144438-F567-F246-AE7E-57680074E0F3}">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3" authorId="0" shapeId="0" xr:uid="{9DC04DF6-5DEA-2247-97F5-CBB06504DCA4}">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4" authorId="0" shapeId="0" xr:uid="{B6BABA37-5519-904C-9F48-8163F6E9C11C}">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F84" authorId="0" shapeId="0" xr:uid="{71952818-1C03-744E-A32D-BB92279028DF}">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A85" authorId="0" shapeId="0" xr:uid="{B2500341-0547-7848-8B5A-FCB9DDF58134}">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F85" authorId="0" shapeId="0" xr:uid="{48A75E52-1004-4F40-8108-0AC07EA87441}">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Len preto, aby mi to vyšlo s kalkuláciou (pri zmene kalkulácie to môžno preklasifikovať na 11)</t>
        </r>
      </text>
    </comment>
    <comment ref="A86" authorId="0" shapeId="0" xr:uid="{A296A3B0-8A94-684D-9120-0558BC209F75}">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7" authorId="0" shapeId="0" xr:uid="{4131EA94-1E37-3443-BC97-3BF2F338F14D}">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8" authorId="0" shapeId="0" xr:uid="{691E915B-3484-C84F-9CBD-1EC6F78F8A89}">
      <text>
        <r>
          <rPr>
            <b/>
            <sz val="9"/>
            <color indexed="81"/>
            <rFont val="Segoe UI"/>
            <family val="2"/>
          </rPr>
          <t>Bederka Andrej:</t>
        </r>
        <r>
          <rPr>
            <sz val="9"/>
            <color indexed="81"/>
            <rFont val="Segoe UI"/>
            <family val="2"/>
          </rPr>
          <t xml:space="preserve">
ˇuprava z 11 na 12</t>
        </r>
      </text>
    </comment>
    <comment ref="A89" authorId="0" shapeId="0" xr:uid="{7CBCE111-5CCD-F845-BC47-FCC1BFA8C4F8}">
      <text>
        <r>
          <rPr>
            <b/>
            <sz val="9"/>
            <color indexed="81"/>
            <rFont val="Segoe UI"/>
            <family val="2"/>
          </rPr>
          <t>Bederka Andrej:</t>
        </r>
        <r>
          <rPr>
            <sz val="9"/>
            <color indexed="81"/>
            <rFont val="Segoe UI"/>
            <family val="2"/>
          </rPr>
          <t xml:space="preserve">
ˇuprava z 11 na 12</t>
        </r>
      </text>
    </comment>
    <comment ref="A90" authorId="0" shapeId="0" xr:uid="{5838E97F-43CF-2A4B-B9DC-DF94FE9CF8D7}">
      <text>
        <r>
          <rPr>
            <b/>
            <sz val="9"/>
            <color indexed="81"/>
            <rFont val="Segoe UI"/>
            <family val="2"/>
          </rPr>
          <t>Bederka Andrej:</t>
        </r>
        <r>
          <rPr>
            <sz val="9"/>
            <color indexed="81"/>
            <rFont val="Segoe UI"/>
            <family val="2"/>
          </rPr>
          <t xml:space="preserve">
ˇuprava z 11 na 12</t>
        </r>
      </text>
    </comment>
    <comment ref="A91" authorId="0" shapeId="0" xr:uid="{00230F0C-3616-3045-A783-19E87EB5B836}">
      <text>
        <r>
          <rPr>
            <b/>
            <sz val="9"/>
            <color indexed="81"/>
            <rFont val="Segoe UI"/>
            <family val="2"/>
          </rPr>
          <t>Bederka Andrej:</t>
        </r>
        <r>
          <rPr>
            <sz val="9"/>
            <color indexed="81"/>
            <rFont val="Segoe UI"/>
            <family val="2"/>
          </rPr>
          <t xml:space="preserve">
ˇuprava z 11 na 12</t>
        </r>
      </text>
    </comment>
    <comment ref="A92" authorId="0" shapeId="0" xr:uid="{F7F84318-C90E-A74B-94A8-AE320E924E37}">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V94" authorId="0" shapeId="0" xr:uid="{FD5BEA10-E827-1B40-B01E-1C7573FED523}">
      <text>
        <r>
          <rPr>
            <b/>
            <sz val="9"/>
            <color indexed="81"/>
            <rFont val="Segoe UI"/>
            <family val="2"/>
            <charset val="238"/>
          </rPr>
          <t>Bederka Andrej:</t>
        </r>
        <r>
          <rPr>
            <sz val="9"/>
            <color indexed="81"/>
            <rFont val="Segoe UI"/>
            <family val="2"/>
            <charset val="238"/>
          </rPr>
          <t xml:space="preserve">
Chceme združenie, ktoré nie je platcom DPH</t>
        </r>
      </text>
    </comment>
    <comment ref="V95" authorId="0" shapeId="0" xr:uid="{6EF4780B-9717-2741-BE7E-9948BAF7208A}">
      <text>
        <r>
          <rPr>
            <b/>
            <sz val="9"/>
            <color indexed="81"/>
            <rFont val="Segoe UI"/>
            <family val="2"/>
            <charset val="238"/>
          </rPr>
          <t>Bederka Andrej:</t>
        </r>
        <r>
          <rPr>
            <sz val="9"/>
            <color indexed="81"/>
            <rFont val="Segoe UI"/>
            <family val="2"/>
            <charset val="238"/>
          </rPr>
          <t xml:space="preserve">
Chceme združenie, ktoré nie je platcom DPH</t>
        </r>
      </text>
    </comment>
    <comment ref="A98" authorId="0" shapeId="0" xr:uid="{0925ED4E-2D2C-1D40-89EF-4A023AC032BE}">
      <text>
        <r>
          <rPr>
            <b/>
            <sz val="9"/>
            <color rgb="FF000000"/>
            <rFont val="Segoe UI"/>
            <family val="2"/>
            <charset val="1"/>
          </rPr>
          <t xml:space="preserve">Bederka Andrej:
</t>
        </r>
        <r>
          <rPr>
            <sz val="9"/>
            <color rgb="FF000000"/>
            <rFont val="Segoe UI"/>
            <family val="2"/>
            <charset val="1"/>
          </rPr>
          <t>Účtované ako PAUŠÁL ale len aby vyšla KALKULÁCIA, inak je to 11 - aktivity</t>
        </r>
      </text>
    </comment>
    <comment ref="F98" authorId="0" shapeId="0" xr:uid="{C0E7D8EB-FD2A-9548-ACB7-BAEDC3DF8414}">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99" authorId="0" shapeId="0" xr:uid="{A8236E78-0E74-2D47-A8CA-3E3C1DAF5629}">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G18" authorId="0" shapeId="0" xr:uid="{00000000-0006-0000-0200-000001000000}">
      <text>
        <r>
          <rPr>
            <b/>
            <sz val="9"/>
            <color indexed="81"/>
            <rFont val="Segoe UI"/>
            <family val="2"/>
          </rPr>
          <t>USER1:</t>
        </r>
        <r>
          <rPr>
            <sz val="9"/>
            <color indexed="81"/>
            <rFont val="Segoe UI"/>
            <family val="2"/>
          </rPr>
          <t xml:space="preserve">
V prípade potreby vyplniť Ostatné daňové a nedaňové príjmy</t>
        </r>
      </text>
    </comment>
    <comment ref="AE25" authorId="0" shapeId="0" xr:uid="{00000000-0006-0000-0200-000002000000}">
      <text>
        <r>
          <rPr>
            <b/>
            <sz val="9"/>
            <color indexed="81"/>
            <rFont val="Segoe UI"/>
            <family val="2"/>
          </rPr>
          <t>USER1:</t>
        </r>
        <r>
          <rPr>
            <sz val="9"/>
            <color indexed="81"/>
            <rFont val="Segoe UI"/>
            <family val="2"/>
          </rPr>
          <t xml:space="preserve">
V prípade potreby vyplniť Nevýčislené spoločenské prínosy ako textové pomenovanie prínosov</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Bederka Andrej</author>
  </authors>
  <commentList>
    <comment ref="O3" authorId="0" shapeId="0" xr:uid="{7B31D423-9C3E-4DA1-864F-91E10D289DE9}">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2026: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251 pracovných dní, t.j. 2008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251 pracovných dní, t.j. 1882.5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r>
          <rPr>
            <sz val="9"/>
            <color rgb="FF000000"/>
            <rFont val="Segoe UI"/>
            <family val="2"/>
            <charset val="238"/>
          </rPr>
          <t xml:space="preserve">
</t>
        </r>
        <r>
          <rPr>
            <sz val="9"/>
            <color rgb="FF000000"/>
            <rFont val="Segoe UI"/>
            <family val="2"/>
            <charset val="238"/>
          </rPr>
          <t>Prvé mesiace 2026 sú určené pre prípravu a administráciu projektu.</t>
        </r>
      </text>
    </comment>
    <comment ref="P3" authorId="0" shapeId="0" xr:uid="{EDA4D69C-7A08-4298-8AA1-ED4B5846DAFE}">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2027: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252 pracovných dní, t.j. 2016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252 pracovných dní, t.j. 1890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text>
    </comment>
    <comment ref="Q3" authorId="0" shapeId="0" xr:uid="{879C7183-4243-4D9A-A29E-2F60823844D0}">
      <text>
        <r>
          <rPr>
            <b/>
            <sz val="9"/>
            <color indexed="81"/>
            <rFont val="Segoe UI"/>
            <family val="2"/>
            <charset val="238"/>
          </rPr>
          <t>Bederka Andrej:</t>
        </r>
        <r>
          <rPr>
            <sz val="9"/>
            <color indexed="81"/>
            <rFont val="Segoe UI"/>
            <family val="2"/>
            <charset val="238"/>
          </rPr>
          <t xml:space="preserve">
Podľa fondu pracovného času 2028: 
</t>
        </r>
        <r>
          <rPr>
            <b/>
            <sz val="9"/>
            <color indexed="81"/>
            <rFont val="Segoe UI"/>
            <family val="2"/>
            <charset val="238"/>
          </rPr>
          <t>8 hodinový pracovný čas</t>
        </r>
        <r>
          <rPr>
            <sz val="9"/>
            <color indexed="81"/>
            <rFont val="Segoe UI"/>
            <family val="2"/>
            <charset val="238"/>
          </rPr>
          <t xml:space="preserve">
Rok má dokopy 248 pracovných dní, t.j. 1984 pracovných hodín.
S platenými sviatkami má rok 260 pracovných dní, t.j. 2080 pracovných hodín.
</t>
        </r>
        <r>
          <rPr>
            <b/>
            <sz val="9"/>
            <color indexed="81"/>
            <rFont val="Segoe UI"/>
            <family val="2"/>
            <charset val="238"/>
          </rPr>
          <t>7,5 hodinový pracovný čas</t>
        </r>
        <r>
          <rPr>
            <sz val="9"/>
            <color indexed="81"/>
            <rFont val="Segoe UI"/>
            <family val="2"/>
            <charset val="238"/>
          </rPr>
          <t xml:space="preserve">
Rok má dokopy 248 pracovných dní, t.j. 1860 pracovných hodín.
S platenými sviatkami má rok 260 pracovných dní, t.j. 1950 pracovných hodín.
</t>
        </r>
        <r>
          <rPr>
            <b/>
            <sz val="9"/>
            <color indexed="81"/>
            <rFont val="Segoe UI"/>
            <family val="2"/>
            <charset val="238"/>
          </rPr>
          <t>Pre začiatok budeme pracovať s 8-hod.prac.časom ako s rezervou.</t>
        </r>
      </text>
    </comment>
    <comment ref="R3" authorId="0" shapeId="0" xr:uid="{7B7A37C2-2777-4C60-A227-4515D8567C38}">
      <text>
        <r>
          <rPr>
            <b/>
            <sz val="9"/>
            <color rgb="FF000000"/>
            <rFont val="Segoe UI"/>
            <family val="2"/>
            <charset val="238"/>
          </rPr>
          <t xml:space="preserve">Bederka:
</t>
        </r>
        <r>
          <rPr>
            <b/>
            <sz val="9"/>
            <color rgb="FF000000"/>
            <rFont val="Segoe UI"/>
            <family val="2"/>
            <charset val="238"/>
          </rPr>
          <t xml:space="preserve">Podľa fondu pracovného času na rok 2029: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250 pracovných dní, t.j. 2000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250 pracovných dní, t.j. 1875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 xml:space="preserve">Pre začiatok budeme pracovať s 8-hod.prac.časom ako s rezervou.
</t>
        </r>
        <r>
          <rPr>
            <sz val="9"/>
            <color rgb="FF000000"/>
            <rFont val="Segoe UI"/>
            <family val="2"/>
            <charset val="238"/>
          </rPr>
          <t>Posledný mesiac 2029 je určený na administráciu, spracovanie a hodnotenie projektu pri ukončení.</t>
        </r>
      </text>
    </comment>
    <comment ref="O4" authorId="0" shapeId="0" xr:uid="{470920AB-4851-4273-9FC7-9D7AC943B818}">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od 4/2026-12/2026</t>
        </r>
      </text>
    </comment>
    <comment ref="R4" authorId="0" shapeId="0" xr:uid="{219FD777-FA46-4C55-9520-B5FDBAB8940B}">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len do 11/2029</t>
        </r>
      </text>
    </comment>
    <comment ref="E10" authorId="0" shapeId="0" xr:uid="{0213DC0A-C648-49C5-8E30-3D71DB447FC1}">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1" authorId="0" shapeId="0" xr:uid="{1841E0F6-83EB-4EF1-AC93-BF6482C28217}">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2" authorId="0" shapeId="0" xr:uid="{2FF33540-F4F1-4847-AE82-00C806F79C85}">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3" authorId="0" shapeId="0" xr:uid="{374B7D93-50E5-4F50-8056-E7DB0624D95D}">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E14" authorId="0" shapeId="0" xr:uid="{087763FB-6D2B-4474-A48A-FEC51A056BC6}">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E15" authorId="0" shapeId="0" xr:uid="{E622E8E7-924A-4D0F-9161-AD6A412282C9}">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N26" authorId="0" shapeId="0" xr:uid="{E71BB716-9B7E-4C11-B524-EC803C48D28E}">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Príliš vysoké!!</t>
        </r>
      </text>
    </comment>
    <comment ref="N27" authorId="0" shapeId="0" xr:uid="{7099203A-FD7B-4918-B2FB-C1671C8AEAF6}">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Príliš vysoké!!</t>
        </r>
      </text>
    </comment>
    <comment ref="E42" authorId="0" shapeId="0" xr:uid="{D47D9D9B-0929-4A54-B5C3-B0ED5B9AB82F}">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K42" authorId="0" shapeId="0" xr:uid="{B6B63E26-A1E8-4DC7-AD8D-39074ABEDBD2}">
      <text>
        <r>
          <rPr>
            <b/>
            <sz val="9"/>
            <color indexed="81"/>
            <rFont val="Segoe UI"/>
            <family val="2"/>
          </rPr>
          <t>Bederka Andrej:</t>
        </r>
        <r>
          <rPr>
            <sz val="9"/>
            <color indexed="81"/>
            <rFont val="Segoe UI"/>
            <family val="2"/>
          </rPr>
          <t xml:space="preserve">
chce byť platený z ministerstva, nie z VŠ</t>
        </r>
      </text>
    </comment>
    <comment ref="S63" authorId="0" shapeId="0" xr:uid="{FC57C9EA-B956-4B0E-BF0F-7D662655FD7B}">
      <text>
        <r>
          <rPr>
            <b/>
            <sz val="9"/>
            <color indexed="81"/>
            <rFont val="Segoe UI"/>
            <family val="2"/>
          </rPr>
          <t>Bederka Andrej:</t>
        </r>
        <r>
          <rPr>
            <sz val="9"/>
            <color indexed="81"/>
            <rFont val="Segoe UI"/>
            <family val="2"/>
          </rPr>
          <t xml:space="preserve">
vzdelávanie bude počítané BEZ DPH (i keď CEE Lab je platca DPH)</t>
        </r>
      </text>
    </comment>
    <comment ref="A83" authorId="0" shapeId="0" xr:uid="{162FD9BB-4C26-4122-803F-CC78C42CC0A5}">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ˇuprava z 11 na 12</t>
        </r>
      </text>
    </comment>
    <comment ref="A84" authorId="0" shapeId="0" xr:uid="{EE250393-CF6A-4D70-965C-BCE425E60DB2}">
      <text>
        <r>
          <rPr>
            <b/>
            <sz val="9"/>
            <color indexed="81"/>
            <rFont val="Segoe UI"/>
            <family val="2"/>
          </rPr>
          <t>Bederka Andrej:</t>
        </r>
        <r>
          <rPr>
            <sz val="9"/>
            <color indexed="81"/>
            <rFont val="Segoe UI"/>
            <family val="2"/>
          </rPr>
          <t xml:space="preserve">
Účtované ako PAUŠÁL ale len aby vyšla KALKULÁCIA, inak je to 11 - aktivity</t>
        </r>
      </text>
    </comment>
    <comment ref="F84" authorId="0" shapeId="0" xr:uid="{582626B6-BE0F-4BB0-8274-3A4FE13589A7}">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85" authorId="0" shapeId="0" xr:uid="{25AFF735-9E67-42D8-9FD6-85DF18FFBA56}">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A86" authorId="0" shapeId="0" xr:uid="{4532B73F-5427-45C8-B42B-797472CE02C2}">
      <text>
        <r>
          <rPr>
            <b/>
            <sz val="9"/>
            <color indexed="81"/>
            <rFont val="Segoe UI"/>
            <family val="2"/>
          </rPr>
          <t>Bederka Andrej:</t>
        </r>
        <r>
          <rPr>
            <sz val="9"/>
            <color indexed="81"/>
            <rFont val="Segoe UI"/>
            <family val="2"/>
          </rPr>
          <t xml:space="preserve">
ˇuprava z 11 na 12</t>
        </r>
      </text>
    </comment>
    <comment ref="A87" authorId="0" shapeId="0" xr:uid="{35330D5B-7C63-4F3F-A364-2A1C3A7B3003}">
      <text>
        <r>
          <rPr>
            <b/>
            <sz val="9"/>
            <color indexed="81"/>
            <rFont val="Segoe UI"/>
            <family val="2"/>
          </rPr>
          <t>Bederka Andrej:</t>
        </r>
        <r>
          <rPr>
            <sz val="9"/>
            <color indexed="81"/>
            <rFont val="Segoe UI"/>
            <family val="2"/>
          </rPr>
          <t xml:space="preserve">
ˇuprava z 11 na 12</t>
        </r>
      </text>
    </comment>
    <comment ref="A88" authorId="0" shapeId="0" xr:uid="{2BDCDC2D-44F1-42CD-8C40-08B9B21AAC08}">
      <text>
        <r>
          <rPr>
            <b/>
            <sz val="9"/>
            <color indexed="81"/>
            <rFont val="Segoe UI"/>
            <family val="2"/>
          </rPr>
          <t>Bederka Andrej:</t>
        </r>
        <r>
          <rPr>
            <sz val="9"/>
            <color indexed="81"/>
            <rFont val="Segoe UI"/>
            <family val="2"/>
          </rPr>
          <t xml:space="preserve">
ˇuprava z 11 na 12</t>
        </r>
      </text>
    </comment>
    <comment ref="A89" authorId="0" shapeId="0" xr:uid="{F3F9D3B2-2EB9-43F8-AFAC-86721AB1EDC5}">
      <text>
        <r>
          <rPr>
            <b/>
            <sz val="9"/>
            <color indexed="81"/>
            <rFont val="Segoe UI"/>
            <family val="2"/>
          </rPr>
          <t>Bederka Andrej:</t>
        </r>
        <r>
          <rPr>
            <sz val="9"/>
            <color indexed="81"/>
            <rFont val="Segoe UI"/>
            <family val="2"/>
          </rPr>
          <t xml:space="preserve">
ˇuprava z 11 na 12</t>
        </r>
      </text>
    </comment>
    <comment ref="A90" authorId="0" shapeId="0" xr:uid="{2912952C-F8DA-4B43-85AD-D1CB894C358C}">
      <text>
        <r>
          <rPr>
            <b/>
            <sz val="9"/>
            <color indexed="81"/>
            <rFont val="Segoe UI"/>
            <family val="2"/>
          </rPr>
          <t>Bederka Andrej:</t>
        </r>
        <r>
          <rPr>
            <sz val="9"/>
            <color indexed="81"/>
            <rFont val="Segoe UI"/>
            <family val="2"/>
          </rPr>
          <t xml:space="preserve">
ˇuprava z 11 na 12 a súčasne REZERVA</t>
        </r>
      </text>
    </comment>
    <comment ref="A91" authorId="0" shapeId="0" xr:uid="{9038AA0C-954A-49E0-9CB7-66818028C511}">
      <text>
        <r>
          <rPr>
            <b/>
            <sz val="9"/>
            <color indexed="81"/>
            <rFont val="Segoe UI"/>
            <family val="2"/>
          </rPr>
          <t>Bederka Andrej:</t>
        </r>
        <r>
          <rPr>
            <sz val="9"/>
            <color indexed="81"/>
            <rFont val="Segoe UI"/>
            <family val="2"/>
          </rPr>
          <t xml:space="preserve">
ˇuprava z 11 na 12</t>
        </r>
      </text>
    </comment>
    <comment ref="S91" authorId="0" shapeId="0" xr:uid="{F768A553-7998-48D4-B3C7-FD77763B19DE}">
      <text>
        <r>
          <rPr>
            <b/>
            <sz val="9"/>
            <color indexed="81"/>
            <rFont val="Segoe UI"/>
            <family val="2"/>
            <charset val="238"/>
          </rPr>
          <t>Bederka Andrej:</t>
        </r>
        <r>
          <rPr>
            <sz val="9"/>
            <color indexed="81"/>
            <rFont val="Segoe UI"/>
            <family val="2"/>
            <charset val="238"/>
          </rPr>
          <t xml:space="preserve">
Chceme združenie, ktoré nie je platcom DPH</t>
        </r>
      </text>
    </comment>
    <comment ref="A92" authorId="0" shapeId="0" xr:uid="{9B22935C-9B55-4522-AC6F-24ABB3D68795}">
      <text>
        <r>
          <rPr>
            <b/>
            <sz val="9"/>
            <color indexed="81"/>
            <rFont val="Segoe UI"/>
            <family val="2"/>
          </rPr>
          <t>Bederka Andrej:</t>
        </r>
        <r>
          <rPr>
            <sz val="9"/>
            <color indexed="81"/>
            <rFont val="Segoe UI"/>
            <family val="2"/>
          </rPr>
          <t xml:space="preserve">
ˇuprava z 11 na 12</t>
        </r>
      </text>
    </comment>
    <comment ref="S92" authorId="0" shapeId="0" xr:uid="{F2951640-F0F0-418D-8276-1DBAF5371EA2}">
      <text>
        <r>
          <rPr>
            <b/>
            <sz val="9"/>
            <color indexed="81"/>
            <rFont val="Segoe UI"/>
            <family val="2"/>
            <charset val="238"/>
          </rPr>
          <t>Bederka Andrej:</t>
        </r>
        <r>
          <rPr>
            <sz val="9"/>
            <color indexed="81"/>
            <rFont val="Segoe UI"/>
            <family val="2"/>
            <charset val="238"/>
          </rPr>
          <t xml:space="preserve">
Chceme združenie, ktoré nie je platcom DPH</t>
        </r>
      </text>
    </comment>
    <comment ref="A95" authorId="0" shapeId="0" xr:uid="{3D450383-B0FB-4C1A-9D22-84754A734F6A}">
      <text>
        <r>
          <rPr>
            <b/>
            <sz val="9"/>
            <color indexed="81"/>
            <rFont val="Segoe UI"/>
            <family val="2"/>
          </rPr>
          <t xml:space="preserve">Bederka Andrej:
</t>
        </r>
        <r>
          <rPr>
            <sz val="9"/>
            <color indexed="81"/>
            <rFont val="Segoe UI"/>
            <family val="2"/>
          </rPr>
          <t>Účtované ako PAUŠÁL ale len aby vyšla KALKULÁCIA, inak je to 11 - aktivity</t>
        </r>
      </text>
    </comment>
    <comment ref="F95" authorId="0" shapeId="0" xr:uid="{FBD71F6B-D88D-41E1-8A95-ED88E29D8356}">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96" authorId="0" shapeId="0" xr:uid="{09A35773-EB55-45F5-9A79-3F6C55381AE4}">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S98" authorId="0" shapeId="0" xr:uid="{8CD99EC1-B66F-42BE-9183-33BEE792464D}">
      <text>
        <r>
          <rPr>
            <b/>
            <sz val="9"/>
            <color indexed="81"/>
            <rFont val="Segoe UI"/>
            <family val="2"/>
            <charset val="238"/>
          </rPr>
          <t>Bederka Andrej:</t>
        </r>
        <r>
          <rPr>
            <sz val="9"/>
            <color indexed="81"/>
            <rFont val="Segoe UI"/>
            <family val="2"/>
            <charset val="238"/>
          </rPr>
          <t xml:space="preserve">
Ešte som na neho nenašiel rozpočet - dôležité!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I3" authorId="0" shapeId="0" xr:uid="{00000000-0006-0000-0300-000001000000}">
      <text>
        <r>
          <rPr>
            <b/>
            <sz val="9"/>
            <color indexed="81"/>
            <rFont val="Segoe UI"/>
            <family val="2"/>
          </rPr>
          <t>USER1:</t>
        </r>
        <r>
          <rPr>
            <sz val="9"/>
            <color indexed="81"/>
            <rFont val="Segoe UI"/>
            <family val="2"/>
          </rPr>
          <t xml:space="preserve">
Potrebné vyplniť % ktorým da daný zdroj financovania bude podieľať na nákladoch projektu. 
Suma v danom riadku musí byť 100%, na čo upozorňuje aj hodnota v stĺpci G pre daný riadok</t>
        </r>
      </text>
    </comment>
    <comment ref="F20" authorId="0" shapeId="0" xr:uid="{00000000-0006-0000-03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rozdeliť náklady v danej Oblasti výdavku na Interné a externé. Suma pre Oblasť výdavku musí byť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0800-000001000000}">
      <text>
        <r>
          <rPr>
            <b/>
            <sz val="9"/>
            <color indexed="81"/>
            <rFont val="Segoe UI"/>
            <family val="2"/>
          </rPr>
          <t>USER1:</t>
        </r>
        <r>
          <rPr>
            <sz val="9"/>
            <color indexed="81"/>
            <rFont val="Segoe UI"/>
            <family val="2"/>
          </rPr>
          <t xml:space="preserve">
Potrebné vyplniť názvy všetkých modulov, ktoré budú v projekte dodávané. 
Moduly by mali byť tie isté ako sú definované v META IS k danému IS</t>
        </r>
      </text>
    </comment>
    <comment ref="C2" authorId="0" shapeId="0" xr:uid="{00000000-0006-0000-0800-000002000000}">
      <text>
        <r>
          <rPr>
            <b/>
            <sz val="9"/>
            <color indexed="81"/>
            <rFont val="Segoe UI"/>
            <family val="2"/>
          </rPr>
          <t>USER1:</t>
        </r>
        <r>
          <rPr>
            <sz val="9"/>
            <color indexed="81"/>
            <rFont val="Segoe UI"/>
            <family val="2"/>
          </rPr>
          <t xml:space="preserve">
Hodnota je automaticky dotiahnutá pre modul zo záložky TCF_v02</t>
        </r>
      </text>
    </comment>
    <comment ref="D2" authorId="0" shapeId="0" xr:uid="{00000000-0006-0000-0800-000003000000}">
      <text>
        <r>
          <rPr>
            <b/>
            <sz val="9"/>
            <color indexed="81"/>
            <rFont val="Segoe UI"/>
            <family val="2"/>
          </rPr>
          <t>USER1:</t>
        </r>
        <r>
          <rPr>
            <sz val="9"/>
            <color indexed="81"/>
            <rFont val="Segoe UI"/>
            <family val="2"/>
          </rPr>
          <t xml:space="preserve">
Hodnota je automaticky dotiahnutá pre modul zo záložky ECF_v02</t>
        </r>
      </text>
    </comment>
    <comment ref="E2" authorId="0" shapeId="0" xr:uid="{00000000-0006-0000-0800-000004000000}">
      <text>
        <r>
          <rPr>
            <b/>
            <sz val="9"/>
            <color indexed="81"/>
            <rFont val="Segoe UI"/>
            <family val="2"/>
          </rPr>
          <t>USER1:</t>
        </r>
        <r>
          <rPr>
            <sz val="9"/>
            <color indexed="81"/>
            <rFont val="Segoe UI"/>
            <family val="2"/>
          </rPr>
          <t xml:space="preserve">
Hodnota je automaticky dotiahnutá pre modul zo záložky UAW_v02</t>
        </r>
      </text>
    </comment>
    <comment ref="F2" authorId="0" shapeId="0" xr:uid="{00000000-0006-0000-08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Jedná sa o stanovanie hodnoty Produktivity faktor, ktorá znemená hodinúvú náročnosť realizácie jednoného bodu prípadu použitia (Use Case Pointu).
</t>
        </r>
        <r>
          <rPr>
            <sz val="9"/>
            <color rgb="FF000000"/>
            <rFont val="Segoe UI"/>
            <family val="2"/>
            <charset val="1"/>
          </rPr>
          <t>Viac v metodike časť Produktivity faktor a časť Oranžová sekcia bod 7</t>
        </r>
      </text>
    </comment>
    <comment ref="G2" authorId="0" shapeId="0" xr:uid="{00000000-0006-0000-08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vybrať inkrement, v ktorom bude daný modul dodaný</t>
        </r>
      </text>
    </comment>
    <comment ref="H2" authorId="0" shapeId="0" xr:uid="{00000000-0006-0000-0800-000007000000}">
      <text>
        <r>
          <rPr>
            <b/>
            <sz val="9"/>
            <color indexed="81"/>
            <rFont val="Segoe UI"/>
            <family val="2"/>
          </rPr>
          <t>USER1:</t>
        </r>
        <r>
          <rPr>
            <sz val="9"/>
            <color indexed="81"/>
            <rFont val="Segoe UI"/>
            <family val="2"/>
          </rPr>
          <t xml:space="preserve">
Automaticky vyplnený rok dodania z vybraného inkrementu</t>
        </r>
      </text>
    </comment>
    <comment ref="I2" authorId="0" shapeId="0" xr:uid="{00000000-0006-0000-0800-000008000000}">
      <text>
        <r>
          <rPr>
            <b/>
            <sz val="9"/>
            <color indexed="81"/>
            <rFont val="Segoe UI"/>
            <family val="2"/>
          </rPr>
          <t>USER1:</t>
        </r>
        <r>
          <rPr>
            <sz val="9"/>
            <color indexed="81"/>
            <rFont val="Segoe UI"/>
            <family val="2"/>
          </rPr>
          <t xml:space="preserve">
Automaticky doplnený poradový rok dodania od spustenia projektu</t>
        </r>
      </text>
    </comment>
    <comment ref="J2" authorId="0" shapeId="0" xr:uid="{00000000-0006-0000-0800-000009000000}">
      <text>
        <r>
          <rPr>
            <b/>
            <sz val="9"/>
            <color indexed="81"/>
            <rFont val="Segoe UI"/>
            <family val="2"/>
          </rPr>
          <t>USER1:</t>
        </r>
        <r>
          <rPr>
            <sz val="9"/>
            <color indexed="81"/>
            <rFont val="Segoe UI"/>
            <family val="2"/>
          </rPr>
          <t xml:space="preserve">
Prepodkladaný počet externých MDs na realizovaný projekt</t>
        </r>
      </text>
    </comment>
    <comment ref="K2" authorId="0" shapeId="0" xr:uid="{00000000-0006-0000-08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 pre aplikačnú podporu daného modulu, ak je aplikačná podpora relevantná</t>
        </r>
      </text>
    </comment>
    <comment ref="L2" authorId="0" shapeId="0" xr:uid="{00000000-0006-0000-0800-00000B000000}">
      <text>
        <r>
          <rPr>
            <b/>
            <sz val="9"/>
            <color indexed="81"/>
            <rFont val="Segoe UI"/>
            <family val="2"/>
          </rPr>
          <t>USER1:</t>
        </r>
        <r>
          <rPr>
            <sz val="9"/>
            <color indexed="81"/>
            <rFont val="Segoe UI"/>
            <family val="2"/>
          </rPr>
          <t xml:space="preserve">
Jedná sa o stanovanie % rozvoja pre jednotlivé komponenty modulu. Rozvoj je vnímaný ako, pre aplikácie, tak aj pre SW produkty.</t>
        </r>
      </text>
    </comment>
    <comment ref="M2" authorId="0" shapeId="0" xr:uid="{00000000-0006-0000-0800-00000C000000}">
      <text>
        <r>
          <rPr>
            <b/>
            <sz val="9"/>
            <color indexed="81"/>
            <rFont val="Segoe UI"/>
            <family val="2"/>
          </rPr>
          <t>USER1:</t>
        </r>
        <r>
          <rPr>
            <sz val="9"/>
            <color indexed="81"/>
            <rFont val="Segoe UI"/>
            <family val="2"/>
          </rPr>
          <t xml:space="preserve">
Jedná sa o stanovenie percenta supportov pre HW a SW produkty v danom module.</t>
        </r>
      </text>
    </comment>
    <comment ref="N2" authorId="0" shapeId="0" xr:uid="{00000000-0006-0000-0800-00000D000000}">
      <text>
        <r>
          <rPr>
            <b/>
            <sz val="9"/>
            <color indexed="81"/>
            <rFont val="Segoe UI"/>
            <family val="2"/>
          </rPr>
          <t>USER1:</t>
        </r>
        <r>
          <rPr>
            <sz val="9"/>
            <color indexed="81"/>
            <rFont val="Segoe UI"/>
            <family val="2"/>
          </rPr>
          <t xml:space="preserve">
Jedná sa o stanovenie začiatku realizácie podpory alebo supportu pre daný modul. Na základe tejto hodnoty sa následne počítajú prevádzkové náklady pre aplikácie, SW produkty alebo HW.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A00-000001000000}">
      <text>
        <r>
          <rPr>
            <b/>
            <sz val="9"/>
            <color indexed="81"/>
            <rFont val="Segoe UI"/>
            <family val="2"/>
          </rPr>
          <t>USER1:</t>
        </r>
        <r>
          <rPr>
            <sz val="9"/>
            <color indexed="81"/>
            <rFont val="Segoe UI"/>
            <family val="2"/>
          </rPr>
          <t xml:space="preserve">
Je potrebné stanoviť začiatok trvania daného inkrementu.
Počet inkrementov záleží od projektu a jeho náročnosti.
Formát dátumu je DD.MM.RRRR</t>
        </r>
      </text>
    </comment>
    <comment ref="D1" authorId="0" shapeId="0" xr:uid="{00000000-0006-0000-0A00-000002000000}">
      <text>
        <r>
          <rPr>
            <b/>
            <sz val="9"/>
            <color indexed="81"/>
            <rFont val="Segoe UI"/>
            <family val="2"/>
          </rPr>
          <t>USER1:</t>
        </r>
        <r>
          <rPr>
            <sz val="9"/>
            <color indexed="81"/>
            <rFont val="Segoe UI"/>
            <family val="2"/>
          </rPr>
          <t xml:space="preserve">
Je potrebné stanoviť dátum ukončenia inkrementu.
Formát dátumu je DD.MM.RRRR</t>
        </r>
      </text>
    </comment>
    <comment ref="E1" authorId="0" shapeId="0" xr:uid="{00000000-0006-0000-0A00-000003000000}">
      <text>
        <r>
          <rPr>
            <b/>
            <sz val="9"/>
            <color indexed="81"/>
            <rFont val="Segoe UI"/>
            <family val="2"/>
          </rPr>
          <t>USER1:</t>
        </r>
        <r>
          <rPr>
            <sz val="9"/>
            <color indexed="81"/>
            <rFont val="Segoe UI"/>
            <family val="2"/>
          </rPr>
          <t xml:space="preserve">
Predstavuje dobu trvania inkrementu v mesiacoch</t>
        </r>
      </text>
    </comment>
    <comment ref="F1" authorId="0" shapeId="0" xr:uid="{00000000-0006-0000-0A00-000004000000}">
      <text>
        <r>
          <rPr>
            <b/>
            <sz val="9"/>
            <color indexed="81"/>
            <rFont val="Segoe UI"/>
            <family val="2"/>
          </rPr>
          <t>USER1:</t>
        </r>
        <r>
          <rPr>
            <sz val="9"/>
            <color indexed="81"/>
            <rFont val="Segoe UI"/>
            <family val="2"/>
          </rPr>
          <t xml:space="preserve">
Predstavuje rok dodania modulov v danom inkremente od začiatku projektu</t>
        </r>
      </text>
    </comment>
    <comment ref="G1" authorId="0" shapeId="0" xr:uid="{00000000-0006-0000-0A00-000005000000}">
      <text>
        <r>
          <rPr>
            <b/>
            <sz val="9"/>
            <color indexed="81"/>
            <rFont val="Segoe UI"/>
            <family val="2"/>
          </rPr>
          <t>USER1:</t>
        </r>
        <r>
          <rPr>
            <sz val="9"/>
            <color indexed="81"/>
            <rFont val="Segoe UI"/>
            <family val="2"/>
          </rPr>
          <t xml:space="preserve">
Predstavuje mesiac ukončenia inkrementu od začiatku projektu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0B00-000001000000}">
      <text>
        <r>
          <rPr>
            <b/>
            <sz val="9"/>
            <color indexed="81"/>
            <rFont val="Segoe UI"/>
            <family val="2"/>
          </rPr>
          <t>USER1:</t>
        </r>
        <r>
          <rPr>
            <sz val="9"/>
            <color indexed="81"/>
            <rFont val="Segoe UI"/>
            <family val="2"/>
          </rPr>
          <t xml:space="preserve">
Je potrebné stanoviť ID pre danú požiadavku, pričom sa začína od ID_1 a následne sa pokračuje vždy po 1</t>
        </r>
      </text>
    </comment>
    <comment ref="B2" authorId="0" shapeId="0" xr:uid="{00000000-0006-0000-0B00-000002000000}">
      <text>
        <r>
          <rPr>
            <b/>
            <sz val="9"/>
            <color indexed="81"/>
            <rFont val="Segoe UI"/>
            <family val="2"/>
          </rPr>
          <t>USER1:</t>
        </r>
        <r>
          <rPr>
            <sz val="9"/>
            <color indexed="81"/>
            <rFont val="Segoe UI"/>
            <family val="2"/>
          </rPr>
          <t xml:space="preserve">
Je potrebné vybrať klasifikáciu požiadavky z kombo boxu, pričom sa jedná o:
 - funkčnú požiadvaku
 - technickú požiadavku
 - ne- funkčnú požiadavku
Viac k problematike v metodika časť Definovanie a klasifikácia požiadaviek</t>
        </r>
      </text>
    </comment>
    <comment ref="C2" authorId="0" shapeId="0" xr:uid="{00000000-0006-0000-0B00-000003000000}">
      <text>
        <r>
          <rPr>
            <b/>
            <sz val="9"/>
            <color indexed="81"/>
            <rFont val="Segoe UI"/>
            <family val="2"/>
          </rPr>
          <t>USER1:</t>
        </r>
        <r>
          <rPr>
            <sz val="9"/>
            <color indexed="81"/>
            <rFont val="Segoe UI"/>
            <family val="2"/>
          </rPr>
          <t xml:space="preserve">
Oblasti požiadaviek si definuje vlastník projektu, pričom by mali byť zvolené tak, aby zahŕňali nejakú ucelenú oblasť - napr. modul, funkčnosť a pod.</t>
        </r>
      </text>
    </comment>
    <comment ref="D2" authorId="0" shapeId="0" xr:uid="{00000000-0006-0000-0B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jednoduché nazvanie požiadavky</t>
        </r>
      </text>
    </comment>
    <comment ref="E2" authorId="0" shapeId="0" xr:uid="{00000000-0006-0000-0B00-000005000000}">
      <text>
        <r>
          <rPr>
            <b/>
            <sz val="9"/>
            <color indexed="81"/>
            <rFont val="Segoe UI"/>
            <family val="2"/>
          </rPr>
          <t>USER1:</t>
        </r>
        <r>
          <rPr>
            <sz val="9"/>
            <color indexed="81"/>
            <rFont val="Segoe UI"/>
            <family val="2"/>
          </rPr>
          <t xml:space="preserve">
Mal by byť určený väčí detail požiadvaky tak, aby bolo jasné o čo sa v danej požiadavke jedná. 
Tento popis bude následne dôležitý aj pre proces verejného obstarávania ako aj pre procesy dodávky, akceptácie a testovania daných požiadaviek</t>
        </r>
      </text>
    </comment>
    <comment ref="F2" authorId="0" shapeId="0" xr:uid="{00000000-0006-0000-0B00-000006000000}">
      <text>
        <r>
          <rPr>
            <b/>
            <sz val="9"/>
            <color indexed="81"/>
            <rFont val="Segoe UI"/>
            <family val="2"/>
          </rPr>
          <t>USER1:</t>
        </r>
        <r>
          <rPr>
            <sz val="9"/>
            <color indexed="81"/>
            <rFont val="Segoe UI"/>
            <family val="2"/>
          </rPr>
          <t xml:space="preserve">
Mal by byť definovaný vlastník, ktorý je zodpovedný za definovanie danej požiadavky</t>
        </r>
      </text>
    </comment>
    <comment ref="G2" authorId="0" shapeId="0" xr:uid="{00000000-0006-0000-0B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V tejto časti vyberie žiadateľ, ku ktorému modulu sa požiadavka viaže. 
</t>
        </r>
        <r>
          <rPr>
            <sz val="9"/>
            <color rgb="FF000000"/>
            <rFont val="Segoe UI"/>
            <family val="2"/>
            <charset val="1"/>
          </rPr>
          <t>Ak jedna požiadavka patrí k viacerým modulom, je potrbené je zadefinovať viac krát.</t>
        </r>
      </text>
    </comment>
    <comment ref="H2" authorId="0" shapeId="0" xr:uid="{00000000-0006-0000-0B00-000008000000}">
      <text>
        <r>
          <rPr>
            <b/>
            <sz val="9"/>
            <color indexed="81"/>
            <rFont val="Segoe UI"/>
            <family val="2"/>
          </rPr>
          <t>USER1:</t>
        </r>
        <r>
          <rPr>
            <sz val="9"/>
            <color indexed="81"/>
            <rFont val="Segoe UI"/>
            <family val="2"/>
          </rPr>
          <t xml:space="preserve">
Táto časť sa vypĺňa len pre funkčné požiadavky a predstavuje počet prístupových miest pre danú požiadavku:
- Call Centrum
- Integrované obslužné miesto
- Špecializovaný portál
- Klientske centrum štátnej správy
- Podateľná orgánu verenej moci
- Pracovicko OVM
- eGovApps na mobilných platformách
- GoTechApps – komerčné riešenie
- e-mail
- SMS
- Ústredný portál verejnej správy</t>
        </r>
      </text>
    </comment>
    <comment ref="I2" authorId="0" shapeId="0" xr:uid="{00000000-0006-0000-0B00-000009000000}">
      <text>
        <r>
          <rPr>
            <b/>
            <sz val="9"/>
            <color indexed="81"/>
            <rFont val="Segoe UI"/>
            <family val="2"/>
          </rPr>
          <t>USER1:</t>
        </r>
        <r>
          <rPr>
            <sz val="9"/>
            <color indexed="81"/>
            <rFont val="Segoe UI"/>
            <family val="2"/>
          </rPr>
          <t xml:space="preserve">
Zložitosť požiadavky je vyjadrená hodnotami:
 - 5 - jednoduchá
 - 10 - priemerná
 - 15 - komplexná
Pričom detailné vysvetlenie je v časti Vývoj a úprava SW diela / Aplikácie</t>
        </r>
      </text>
    </comment>
    <comment ref="K2" authorId="0" shapeId="0" xr:uid="{00000000-0006-0000-0B00-00000A000000}">
      <text>
        <r>
          <rPr>
            <b/>
            <sz val="9"/>
            <color indexed="81"/>
            <rFont val="Segoe UI"/>
            <family val="2"/>
          </rPr>
          <t>USER1:</t>
        </r>
        <r>
          <rPr>
            <sz val="9"/>
            <color indexed="81"/>
            <rFont val="Segoe UI"/>
            <family val="2"/>
          </rPr>
          <t xml:space="preserve">
Predstavuje súčim Poctu pristupovych kanalov a Zlozitosti poziadavky</t>
        </r>
      </text>
    </comment>
    <comment ref="L2" authorId="0" shapeId="0" xr:uid="{00000000-0006-0000-0B00-00000B000000}">
      <text>
        <r>
          <rPr>
            <b/>
            <sz val="9"/>
            <color indexed="81"/>
            <rFont val="Segoe UI"/>
            <family val="2"/>
          </rPr>
          <t>USER1:</t>
        </r>
        <r>
          <rPr>
            <sz val="9"/>
            <color indexed="81"/>
            <rFont val="Segoe UI"/>
            <family val="2"/>
          </rPr>
          <t xml:space="preserve">
Dotiahnutá vážená hodnota UAW pre daný modul</t>
        </r>
      </text>
    </comment>
    <comment ref="M2" authorId="0" shapeId="0" xr:uid="{00000000-0006-0000-0B00-00000C000000}">
      <text>
        <r>
          <rPr>
            <b/>
            <sz val="9"/>
            <color indexed="81"/>
            <rFont val="Segoe UI"/>
            <family val="2"/>
          </rPr>
          <t>USER1:</t>
        </r>
        <r>
          <rPr>
            <sz val="9"/>
            <color indexed="81"/>
            <rFont val="Segoe UI"/>
            <family val="2"/>
          </rPr>
          <t xml:space="preserve">
Dotiahntuá hodnota zo záložky Moduly pre daný modul</t>
        </r>
      </text>
    </comment>
    <comment ref="N2" authorId="0" shapeId="0" xr:uid="{00000000-0006-0000-0B00-00000D000000}">
      <text>
        <r>
          <rPr>
            <b/>
            <sz val="9"/>
            <color indexed="81"/>
            <rFont val="Segoe UI"/>
            <family val="2"/>
          </rPr>
          <t>USER1:</t>
        </r>
        <r>
          <rPr>
            <sz val="9"/>
            <color indexed="81"/>
            <rFont val="Segoe UI"/>
            <family val="2"/>
          </rPr>
          <t xml:space="preserve">
Dotiahntuá hodnota zo záložky Moduly pre daný modul</t>
        </r>
      </text>
    </comment>
    <comment ref="O2" authorId="0" shapeId="0" xr:uid="{00000000-0006-0000-0B00-00000E000000}">
      <text>
        <r>
          <rPr>
            <b/>
            <sz val="9"/>
            <color indexed="81"/>
            <rFont val="Segoe UI"/>
            <family val="2"/>
          </rPr>
          <t>USER1:</t>
        </r>
        <r>
          <rPr>
            <sz val="9"/>
            <color indexed="81"/>
            <rFont val="Segoe UI"/>
            <family val="2"/>
          </rPr>
          <t xml:space="preserve">
Jedná sa o výpočet počtu Bodov Prípadov použitia, ktorý je základným faktorom pre výpočet následnej náročnosti, pričom výpočet je nasledovny:
(Zlozitost + UAW) * ECF * TCF</t>
        </r>
      </text>
    </comment>
    <comment ref="P2" authorId="0" shapeId="0" xr:uid="{00000000-0006-0000-0B00-00000F000000}">
      <text>
        <r>
          <rPr>
            <b/>
            <sz val="9"/>
            <color indexed="81"/>
            <rFont val="Segoe UI"/>
            <family val="2"/>
          </rPr>
          <t>USER1:</t>
        </r>
        <r>
          <rPr>
            <sz val="9"/>
            <color indexed="81"/>
            <rFont val="Segoe UI"/>
            <family val="2"/>
          </rPr>
          <t xml:space="preserve">
Jedná sa o hodinovú náročnosť implementácie danej požiadavky, pričom je hdonota UCP prenásobená PF stanoveným pra daný modul</t>
        </r>
      </text>
    </comment>
    <comment ref="Q2" authorId="0" shapeId="0" xr:uid="{00000000-0006-0000-0B00-000010000000}">
      <text>
        <r>
          <rPr>
            <b/>
            <sz val="9"/>
            <color indexed="81"/>
            <rFont val="Segoe UI"/>
            <family val="2"/>
          </rPr>
          <t>USER1:</t>
        </r>
        <r>
          <rPr>
            <sz val="9"/>
            <color indexed="81"/>
            <rFont val="Segoe UI"/>
            <family val="2"/>
          </rPr>
          <t xml:space="preserve">
Je automaticky dotihanutá hodnota inkrementu pre daný modul ku každej požiadavke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C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C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C00-000003000000}">
      <text>
        <r>
          <rPr>
            <b/>
            <sz val="9"/>
            <color indexed="81"/>
            <rFont val="Segoe UI"/>
            <family val="2"/>
          </rPr>
          <t>USER1:</t>
        </r>
        <r>
          <rPr>
            <sz val="9"/>
            <color indexed="81"/>
            <rFont val="Segoe UI"/>
            <family val="2"/>
          </rPr>
          <t xml:space="preserve">
PJe architektúra systému distribuovaná alebo centralizovaná?</t>
        </r>
      </text>
    </comment>
    <comment ref="B5" authorId="0" shapeId="0" xr:uid="{00000000-0006-0000-0C00-000004000000}">
      <text>
        <r>
          <rPr>
            <b/>
            <sz val="9"/>
            <color indexed="81"/>
            <rFont val="Segoe UI"/>
            <family val="2"/>
          </rPr>
          <t>USER1:</t>
        </r>
        <r>
          <rPr>
            <sz val="9"/>
            <color indexed="81"/>
            <rFont val="Segoe UI"/>
            <family val="2"/>
          </rPr>
          <t xml:space="preserve">
Detail jednotlivých parametrov je popísaný v časti Metodika Príloha č. 1 – Technické faktory</t>
        </r>
      </text>
    </comment>
    <comment ref="A6" authorId="0" shapeId="0" xr:uid="{00000000-0006-0000-0C00-000005000000}">
      <text>
        <r>
          <rPr>
            <b/>
            <sz val="9"/>
            <color indexed="81"/>
            <rFont val="Segoe UI"/>
            <family val="2"/>
          </rPr>
          <t>USER1:</t>
        </r>
        <r>
          <rPr>
            <sz val="9"/>
            <color indexed="81"/>
            <rFont val="Segoe UI"/>
            <family val="2"/>
          </rPr>
          <t xml:space="preserve">
Aký význam má časť odozvy aplikácie pre jej užívateľov?</t>
        </r>
      </text>
    </comment>
    <comment ref="A7" authorId="0" shapeId="0" xr:uid="{00000000-0006-0000-0C00-000006000000}">
      <text>
        <r>
          <rPr>
            <b/>
            <sz val="9"/>
            <color indexed="81"/>
            <rFont val="Segoe UI"/>
            <family val="2"/>
          </rPr>
          <t>USER1:</t>
        </r>
        <r>
          <rPr>
            <sz val="9"/>
            <color indexed="81"/>
            <rFont val="Segoe UI"/>
            <family val="2"/>
          </rPr>
          <t xml:space="preserve">
Je aplikácia navrhnutá tak, aby umožňovala konečným používateľom vykonávať len svoju prácu alebo je určená na zvýšenie ich efektívnosti?</t>
        </r>
      </text>
    </comment>
    <comment ref="A8" authorId="0" shapeId="0" xr:uid="{00000000-0006-0000-0C00-000007000000}">
      <text>
        <r>
          <rPr>
            <b/>
            <sz val="9"/>
            <color indexed="81"/>
            <rFont val="Segoe UI"/>
            <family val="2"/>
          </rPr>
          <t>USER1:</t>
        </r>
        <r>
          <rPr>
            <sz val="9"/>
            <color indexed="81"/>
            <rFont val="Segoe UI"/>
            <family val="2"/>
          </rPr>
          <t xml:space="preserve">
Potrebuje aplikácia zložité algoritmy?</t>
        </r>
      </text>
    </comment>
    <comment ref="A9" authorId="0" shapeId="0" xr:uid="{00000000-0006-0000-0C00-000008000000}">
      <text>
        <r>
          <rPr>
            <b/>
            <sz val="9"/>
            <color indexed="81"/>
            <rFont val="Segoe UI"/>
            <family val="2"/>
          </rPr>
          <t>USER1:</t>
        </r>
        <r>
          <rPr>
            <sz val="9"/>
            <color indexed="81"/>
            <rFont val="Segoe UI"/>
            <family val="2"/>
          </rPr>
          <t xml:space="preserve">
Je aplikácia navrhnutá tak, aby jej kód a artefakty boli vysoko znovu použiteľné?</t>
        </r>
      </text>
    </comment>
    <comment ref="A10" authorId="0" shapeId="0" xr:uid="{00000000-0006-0000-0C00-000009000000}">
      <text>
        <r>
          <rPr>
            <b/>
            <sz val="9"/>
            <color indexed="81"/>
            <rFont val="Segoe UI"/>
            <family val="2"/>
          </rPr>
          <t>USER1:</t>
        </r>
        <r>
          <rPr>
            <sz val="9"/>
            <color indexed="81"/>
            <rFont val="Segoe UI"/>
            <family val="2"/>
          </rPr>
          <t xml:space="preserve">
Bude aplikácia navrhnutá tak, aby bola jej inštalácia automatická (napríklad v prípade používateľov s nízkou alebo neznámou technickou kapacitou), alebo je tento parameter bezpredmetný?</t>
        </r>
      </text>
    </comment>
    <comment ref="A11" authorId="0" shapeId="0" xr:uid="{00000000-0006-0000-0C00-00000A000000}">
      <text>
        <r>
          <rPr>
            <b/>
            <sz val="9"/>
            <color indexed="81"/>
            <rFont val="Segoe UI"/>
            <family val="2"/>
          </rPr>
          <t>USER1:</t>
        </r>
        <r>
          <rPr>
            <sz val="9"/>
            <color indexed="81"/>
            <rFont val="Segoe UI"/>
            <family val="2"/>
          </rPr>
          <t xml:space="preserve">
Existujú špeciálne požiadavky týkajúce sa fungovania systému?</t>
        </r>
      </text>
    </comment>
    <comment ref="A12" authorId="0" shapeId="0" xr:uid="{00000000-0006-0000-0C00-00000B000000}">
      <text>
        <r>
          <rPr>
            <b/>
            <sz val="9"/>
            <color indexed="81"/>
            <rFont val="Segoe UI"/>
            <family val="2"/>
          </rPr>
          <t>USER1:</t>
        </r>
        <r>
          <rPr>
            <sz val="9"/>
            <color indexed="81"/>
            <rFont val="Segoe UI"/>
            <family val="2"/>
          </rPr>
          <t xml:space="preserve">
Je aplikácia alebo jej časti určená na prácu na viacerých platformách?</t>
        </r>
      </text>
    </comment>
    <comment ref="A13" authorId="0" shapeId="0" xr:uid="{00000000-0006-0000-0C00-00000C000000}">
      <text>
        <r>
          <rPr>
            <b/>
            <sz val="9"/>
            <color indexed="81"/>
            <rFont val="Segoe UI"/>
            <family val="2"/>
          </rPr>
          <t>USER1:</t>
        </r>
        <r>
          <rPr>
            <sz val="9"/>
            <color indexed="81"/>
            <rFont val="Segoe UI"/>
            <family val="2"/>
          </rPr>
          <t xml:space="preserve">
Vyžaduje klient, aby sa aplikácia dala v budúcnosti ľahko meniť?</t>
        </r>
      </text>
    </comment>
    <comment ref="A14" authorId="0" shapeId="0" xr:uid="{00000000-0006-0000-0C00-00000D000000}">
      <text>
        <r>
          <rPr>
            <b/>
            <sz val="9"/>
            <color indexed="81"/>
            <rFont val="Segoe UI"/>
            <family val="2"/>
          </rPr>
          <t>USER1:</t>
        </r>
        <r>
          <rPr>
            <sz val="9"/>
            <color indexed="81"/>
            <rFont val="Segoe UI"/>
            <family val="2"/>
          </rPr>
          <t xml:space="preserve">
Musí byť aplikácia navrhnutá tak, aby dokázala čeliť problémom súvisiacim so súbežnosťou, ako sú napríklad zdieľanie údajov a zdrojov?</t>
        </r>
      </text>
    </comment>
    <comment ref="A15" authorId="0" shapeId="0" xr:uid="{00000000-0006-0000-0C00-00000E000000}">
      <text>
        <r>
          <rPr>
            <b/>
            <sz val="9"/>
            <color indexed="81"/>
            <rFont val="Segoe UI"/>
            <family val="2"/>
          </rPr>
          <t>USER1:</t>
        </r>
        <r>
          <rPr>
            <sz val="9"/>
            <color indexed="81"/>
            <rFont val="Segoe UI"/>
            <family val="2"/>
          </rPr>
          <t xml:space="preserve">
Sú potreby zabezpečenia iba nominálne alebo je potrebný špeciálny dizajn a ďalšie špecifikácie?</t>
        </r>
      </text>
    </comment>
    <comment ref="A16" authorId="0" shapeId="0" xr:uid="{00000000-0006-0000-0C00-00000F000000}">
      <text>
        <r>
          <rPr>
            <b/>
            <sz val="9"/>
            <color indexed="81"/>
            <rFont val="Segoe UI"/>
            <family val="2"/>
          </rPr>
          <t>USER1:</t>
        </r>
        <r>
          <rPr>
            <sz val="9"/>
            <color indexed="81"/>
            <rFont val="Segoe UI"/>
            <family val="2"/>
          </rPr>
          <t xml:space="preserve">
Bude aplikácia používať kód, ktorý už bol vyvinutý, napríklad komerčné komponenty, rámce alebo knižnice? Vysoké opätovné použitie kvalitného softvéru znižuje hodnotu tejto položky, pretože si vyžaduje menšie vývojové úsilie.</t>
        </r>
      </text>
    </comment>
    <comment ref="A17" authorId="0" shapeId="0" xr:uid="{00000000-0006-0000-0C00-000010000000}">
      <text>
        <r>
          <rPr>
            <b/>
            <sz val="9"/>
            <color indexed="81"/>
            <rFont val="Segoe UI"/>
            <family val="2"/>
          </rPr>
          <t>USER1:</t>
        </r>
        <r>
          <rPr>
            <sz val="9"/>
            <color indexed="81"/>
            <rFont val="Segoe UI"/>
            <family val="2"/>
          </rPr>
          <t xml:space="preserve">
Bude sa aplikácia ľahko používať alebo sa musí budúcim používateľom poskytnúť rozsiahle školenie?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D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D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D00-000003000000}">
      <text>
        <r>
          <rPr>
            <b/>
            <sz val="9"/>
            <color indexed="81"/>
            <rFont val="Segoe UI"/>
            <family val="2"/>
          </rPr>
          <t>USER1:</t>
        </r>
        <r>
          <rPr>
            <sz val="9"/>
            <color indexed="81"/>
            <rFont val="Segoe UI"/>
            <family val="2"/>
          </rPr>
          <t xml:space="preserve">
Tento faktor hodnotí skúsenosti tímu (externy alebo interny podla typu inmplementacie) s vývojovým procesom, ktorý používajú.</t>
        </r>
      </text>
    </comment>
    <comment ref="B5" authorId="0" shapeId="0" xr:uid="{00000000-0006-0000-0D00-000004000000}">
      <text>
        <r>
          <rPr>
            <b/>
            <sz val="9"/>
            <color indexed="81"/>
            <rFont val="Segoe UI"/>
            <family val="2"/>
          </rPr>
          <t>USER1:</t>
        </r>
        <r>
          <rPr>
            <sz val="9"/>
            <color indexed="81"/>
            <rFont val="Segoe UI"/>
            <family val="2"/>
          </rPr>
          <t xml:space="preserve">
Detail jednotlivých parametrov je popísaný v časti Metodika Príloha č. 2 – Environmentálne faktory</t>
        </r>
      </text>
    </comment>
    <comment ref="A6" authorId="0" shapeId="0" xr:uid="{00000000-0006-0000-0D00-000005000000}">
      <text>
        <r>
          <rPr>
            <b/>
            <sz val="9"/>
            <color indexed="81"/>
            <rFont val="Segoe UI"/>
            <family val="2"/>
          </rPr>
          <t>USER1:</t>
        </r>
        <r>
          <rPr>
            <sz val="9"/>
            <color indexed="81"/>
            <rFont val="Segoe UI"/>
            <family val="2"/>
          </rPr>
          <t xml:space="preserve">
Tento faktor hodnotí znalosť tímu s oblasťou alebo doménou aplikácie. Napríklad ak sa aplikácia týka elektronického obchodu, pracoval už tím so systémami v rovnakej oblasti?</t>
        </r>
      </text>
    </comment>
    <comment ref="A7" authorId="0" shapeId="0" xr:uid="{00000000-0006-0000-0D00-000006000000}">
      <text>
        <r>
          <rPr>
            <b/>
            <sz val="9"/>
            <color indexed="81"/>
            <rFont val="Segoe UI"/>
            <family val="2"/>
          </rPr>
          <t>USER1:</t>
        </r>
        <r>
          <rPr>
            <sz val="9"/>
            <color indexed="81"/>
            <rFont val="Segoe UI"/>
            <family val="2"/>
          </rPr>
          <t xml:space="preserve">
Tento faktor si nemožno zamieňať ani so znalosťou procesu vývoja (E1), ani so skúsenosťami s aplikáciou (E4): jedná sa o skúsenosti tímu s uskutočňovaním objektovo-orientovanej analýzy, modelovania, návrhu a programovania, nezávisle od aplikačnej oblasti a použitý vývojový proces.</t>
        </r>
      </text>
    </comment>
    <comment ref="A8" authorId="0" shapeId="0" xr:uid="{00000000-0006-0000-0D00-000007000000}">
      <text>
        <r>
          <rPr>
            <b/>
            <sz val="9"/>
            <color indexed="81"/>
            <rFont val="Segoe UI"/>
            <family val="2"/>
          </rPr>
          <t>USER1:</t>
        </r>
        <r>
          <rPr>
            <sz val="9"/>
            <color indexed="81"/>
            <rFont val="Segoe UI"/>
            <family val="2"/>
          </rPr>
          <t xml:space="preserve">
Tento faktor meria skúsenosti vedúceho analytika s analýzou požiadaviek a objektovo orientovaným modelovaním.</t>
        </r>
      </text>
    </comment>
    <comment ref="A9" authorId="0" shapeId="0" xr:uid="{00000000-0006-0000-0D00-000008000000}">
      <text>
        <r>
          <rPr>
            <b/>
            <sz val="9"/>
            <color indexed="81"/>
            <rFont val="Segoe UI"/>
            <family val="2"/>
          </rPr>
          <t>USER1:</t>
        </r>
        <r>
          <rPr>
            <sz val="9"/>
            <color indexed="81"/>
            <rFont val="Segoe UI"/>
            <family val="2"/>
          </rPr>
          <t xml:space="preserve">
Tento faktor popisuje motiváciu tímu.</t>
        </r>
      </text>
    </comment>
    <comment ref="A10" authorId="0" shapeId="0" xr:uid="{00000000-0006-0000-0D00-000009000000}">
      <text>
        <r>
          <rPr>
            <b/>
            <sz val="9"/>
            <color indexed="81"/>
            <rFont val="Segoe UI"/>
            <family val="2"/>
          </rPr>
          <t>USER1:</t>
        </r>
        <r>
          <rPr>
            <sz val="9"/>
            <color indexed="81"/>
            <rFont val="Segoe UI"/>
            <family val="2"/>
          </rPr>
          <t xml:space="preserve">
Tento faktor hodnotí, či bol tím schopný udržať požiadavky stabilné v minulých projektoch a minimalizovať ich zmeny v priebehu projektu. Tento faktor sa môže líšiť od projektu k projektu, pretože existujú domény, kde sa požiadavky menia často nezávisle od kapacity analytikov. Tento faktor musí posudzovať iba zmeny softvéru, ktoré boli spôsobené neschopnosťou tímu zistiť správne požiadavky.</t>
        </r>
      </text>
    </comment>
    <comment ref="A11" authorId="0" shapeId="0" xr:uid="{00000000-0006-0000-0D00-00000A000000}">
      <text>
        <r>
          <rPr>
            <b/>
            <sz val="9"/>
            <color indexed="81"/>
            <rFont val="Segoe UI"/>
            <family val="2"/>
          </rPr>
          <t>USER1:</t>
        </r>
        <r>
          <rPr>
            <sz val="9"/>
            <color indexed="81"/>
            <rFont val="Segoe UI"/>
            <family val="2"/>
          </rPr>
          <t xml:space="preserve">
Toto je negatívny faktor, to znamená, že na rozdiel od ostatných faktorov tu vyššie hodnoty znamenajú viac času na vývoj, nie menej. Tím s mnohými členmi zapojenými do iných projektov alebo aktivít je menej produktívny ako špecializovaný tím.</t>
        </r>
      </text>
    </comment>
    <comment ref="A12" authorId="0" shapeId="0" xr:uid="{00000000-0006-0000-0D00-00000B000000}">
      <text>
        <r>
          <rPr>
            <b/>
            <sz val="9"/>
            <color indexed="81"/>
            <rFont val="Segoe UI"/>
            <family val="2"/>
          </rPr>
          <t>USER1:</t>
        </r>
        <r>
          <rPr>
            <sz val="9"/>
            <color indexed="81"/>
            <rFont val="Segoe UI"/>
            <family val="2"/>
          </rPr>
          <t xml:space="preserve">
Toto je ďalší negatívny faktor, čo znamená, že vysoké hodnoty tu nie sú dobré pre vývojový čas.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E00-000001000000}">
      <text>
        <r>
          <rPr>
            <b/>
            <sz val="9"/>
            <color indexed="81"/>
            <rFont val="Segoe UI"/>
            <family val="2"/>
          </rPr>
          <t>USER1:</t>
        </r>
        <r>
          <rPr>
            <sz val="9"/>
            <color indexed="81"/>
            <rFont val="Segoe UI"/>
            <family val="2"/>
          </rPr>
          <t xml:space="preserve">
Je potrebné definovať užívateľa projektu, pričom užívateľom môže byť aj informačný systém.
V prípade potreby je možné prostredníctvom komentáru popísať o akého užívateľa alebo o koľko typov daného užívateľa sa jedná</t>
        </r>
      </text>
    </comment>
    <comment ref="B2" authorId="0" shapeId="0" xr:uid="{00000000-0006-0000-0E00-000002000000}">
      <text>
        <r>
          <rPr>
            <b/>
            <sz val="9"/>
            <color indexed="81"/>
            <rFont val="Segoe UI"/>
            <family val="2"/>
          </rPr>
          <t>USER1:</t>
        </r>
        <r>
          <rPr>
            <sz val="9"/>
            <color indexed="81"/>
            <rFont val="Segoe UI"/>
            <family val="2"/>
          </rPr>
          <t xml:space="preserve">
Typ užívateľa sa vyberá z preddefinvoaného čísleníka, pričom sú takto užívatelia zaradený do homogénnych skupín</t>
        </r>
      </text>
    </comment>
    <comment ref="B3" authorId="0" shapeId="0" xr:uid="{00000000-0006-0000-0E00-000003000000}">
      <text>
        <r>
          <rPr>
            <b/>
            <sz val="9"/>
            <color indexed="81"/>
            <rFont val="Segoe UI"/>
            <family val="2"/>
          </rPr>
          <t>USER1:</t>
        </r>
        <r>
          <rPr>
            <sz val="9"/>
            <color indexed="81"/>
            <rFont val="Segoe UI"/>
            <family val="2"/>
          </rPr>
          <t xml:space="preserve">
Jedná sa o stanovenie hodnoty zložitosti daného užívateľa pričom detailné vysvetlenie je v časti Metodiky - UAW</t>
        </r>
      </text>
    </comment>
    <comment ref="B4" authorId="0" shapeId="0" xr:uid="{00000000-0006-0000-0E00-000004000000}">
      <text>
        <r>
          <rPr>
            <b/>
            <sz val="9"/>
            <color indexed="81"/>
            <rFont val="Segoe UI"/>
            <family val="2"/>
          </rPr>
          <t>USER1:</t>
        </r>
        <r>
          <rPr>
            <sz val="9"/>
            <color indexed="81"/>
            <rFont val="Segoe UI"/>
            <family val="2"/>
          </rPr>
          <t xml:space="preserve">
Jedná sa o stanovenie typového počtu daného užívateľa. Napr. v prípade ak je užívateľom občan, tak počet nie je 5 miliónov ale počet typov občanov.</t>
        </r>
      </text>
    </comment>
    <comment ref="B5" authorId="0" shapeId="0" xr:uid="{00000000-0006-0000-0E00-000005000000}">
      <text>
        <r>
          <rPr>
            <b/>
            <sz val="9"/>
            <color indexed="81"/>
            <rFont val="Segoe UI"/>
            <family val="2"/>
          </rPr>
          <t>USER1:</t>
        </r>
        <r>
          <rPr>
            <sz val="9"/>
            <color indexed="81"/>
            <rFont val="Segoe UI"/>
            <family val="2"/>
          </rPr>
          <t xml:space="preserve">
Jedná sa o násobok medzi zložitosťou a Počtom užívateľov.</t>
        </r>
      </text>
    </comment>
    <comment ref="B6" authorId="0" shapeId="0" xr:uid="{00000000-0006-0000-0E00-000006000000}">
      <text>
        <r>
          <rPr>
            <b/>
            <sz val="9"/>
            <color indexed="81"/>
            <rFont val="Segoe UI"/>
            <family val="2"/>
          </rPr>
          <t>USER1:</t>
        </r>
        <r>
          <rPr>
            <sz val="9"/>
            <color indexed="81"/>
            <rFont val="Segoe UI"/>
            <family val="2"/>
          </rPr>
          <t xml:space="preserve">
Pre každý modul pre prepočítaná váha užívateľov, ktorá je transformvoaná do záložky MODULY a následne do katalógu požiadaviek, k daným funkčným požiadavkám</t>
        </r>
      </text>
    </comment>
    <comment ref="C6" authorId="0" shapeId="0" xr:uid="{00000000-0006-0000-0E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6" authorId="0" shapeId="0" xr:uid="{00000000-0006-0000-0E00-000008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6" authorId="0" shapeId="0" xr:uid="{00000000-0006-0000-0E00-000009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7" authorId="0" shapeId="0" xr:uid="{00000000-0006-0000-0E00-00000A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7" authorId="0" shapeId="0" xr:uid="{00000000-0006-0000-0E00-00000B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7" authorId="0" shapeId="0" xr:uid="{00000000-0006-0000-0E00-00000C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8" authorId="0" shapeId="0" xr:uid="{00000000-0006-0000-0E00-00000D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8" authorId="0" shapeId="0" xr:uid="{00000000-0006-0000-0E00-00000E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8" authorId="0" shapeId="0" xr:uid="{00000000-0006-0000-0E00-00000F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List>
</comments>
</file>

<file path=xl/sharedStrings.xml><?xml version="1.0" encoding="utf-8"?>
<sst xmlns="http://schemas.openxmlformats.org/spreadsheetml/2006/main" count="21670" uniqueCount="5182">
  <si>
    <t>Názov</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</si>
  <si>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</si>
  <si>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</si>
  <si>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</si>
  <si>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</si>
  <si>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Referenčná diskontná sadzba (i)</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</si>
  <si>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</si>
  <si>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</si>
  <si>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</si>
  <si>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Osobné náklady (Cper)</t>
  </si>
  <si>
    <t>Jednotka</t>
  </si>
  <si>
    <t>rok</t>
  </si>
  <si>
    <t>%</t>
  </si>
  <si>
    <t>EUR</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</si>
  <si>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</si>
  <si>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EUR/hod</t>
  </si>
  <si>
    <t>Čistá súčasná hodnota z projektu</t>
  </si>
  <si>
    <t>Finančné prínosy</t>
  </si>
  <si>
    <t>Ekonomické prínosy</t>
  </si>
  <si>
    <t>koeficient obdobia</t>
  </si>
  <si>
    <t>Finančná (FNPV)</t>
  </si>
  <si>
    <t>Ekonomická (ENPV)</t>
  </si>
  <si>
    <t>Kumulovaná diskont. návratnosť ENPV</t>
  </si>
  <si>
    <t>Obdobie</t>
  </si>
  <si>
    <t>rozdiel</t>
  </si>
  <si>
    <t>t1</t>
  </si>
  <si>
    <t>t2</t>
  </si>
  <si>
    <t>t3</t>
  </si>
  <si>
    <t>t4</t>
  </si>
  <si>
    <t>t5</t>
  </si>
  <si>
    <t>t6</t>
  </si>
  <si>
    <t>t7</t>
  </si>
  <si>
    <t>t8</t>
  </si>
  <si>
    <t>t9</t>
  </si>
  <si>
    <t>t10</t>
  </si>
  <si>
    <t>SPOLU</t>
  </si>
  <si>
    <t>Cashflow projektu</t>
  </si>
  <si>
    <t>počet / rok</t>
  </si>
  <si>
    <t>hod.</t>
  </si>
  <si>
    <t>Kvalitatívne prínosy</t>
  </si>
  <si>
    <t>Parameter</t>
  </si>
  <si>
    <t>Počet podaní</t>
  </si>
  <si>
    <t>Výška administratívneho poplatku</t>
  </si>
  <si>
    <t>Počet zamestnancov vybavujúcich agendu</t>
  </si>
  <si>
    <t>Priame prínosy</t>
  </si>
  <si>
    <t>Nepriame prínosy</t>
  </si>
  <si>
    <t>Prínosy spolu</t>
  </si>
  <si>
    <t>Administratívne poplatky</t>
  </si>
  <si>
    <t>Ostatné daňové a nedaňové príjmy</t>
  </si>
  <si>
    <t>Cena ušetreného času používateľa</t>
  </si>
  <si>
    <t>Kvalitatívne prínosy vo finančnom vyjadrení</t>
  </si>
  <si>
    <t>Organizácia</t>
  </si>
  <si>
    <t>Ulica</t>
  </si>
  <si>
    <t>PSČ</t>
  </si>
  <si>
    <t>Web</t>
  </si>
  <si>
    <t>IČO</t>
  </si>
  <si>
    <t>Spracovateľ</t>
  </si>
  <si>
    <t xml:space="preserve">Kontakt na spracovateľa    </t>
  </si>
  <si>
    <t>Hlavička tabuľky</t>
  </si>
  <si>
    <t>Popisná informácia</t>
  </si>
  <si>
    <t>Jednotlivé informácie sú farebne odlíšené nasledovne:</t>
  </si>
  <si>
    <t>Automaticky vypočitavané hodnoty</t>
  </si>
  <si>
    <t>Miesto na vpisovanie vlastných hodnôt</t>
  </si>
  <si>
    <t>Preddefinované konštanty</t>
  </si>
  <si>
    <t>HW</t>
  </si>
  <si>
    <t>SW</t>
  </si>
  <si>
    <t>Všeobecný materiál</t>
  </si>
  <si>
    <t>Variabilné výdavky</t>
  </si>
  <si>
    <t>Výdavky spolu</t>
  </si>
  <si>
    <t>ENPV</t>
  </si>
  <si>
    <t>Obstaranie, inštalácia SW produktu vrátane licencie k SW</t>
  </si>
  <si>
    <t>013 Softvér</t>
  </si>
  <si>
    <t>Kód EKO klasifikácie</t>
  </si>
  <si>
    <t>Účet/skupina výdavkov</t>
  </si>
  <si>
    <t>Vytvorenie aplikácie</t>
  </si>
  <si>
    <t>Školenia spojené so SW a aplikáciou</t>
  </si>
  <si>
    <t>518 Ostatné služby</t>
  </si>
  <si>
    <t>Prevádzka vytvoreného riešenia</t>
  </si>
  <si>
    <t>Poplatky vlastníkovi SW produktu - údržba / support k licenciám</t>
  </si>
  <si>
    <t>511 Opravy a udržiavanie</t>
  </si>
  <si>
    <t>Upgrade SW produktu</t>
  </si>
  <si>
    <t>Poplatky za udržanie funkčnosti / dostupnosti aplikácie / update</t>
  </si>
  <si>
    <t>Aplikačná podpora / helpdesk</t>
  </si>
  <si>
    <t>Rozvoj - doplnenie funkcionality aplikácie / upgrade</t>
  </si>
  <si>
    <t>Personálne náklady spojené s prevádzkou SW produktu a aplikácie</t>
  </si>
  <si>
    <t>Obstaranie</t>
  </si>
  <si>
    <t>Prevádzka riešenia</t>
  </si>
  <si>
    <t>Nákup, inštalácia a sprevádzkovanie HW 
vrátane systémového SW</t>
  </si>
  <si>
    <t>Nákup, inštalácia a sprevádzkovanie HW
 vrátane systémového SW</t>
  </si>
  <si>
    <t>Školenia spojené s HW</t>
  </si>
  <si>
    <t>022 Samostatné hnuteľné veci
 a súbory hnuteľných vecí</t>
  </si>
  <si>
    <t>Poplatky dodávateľovi podpory HW - údržba/maintenance</t>
  </si>
  <si>
    <t>Upgrade HW</t>
  </si>
  <si>
    <t>Náklady na priestory, energie</t>
  </si>
  <si>
    <t>Personálne náklady spojené s prevádzkou HW</t>
  </si>
  <si>
    <t>Náklady na obstaranie a prevádzku HW</t>
  </si>
  <si>
    <t>Náklady na obstaranie a prevádzku SW</t>
  </si>
  <si>
    <t>Celkové náklady na vlastníctvo (TCO)</t>
  </si>
  <si>
    <t>Rok</t>
  </si>
  <si>
    <t>HW sumár obstaranie</t>
  </si>
  <si>
    <t>HW sumár prevádzka</t>
  </si>
  <si>
    <t xml:space="preserve">Spolu </t>
  </si>
  <si>
    <t>Spolu</t>
  </si>
  <si>
    <t>SW produkty</t>
  </si>
  <si>
    <t>Aplikácie</t>
  </si>
  <si>
    <t>SW produkty - sumár obstaranie</t>
  </si>
  <si>
    <t>SW produkty - sumár prevádzka</t>
  </si>
  <si>
    <t>Aplikácie - sumár obstaranie</t>
  </si>
  <si>
    <t>Aplikácie - sumár prevádzka</t>
  </si>
  <si>
    <t xml:space="preserve">Prvý rok, ktorým výpočet CBA a TCO začína, rok začatia projektu </t>
  </si>
  <si>
    <t>Názov riešenia</t>
  </si>
  <si>
    <t>112 Zásoby</t>
  </si>
  <si>
    <t>Číslo projektu ITMS</t>
  </si>
  <si>
    <t>Vytvorenie riešenia - obstaranie</t>
  </si>
  <si>
    <t>BCR</t>
  </si>
  <si>
    <t>Publicita a informovanosť</t>
  </si>
  <si>
    <t>INDIKATÍVNY ROZPOČET SPOLU</t>
  </si>
  <si>
    <t>Rozdiel</t>
  </si>
  <si>
    <t>NPV</t>
  </si>
  <si>
    <t>HW (aj systémový SW) sumár obstaranie</t>
  </si>
  <si>
    <t>HW (aj systémový SW) sumár prevádzka</t>
  </si>
  <si>
    <t>organizácia A</t>
  </si>
  <si>
    <t>organizácia B</t>
  </si>
  <si>
    <t>organizácia C</t>
  </si>
  <si>
    <t>TO BE</t>
  </si>
  <si>
    <t>organizácia ...</t>
  </si>
  <si>
    <t>Výsledná hodnota</t>
  </si>
  <si>
    <t>Všetky prínosové položky sú automaticky vypočítané na základe údajov uvedených v záložkách TCO, spotrebované cloudové služby a Parametre - Agendové IS</t>
  </si>
  <si>
    <t>Všetky výdavkové položky sú automaticky vypočítané na základe údajov uvedených v záložkách TCO a Parametre - Agendové IS</t>
  </si>
  <si>
    <t>FIRR</t>
  </si>
  <si>
    <t>EIRR</t>
  </si>
  <si>
    <t>FNPV</t>
  </si>
  <si>
    <t>pomer prínosov a nákladov</t>
  </si>
  <si>
    <t>finančná vnútorná výnosová miera (%)</t>
  </si>
  <si>
    <t>ekonomická vnútorná výnosová miera (%)</t>
  </si>
  <si>
    <t>Minimálna hodnota</t>
  </si>
  <si>
    <t>-</t>
  </si>
  <si>
    <t>Výsledok CBA</t>
  </si>
  <si>
    <t>Priemerná mzda vo verejnej správe (aktuálna, W_ps)</t>
  </si>
  <si>
    <t xml:space="preserve">Priemerná mzda v NH (Cperc) </t>
  </si>
  <si>
    <t>Náklady IT systém</t>
  </si>
  <si>
    <t>FTE úradník</t>
  </si>
  <si>
    <t>FTE</t>
  </si>
  <si>
    <t>Administrtívny poplatok</t>
  </si>
  <si>
    <t>človeko-hod.</t>
  </si>
  <si>
    <t>Cena ušetreného času používateľa
(S pravidlom polovice)</t>
  </si>
  <si>
    <t>Cena ušetreného času úradníka</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</si>
  <si>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</si>
  <si>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Materiálové náklady</t>
  </si>
  <si>
    <t>Náklady na budúce riešenie</t>
  </si>
  <si>
    <t>Čas potrebný na vypracovanie a doručenie podania (ušetrený čas používateľa)</t>
  </si>
  <si>
    <t>Trvanie spracovania podania (ušetrený čas úradníka)</t>
  </si>
  <si>
    <t>Zníženie kvalitatívnych prínosov</t>
  </si>
  <si>
    <t>Zníženie očakávaného ušetreného času úradníka</t>
  </si>
  <si>
    <t>Zníženie očakávaného ušetreného času používateľa</t>
  </si>
  <si>
    <t>Zníženie počtu podaní v budúcom stave</t>
  </si>
  <si>
    <t>Zvýšenie nákladov - TCO celkovo</t>
  </si>
  <si>
    <t>Zvýšenie CAPEX</t>
  </si>
  <si>
    <t>Rozdiel v nákladoch medzi existujúcim a navrhovaným riešením</t>
  </si>
  <si>
    <t>Prínosy</t>
  </si>
  <si>
    <t xml:space="preserve">Úradníci (€) </t>
  </si>
  <si>
    <t>Občania (€)</t>
  </si>
  <si>
    <t>Úradníci (FTE)</t>
  </si>
  <si>
    <t>IT - CAPEX</t>
  </si>
  <si>
    <t>IT - OPEX</t>
  </si>
  <si>
    <t>N/A</t>
  </si>
  <si>
    <t>Nevyčíslené spoločenské prínosy</t>
  </si>
  <si>
    <t>...</t>
  </si>
  <si>
    <t>(prosíme doplniť)...</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</si>
  <si>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</si>
  <si>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napr.</t>
  </si>
  <si>
    <t>AS IS</t>
  </si>
  <si>
    <t>Procesy na strane úradníka (časové hodnoty)</t>
  </si>
  <si>
    <t>Proces č. 1</t>
  </si>
  <si>
    <t>Procesný krok č. 1</t>
  </si>
  <si>
    <t>Procesný krok č. 2</t>
  </si>
  <si>
    <t>Procesný krok č. 3</t>
  </si>
  <si>
    <t>Proces č. 2</t>
  </si>
  <si>
    <t>Zdroj</t>
  </si>
  <si>
    <t>prosím uveďte zdroj, v prípade vzorového prieskumu prosím vyplňte hodnoty za jednotlivé merania</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</si>
  <si>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</si>
  <si>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</si>
  <si>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</si>
  <si>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</si>
  <si>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</si>
  <si>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</si>
  <si>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</si>
  <si>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</si>
  <si>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</si>
  <si>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</si>
  <si>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</si>
  <si>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</si>
  <si>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</si>
  <si>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</si>
  <si>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</si>
  <si>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</si>
  <si>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</si>
  <si>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</si>
  <si>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</si>
  <si>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</si>
  <si>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</si>
  <si>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</si>
  <si>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</si>
  <si>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</si>
  <si>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</si>
  <si>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</si>
  <si>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</si>
  <si>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</si>
  <si>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</si>
  <si>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</si>
  <si>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</si>
  <si>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Zoznam hárkov s vysvetlením a pokynmi</t>
  </si>
  <si>
    <t>Sumarizácia</t>
  </si>
  <si>
    <t>TCO</t>
  </si>
  <si>
    <t>Faktory</t>
  </si>
  <si>
    <t>Hárok</t>
  </si>
  <si>
    <t>Účel hárku</t>
  </si>
  <si>
    <t>Vymenovanie a popísanie nevyčíslených spoločenských prínosov</t>
  </si>
  <si>
    <t>Sumarizácia výsledkov CBA podľa prínosov a modulov</t>
  </si>
  <si>
    <t>Výsledky CBA na agregátnej úrovni, výpočet BCR</t>
  </si>
  <si>
    <t>Žiadne</t>
  </si>
  <si>
    <t>Vstupy od zhotoviteľa (žlté polia)</t>
  </si>
  <si>
    <t>Automatický výpočet citlivosti výsledkov CBA na zmeny parametrov</t>
  </si>
  <si>
    <t>Vstupné parametre pre jednotlivé moduly/životné situácie: počty podaní, trvania času</t>
  </si>
  <si>
    <t>Všetky relevantné žlté polia</t>
  </si>
  <si>
    <t>Zhrnutie celkových nákladov na vlastníctvo oboch alternatív projektu</t>
  </si>
  <si>
    <t xml:space="preserve">Náklady na vlastníctvo softvéru alternatívy 1 (AS IS) </t>
  </si>
  <si>
    <t xml:space="preserve">Náklady na vlastníctvo hardvéru alternatívy 1 (AS IS) </t>
  </si>
  <si>
    <t xml:space="preserve">Náklady na vlastníctvo softvéru alternatívy 2 (TO BE) </t>
  </si>
  <si>
    <t>Náklady na vlastníctvo hardvéru alternatívy 2 (TO BE)</t>
  </si>
  <si>
    <t>Spoločné vstupné parametre pre ocenenie prínosov a výpočet CBA</t>
  </si>
  <si>
    <t>Aktuálne priemerné mzdy v hospodárstve podľa ŠÚ SR, rok začiatku projektu</t>
  </si>
  <si>
    <t>Riadenie projektu</t>
  </si>
  <si>
    <t>Riadenie a publicita</t>
  </si>
  <si>
    <t>Projektové riadenie</t>
  </si>
  <si>
    <t>Počet podaní / volaní</t>
  </si>
  <si>
    <t>Fond pracovnej doby - VS (FPDvs)</t>
  </si>
  <si>
    <t>hod/rok</t>
  </si>
  <si>
    <t>Fond pracovnej doby - NH (FPDnh)</t>
  </si>
  <si>
    <t xml:space="preserve">Cper = (W_ps * Odvody) / Fond pracovnej doby. Odvody (SP, ZP, DP) sú 35,2%“. Osobné náklady sú faktorom prevádzkových variabilných nákladov.
</t>
  </si>
  <si>
    <t>Položka</t>
  </si>
  <si>
    <t>Merná jednotka</t>
  </si>
  <si>
    <t>Počet</t>
  </si>
  <si>
    <t>Detailný rozpočet pre vývoj navrhovaného riešenia (TO BE)</t>
  </si>
  <si>
    <t>Položkový rozpočet pre nákup licencií a HW (TO BE)</t>
  </si>
  <si>
    <t>Výstupné náklady</t>
  </si>
  <si>
    <t>Technologické požiadavky</t>
  </si>
  <si>
    <t>SW a Aplikácie - výstupné náklady</t>
  </si>
  <si>
    <t>SW a Aplikácie - Výstupné náklady</t>
  </si>
  <si>
    <t>Popis
(Vrátane zdôvodnenia zvoleného technologického variantu - IaaS, PaaS, vývoj vlastnej aplikácie, COTS riešenie)</t>
  </si>
  <si>
    <t>Koncová služba</t>
  </si>
  <si>
    <t>TO BE - AS IS (€, NPV)</t>
  </si>
  <si>
    <t>TO BE - AS IS (€, SUM)</t>
  </si>
  <si>
    <t>Kontrola TO BE</t>
  </si>
  <si>
    <t>Finančný cashflow (s DPH)</t>
  </si>
  <si>
    <t>Ekonomický cashflow (bez DPH)</t>
  </si>
  <si>
    <t>Náklady s DPH</t>
  </si>
  <si>
    <t>ekonomická čistá súčasná hodnota (eur bez DPH)</t>
  </si>
  <si>
    <t>finančná čistá súčasná hodnota (eur s DPH)</t>
  </si>
  <si>
    <t>Modul</t>
  </si>
  <si>
    <t>Fáza projektu</t>
  </si>
  <si>
    <t>Analýza a dizajn</t>
  </si>
  <si>
    <t>Nasadenie</t>
  </si>
  <si>
    <t>% dotácia</t>
  </si>
  <si>
    <t>Počet MDs</t>
  </si>
  <si>
    <t>Inkrement</t>
  </si>
  <si>
    <t>Start</t>
  </si>
  <si>
    <t>Koniec</t>
  </si>
  <si>
    <t>Trvanie</t>
  </si>
  <si>
    <t>#</t>
  </si>
  <si>
    <t>MOD_01</t>
  </si>
  <si>
    <t>MOD_02</t>
  </si>
  <si>
    <t>MOD_03</t>
  </si>
  <si>
    <t>MOD_04</t>
  </si>
  <si>
    <t>MOD_05</t>
  </si>
  <si>
    <t>MOD_06</t>
  </si>
  <si>
    <t>MOD_07</t>
  </si>
  <si>
    <t>MOD_08</t>
  </si>
  <si>
    <t>MOD_09</t>
  </si>
  <si>
    <t>MOD_10</t>
  </si>
  <si>
    <t>MOD_11</t>
  </si>
  <si>
    <t>MOD_12</t>
  </si>
  <si>
    <t>MOD_13</t>
  </si>
  <si>
    <t>MOD_14</t>
  </si>
  <si>
    <t>MOD_15</t>
  </si>
  <si>
    <t>MOD_16</t>
  </si>
  <si>
    <t>MOD_17</t>
  </si>
  <si>
    <t>MOD_18</t>
  </si>
  <si>
    <t>MOD_19</t>
  </si>
  <si>
    <t>MOD_20</t>
  </si>
  <si>
    <t>MOD_21</t>
  </si>
  <si>
    <t>Rok dodania</t>
  </si>
  <si>
    <t>Moduly</t>
  </si>
  <si>
    <t>Rozvoj</t>
  </si>
  <si>
    <t>Inkrement 1</t>
  </si>
  <si>
    <t>Inkrement 2</t>
  </si>
  <si>
    <t>Inkrement 3</t>
  </si>
  <si>
    <t>INK START</t>
  </si>
  <si>
    <t>INK END</t>
  </si>
  <si>
    <t>Začiatok</t>
  </si>
  <si>
    <t>Harmonogram v mesiacoch od spustenia</t>
  </si>
  <si>
    <t>Participácia na vývoju SW (analýzy, testovanie a pod.)</t>
  </si>
  <si>
    <t>Participácia na vývoji Aplikácie (analýzy, testovanie a pod.)</t>
  </si>
  <si>
    <t>SW / HW</t>
  </si>
  <si>
    <t>Jednotková cena €</t>
  </si>
  <si>
    <t>Celková suma €</t>
  </si>
  <si>
    <t>Účtovná položka</t>
  </si>
  <si>
    <t>022 Samostatné hnuteľné veci a súbory hnuteľných vecí</t>
  </si>
  <si>
    <t>Zdroj ceny (odkazy na cenníky, prieskumy a pod.)</t>
  </si>
  <si>
    <t>POZNÁMKA</t>
  </si>
  <si>
    <r>
      <t xml:space="preserve">VÝSLEDKY TESTOV
</t>
    </r>
    <r>
      <rPr>
        <sz val="10"/>
        <rFont val="Calibri Light"/>
        <family val="2"/>
        <scheme val="major"/>
      </rPr>
      <t>(status)</t>
    </r>
  </si>
  <si>
    <r>
      <t xml:space="preserve">Použité 
PROSTREDIE
</t>
    </r>
    <r>
      <rPr>
        <sz val="10"/>
        <rFont val="Calibri Light"/>
        <family val="2"/>
        <scheme val="major"/>
      </rPr>
      <t>pre test
(overenie funkčnosti)</t>
    </r>
  </si>
  <si>
    <r>
      <t xml:space="preserve">Použité 
TESTOVACIE DÁTA
</t>
    </r>
    <r>
      <rPr>
        <sz val="10"/>
        <rFont val="Calibri Light"/>
        <family val="2"/>
        <scheme val="major"/>
      </rPr>
      <t>pri teste</t>
    </r>
  </si>
  <si>
    <t>Identifikácia 
TEST CASE</t>
  </si>
  <si>
    <t>Identifikácia
USE CASE</t>
  </si>
  <si>
    <r>
      <t xml:space="preserve">SPôSOB DODANIA
</t>
    </r>
    <r>
      <rPr>
        <sz val="10"/>
        <rFont val="Calibri Light"/>
        <family val="2"/>
        <scheme val="major"/>
      </rPr>
      <t xml:space="preserve"> (implementácia dodávateľom)</t>
    </r>
  </si>
  <si>
    <t>ID návrhu riešenia z 
detailný návrh riešenia (DNR)</t>
  </si>
  <si>
    <r>
      <t>Poznámka</t>
    </r>
    <r>
      <rPr>
        <sz val="10"/>
        <rFont val="Calibri Light"/>
        <family val="2"/>
        <scheme val="major"/>
      </rPr>
      <t xml:space="preserve">
(doplňujúci popis; príp. ODKAZ na popis v ponuke)</t>
    </r>
  </si>
  <si>
    <t>Kde je vo Vašej PONUKE popísané riešenie ?</t>
  </si>
  <si>
    <r>
      <t>Odpoveď UCHÁDZAČA 
v procese VO</t>
    </r>
    <r>
      <rPr>
        <b/>
        <sz val="10"/>
        <rFont val="Tahoma"/>
        <family val="2"/>
      </rPr>
      <t/>
    </r>
  </si>
  <si>
    <r>
      <t xml:space="preserve">POZNÁMKA
</t>
    </r>
    <r>
      <rPr>
        <sz val="10"/>
        <rFont val="Calibri Light"/>
        <family val="2"/>
        <scheme val="major"/>
      </rPr>
      <t>(napr. legislatívne východiská)</t>
    </r>
  </si>
  <si>
    <t>ZÁVISLOSŤ
RIZIKO
EXTERNÁ INTEGRÁCIA</t>
  </si>
  <si>
    <t>UCP</t>
  </si>
  <si>
    <t>TCF</t>
  </si>
  <si>
    <t>ECF</t>
  </si>
  <si>
    <t>UAW</t>
  </si>
  <si>
    <t>POCET UC</t>
  </si>
  <si>
    <t>VLASTNÍK 
POŽIADAVKY</t>
  </si>
  <si>
    <t>DETAILNÝ POPIS POŽIADAVKY</t>
  </si>
  <si>
    <t>NÁZOV
POŽIADAVKY</t>
  </si>
  <si>
    <t>OBLASŤ POŽIADAVKY</t>
  </si>
  <si>
    <r>
      <t xml:space="preserve">KATEGÓRIA POŽIADAVKY
</t>
    </r>
    <r>
      <rPr>
        <sz val="10"/>
        <rFont val="Calibri Light"/>
        <family val="2"/>
        <scheme val="major"/>
      </rPr>
      <t>_funkčná požiadavka
_nefunkčná požiadavka
_technická požiadavka</t>
    </r>
  </si>
  <si>
    <r>
      <t xml:space="preserve">ID 
POŽIADAVKY
</t>
    </r>
    <r>
      <rPr>
        <sz val="10"/>
        <rFont val="Calibri Light"/>
        <family val="2"/>
        <scheme val="major"/>
      </rPr>
      <t>(zvoľte si konvenciu označovania)</t>
    </r>
  </si>
  <si>
    <r>
      <t xml:space="preserve">KROK 4)
OVERENIE DODANIA
</t>
    </r>
    <r>
      <rPr>
        <sz val="10"/>
        <rFont val="Calibri Light"/>
        <family val="2"/>
        <scheme val="major"/>
      </rPr>
      <t>OBJEDNÁVATEĽOM</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</si>
  <si>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</si>
  <si>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</si>
  <si>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</si>
  <si>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t># roku</t>
  </si>
  <si>
    <t>PF</t>
  </si>
  <si>
    <t>Špeciálne znalosti a zručnosti používateľov</t>
  </si>
  <si>
    <t>Poskytuje priamy prístup k tretím systémom</t>
  </si>
  <si>
    <t>Osobitné bezpečnostné prvky</t>
  </si>
  <si>
    <t>Súbežnosť</t>
  </si>
  <si>
    <t>Jednoduchosť zmeny</t>
  </si>
  <si>
    <t>Prenosnosť</t>
  </si>
  <si>
    <t>Jednoduchosť používania</t>
  </si>
  <si>
    <t>Jednoduchosť inštalácie</t>
  </si>
  <si>
    <t>Znovapoužiteľnosť</t>
  </si>
  <si>
    <t>Komplexnosť vnútorných procesov</t>
  </si>
  <si>
    <t>Efektívnosť pre používateľa</t>
  </si>
  <si>
    <t>Výkon</t>
  </si>
  <si>
    <t>Distribuovaný systém</t>
  </si>
  <si>
    <t>Total Factor</t>
  </si>
  <si>
    <t>T13</t>
  </si>
  <si>
    <t>T12</t>
  </si>
  <si>
    <t>T11</t>
  </si>
  <si>
    <t>T10</t>
  </si>
  <si>
    <t>T9</t>
  </si>
  <si>
    <t>T8</t>
  </si>
  <si>
    <t>T7</t>
  </si>
  <si>
    <t>T6</t>
  </si>
  <si>
    <t>T5</t>
  </si>
  <si>
    <t>T4</t>
  </si>
  <si>
    <t>T3</t>
  </si>
  <si>
    <t>T2</t>
  </si>
  <si>
    <t>T1</t>
  </si>
  <si>
    <t>Zložitý programovací jazyk</t>
  </si>
  <si>
    <t>Zamestnanci na čiastočný úväzok</t>
  </si>
  <si>
    <t>Stabilita požiadaviek</t>
  </si>
  <si>
    <t>Motivácia</t>
  </si>
  <si>
    <t>Schopnosť vedúcich analytikov</t>
  </si>
  <si>
    <t>Skúsenosti s objektovo orientovaným prístupom</t>
  </si>
  <si>
    <t>Skúsenosti s implementáciou</t>
  </si>
  <si>
    <t>Celkom</t>
  </si>
  <si>
    <t>Zložitosť</t>
  </si>
  <si>
    <t>Podnikateľ (G2B)</t>
  </si>
  <si>
    <t>Typ používateľa</t>
  </si>
  <si>
    <t>Používateľ</t>
  </si>
  <si>
    <t>Inkrement 20</t>
  </si>
  <si>
    <t>Inkrement 19</t>
  </si>
  <si>
    <t>Inkrement 18</t>
  </si>
  <si>
    <t>Inkrement 17</t>
  </si>
  <si>
    <t>Inkrement 16</t>
  </si>
  <si>
    <t>Inkrement 15</t>
  </si>
  <si>
    <t>Inkrement 14</t>
  </si>
  <si>
    <t>Inkrement 13</t>
  </si>
  <si>
    <t>Inkrement 12</t>
  </si>
  <si>
    <t>Inkrement 11</t>
  </si>
  <si>
    <t>Inkrement 10</t>
  </si>
  <si>
    <t>Inkrement 9</t>
  </si>
  <si>
    <t>Inkrement 8</t>
  </si>
  <si>
    <t>Inkrement 7</t>
  </si>
  <si>
    <t>Inkrement 6</t>
  </si>
  <si>
    <t>Inkrement 5</t>
  </si>
  <si>
    <t>Inkrement 4</t>
  </si>
  <si>
    <t>Trvanie v mesiacoch</t>
  </si>
  <si>
    <t># Inkrementu</t>
  </si>
  <si>
    <t>Pozícia</t>
  </si>
  <si>
    <t>IT architekt</t>
  </si>
  <si>
    <t>IT tester</t>
  </si>
  <si>
    <t>IT programátor/vývojár</t>
  </si>
  <si>
    <t>Projektový manažér IT projektu</t>
  </si>
  <si>
    <t>IT analytik</t>
  </si>
  <si>
    <t>Odborník pre IT dohľad/Quality Assurance</t>
  </si>
  <si>
    <t>Špecialista pre bezpečnosť IT</t>
  </si>
  <si>
    <t>Špecialista pre infraštruktúrny/HW špecialista</t>
  </si>
  <si>
    <t>Špecialista pre databázy</t>
  </si>
  <si>
    <t>Školiteľ pre IT systémy</t>
  </si>
  <si>
    <t>IT/IS konzultant (napr. SAP)</t>
  </si>
  <si>
    <t xml:space="preserve">Iné </t>
  </si>
  <si>
    <t>Poznámka</t>
  </si>
  <si>
    <t>V projekte</t>
  </si>
  <si>
    <t>Pocet MDs</t>
  </si>
  <si>
    <t>Suma</t>
  </si>
  <si>
    <t>Priemerná vážená sadzba</t>
  </si>
  <si>
    <t>Počet MD</t>
  </si>
  <si>
    <t>% v projekte</t>
  </si>
  <si>
    <t>MOD_#</t>
  </si>
  <si>
    <t>Inštalačné práce súvisiace s nakupovaným HW</t>
  </si>
  <si>
    <t>Aplikačná podpora</t>
  </si>
  <si>
    <t>Supporty</t>
  </si>
  <si>
    <t>Počet pozícií</t>
  </si>
  <si>
    <t>Projektový manažér</t>
  </si>
  <si>
    <t>Finančný manažér</t>
  </si>
  <si>
    <t>Počet hodín</t>
  </si>
  <si>
    <t>Administratívny pracovník</t>
  </si>
  <si>
    <t>Vazena sadzba - externe</t>
  </si>
  <si>
    <t>Vazena sadzba interné</t>
  </si>
  <si>
    <t>Pocet MDs - interne</t>
  </si>
  <si>
    <t>Suma internych prac</t>
  </si>
  <si>
    <t>Suma Externych prac</t>
  </si>
  <si>
    <t>Náklady na pozíciu</t>
  </si>
  <si>
    <t>Pocet MDs - externe</t>
  </si>
  <si>
    <r>
      <t xml:space="preserve">NÁZOV MODULU
</t>
    </r>
    <r>
      <rPr>
        <sz val="10"/>
        <rFont val="Calibri Light"/>
        <family val="2"/>
        <scheme val="major"/>
      </rPr>
      <t>(príslušnosť požiadavky k modulu)</t>
    </r>
  </si>
  <si>
    <t>Občan (G2C)</t>
  </si>
  <si>
    <t>Zahraničná osoba (G2A)</t>
  </si>
  <si>
    <t>Zamestnanec inštitúcie verejnej správy (G2E)</t>
  </si>
  <si>
    <t>Inštitúcia verejnej správy (G2G)</t>
  </si>
  <si>
    <t>ISVS verejnej správy (G2IS G)</t>
  </si>
  <si>
    <t>ISVS mimo verejnej správy (G2IS B)</t>
  </si>
  <si>
    <t>Iné</t>
  </si>
  <si>
    <t>Subjekt / Objekt</t>
  </si>
  <si>
    <t>Váha</t>
  </si>
  <si>
    <t>Index</t>
  </si>
  <si>
    <t>Priemerná mesačná hrubá mzda vo verejnej správe za 1. - 3. Q./2020 (obdobie aktualizovať k času predloženia dokumentu), podľa ŠÚ SR</t>
  </si>
  <si>
    <t>Priemerná mesačná hrubá mzda v národnom hospodárstve SR za 1. - 3. Q./2020 (obdobie aktualizovať k času predloženia dokumentu), podľa ŠÚ SR</t>
  </si>
  <si>
    <t xml:space="preserve">Rok 2021 má dokopy 251 pracovných dní, t.j. 1882,5 pracovných hodín. S platenými sviatkami má rok 261 pracovných dní, t.j. 1957.5 pracovných hodín. 7,5 hodinový pracovný čas (obdobie aktualizovať k času predloženia dokumentu), podľa https://calendar.zoznam.sk/worktime-sksk.php </t>
  </si>
  <si>
    <t>Rok 2021 má dokopy 251 pracovných dní, t.j. 2008 pracovných hodín. S platenými sviatkami má rok 261 pracovných dní, t.j. 2088 pracovných hodín.. 8 hodinový pracovný čas (obdobie aktualizovať k času predloženia dokumentu), podľa https://calendar.zoznam.sk/worktime-sksk.php</t>
  </si>
  <si>
    <t>Znalosť vývojového procesu</t>
  </si>
  <si>
    <t xml:space="preserve"> - </t>
  </si>
  <si>
    <t>HW a SW</t>
  </si>
  <si>
    <t>Typ aktivity</t>
  </si>
  <si>
    <t>Oblasť výdavku</t>
  </si>
  <si>
    <t>Vývoj aplikácií</t>
  </si>
  <si>
    <t>Int / ext</t>
  </si>
  <si>
    <t>Projekový manažment</t>
  </si>
  <si>
    <t>Publicita</t>
  </si>
  <si>
    <t>Prevádzka</t>
  </si>
  <si>
    <t>Nákup HW a SW</t>
  </si>
  <si>
    <t>Externé</t>
  </si>
  <si>
    <t>Interné</t>
  </si>
  <si>
    <t>Zdroj finacovania - %</t>
  </si>
  <si>
    <t>Zdroje financovania - SUMA</t>
  </si>
  <si>
    <t>Suma %</t>
  </si>
  <si>
    <t>CBA - Agendové IS</t>
  </si>
  <si>
    <t>Zdroje Financovania</t>
  </si>
  <si>
    <t>Výdavky - Agendové IS</t>
  </si>
  <si>
    <t>Parametre - Agendové IS</t>
  </si>
  <si>
    <t>MODULY_CBA</t>
  </si>
  <si>
    <t>INKREMENTY</t>
  </si>
  <si>
    <t>KATALOG_POZIADAVKY</t>
  </si>
  <si>
    <t>TCF_v02</t>
  </si>
  <si>
    <t>ECF_v02</t>
  </si>
  <si>
    <t>UAW_v02</t>
  </si>
  <si>
    <t>AKTIVITY_POZICIE</t>
  </si>
  <si>
    <t>POZICIE_INTERNE</t>
  </si>
  <si>
    <t>Rozpocet - Vyvoj aplikacii</t>
  </si>
  <si>
    <t>Rozpocet - HW a licencie</t>
  </si>
  <si>
    <t>Harmonogram</t>
  </si>
  <si>
    <t>TCO AS IS - SW</t>
  </si>
  <si>
    <t>TCO AS IS - HW</t>
  </si>
  <si>
    <t>TCO TO BE - SW</t>
  </si>
  <si>
    <t>TCO TO BE - HW</t>
  </si>
  <si>
    <t>Relevantné moduly, ktoré budú v rámci projektu realizované</t>
  </si>
  <si>
    <t>Definované inkrementy, v ktorých budú realizované čiastkové dodávky</t>
  </si>
  <si>
    <t>Detailne definované požiadavky projektu</t>
  </si>
  <si>
    <t>Komplexný technický faktor pre projekt v zmysle metodiky UCP</t>
  </si>
  <si>
    <t>Komplexný environmentálny faktor pre projekt v zmysle metodiky UCP</t>
  </si>
  <si>
    <t>Definované pozície a role, ktoré budú projektom dotknuté</t>
  </si>
  <si>
    <t>Detailné rozdelenie rozpočtu projektu na externé pozície a ich miera zapojenia v aktivitách</t>
  </si>
  <si>
    <t>Detailné definovanie potreby interných kapacít a ich rozdelenie v aktivitách</t>
  </si>
  <si>
    <t>Rámcový harmonogram pre jednotlivé moduly a ich dodávku</t>
  </si>
  <si>
    <t>Rozdelenie zdrojov financovania jendotlivých nákladových položiek projektu</t>
  </si>
  <si>
    <t>Úvod</t>
  </si>
  <si>
    <t>Základné sumarizačné údaje o projekte a klientovi</t>
  </si>
  <si>
    <t>Farba sekcie</t>
  </si>
  <si>
    <t>Doplnenie % rozdelenia zdrojov</t>
  </si>
  <si>
    <t>E1</t>
  </si>
  <si>
    <t>E2</t>
  </si>
  <si>
    <t>E3</t>
  </si>
  <si>
    <t>E4</t>
  </si>
  <si>
    <t>E5</t>
  </si>
  <si>
    <t>E6</t>
  </si>
  <si>
    <t>E7</t>
  </si>
  <si>
    <t>E8</t>
  </si>
  <si>
    <t>Preddpočítaná hodnota s možnosťou zmeny</t>
  </si>
  <si>
    <t>Prínosy agendové</t>
  </si>
  <si>
    <t>Výpočet prínosov projektu na základe vstupných parametrov</t>
  </si>
  <si>
    <t>Polia "Ostatné daňové a nedaňové príjmy" (ak projekt také generuje)</t>
  </si>
  <si>
    <t>Analýza citlivosti</t>
  </si>
  <si>
    <t>Procesné mapy</t>
  </si>
  <si>
    <t>Procesné mapy súčasného a budúceho stavu biznis procesov.</t>
  </si>
  <si>
    <t>Procesy AS IS</t>
  </si>
  <si>
    <t xml:space="preserve">Zdroj dát pre odhad časovej náročnosti súčasných procesov. </t>
  </si>
  <si>
    <t>Procesy TO BE</t>
  </si>
  <si>
    <t xml:space="preserve">Zdroj dát pre odhad časovej náročnosti budúcich procesov. </t>
  </si>
  <si>
    <t>Procesné mapy ako obrázky.</t>
  </si>
  <si>
    <t>Relevantné merania podľa procesov a procesných krokov.</t>
  </si>
  <si>
    <t>Zmluvné poplatky</t>
  </si>
  <si>
    <t>521 Mzdové náklady</t>
  </si>
  <si>
    <t>Príloha pre spracovanie biznis case a cost benefit analýzy informačných technológií verejnej správy</t>
  </si>
  <si>
    <t>Kód Projektu a ISVS z MetaIS</t>
  </si>
  <si>
    <t>Hlavná</t>
  </si>
  <si>
    <t>Spolu za interné kapacity</t>
  </si>
  <si>
    <t>Hodinová sadzba - Hrubá mzda</t>
  </si>
  <si>
    <t>Koeficient odvodov</t>
  </si>
  <si>
    <t>MD Rate s odvodmi</t>
  </si>
  <si>
    <t>Hodinový náklad (superhrubý)</t>
  </si>
  <si>
    <t>Maximálna hod. sadzba (Hruba mzda)</t>
  </si>
  <si>
    <t>Odvody zamestnávateľ</t>
  </si>
  <si>
    <t>Implementácia a testovanie</t>
  </si>
  <si>
    <t>Aplikačné procesy musia byť vykonávané v najvhodnejšom procesore alebo počítači, ktorý je dynamicky určený.</t>
  </si>
  <si>
    <t>Aplikácia ignoruje akýkoľvek aspekt súvisiaci s distribuovaným spracovaním.</t>
  </si>
  <si>
    <t>Aplikácia generuje údaje, ktoré spracujú iné počítače s ľudským zásahom (napríklad tabuľky alebo predformátované súbory odoslané médiom alebo e-mailom).</t>
  </si>
  <si>
    <t>Údaje aplikácie sa pripravujú a automaticky prenášajú na spracovanie do iných počítačov.</t>
  </si>
  <si>
    <t>Aplikačné spracovanie je distribuované a údaje sa prenášajú iba jedným smerom.</t>
  </si>
  <si>
    <t>Aplikačné spracovanie je distribuované a údaje sa prenášajú oboma smermi.</t>
  </si>
  <si>
    <t>Klient nezadefinoval žiadne špeciálne požiadavky na výkon.</t>
  </si>
  <si>
    <t>Požiadavky na výkon boli stanovené a revidované, nie je však potrebné prijímať nijaké zvláštne opatrenia.</t>
  </si>
  <si>
    <t>Čas odozvy a prenosové rýchlosti sú kritické počas špičkových hodín. Nie je potrebný žiadny špeciálny dizajn pre použitie jadra procesora. Termín pre väčšinu procesov je nasledujúci deň.</t>
  </si>
  <si>
    <t>Čas odozvy a prenosové rýchlosti sú kritické počas komerčných hodín. Nie je potrebný žiadny špeciálny dizajn pre použitie jadra procesora. Požiadavky týkajúce sa lehôt na komunikáciu s prepojenými systémami sú obmedzujúce.</t>
  </si>
  <si>
    <t>Súčin</t>
  </si>
  <si>
    <t>Čas odozvy a prenosové rýchlosti sú kritické počas komerčných hodín. Nie je potrebný žiadny špeciálny dizajn pre použitie jadra procesora. Požiadavky týkajúce sa lehôt na komunikáciu s prepojenými systémami sú obmedzujúce. 
Zároveň sú výkonnostné požiadavky dostatočne obmedzujúce na to, aby sa pri ich návrhu vyžadovali úlohy spojené s analýzou výkonu.</t>
  </si>
  <si>
    <t>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t>
  </si>
  <si>
    <t>Poradie</t>
  </si>
  <si>
    <t>Aplikácia nepotrebuje žiadnu špeciálne požiadavky na efektivitu koncového užívateľa.</t>
  </si>
  <si>
    <t>Aplikácia vyžaduje 1 až 3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</si>
  <si>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</si>
  <si>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</si>
  <si>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a požiadavky na efektivitu používateľa sú také silné, že dizajn musí obsahovať funkcie na minimalizáciu písania, maximalizáciu predvolených nastavení, použitie šablón atď.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</si>
  <si>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</si>
  <si>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Nie sú potrebné žiadne špeciálne požiadavky</t>
  </si>
  <si>
    <t>Z možností uvedených nižsie je potrebná 1: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</si>
  <si>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2: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</si>
  <si>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</si>
  <si>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</si>
  <si>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je potrebných 5: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</si>
  <si>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Aplikácia musí byť špeciálne zabalená a / alebo zdokumentovaná, aby sa uľahčilo jej opätovné použitie, a musí byť prispôsobená používateľom pomocou parametrov.</t>
  </si>
  <si>
    <t>Neexistujú obavy z výroby opakovane použiteľného kódu.</t>
  </si>
  <si>
    <t>Generuje sa opakovane použiteľný kód na použitie v rámci toho istého projektu.</t>
  </si>
  <si>
    <t>Menej ako 10% aplikácie musí brať do úvahy viac, ako potrebuje používateľ.</t>
  </si>
  <si>
    <t>10% alebo viac aplikácie musí brať do úvahy viac, ako potrebuje používateľ.</t>
  </si>
  <si>
    <t>Aplikácia musí byť špeciálne zabalená a / alebo zdokumentovaná, aby sa uľahčilo jej opätovné použitie, a musí byť prispôsobená používateľom na úrovni zdrojového kódu.</t>
  </si>
  <si>
    <t>Klient nezadal nijaké zvláštne ohľady a na inštaláciu nie je potrebné žiadne špeciálne nastavenie.</t>
  </si>
  <si>
    <t>Klient nezaviedol nijaké zvláštne požiadavky, ale na inštaláciu je potrebné špeciálne nastavenie.</t>
  </si>
  <si>
    <t>Musia byť poskytnuté a otestované požiadavky stanovené klientom na prevod a inštaláciu údajov a príručky na prevod a inštaláciu. Dopad konverzie v projekte sa nepovažuje za dôležitý</t>
  </si>
  <si>
    <t>Musia byť poskytnuté a otestované požiadavky stanovené klientom na prevod a inštaláciu údajov a príručky na prevod a inštaláciu. Dopad konverzie na projekt je značný.</t>
  </si>
  <si>
    <t>Musia byť poskytnuté a otestované požiadavky stanovené klientom na prevod a inštaláciu údajov a príručky na prevod a inštaláciu. Dopad konverzie v projekte sa nepovažuje za dôležitý.
Zároveň musia byť poskytnuté a vyskúšané nástroje na automatickú konverziu a inštaláciu.</t>
  </si>
  <si>
    <t>Musia byť poskytnuté a otestované požiadavky stanovené klientom na prevod a inštaláciu údajov a príručky na prevod a inštaláciu. Dopad konverzie na projekt je značný.
Zároveň musia byť poskytnuté a vyskúšané nástroje na automatickú konverziu a inštaláciu.</t>
  </si>
  <si>
    <t>Užívateľ neurčil okrem bežného zálohovania žiadne špeciálne požiadavky na fungovanie systému</t>
  </si>
  <si>
    <t>Aplikácia je navrhnutá tak, aby fungovala bez dozoru.</t>
  </si>
  <si>
    <t>Pre systém platí 1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</si>
  <si>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2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</si>
  <si>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</si>
  <si>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4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</si>
  <si>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Neexistuje žiadna požiadavka používateľa, aby sa zvážila potreba inštalácie aplikácie na viac ako jednu platformu</t>
  </si>
  <si>
    <t>Návrh musí brať do úvahy potrebu fungovania systému na rôznych platformách, ale aplikácia musí byť navrhnutá tak, aby fungovala iba v identických hardvérových a softvérových prostrediach.</t>
  </si>
  <si>
    <t>Návrh musí zohľadňovať potrebu systému pracovať na rôznych platformách, ale aplikácia musí byť navrhnutá tak, aby fungovala iba v podobných hardvérových a softvérových prostrediach.</t>
  </si>
  <si>
    <t>Návrh musí brať do úvahy potrebu systému pracovať na rôznych platformách, ale aplikácia musí byť navrhnutá tak, aby fungovala v heterogénnych hardvérových a softvérových prostrediach.</t>
  </si>
  <si>
    <t>Návrh musí brať do úvahy potrebu systému pracovať na rôznych platformách, ale aplikácia musí byť navrhnutá tak, aby fungovala v heterogénnych hardvérových a softvérových prostrediach.
Zároveň je je potrebné vypracovať a otestovať plán dokumentácie a údržby na podporu prevádzky na viacerých platformách.</t>
  </si>
  <si>
    <t>Návrh musí:
 - brať do úvahy potrebu fungovania systému na rôznych platformách, ale aplikácia musí byť navrhnutá tak, aby fungovala iba v identických hardvérových a softvérových prostrediach.
Zároveň musí byť vypracovaná a otestovaná dokumentácia a plán údržby na podporu prevádzky na viacerých platformách
 - ALEBO zohľadňovať potrebu systému pracovať na rôznych platformách, ale aplikácia musí byť navrhnutá tak, aby fungovala iba v podobných hardvérových a softvérových prostrediach
Zároveň 2 musí byť vypracovaná a otestovaná dokumentácia a plán údržby na podporu prevádzky na viacerých platformách</t>
  </si>
  <si>
    <t>Z nasledovných možností musí byť splnená 1: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</si>
  <si>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2: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</si>
  <si>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</si>
  <si>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4: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</si>
  <si>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splnených 5 alebo viac: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</si>
  <si>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Neočakáva sa žiadny súbežný prístup k údajom</t>
  </si>
  <si>
    <t>Niekedy sa očakáva súbežný prístup k údajom</t>
  </si>
  <si>
    <t>Súčasný prístup k údajom sa očakáva často</t>
  </si>
  <si>
    <t>Súčasný prístup k údajom sa očakáva neustále</t>
  </si>
  <si>
    <t>Súčasný prístup k údajom sa očakáva neustále a zároveň, si táto situácia vynúti úlohy analýzy výkonu a zablokovanie riešenia počas návrhu</t>
  </si>
  <si>
    <t>Súčasný prístup k údajom sa očakáva neustále a zároveň, si táto situácia vynúti úlohy analýzy výkonu a zablokovanie riešenia počas návrhu.
Pričom budú potrebné na kontrolu prístupu aj špeciálne nástroje.</t>
  </si>
  <si>
    <t>Neexistujú žiadne špeciálne požiadavky týkajúce sa bezpečnosti.</t>
  </si>
  <si>
    <t>Pri návrhu sa musí brať do úvahy potreba bezpečnosti.</t>
  </si>
  <si>
    <t>Pri návrhu sa musí brať do úvahy potreba bezpečnosti.
Aplikácia musí byť navrhnutá tak, aby k nej mali prístup iba autorizovaní používatelia.</t>
  </si>
  <si>
    <t>Pri návrhu sa musí brať do úvahy potreba bezpečnosti.
Aplikácia musí byť navrhnutá tak, aby k nej mali prístup iba autorizovaní používatelia.
Zároveň bude kontrolovaný a kontrolovaný prístup do systému</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</si>
  <si>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</si>
  <si>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 ako aj vypracovať a otestovať bezpečnostný plán, ktorý podporí sluch.</t>
  </si>
  <si>
    <t>Na vývoj aplikácie sa vo veľkej miere použije vysoko spoľahlivý už existujúci kód.</t>
  </si>
  <si>
    <t>V malých častiach aplikácie sa použije vysoko spoľahlivý už existujúci kód.</t>
  </si>
  <si>
    <t>Pre aplikáciu sa vo veľkej miere použije predbežný kód, ktorý je nakoniec potrebné upraviť.</t>
  </si>
  <si>
    <t>Predbežný kód, ktorý je nakoniec potrebné upraviť, sa použije v malých častiach aplikácie.</t>
  </si>
  <si>
    <t>V aplikácii sa použije pôvodný kód, ktorý je potrebné opraviť alebo je mu ťažko porozumieť.</t>
  </si>
  <si>
    <t>V aplikácii sa nepoužije žiadny predtým existujúci kód alebo sa v aplikácii použije pochybný kód kvality</t>
  </si>
  <si>
    <t>Neexistujú žiadne špecifické požiadavky na školenie používateľov.</t>
  </si>
  <si>
    <t>Boli spomenuté konkrétne požiadavky na školenie používateľov.</t>
  </si>
  <si>
    <t>Existujú formálne špecifické požiadavky na školenie používateľov a aplikácia musí byť navrhnutá tak, aby uľahčila školenie.</t>
  </si>
  <si>
    <t>Existujú formálne špecifické požiadavky na školenie používateľov a aplikácia musí byť navrhnutá na podporu používateľov s rôznymi úrovňami školenia.</t>
  </si>
  <si>
    <t>Pre prechodnú fázu musí byť vypracovaný a vykonaný podrobný plán výcviku.</t>
  </si>
  <si>
    <t>Pre prechodnú fázu musí byť vypracovaný a vykonaný podrobný plán výcviku a používatelia sú geograficky rozdelení.</t>
  </si>
  <si>
    <t>Tím nemá skúsenosti s vývojovým procesom alebo nepoužíva žiadny proces.</t>
  </si>
  <si>
    <t>Tím má teoretické vedomosti o vývojovom procese, ale nemá skúsenosti.</t>
  </si>
  <si>
    <t>Niekoľko členov tímu už použilo postup v jednom projekte.</t>
  </si>
  <si>
    <t>Niekoľko členov tímu využilo postup vo viac ako jednom projekte.</t>
  </si>
  <si>
    <t>Až polovica tímu použila postup v mnohých projektoch.</t>
  </si>
  <si>
    <t>Viac ako polovica tímu použila postup v mnohých projektoch.</t>
  </si>
  <si>
    <t>Žiadny člen tímu nemá skúsenosti s projektmi v rovnakej oblasti.</t>
  </si>
  <si>
    <t>Niektorí členovia tímu majú 6 až 12 mesiacov skúseností s projektmi v rovnakej oblasti.</t>
  </si>
  <si>
    <t>Niektorí členovia tímu majú 12 až 18 mesiacov skúseností s projektmi v rovnakej oblasti.</t>
  </si>
  <si>
    <t>Väčšina členov tímu má 18 až 24 mesiacov skúseností s projektmi v rovnakej oblasti.</t>
  </si>
  <si>
    <t>Väčšina členov tímu má viac ako dvojročné skúsenosti v rovnakej oblasti.</t>
  </si>
  <si>
    <t>Všetci členovia tímu majú viac ako dvojročné skúsenosti v rovnakej oblasti.</t>
  </si>
  <si>
    <t>Tím nemá skúsenosti s objektovo orientovanými technikami.</t>
  </si>
  <si>
    <t>Všetci členovia tímu majú určité skúsenosti s objektovo orientovanými technikami (až do jedného roka).</t>
  </si>
  <si>
    <t>Väčšina členov tímu má 12 až 18 mesiacov skúseností s objektovo orientovanými technikami.</t>
  </si>
  <si>
    <t>Všetci členovia tímu majú 12 až 18 mesiacov skúseností alebo väčšina členov tímu má 18 až 24 mesiacov skúseností v oblasti objektovo orientovaných techník</t>
  </si>
  <si>
    <t>Väčšina členov tímu má viac ako dvojročné skúsenosti s objektovo orientovanými technikami.</t>
  </si>
  <si>
    <t>Všetci členovia tímu majú viac ako dvojročné skúsenosti s objektovo orientovanými technikami.</t>
  </si>
  <si>
    <t>Vedúci analytik nemá skúsenosti.</t>
  </si>
  <si>
    <t>Vedúci analytik má predchádzajúce skúsenosti s jedným podobným projektom.</t>
  </si>
  <si>
    <t>Vedúci analytik má asi rok skúseností s viac ako jedným podobným projektom</t>
  </si>
  <si>
    <t>Vedúci analytik má asi dvojročné skúsenosti s podobnými projektmi.</t>
  </si>
  <si>
    <t>Vedúci analytik má viac ako dvojročné skúsenosti s podobnými projektmi.</t>
  </si>
  <si>
    <t>Vedúci analytik má viac ako tri roky skúseností v rôznych projektoch.</t>
  </si>
  <si>
    <t>Tím nemá vôbec žiadnu motiváciu. Bez neustáleho dohľadu sa tím stáva neproduktívnym. Tím robí iba to, na čo sa prísne žiada.</t>
  </si>
  <si>
    <t>Tím má veľmi malú motiváciu. Na udržanie produktivity na prijateľnej úrovni je nevyhnutný stály dohľad.</t>
  </si>
  <si>
    <t>Tím má malú motiváciu. Na udržanie produktivity sú z času na čas potrebné zásahy manažmentu.</t>
  </si>
  <si>
    <t>Tím má určitú motiváciu. Tím má zvyčajne iniciatívu, ale na udržanie produktivity je stále nevyhnutný zásah manažmentu.</t>
  </si>
  <si>
    <t>Tím je dobre motivovaný. Tím zvyčajne riadi sám, ale existencia dohľadu je stále nevyhnutná, pretože bez neho je možné stratiť produktivitu</t>
  </si>
  <si>
    <t>Tím je vysoko motivovaný. Aj bez dozoru každý vie, čo treba urobiť, a tempo sa udržuje donekonečna.</t>
  </si>
  <si>
    <t>Neexistujú historické údaje o stabilite požiadaviek alebo v minulosti zlá analýza spôsobila veľké zmeny v požiadavkách po začiatku projektu</t>
  </si>
  <si>
    <t>Požiadavky boli v minulosti prevažne nestabilné. Klienti požiadali o veľa zmien spôsobených hlavne neúplnými alebo nesprávnymi požiadavkami</t>
  </si>
  <si>
    <t>Požiadavky boli v minulosti nestabilné. Klienti požiadali o zmeny spôsobené neúplnými alebo nesprávnymi požiadavkami.</t>
  </si>
  <si>
    <t>Požiadavky boli v minulosti pomerne stabilné. Klienti požiadali o zmeny sekundárnych funkcionalít s určitou pravidelnosťou. Zmeny hlavných funkcií boli žiadané zriedka.</t>
  </si>
  <si>
    <t>Požiadavky boli v minulosti väčšinou stabilné. Používatelia požadovali malé zmeny, najmä tie kozmetické. Zmeny hlavných alebo vedľajších funkcií boli neobvyklé.</t>
  </si>
  <si>
    <t>Požiadavky boli v minulosti úplne stabilné. Malé zmeny, ak nejaké boli, nemali žiadny vplyv na projekty</t>
  </si>
  <si>
    <t>Žiadny člen tímu nie je na čiastočný úväzok na projekte.</t>
  </si>
  <si>
    <t>Až 10% tímu je na čiastočný úväzok.</t>
  </si>
  <si>
    <t>Až 20% tímu je na čiastočný úväzok.</t>
  </si>
  <si>
    <t>Až 40% tímu je na čiastočný úväzok.</t>
  </si>
  <si>
    <t>Až 60% tímu je na čiastočný úväzok.</t>
  </si>
  <si>
    <t>Viac ako 60% tímu je na čiastočný úväzok.</t>
  </si>
  <si>
    <t>Všetci členovia tímu sú veľmi skúsení programátori.</t>
  </si>
  <si>
    <t>Väčšina členov tímu má minimálne dvojročné skúsenosti s programovaním.</t>
  </si>
  <si>
    <t>Všetci členovia tímu majú najmenej 18 mesiacov skúseností s programovaním.</t>
  </si>
  <si>
    <t>Väčšina členov tímu má najmenej 18 mesiacov skúseností s programovaním.</t>
  </si>
  <si>
    <t>Niekoľko členov tímu má skúsenosti s programovaním (nie viac ako jeden rok).</t>
  </si>
  <si>
    <t>Všetci členovia tímu sú neskúsení programátori.</t>
  </si>
  <si>
    <t>Nápoveda pre danú hodnotu</t>
  </si>
  <si>
    <t>Vlastné OPEX</t>
  </si>
  <si>
    <t>Vlastné CAPEX</t>
  </si>
  <si>
    <t>Externé projetkové riadenie</t>
  </si>
  <si>
    <t>Špecialista na publicitu</t>
  </si>
  <si>
    <t>Externá publicita a informovanosť</t>
  </si>
  <si>
    <t>Manažér pre publicitu</t>
  </si>
  <si>
    <t>Z toho rozpočtové opatrenie</t>
  </si>
  <si>
    <t>Rozpočtové opatrenie %</t>
  </si>
  <si>
    <t>Sadzba v projekte bez DPH</t>
  </si>
  <si>
    <t xml:space="preserve">Pozície z OPII opravnenosti výdavkov </t>
  </si>
  <si>
    <t>IT programátor /vývojár</t>
  </si>
  <si>
    <t>Manažér kybernetickej a informačnej bezpečnosti</t>
  </si>
  <si>
    <t>Špecialista infrašktuktúry/HW špecialista</t>
  </si>
  <si>
    <t>IT konzultant</t>
  </si>
  <si>
    <t>Špecialista pre IT bezpečnosť</t>
  </si>
  <si>
    <t>Riadiaci pracovník (manažér) riešení IT</t>
  </si>
  <si>
    <t>Systémový programátor</t>
  </si>
  <si>
    <t>Softvérový architekt, dizajnér</t>
  </si>
  <si>
    <t>Analytik IKT</t>
  </si>
  <si>
    <t>IT architekt, projektant</t>
  </si>
  <si>
    <t>Databázový dizajnér</t>
  </si>
  <si>
    <t>Špecialista riadenia systému kvality</t>
  </si>
  <si>
    <t>Špecialista v oblasti počítačových sietí</t>
  </si>
  <si>
    <t>Databázový analytik</t>
  </si>
  <si>
    <t>Špecialista informačnej a kybernetickej bezpečnosti</t>
  </si>
  <si>
    <t>Riadiaci pracovník (manažér) informačnej a kybernetickej bezpečnosti</t>
  </si>
  <si>
    <t>ISCO pozícia</t>
  </si>
  <si>
    <t>ISCO kód</t>
  </si>
  <si>
    <t>Mechanik počítačových sietí</t>
  </si>
  <si>
    <t>Správca digitálneho obsahu (Digital Content Manager)</t>
  </si>
  <si>
    <t>Operátor klientskej podpory IKT</t>
  </si>
  <si>
    <t>Technik užívateľskej podpory IKT</t>
  </si>
  <si>
    <t>Aplikačný programátor</t>
  </si>
  <si>
    <t>Špecialista prevádzky mobilných a pevných technológií</t>
  </si>
  <si>
    <t>Pracovníci informačných služieb inde neuvedení</t>
  </si>
  <si>
    <t>Pozicia Vyber</t>
  </si>
  <si>
    <t>Projektovy_manazer</t>
  </si>
  <si>
    <t>IT_programator</t>
  </si>
  <si>
    <t>IT_analytik</t>
  </si>
  <si>
    <t>IT_architekt</t>
  </si>
  <si>
    <t>Kvalita</t>
  </si>
  <si>
    <t>IT_tester</t>
  </si>
  <si>
    <t>Infrastrutkura</t>
  </si>
  <si>
    <t>Databazy</t>
  </si>
  <si>
    <t>IT_konzultant</t>
  </si>
  <si>
    <t>Bezpecnost</t>
  </si>
  <si>
    <t>Skolenie</t>
  </si>
  <si>
    <t>Ine</t>
  </si>
  <si>
    <t>Iná špecifická rola</t>
  </si>
  <si>
    <t>OPII</t>
  </si>
  <si>
    <t>Nazov vyberu</t>
  </si>
  <si>
    <t>ISCO pozicie</t>
  </si>
  <si>
    <t>ISCO kod</t>
  </si>
  <si>
    <r>
      <rPr>
        <b/>
        <sz val="11"/>
        <color theme="0"/>
        <rFont val="Calibri Light"/>
        <family val="2"/>
        <scheme val="major"/>
      </rPr>
      <t>Sadzba - revízia výdavkov</t>
    </r>
    <r>
      <rPr>
        <b/>
        <sz val="11"/>
        <color theme="0"/>
        <rFont val="Calibri Light"/>
        <family val="1"/>
        <charset val="2"/>
        <scheme val="major"/>
      </rPr>
      <t xml:space="preserve"> bez DPH</t>
    </r>
  </si>
  <si>
    <t>Manažér pre monitoring</t>
  </si>
  <si>
    <t>Špecialista na Verejné obstarávanie</t>
  </si>
  <si>
    <t>MD Rate bez DPH</t>
  </si>
  <si>
    <t>Suma bez DPH</t>
  </si>
  <si>
    <t>Odmeny v %</t>
  </si>
  <si>
    <t>MDs interné / Suma hlavné</t>
  </si>
  <si>
    <t xml:space="preserve">Suma </t>
  </si>
  <si>
    <t>Počet MDs z UCP</t>
  </si>
  <si>
    <t>% dotácie / pomocne</t>
  </si>
  <si>
    <t>MODULY</t>
  </si>
  <si>
    <t>modul 2</t>
  </si>
  <si>
    <t>Funkcna poziadavka</t>
  </si>
  <si>
    <t>OPEX / CAPEX</t>
  </si>
  <si>
    <t>ESIF OPEX</t>
  </si>
  <si>
    <t>ESIF CAPEX</t>
  </si>
  <si>
    <t>OPEX</t>
  </si>
  <si>
    <t>CAPEX</t>
  </si>
  <si>
    <t>ks</t>
  </si>
  <si>
    <t>Funkcia 1</t>
  </si>
  <si>
    <t>Funkcia 1 1</t>
  </si>
  <si>
    <t>Garant</t>
  </si>
  <si>
    <t>Ušetrené náklady IT a náklady na materiál</t>
  </si>
  <si>
    <t>Materiál</t>
  </si>
  <si>
    <t>Rok začatia supportu / prevádzky</t>
  </si>
  <si>
    <t>Mesiacov od začiatku</t>
  </si>
  <si>
    <t>POČET PRÍSTUPOVÝCH KANÁLOV / POCET UC</t>
  </si>
  <si>
    <t>ZLOŽITOSŤ POŽIADAVKY</t>
  </si>
  <si>
    <t>VÝSLEDOK ZLOŽITOSTI</t>
  </si>
  <si>
    <t>ODHADNUTÁ PRÁCNOSŤ</t>
  </si>
  <si>
    <t>ČÍSLO
INKREMENTU</t>
  </si>
  <si>
    <t>SPÔSOB OVERENIA
ODBERATEĽOM</t>
  </si>
  <si>
    <t>Počet MDs z rozpočtu</t>
  </si>
  <si>
    <t>Používateľ x</t>
  </si>
  <si>
    <t>Číselník pozícií</t>
  </si>
  <si>
    <t>Súlad s max</t>
  </si>
  <si>
    <t>Korigovaný štart</t>
  </si>
  <si>
    <t>POO OPEX</t>
  </si>
  <si>
    <t>POO CAPEX</t>
  </si>
  <si>
    <t>Ostatné výdavky</t>
  </si>
  <si>
    <t>Ostatné zmiešané výdavky</t>
  </si>
  <si>
    <t>Publicita,  informovanosť, ostatné výdavky</t>
  </si>
  <si>
    <t>637003/637004/...</t>
  </si>
  <si>
    <t>Hlavné etapy</t>
  </si>
  <si>
    <t>Podporné oblasti</t>
  </si>
  <si>
    <t>Etapy projektu</t>
  </si>
  <si>
    <t>Podporná oblasť projektu</t>
  </si>
  <si>
    <t>Trvanie oblasti</t>
  </si>
  <si>
    <t>% etáp</t>
  </si>
  <si>
    <t>Počet FTE v oblasti</t>
  </si>
  <si>
    <t>Počet MDs Hlavné etapy realizácie</t>
  </si>
  <si>
    <t>Počet MDs Podporné oblasti realizácie</t>
  </si>
  <si>
    <t>Max % v projekte na HE</t>
  </si>
  <si>
    <t>Etapa projektu</t>
  </si>
  <si>
    <t>% v etape / podpornej oblasti</t>
  </si>
  <si>
    <t>Trvanie etapy / podpornej oblasti</t>
  </si>
  <si>
    <t>Etapa / oblasť</t>
  </si>
  <si>
    <t>Náklady na existujúce riešenie
(pôvodné riešenie pred realizáciou projektu), ktoré bolo nahradené</t>
  </si>
  <si>
    <t>Riadenie a publicita projektu</t>
  </si>
  <si>
    <t>Verzia dokumentu: v2.3</t>
  </si>
  <si>
    <t>Verzia dokumentu: v2.5</t>
  </si>
  <si>
    <t>Rozpočet NP rozvoj NetAcad</t>
  </si>
  <si>
    <t>Ver.13</t>
  </si>
  <si>
    <t>Koeficient odvodov:</t>
  </si>
  <si>
    <t>Sadzba/jedn.cena bez DPH/BTTO pers.náklad</t>
  </si>
  <si>
    <t>Počet hodín / kurzov / kusov v roku</t>
  </si>
  <si>
    <t>CP/náklad s DPH celkom</t>
  </si>
  <si>
    <t>Zostáva</t>
  </si>
  <si>
    <t>DPH:</t>
  </si>
  <si>
    <t>SPOLU:</t>
  </si>
  <si>
    <t>Skupina aktivít</t>
  </si>
  <si>
    <t>Rozpočet</t>
  </si>
  <si>
    <t>Aktivita/položka</t>
  </si>
  <si>
    <t>Účel</t>
  </si>
  <si>
    <t>pre CBA</t>
  </si>
  <si>
    <t>KATEGÓRIA v CBA</t>
  </si>
  <si>
    <t>Skupina výdavkov</t>
  </si>
  <si>
    <t>EK RK</t>
  </si>
  <si>
    <t>POZÍCIA IT v CBA</t>
  </si>
  <si>
    <t>Typ</t>
  </si>
  <si>
    <t>M.j.</t>
  </si>
  <si>
    <t>Sadz/nákl</t>
  </si>
  <si>
    <t>Q 2026</t>
  </si>
  <si>
    <t>Q 2027</t>
  </si>
  <si>
    <t>Q 2028</t>
  </si>
  <si>
    <t>Q 2029</t>
  </si>
  <si>
    <t>Spolu CP EUR</t>
  </si>
  <si>
    <t>NetAcad LAB A vybavenie (Networking a základy cybersec)</t>
  </si>
  <si>
    <t>MŠVVaM SR</t>
  </si>
  <si>
    <t>CAPEX - obstaranie a nasadenie</t>
  </si>
  <si>
    <t>48 vybraných škôl, 58 laboratórií, 868 pracovísk</t>
  </si>
  <si>
    <t>dodávateľ</t>
  </si>
  <si>
    <t>Nákup, inštalácia a sprevádzkovanie HW vrátane systémového SW</t>
  </si>
  <si>
    <t>EXTERNÉ</t>
  </si>
  <si>
    <t>VYBAVENIE (laboratórne IT)</t>
  </si>
  <si>
    <t>externé VO</t>
  </si>
  <si>
    <t>EUR/prac.</t>
  </si>
  <si>
    <t>SUBSCRIPTion - 5 roč. licenčná podpora - na pracoviská</t>
  </si>
  <si>
    <t>Poplatky dodávateľovi/ údržba, support, subscription</t>
  </si>
  <si>
    <t>SUBSCRIPT - časť závislá na počte laboratórií</t>
  </si>
  <si>
    <t>SUBSCRIPTion - 5 roč. licenčná podpora - na školy</t>
  </si>
  <si>
    <t>EUR/škola</t>
  </si>
  <si>
    <t>SUBSCRIPT - časť závislá na počte škôl (1 lic/1 školu)</t>
  </si>
  <si>
    <t>NetAcad LAB B vybavenie (Pokročilá cybersec)</t>
  </si>
  <si>
    <t>11 vybraných škôl, 15 laboratórií, 169 pracovísk</t>
  </si>
  <si>
    <t>CAPEX - časť závislá na počte pracovísk</t>
  </si>
  <si>
    <t>EUR/lab.</t>
  </si>
  <si>
    <t>CAPEX - časť závislá na počte laboratórií</t>
  </si>
  <si>
    <t>SUBSCRIPTion - 5 roč. licenčná podpora</t>
  </si>
  <si>
    <t>NetAcad LAB spoločná komunikačná infraštruktúra</t>
  </si>
  <si>
    <t>80 vybraných škôl, 73 laboratórií, 1037 pracovísk</t>
  </si>
  <si>
    <t>CAPEX - časť závislá na počte škôl</t>
  </si>
  <si>
    <t>NetAcad LAB vzdelávací obsah v  oblasti kybernetickej bezpečnosti (na Slovensku)</t>
  </si>
  <si>
    <t>CAPEX - obstaranie a nasadenie (práva)</t>
  </si>
  <si>
    <t>80 vybraných škôl, licencia na celé Slovensko</t>
  </si>
  <si>
    <t>VYBAVENIE (vzdelávací obsah)</t>
  </si>
  <si>
    <t>EUR/SR</t>
  </si>
  <si>
    <t>Nasadený na 80 škôl a licencia na celé Slovensko</t>
  </si>
  <si>
    <t>LMS Cluster + Interoperabilita</t>
  </si>
  <si>
    <t>Cluster cloudu a vybavenie</t>
  </si>
  <si>
    <t>VYBAVENIE (cloud)</t>
  </si>
  <si>
    <t>EUR/cluster</t>
  </si>
  <si>
    <t>LMS Cluster - aplikačný</t>
  </si>
  <si>
    <t>Poplatky vlastníkovi SW/ support, subscription</t>
  </si>
  <si>
    <t>CSKI Centrálna serverová a komunikačná infraštruktúra</t>
  </si>
  <si>
    <t>Cluster - výkonný a komunikačný uzol Cloudu</t>
  </si>
  <si>
    <t>Dodanie CLOUD HW, SW</t>
  </si>
  <si>
    <t>SLUŽBY počas implementácie</t>
  </si>
  <si>
    <t>AI Cluster</t>
  </si>
  <si>
    <t>Cluster - výkonný, dedikovaný pre UI</t>
  </si>
  <si>
    <t>CSIRT-SOC Cluster</t>
  </si>
  <si>
    <t>Cluster - aplikačný</t>
  </si>
  <si>
    <t>Kvantové počítače a príslušenstvo</t>
  </si>
  <si>
    <t>Lab: malý prenosný Q-IT, 2-qbitový, 1 pracovisko</t>
  </si>
  <si>
    <t>Kvantové IT vybavenie (kvantové počítače)</t>
  </si>
  <si>
    <t>Lab: učiteľský kufrík Q-IT min. 3 qbit, demonštrácie, tímová práca</t>
  </si>
  <si>
    <t>Inštalácia, spustenie, zaškolenie používateľov</t>
  </si>
  <si>
    <t>Náklady na inštaláciu</t>
  </si>
  <si>
    <t>Rozširujúce laboratórne vybavenie UI</t>
  </si>
  <si>
    <t>CAPEX - UI moduly stavebníc, dronov</t>
  </si>
  <si>
    <t>Dodanie, online zaškolenie, overenie funkčnosti</t>
  </si>
  <si>
    <t>Doplnkové vybavenie UI k existujúcim zariadeniam</t>
  </si>
  <si>
    <t>Odborná podpora</t>
  </si>
  <si>
    <t>TUKE</t>
  </si>
  <si>
    <t>Podpora odborných aktivít NetAcad</t>
  </si>
  <si>
    <t>Budget TUKE: Katarína Fecilakova, manažérka odb.aktivít</t>
  </si>
  <si>
    <t>personál</t>
  </si>
  <si>
    <t>Odborná podpora a riadenie aktivít</t>
  </si>
  <si>
    <t>INTERNÉ</t>
  </si>
  <si>
    <t>521 Mzdové náklady /524,27</t>
  </si>
  <si>
    <t>Koordinátor odb.aktivít - IT podpora</t>
  </si>
  <si>
    <t>interný FTE</t>
  </si>
  <si>
    <t>VLASTNÝ ROZPOČET TUKE ako partner</t>
  </si>
  <si>
    <t>Odborná podpora ClusteKB</t>
  </si>
  <si>
    <t>ClusterKB</t>
  </si>
  <si>
    <t>Podpora praktického vzdelávania KB</t>
  </si>
  <si>
    <t>Budget ClusterKB: Katarína Lichvárová, podpora over./tvorby v praxi</t>
  </si>
  <si>
    <t>VLASTNÝ ROZPOČET Cluster KB</t>
  </si>
  <si>
    <t>Metodická podpora NetAcad</t>
  </si>
  <si>
    <t>Budget TUKE: Peter Fecilak, asist PM, koordinácia aktivít NetAcad</t>
  </si>
  <si>
    <t>Kvalifikovaná odborná podpora a riadenie aktivít</t>
  </si>
  <si>
    <t>Manažér kvality - IT špecialista</t>
  </si>
  <si>
    <t>interný 1/3FTE</t>
  </si>
  <si>
    <t>Podpora praktického vzdelávania KB (služba)</t>
  </si>
  <si>
    <t>Budget ClusterKB: Ján Lichvár, koordinácia overovania v  praxi KB</t>
  </si>
  <si>
    <t>Manažér kyberbezpečnostnej praxe a systémov</t>
  </si>
  <si>
    <t>interný DVP</t>
  </si>
  <si>
    <t>Odborná koordinácia IT - realizácia (služba)</t>
  </si>
  <si>
    <t>Budget TUKE: Rastislav Petija, asist.PM, realizácia proj.aktivít - IT špecialista</t>
  </si>
  <si>
    <t>VLASTNÝ ROZPOČET TUKE ako partner realizácia odborných rozhodnutí garantov, ročný a mikro-plány činností kontrahovaných pedagógov-inštruktorov, realizácia a kontrola vykazovania, riadenie na mieste</t>
  </si>
  <si>
    <t>Odborná a technická podpora</t>
  </si>
  <si>
    <t>Didaktická podpora a úpravy obsahu</t>
  </si>
  <si>
    <t>výberové konanie, alebo z UPJŠ od doc. Švedu</t>
  </si>
  <si>
    <t>Participácia na overovaní a vlastnom vývoji IS NetAcad</t>
  </si>
  <si>
    <t>Didaktik digitálneho obsahu</t>
  </si>
  <si>
    <t>obstaraný z UPJŠ KE?</t>
  </si>
  <si>
    <t>obstaraný z UPJŠ KE? (30 dodaných + 30 vytvorených digi obsah + 5 predmetov + ?)</t>
  </si>
  <si>
    <t>Programátor virtuálnych vzdel.priestorov</t>
  </si>
  <si>
    <t>výberové konanie: otázne, či ho nájdeme v ekosystéme?</t>
  </si>
  <si>
    <t>Programátor cloudu (OS, DB, architektúra)</t>
  </si>
  <si>
    <t>programátor - špecialista</t>
  </si>
  <si>
    <t>Programátor cloudu (kóder)</t>
  </si>
  <si>
    <t>Garanti odborných skupín</t>
  </si>
  <si>
    <t>UNIZA</t>
  </si>
  <si>
    <t>Riadenie odbornej skupiny, vyprac.metodík, Q/Y plán činnosti</t>
  </si>
  <si>
    <t>Budget UNIZA: Pavel Segeč, UNIZA, garant pre KB - analytik</t>
  </si>
  <si>
    <t>Riadenie overovania a vlastného vývoja IS NetAcad</t>
  </si>
  <si>
    <t>Vlastník procesov - IT Analytik</t>
  </si>
  <si>
    <t>VLASTNÝ ROZPOČET UNIZA ako partner - zdôvodniť 35E</t>
  </si>
  <si>
    <t>UPJŠ</t>
  </si>
  <si>
    <t>Budget UPJŠ: Pavol Sokol, garant pre CSIRT, KB - analytik</t>
  </si>
  <si>
    <t>Vlastník procesov - IT Architekt</t>
  </si>
  <si>
    <t>VLASTNÝ ROZPOČET UPJŠ ako partner</t>
  </si>
  <si>
    <t>výberové konanie: garant pre UI - analytik</t>
  </si>
  <si>
    <t>zdôvodniť - úroveň architekta</t>
  </si>
  <si>
    <t>Budget UNIZA: Michal Kvet, UNIZA,, garant DataSC - analytik</t>
  </si>
  <si>
    <t>VLASTNÝ ROZPOČET UNIZA ako partner - možno menej hodín?</t>
  </si>
  <si>
    <t>Gabriel Semanišin, garant pre Q-IT - analytik</t>
  </si>
  <si>
    <t>DoVP s MŠVVaM SR (aj prezentácia Q-IT pre účely MŠ</t>
  </si>
  <si>
    <t>Budget UPJŠ: od Gabriela Semanišina, IT špecialista pre Q-IT</t>
  </si>
  <si>
    <t>Odborná podpora pre kvantové IT</t>
  </si>
  <si>
    <t>VLASTNÝ ROZPOČET UPJŠ ako partner - 1/8 úväzok</t>
  </si>
  <si>
    <t>Špecialisti odborných skupín</t>
  </si>
  <si>
    <t>Odborný výkon IT - asistent garanta</t>
  </si>
  <si>
    <t>Budget UNIZA: Jana Uramová, UNIZA, asistent garanta KB - podpora</t>
  </si>
  <si>
    <t>Špecialista na siete a bezpečnosť</t>
  </si>
  <si>
    <t>VLASTNÝ ROZPOČET UNIZA ako partner</t>
  </si>
  <si>
    <t>Budget UNIZA: Marek Moravčík, UNIZA, asistent NET, Cloud - podpora</t>
  </si>
  <si>
    <t>Budget UNIZA: Martin Kontšek, UNIZA , asistent Cloud, DevNet - podpora</t>
  </si>
  <si>
    <t>Budget UPJŠ: od Pavla Sokola z UPJŠ - IT špecialista pre Kybernezpečnosť/modelový CSIRT</t>
  </si>
  <si>
    <t>IT Podpora bezpečnostných systémov</t>
  </si>
  <si>
    <t>Odborný výkon IT - škola/ekosystém</t>
  </si>
  <si>
    <t>Martin Vujčík, SPŠE Prešov, KB - špecialista</t>
  </si>
  <si>
    <t>Certifikovaní IT Ing./Mgr. - inštruktori NetAcad - špecialisti</t>
  </si>
  <si>
    <t>Martin Šechný, SPŠE Prešov, Q-IT, DataSC, UI - špecialista</t>
  </si>
  <si>
    <t>Špecialista na UI a dátovú vedu</t>
  </si>
  <si>
    <t>Michal Copko, SPŠE Košice-CEX, NET, KB - špecialista</t>
  </si>
  <si>
    <t>Juraj Badáni, SPŠ JM BB, NET, KB - špecialista</t>
  </si>
  <si>
    <t>Tomáš Javůrek, SPŠ JM BB-KInIT,  UI - špecialista</t>
  </si>
  <si>
    <t>Ján Kovalčík, SSOŠ TA, NET, KB - špecialista</t>
  </si>
  <si>
    <t>Miroslava Guzlejová, SPŠ JM BB, KB-špecialista</t>
  </si>
  <si>
    <t>Martin Pagáč, SOŠ IT BB, KB-špecialista</t>
  </si>
  <si>
    <t>Miroslav Padyšák, SPŠ IT KNM, NET, KB-špecialista</t>
  </si>
  <si>
    <t>Michal Šutek, SPŠ IT KNM, NET, KB-špecialista</t>
  </si>
  <si>
    <t>Milan Duroška (výber?), SPŠ St.Tutá, NET, KB-špecialista</t>
  </si>
  <si>
    <t>??? Výberové konanie/ponuka podľa potreby</t>
  </si>
  <si>
    <t>IT špecialisti dizajnu vo virtuál.prostredí</t>
  </si>
  <si>
    <t>Periodické a naplán. odb. aktivity</t>
  </si>
  <si>
    <t xml:space="preserve">vacant-pedagóg IT na účel: cielene uzatvárané krátke DoVP </t>
  </si>
  <si>
    <t>Online workshopy, vystúpenia na konferenciách, vstupy do publicity</t>
  </si>
  <si>
    <t>pokrač.: detto, spracovanie podkladov pre iné sektory, ...</t>
  </si>
  <si>
    <t>Vzdelávanie pedagógov-používateľov</t>
  </si>
  <si>
    <t>Certifikácie a recertifikácia v kľúčových oblastiach</t>
  </si>
  <si>
    <t>pasportizácia1: 176 certifikácií/recertifikácií NetAcad.com</t>
  </si>
  <si>
    <t>Externé školenia, kurzy, semináre k obsahu IS NetAcad</t>
  </si>
  <si>
    <t>SLUŽBY (vzdelávanie na VŠ)</t>
  </si>
  <si>
    <t>EUR/kurz</t>
  </si>
  <si>
    <t>len odhad z pasport1 - treba oficiálne naceniť ASAP (prebieha)</t>
  </si>
  <si>
    <t>Inovačné vzdel. v kľúčových oblastiach</t>
  </si>
  <si>
    <t>pasportizácia1: 427 inovačných vzdelávaní NetAcad.com a kľúčové</t>
  </si>
  <si>
    <t>Kratšie školenia v kľúčových oblastiach</t>
  </si>
  <si>
    <t>pasportizácia1: 258 školení - kľúčové oblasti</t>
  </si>
  <si>
    <t>Inovačné vzdel. v iných IKT oblastiach</t>
  </si>
  <si>
    <t>pasportizácia1: 318 inovačných vzdelávaní - iné oblasti</t>
  </si>
  <si>
    <t>Kratšie školenia v iných IKT oblastiach</t>
  </si>
  <si>
    <t>pasportizácia1: 227 školení - iné oblasti</t>
  </si>
  <si>
    <t>Služby prekladu, úprav textu a obrazu, korekcia, jazyková úprava</t>
  </si>
  <si>
    <t>Budget TUKE: spracovanie vzdelávacieho obsahu</t>
  </si>
  <si>
    <t>SLUŽBY (sprac. obsahu a grafiky)</t>
  </si>
  <si>
    <t>EUR/text</t>
  </si>
  <si>
    <t>VLASTNÝ ROZPOČET TUKE ako partner - prislúch.paušál 7%</t>
  </si>
  <si>
    <t>Udržanie priemyselnej certifikácie, kurzy CCNP atp.</t>
  </si>
  <si>
    <t>Budget TUKE: vybraní pedagógovia-inštruktori</t>
  </si>
  <si>
    <t>Vysoko odborné externé školenia, kurzy, semináre</t>
  </si>
  <si>
    <t>SLUŽBY (komerčné školenie)</t>
  </si>
  <si>
    <t>EUR/kurz 1os</t>
  </si>
  <si>
    <t>VLASTNÝ ROZPOČET TUKE ako partner - prislúch.paušál 7% (prieskum ALEF)</t>
  </si>
  <si>
    <t>Voliteľné vzdelávanie pre rozvoj CSIRT</t>
  </si>
  <si>
    <t>Budget UPJŠ: kurzy pre 2 prac.FTE * 4 školenia ročne</t>
  </si>
  <si>
    <t>služby</t>
  </si>
  <si>
    <t>VLASTNÝ ROZPOČET UPJŠ ako partner - úroveň podľa prieskumu ALEF</t>
  </si>
  <si>
    <t>Voliteľné vzdelávanie pre rozvoj Net a Kyber</t>
  </si>
  <si>
    <t>Budget UNIZA: účasť na odb. workshopoch</t>
  </si>
  <si>
    <t>VLASTNÝ ROZPOČET UNIZA ako partner - úroveň podľa prieskumu ALEF</t>
  </si>
  <si>
    <t>Kyber-bezpeč v iných sektoroch (personálne)</t>
  </si>
  <si>
    <t>Budget ClusterKB: Tvorba a prezentácia 10 digitálnych vzdel.obsahov</t>
  </si>
  <si>
    <t>Témy: 1) podnik, 2) bankový sektor, 3) energetika, 4) automatizácia vo výrobe, 5) elektronické služby a obchod, 6) vojenské konflikty, bezpečnosť a bezpečnostné zložky, 7) povinnosti štátu, 8) bežný občan – e-commerce, sociálne siete, hoaxy, fishing.</t>
  </si>
  <si>
    <t>Kyber-bezpeč v iných sektoroch (služba)</t>
  </si>
  <si>
    <t>Budget ClusterKB: Úprava vzdel.obsahu na video, digitálny výstup (10x)</t>
  </si>
  <si>
    <t>Vyhotovenie štúdií, analýz a odborných výstupov</t>
  </si>
  <si>
    <t>Tvorba digitálneho obsahu na mieru</t>
  </si>
  <si>
    <t>EUR/obsah</t>
  </si>
  <si>
    <t>Možnosť: v spolupráci s Murgaškou využitie RTVS štúdia</t>
  </si>
  <si>
    <t>Odborné podujatia</t>
  </si>
  <si>
    <t>Každoročné súťaže NAG (+UI, DataSc, QIT)</t>
  </si>
  <si>
    <t>Budget TUKE: Prenájom, cestovné, výdavky, občerst., odmeny víťazom</t>
  </si>
  <si>
    <t>Konferencie, súťaže, komunikácia</t>
  </si>
  <si>
    <t>SPOTREBA (cestovné náhr.a iné)</t>
  </si>
  <si>
    <t>EUR/súťaž</t>
  </si>
  <si>
    <t>Konferencie NAG (+UI, DataSc, QIT)</t>
  </si>
  <si>
    <t>Budget TUKE: Prenájom, cestovné, výdavky, občerst., odmeny víťazom, ubytovanie tímu (30)</t>
  </si>
  <si>
    <t>Budget TUKE: Ubytovanie proj. tímu (30)</t>
  </si>
  <si>
    <t>EUR/1noc/1os</t>
  </si>
  <si>
    <t>Budget TUKE: Odmeny víťazov Súťaže NAG</t>
  </si>
  <si>
    <t>Knihy, diplomy, kanc. a IT potreby</t>
  </si>
  <si>
    <t>Návrh a dizajn v tímoch</t>
  </si>
  <si>
    <t>Mikroproj.implement.vzorových riešení</t>
  </si>
  <si>
    <t>vacant: cielene uzatvárané krátke DoVP - pedagóg-inštruktor</t>
  </si>
  <si>
    <t>IT podpora vývoja cloudových aplikácií</t>
  </si>
  <si>
    <t>Inovatívni a kreatívni študenti (na praxi, ako ročníkový projekt)</t>
  </si>
  <si>
    <t>odmeny za úspešné riešenia (iPad, notebook)</t>
  </si>
  <si>
    <t>interné VO</t>
  </si>
  <si>
    <t>príklad: 20 nb, 20 iPad, 20 iPhone</t>
  </si>
  <si>
    <t>vacant: IT architekt, DB špecialista - podpora návrhu  (z VŠ?)</t>
  </si>
  <si>
    <t>Biznis analytik , IT špecialista - mentor μ-rojektov</t>
  </si>
  <si>
    <t>Príklady: implementácia hry, využitie vymenených HW zariadení</t>
  </si>
  <si>
    <t>vacant: programátor, produkt.manažér (z VŠ?)</t>
  </si>
  <si>
    <t>Biznis analytik, programátor - mentor μ-rojektov</t>
  </si>
  <si>
    <t>Príklady: užitočné vlastné riešenia, implementácia asistenta UI</t>
  </si>
  <si>
    <t>Hlavný editor a garant vzdel.obsahu</t>
  </si>
  <si>
    <t>Peter Pallo, škola/MŠVVaM SR</t>
  </si>
  <si>
    <t>INTERNÉ (paušál)</t>
  </si>
  <si>
    <t>Manažér kvality digitálneho obsahu</t>
  </si>
  <si>
    <t>Definuje formy, podporuje, školí, schvaľuje výstupy vo VIKI - dohodnúť súbežné úväzky. Úvodná konverzia 30 obsahov a následne 10 hod na 1 digi obsah * 30 obsahov vo VIKI.</t>
  </si>
  <si>
    <t>Editor vzdelávaciaho obsahu VIKI</t>
  </si>
  <si>
    <t>výberové konanie: asistent/študent/na odporučenie</t>
  </si>
  <si>
    <t>paušál</t>
  </si>
  <si>
    <t>Dizajnér digitálneho obsahu</t>
  </si>
  <si>
    <t>Podľa predlohy odb.tímov tvorí obsah vo VIKI, bez špec.kvalifikácie (spracuje 30 dodaných + 30 neskôr vyvíjaných obsahov vo VIKI)</t>
  </si>
  <si>
    <t>Podľa predlohy odb.tímov tvorí obsah vo VIKI, bez špec.kvalifikácie</t>
  </si>
  <si>
    <t>Budovanie kultúry bezpečnosti</t>
  </si>
  <si>
    <t>Externe</t>
  </si>
  <si>
    <t>Prezentácie používateľ.kyberbezp. (služba)</t>
  </si>
  <si>
    <t>80 SŠ: prezenčne po vzore prezent. Digitálnej koalície</t>
  </si>
  <si>
    <t>SLUŽBY (projekt)</t>
  </si>
  <si>
    <t>EUR/školu</t>
  </si>
  <si>
    <t>Kalkulácia priložená</t>
  </si>
  <si>
    <t>Mikroprojekty kultúry bezpečnosti (služba)</t>
  </si>
  <si>
    <t>80 SŠ: úvodný online + 3 online stretnutia + 1 prezenčné</t>
  </si>
  <si>
    <t>podpora komunikácie, hoaxy, soc.siete a WEB</t>
  </si>
  <si>
    <t>Vyhotovenie odborných výstupov pre vzdelávanie</t>
  </si>
  <si>
    <t>INTERNÉ (paušál?)</t>
  </si>
  <si>
    <t>907 - Paušálna sadzba na nepriame výdavky podľa článku 54 písm. a) NSU</t>
  </si>
  <si>
    <t>SLUŽBY (komunikácia)</t>
  </si>
  <si>
    <t>EUR/konzultácia</t>
  </si>
  <si>
    <t>predpokladaná stredná cena</t>
  </si>
  <si>
    <t>Panoptikum KB hrozieb</t>
  </si>
  <si>
    <t>Offensive Security Lab - výbava pre 3 VŠ alebo SŠ</t>
  </si>
  <si>
    <t>príklady "offensive HW" pre lab pod dozorom</t>
  </si>
  <si>
    <t>Dodanie položiek IT laboratórneho výbavenia (pod limitom)</t>
  </si>
  <si>
    <t>VYBAVENIE rôznych exemplárov  (IT)</t>
  </si>
  <si>
    <t>Offensive Security Lab: výučba hardvérových hrozieb a obrany v kyberpriestore</t>
  </si>
  <si>
    <t>Príprava žiačok 8.-9. roč. ZŠ v spádovej oblasti SŠ</t>
  </si>
  <si>
    <t>AjTyvIT</t>
  </si>
  <si>
    <t>Workshop s lektorom (vzdelávanie)</t>
  </si>
  <si>
    <t>IT workshop s HW alebo internetom pre 12 dievčat (AjTyvIT)</t>
  </si>
  <si>
    <t>EUR/workshop</t>
  </si>
  <si>
    <t>Témy: Ozobot, bezpečnosť, micro:bit, Lego robot, Canva, Scratch</t>
  </si>
  <si>
    <t>Technické vybavenie workshopov (HW)</t>
  </si>
  <si>
    <t>IT vybavenie pre IT workshopy  (AjTyvIT)</t>
  </si>
  <si>
    <t>DROBNÉ IT DIDAKT. VYBAVENIE</t>
  </si>
  <si>
    <t xml:space="preserve">Vybavenie: LEGO® Education SPIKE™ Prime, Ozobot (škol.sada) </t>
  </si>
  <si>
    <t>IT špecialista Dátové centrum MŠVVaM SR</t>
  </si>
  <si>
    <t>výberové konanie: SIT MŠVVaM SR, IT podpora/špecialista</t>
  </si>
  <si>
    <t>Personálne náklady implementácie a overovania na serverovej infraštruktúre v dátovom centre MŠVVaM SR</t>
  </si>
  <si>
    <t>IT Administrátor cloudu</t>
  </si>
  <si>
    <t>Dátové centrum MŠVVaM SR</t>
  </si>
  <si>
    <t>IT Dátový špecialista cloudu</t>
  </si>
  <si>
    <t>Odborná literatúra</t>
  </si>
  <si>
    <t>Obstaranie učebnice o kyberbezp (tovar)</t>
  </si>
  <si>
    <t>Združenie Preventista (alebo ekvivalent) 3-dielna učebnica</t>
  </si>
  <si>
    <t>Dodanie odborného vzdelávacieho obsahu - učebníc kyberbezpečnosti</t>
  </si>
  <si>
    <t>VYBAVENIE (učebnice)</t>
  </si>
  <si>
    <t>EUR/3diely</t>
  </si>
  <si>
    <t>Preventista: 3 diely info/kyber bezpečnosti, nie je platca DPH (pre talentovaných žiakov a všetkých IT učiteľov)</t>
  </si>
  <si>
    <t>Poštovné učebnice o kyberbezp (tovar)</t>
  </si>
  <si>
    <t>Združenie Preventista (alebo ekvivalent)</t>
  </si>
  <si>
    <t>EUR/dodávka</t>
  </si>
  <si>
    <t>Odhad poštovné (z Košíc)</t>
  </si>
  <si>
    <t>Projektová kancelária</t>
  </si>
  <si>
    <t>Hlavný garant, Projektový manažér</t>
  </si>
  <si>
    <t>Andrej Bederka, PM, hl.garant, vedúci architekt IT projektu</t>
  </si>
  <si>
    <t>Riadenie a admin projektu</t>
  </si>
  <si>
    <t>Hlavný garant - Projektový manažér - IT Architekt</t>
  </si>
  <si>
    <t>Projektový manažment, garant realizácie projektu, IT špecialista</t>
  </si>
  <si>
    <t>Asistent projektového manažéra</t>
  </si>
  <si>
    <t>? (pravá ruka na odbremenenie od operatívy)</t>
  </si>
  <si>
    <t>Asistent PM - koordinátor  odborných aktivít</t>
  </si>
  <si>
    <t>Vedúci projektovej kancelárie</t>
  </si>
  <si>
    <t>výber - administrátor, finančný a personálny manažér</t>
  </si>
  <si>
    <t>Finančný a personálny manažér</t>
  </si>
  <si>
    <t>Administrácia projektu, reporting, fin. a person. riadenie</t>
  </si>
  <si>
    <t>Asistent vedúceho projektovej kancelárie</t>
  </si>
  <si>
    <t>výber - asistent pri spracovaní projektovej agendy</t>
  </si>
  <si>
    <t>interný DPČ</t>
  </si>
  <si>
    <t>pomocné admin. práce dva týždne v mesiaci * 10 hod</t>
  </si>
  <si>
    <t>Personalista (MŠVVaM SR)</t>
  </si>
  <si>
    <t xml:space="preserve">mzda/refundácia MŠVVaM SR </t>
  </si>
  <si>
    <t>Personalista</t>
  </si>
  <si>
    <t>interný 1/2FTE</t>
  </si>
  <si>
    <t>Mzdový účtovník (MŠVVaM SR)</t>
  </si>
  <si>
    <t>Mzdový účtovník</t>
  </si>
  <si>
    <t>Finančný účtovník (MŠVVaM SR)</t>
  </si>
  <si>
    <t>Finančný účtovník</t>
  </si>
  <si>
    <t>Manažér publicity a popularizácie</t>
  </si>
  <si>
    <t>výber - samostatný tvorca smernice, zadávateľ zákaziek</t>
  </si>
  <si>
    <t>interný 1/4FTE</t>
  </si>
  <si>
    <t>Manažér VO</t>
  </si>
  <si>
    <t>Špecialista na verejné obstarávanie</t>
  </si>
  <si>
    <t>Zaškolenie projektového tímu (služba)</t>
  </si>
  <si>
    <t>Prince2, ITIL/TOGAF a manuály PSK (PM, VPK, 2*AVPK, 4*partner)</t>
  </si>
  <si>
    <t>EXTERNÉ (paušál)</t>
  </si>
  <si>
    <t>EUR/školenie</t>
  </si>
  <si>
    <t xml:space="preserve">Prince2 Foundation/Practic: 995–1 095 € (bez DPH), PSK 150€ </t>
  </si>
  <si>
    <t>Ďalšie náklady na odborné činnosti</t>
  </si>
  <si>
    <t>drobné výdavky na: stretnutia pracovných skupín, zdieľanie vzorov, komunikácia</t>
  </si>
  <si>
    <t xml:space="preserve">PAUŠÁL MŠVVaM SR 7% </t>
  </si>
  <si>
    <t>interný náklad</t>
  </si>
  <si>
    <t>EUR/obdobie</t>
  </si>
  <si>
    <t>Príprava nár. projektu pred začatím</t>
  </si>
  <si>
    <t>Michal Petkáč (IT architekt pri príprave NP) - refundácia</t>
  </si>
  <si>
    <t>PAUŠÁL MŠVVaM SR 7% (minulé)</t>
  </si>
  <si>
    <t>350h len v roku 2025, refundácia za uplynulé obdobie</t>
  </si>
  <si>
    <t>Michal Tezour (dokumentácia pri príprave NP) - refundácia</t>
  </si>
  <si>
    <t>Cestovné už spotrebované</t>
  </si>
  <si>
    <t>Andrej Bederka (poverený pri príprave NP) - refundácia</t>
  </si>
  <si>
    <t>Pri príprave NP 202406-2025 - komunikácia so akadémiami a centrami školení</t>
  </si>
  <si>
    <t>Publicita a digitálna prezencia (služba)</t>
  </si>
  <si>
    <t>Vytvorenie/graf.a obsah.úprava WEB, soc.siete, prevázka</t>
  </si>
  <si>
    <t>Publicita a popularizácia</t>
  </si>
  <si>
    <t>SLUŽBY (publicita)</t>
  </si>
  <si>
    <t>EUR/mesiac</t>
  </si>
  <si>
    <t>Služby a obsahy zadávané manažérom publicity a popularizácie</t>
  </si>
  <si>
    <t>Kreatíva a grafické spracovanie WEB, soc. siete</t>
  </si>
  <si>
    <t>Cestovné náhrady a drobné výdavky tímu</t>
  </si>
  <si>
    <t>Personál projektovej kancelárie, VIP a pedagógovia</t>
  </si>
  <si>
    <t>PAUŠÁL</t>
  </si>
  <si>
    <t>Financované plne z paušálu - každoročne (odhad?)</t>
  </si>
  <si>
    <t>Kancelárske potreby a drobné výdavky</t>
  </si>
  <si>
    <t>VYBAVENIE (spotreba)</t>
  </si>
  <si>
    <t>Vybavenie podporného centra</t>
  </si>
  <si>
    <t>2*veľkoploš.tablet, slúchadlá, mikrofón</t>
  </si>
  <si>
    <t>Časť paušálu 7% pre ClusterKB</t>
  </si>
  <si>
    <t>Cestovné náhrady a určené výdavky</t>
  </si>
  <si>
    <t>Budget ClusterKB: podporné centrum - J.Lichvár/Lichvárová</t>
  </si>
  <si>
    <t>Odborné riadenie paušál</t>
  </si>
  <si>
    <t>PAUŠÁL PARTNERA 7%</t>
  </si>
  <si>
    <t>EUR základ</t>
  </si>
  <si>
    <t>VLASTNÝ ROZPOČET ClusterKB  ako partner - prislúch.paušál 7%</t>
  </si>
  <si>
    <t>Časť paušálu 7% pre TUKE</t>
  </si>
  <si>
    <t>Cestovné náhrady a určené výdavky, školenie soc.siete</t>
  </si>
  <si>
    <t>Budget TUKE: podporné centrum - P.Fecilak</t>
  </si>
  <si>
    <t>Časť paušálu 7% pre UPJŠ</t>
  </si>
  <si>
    <t>Budget UPJŠ: tím pre CSIRT-SOC a Q-IT - Sokol/Semanišin</t>
  </si>
  <si>
    <t>VLASTNÝ ROZPOČET UPJŠ ako partner - prislúch.paušál 7%</t>
  </si>
  <si>
    <t>Časť paušálu 7% pre UNIZA</t>
  </si>
  <si>
    <t>Budget UNIZA: tím pre Net a Kyber - P.Segeč/J.Uramová</t>
  </si>
  <si>
    <t>VLASTNÝ ROZPOČET UNIZA ako partner - prislúch.paušál 7%</t>
  </si>
  <si>
    <t>Distribuovaný informačný ekosystém pre udržateľný rast a prax špecialistov informačných a komunikačných technológií (rozvoj NetAcad)</t>
  </si>
  <si>
    <t>projekt_3237</t>
  </si>
  <si>
    <t>Ministerstvo školstva, výskumu, vývoja a mládeže Slovenskej republiky</t>
  </si>
  <si>
    <t>Černyševského 50</t>
  </si>
  <si>
    <t>851 01 Bratislava</t>
  </si>
  <si>
    <t>https://www.minedu.sk/</t>
  </si>
  <si>
    <t>00164381</t>
  </si>
  <si>
    <t>Ing. Andrej Bederka</t>
  </si>
  <si>
    <t>andrej.bederka@minedu.sk</t>
  </si>
  <si>
    <t>Ne-Funkcna poziadavka</t>
  </si>
  <si>
    <t>študijné materiály</t>
  </si>
  <si>
    <t>príprava tém</t>
  </si>
  <si>
    <t>Bude spracovaných a pripravených minimálne 15 tém z oblasti kybernetickej a sieťovej bezpečenosti tak, aby študenti získali komplexný teoretický a praktický základ v danej oblasti. Témy budú zahŕňať minimálne nasledovné oblasti:
•	teoretický úvod
•	riadenie komunikácie na hranici sieti  - oddelenie vnút. siete a internetu
•	zabezpečenie pred útokmi na e-mailovú komunikáciu
•	zabezpečenie komunikácie na web stránky (web proxy servery)
•	útoky na zraniteľné miesta sieťových služieb 
•	útoky na aplikácie prevádzkované na web serveroch 
•	útoky na „clear textové“ protokoly
•	DoS a DDoS útoky 
•	autentifikácia prístupu užívateľov
•	iné oblasti
Bude vypracovaná teoretická časť ku každej z pripravených tém z oblasti kybernetickej a sieťovej bezpečnosti. Tieto materiály budú slúžiť ako podklad pre štúdium, či už samostatné alebo s asistenciou lektora</t>
  </si>
  <si>
    <t>MŠ SR</t>
  </si>
  <si>
    <t>návod k cvičeniam</t>
  </si>
  <si>
    <t>Ku všetkým praktickým cvičeniam z uvedenej skupiny tém z oblasti kybernetickej a sieťovej bezpečnosti bude pripravený návod, ako sa dané cvičenie bude realizovať. Tento návod musí byť tak detailný, aby podľa neho mohol cvičenie realizovať aj študent, ktorý má len teoretické vedomosti z danej oblasti a základné praktické skúsenosti s prácou so sieťovými technológiami.</t>
  </si>
  <si>
    <t>technológia</t>
  </si>
  <si>
    <t xml:space="preserve">centrálna výpočtová platforma </t>
  </si>
  <si>
    <r>
      <t xml:space="preserve">Bude pripravená centrálna výpočtová platforma, ktorá zvládne naraz prácu študentov na cvičeniach na 100 pracoviskách, pričom na každom z nich sa bude dať realizovať samostatné cvičenie ku ktorejkoľvek téme z oblasti kybernetickej bezpečnosti. Pracoviská sa budú k platforme pripájať vzdialene, cez internet
</t>
    </r>
    <r>
      <rPr>
        <sz val="10"/>
        <color rgb="FFFF0000"/>
        <rFont val="Calibri Light"/>
        <family val="2"/>
        <charset val="238"/>
        <scheme val="major"/>
      </rPr>
      <t>ešte doplniť požiadavky na servery, storages, fw...</t>
    </r>
  </si>
  <si>
    <t>prípojné zariadenia - stredné školy</t>
  </si>
  <si>
    <r>
      <t xml:space="preserve">každá škola zapojená do projektu, bude vybavená prípojnými zariadeniami:
</t>
    </r>
    <r>
      <rPr>
        <sz val="10"/>
        <color rgb="FFFF0000"/>
        <rFont val="Calibri Light"/>
        <family val="2"/>
        <charset val="238"/>
        <scheme val="major"/>
      </rPr>
      <t>ešte doplniť špec.zariadení na školu</t>
    </r>
  </si>
  <si>
    <t>prípojné zariadenia - vysok é školy</t>
  </si>
  <si>
    <t>lokálne zariadenia - stredné školy</t>
  </si>
  <si>
    <r>
      <t xml:space="preserve">každá škola zapojená do projektu, bude vybavená lokálnymi zariadeniami:
</t>
    </r>
    <r>
      <rPr>
        <sz val="10"/>
        <color rgb="FFFF0000"/>
        <rFont val="Calibri Light"/>
        <family val="2"/>
        <charset val="238"/>
        <scheme val="major"/>
      </rPr>
      <t>ešte doplniť špec.zariadení na školu</t>
    </r>
  </si>
  <si>
    <t>lokálne zariadenia -vysoké školy</t>
  </si>
  <si>
    <t>školenie</t>
  </si>
  <si>
    <t>školenia adminov</t>
  </si>
  <si>
    <t>preškolenie adminov centrálnej platformy na administráciu dpodanej centrálnej výpočtovej platformy a na správu pripojení jednotlivých škôl</t>
  </si>
  <si>
    <t>Externé služby a podpora (kurzy, vzdelávanie, ....)</t>
  </si>
  <si>
    <t>školenie lektorov - stredné školy</t>
  </si>
  <si>
    <t>zaškolenie lektorov stredných škôl na teoretickú a praktickú časť jednotlivých labov</t>
  </si>
  <si>
    <t>školenie lektorov - vysoké školy</t>
  </si>
  <si>
    <t>zaškolenie lektorov vysokých škôl na teoretickú a praktickú časť jednotlivých labov</t>
  </si>
  <si>
    <t>Otvorený zdroj a licencný model</t>
  </si>
  <si>
    <t>vyžadovaná je open‑source platforma; komponenty sú pod licenciami GPL v2 a Apache 2.0, bez licenčných poplatkov a vendor lock‑in, alebo licencie na minimálne obdobie 5 rokov</t>
  </si>
  <si>
    <t>Technicka poziadavka</t>
  </si>
  <si>
    <t>Typ riešenia a rozsah</t>
  </si>
  <si>
    <t>Unifikovaná SIEM a XDR platforma</t>
  </si>
  <si>
    <t>Zhromažďuje, indexuje a analyzuje logy z koncových bodov, sietí, cloudových služieb a API</t>
  </si>
  <si>
    <t>Poskytuje detekciu, analýzu a reakciu na hrozby.</t>
  </si>
  <si>
    <t>Centrálne komponenty</t>
  </si>
  <si>
    <t>Univerzálny agent</t>
  </si>
  <si>
    <t>Server (manager)</t>
  </si>
  <si>
    <t>Indexer (dátové úložisko)</t>
  </si>
  <si>
    <t>Dashboard (vizualizácia)</t>
  </si>
  <si>
    <t>Podpora klastrov a vysoká dostupnost</t>
  </si>
  <si>
    <t>Podpora multi‑node klastrov pre server a indexer</t>
  </si>
  <si>
    <t>Podpora replikácie indexov a vysoká dostupnosť</t>
  </si>
  <si>
    <t>Vyžadovaný 3‑uzlový cluster so záložným uzlom.</t>
  </si>
  <si>
    <t>Pocet monitorovaných zariadení</t>
  </si>
  <si>
    <t>Škálovateľná architektúra umožňuje monitorovať tisíce koncových bodov; v projekte minimálne 3 000 PC.</t>
  </si>
  <si>
    <t>Podporované operacné systémy server/indexer</t>
  </si>
  <si>
    <t>64‑bit Linux: Amazon Linux 2/2023, CentOS 7/8, Red Hat Enterprise Linux 7/8/9, Ubuntu 16.04/18.04/20.04/22.04/24.04.</t>
  </si>
  <si>
    <t>Podporované operacné systémy agent</t>
  </si>
  <si>
    <t>Agenti pre Linux, Windows, macOS, Solaris, AIX, HP‑UX; multiplatformový agent s jednotným balíkom.</t>
  </si>
  <si>
    <t>Hardvérové požiadavky (orientacné)</t>
  </si>
  <si>
    <t>Pre 1–25 agentov minimálne 4 vCPU, 8 GiB RAM a 50 GB disku; 25–50 agentov 8 vCPU/8 GiB/100 GB; 50–100 agentov 8 vCPU/8 GiB/200 GB; väčšie nasadenia vyžadujú cluster.</t>
  </si>
  <si>
    <t>Škálovatelnost a virtualizácia</t>
  </si>
  <si>
    <t>Možnosť nasadenia na on‑prem infraštruktúre, vo virtuálnych strojoch, kontajneroch (Docker, Kubernetes) alebo na bare‑metal; horizontálna škálovateľnosť pridávaním uzlov.</t>
  </si>
  <si>
    <t>Šifrovanie komunikácie agent-server</t>
  </si>
  <si>
    <t>Správy sú šifrované pomocou AES (128‑bitové bloky, 256‑bitové kľúče); voliteľne Blowfish.</t>
  </si>
  <si>
    <t>Šifrovaná komunikácia server-indexer/dashbord</t>
  </si>
  <si>
    <t>Server posiela dáta do indexera cez TLS; dashboard používa REST API  s TLS a overením mena a hesla.</t>
  </si>
  <si>
    <t>Archívne ukladanie a integrita logov</t>
  </si>
  <si>
    <t>Udalosti sa ukladajú do archívnych súborov na serveri; sú komprimované a podpisované MD5, SHA1 a SHA256</t>
  </si>
  <si>
    <t>Riešenie umožňuje dlhodobé uchovanie (3+ roky) a export do indexera.</t>
  </si>
  <si>
    <t>Spotreba zdrojov agentov</t>
  </si>
  <si>
    <t>Ľahký agent vyžaduje približne 35 MB RAM a minimálne zaťažuje CPU.</t>
  </si>
  <si>
    <t>Inventarizácia softvéru a hardvéru</t>
  </si>
  <si>
    <t>Agenti zbierajú údaje o nainštalovanom softvéri, verziách OS a hardvérovej konfigurácii; umožňuje koreláciu so zraniteľnosťami.</t>
  </si>
  <si>
    <t>Zber logov a analýza</t>
  </si>
  <si>
    <t>Agent zbiera logy operačného systému a aplikácií; server ich dekóduje a koreluje; indexer umožňuje rýchle vyhľadávanie.</t>
  </si>
  <si>
    <t>Monitorovanie integrity súborov (FIM)</t>
  </si>
  <si>
    <t>Vyžadovaná funkcionalita sleduje zmeny v súboroch a adresároch vrátane obsahu, oprávnení a vlastníctva; zaznamenáva používateľa, ktorý zmeny vykonal.</t>
  </si>
  <si>
    <t>Kontrola konfigurácie (SCA)</t>
  </si>
  <si>
    <t>Vyzadovaná funkcionalita porovnáva konfigurácie systémov s bezpečnostnými štandardmi a poskytuje odporúčania.</t>
  </si>
  <si>
    <t>Detekcia zranitelností</t>
  </si>
  <si>
    <t>Modul koreluje inventár softvéru s databázami CVE a generuje upozornenia na zraniteľné verzie.</t>
  </si>
  <si>
    <t>Detekcia malvéru a škodlivých aktivít</t>
  </si>
  <si>
    <t>Využíva Rootcheck, SCA a FIM na detekciu malvéru, rootkitov a podozrivej aktivity.</t>
  </si>
  <si>
    <t>Threat hunting a mapovanie MITRE ATT&amp;CK</t>
  </si>
  <si>
    <t>Umožňuje vyhľadávanie hrozieb a koreluje detekcie s taktikami a technikami MITRE ATT&amp;CK; podporuje dotazy a dlhodobé uchovávanie logov.</t>
  </si>
  <si>
    <t>Behaviorálna analýza</t>
  </si>
  <si>
    <t>XDR modul identifikuje anomálie v správaní používateľov a systémov; monitoruje sieťový traffic, integritu súborov a výkonové metriky.</t>
  </si>
  <si>
    <t>Automatizovaná reakcia (Active Response)</t>
  </si>
  <si>
    <t>Umožňuje automatické blokovanie IP adries, ukončenie procesov alebo spustenie skriptov pri detekcii incidentu a podporuje vlastné reakcie.</t>
  </si>
  <si>
    <t>Podpora ochrany cloudových pracovných zátaží a kontajnerov</t>
  </si>
  <si>
    <t>Integruje cloud služby (AWS, Azure, GCP) a Kubernetes kontajnery; zbiera a analyzuje telemetriu a chráni natívne aj hybridné cloud prostredia.</t>
  </si>
  <si>
    <t>Integrácia s tretími stranami</t>
  </si>
  <si>
    <t>Prijíma telemetriu cez syslog alebo API z aplikácií, sieťových zariadení, cloudov a SaaS; integrácia s threat intelligence feedmi (OSINT, komerčné).</t>
  </si>
  <si>
    <t>REST API a výskumné rozhranie</t>
  </si>
  <si>
    <t>RESTful API na porte 55000 umožňuje správu agentov a prístup k dátam</t>
  </si>
  <si>
    <t>zabezpečené TLS a autentifikáciou</t>
  </si>
  <si>
    <t>umožňuje integráciu s výskumnými nástrojmi</t>
  </si>
  <si>
    <t>Compliance a reporting</t>
  </si>
  <si>
    <t>Moduly FIM, SCA, detekcia zraniteľností a inventarizácia podporujú súlad s normami PCI‑DSS, HIPAA, GDPR, NIST a SOC2 a umožňujú generovanie auditných reportov.</t>
  </si>
  <si>
    <t>Customizácia a rozšíritelnost</t>
  </si>
  <si>
    <t>Plný prístup k zdrojovým kódom, možnosť vytvárať vlastné pravidlá, pluginy a integrácie; rozsiahla komunita.</t>
  </si>
  <si>
    <t>Podpora automatizacných nástrojov a konfiguracných manažérov</t>
  </si>
  <si>
    <t>Nasadenie a správa je dostupná pomocou Ansible, Puppet, Chef, SCCM; k dispozícii sú OVA a AMI obrazy, Docker a Kubernetes balíky.</t>
  </si>
  <si>
    <t>Ukladanie logov a export</t>
  </si>
  <si>
    <t>Logy možno exportovať do indexera alebo externých úložísk; ; .</t>
  </si>
  <si>
    <t>Podpora snapshotov, replík a záloh</t>
  </si>
  <si>
    <t>Ponúkané riešenie umožňuje archiváciu údajov najmenej 3 roky</t>
  </si>
  <si>
    <t>Typ riešenia (SIEM)</t>
  </si>
  <si>
    <t>Centralizovaný systém na zber, spracovanie, koreláciu a analýzu logov, určený na detekciu bezpečnostných incidentov a compliance</t>
  </si>
  <si>
    <t>Základné komponenty</t>
  </si>
  <si>
    <t>Univerzálny agent, server (manager),  indexer (real-time search engine), dashboard (grafické rozhranie)</t>
  </si>
  <si>
    <t>Podporované OS pre server/indexer</t>
  </si>
  <si>
    <t>64‑bit Linux (Amazon Linux 2/2023, CentOS 7/8, RHEL 7/8/9, Ubuntu 16.04/18.04/20.04/22.04/24.04)</t>
  </si>
  <si>
    <t>Podporované OS pre agenta</t>
  </si>
  <si>
    <t>Linux, Windows, macOS, Solaris, AIX, HP‑UX; agent sa dá nasadiť na fyzické aj virtuálne stroje, kontajnery a cloudové inštancie</t>
  </si>
  <si>
    <t>Multi-node cluster a vysoká dostupnost</t>
  </si>
  <si>
    <t>Podpora multi‑node klastrov pre server a indexer; poskytuje vysokú dostupnosť a load balancing</t>
  </si>
  <si>
    <t>Distribuovaný indexer</t>
  </si>
  <si>
    <t>Indexer využíva shards a replikuje JSON dokumenty do viacerých uzlov, čím zabezpečuje redundanciu a škálovateľnosť</t>
  </si>
  <si>
    <t>Škálovatelnost poctu agentov</t>
  </si>
  <si>
    <t>Možnosť monitorovať tisíce koncových bodov; vhodné pre stredné aj veľké prostredia</t>
  </si>
  <si>
    <t>Podpora nasadenia v kontajneroch</t>
  </si>
  <si>
    <t>Dostupné oficiálne Docker kontajnery pre komponenty riešenia</t>
  </si>
  <si>
    <t>Nasadenie na Kubernetes</t>
  </si>
  <si>
    <t>Podpora inštalácie na Kubernetes s oficiálnymi manifestmi a Helm chartmi</t>
  </si>
  <si>
    <t>Podpora virtualizacných platforiem</t>
  </si>
  <si>
    <t>Možnosť inštalácie na VMware, Hyper‑V a KVM; k dispozícii OVA a AMI obrazy</t>
  </si>
  <si>
    <t>Podpora automatizacných nástrojov</t>
  </si>
  <si>
    <t>Oficiálne moduly pre Ansible, Puppet a Chef; umožňuje automatizované nasadenie a aktualizáciu</t>
  </si>
  <si>
    <t>Komunikácia medzi agentom a serverom je zabezpečená pomocou AES (128‑bitové bloky, 256‑bitový kľúč) alebo Blowfish, s možnosťou TLS</t>
  </si>
  <si>
    <t>Šifrovanie server-indexer</t>
  </si>
  <si>
    <t>Server odosiela alerty do indexera cez Filebeat pomocou TLS šifrovania</t>
  </si>
  <si>
    <t>Autentifikácia agenta</t>
  </si>
  <si>
    <t>Každý agent má jedinečný kľúč pre autentifikáciu a šifrovanie komunikácie; registrácia sa vykonáva cez  server</t>
  </si>
  <si>
    <t>Log collector modul</t>
  </si>
  <si>
    <t>Zberá systémové a aplikačné logy (Windows eventy, Linux audit, textové logy), rozpoznáva multi‑line formáty a obohacuje JSON údaje</t>
  </si>
  <si>
    <t>Command execution modul</t>
  </si>
  <si>
    <t>Spúšťa povolené príkazy na koncových bodoch a posiela ich výstup serveru (napr. monitoring diskovej kapacity, zoznam prihlásených používateľov)</t>
  </si>
  <si>
    <t>File integrity monitoring (FIM)</t>
  </si>
  <si>
    <t>Sleduje vytváranie, mazanie alebo zmeny súborov a adresárov; zaznamenáva kto a kedy vykonal zmenu a udržiava databázu stavov</t>
  </si>
  <si>
    <t>Security configuration assessment (SCA)</t>
  </si>
  <si>
    <t>Poskytuje priebežné hodnotenie konfigurácie na základe benchmarkov CIS; možno vytvárať vlastné kontroly</t>
  </si>
  <si>
    <t>System inventory modul</t>
  </si>
  <si>
    <t>Zbiera informácie o OS verzii, sieťových rozhraniach, bežiacich procesoch, nainštalovaných aplikáciách a otvorených portoch</t>
  </si>
  <si>
    <t>Malware detection modul</t>
  </si>
  <si>
    <t>Detekuje anomálie, prítomnosť rootkitov, skrytých procesov, súborov a portov; monitoruje systémové volania</t>
  </si>
  <si>
    <t>Active response modul</t>
  </si>
  <si>
    <t>Automaticky vykonáva akcie ako blokovanie siete, ukončenie procesu alebo vymazanie súboru pri detekcii hrozby; umožňuje vlastné skripty</t>
  </si>
  <si>
    <t>Kontrola kontajnerov</t>
  </si>
  <si>
    <t>Monitoruje zmeny v obrazoch, konfigurácii a sieti Docker/Kubernetes; upozorňuje na privilegované kontajnery a príkazy používateľov</t>
  </si>
  <si>
    <t>Cloud security modul</t>
  </si>
  <si>
    <t>Integrácia s AWS, Azure a GCP; sleduje zmeny v prostredí (napr. noví používatelia, modifikácia security group) a zbiera logy služieb ako CloudTrail</t>
  </si>
  <si>
    <t>Vulnerability detection</t>
  </si>
  <si>
    <t>Koreluje inventár softvéru s databázami CVE a identifikuje zraniteľný softvér na hostoch</t>
  </si>
  <si>
    <t>Regulacná zhoda (compliance)</t>
  </si>
  <si>
    <t>Podporuje PCI‑DSS, GDPR, NIST, HIPAA, SOC2 a ďalšie normy prostredníctvom modulov FIM, SCA, inventarizácie a detekcie zraniteľností</t>
  </si>
  <si>
    <t>Threat hunting</t>
  </si>
  <si>
    <t>Umožňuje vyhľadávať v historických logoch a korelovať indikátory kompromitácie; detekčné pravidlá sú mapované na MITRE ATT&amp;CK</t>
  </si>
  <si>
    <t>Incident response</t>
  </si>
  <si>
    <t>Poskytuje aktivnú odozvu, spúšťanie reakčných príkazov a blokovanie hrozieb; napomáha rýchlemu riešeniu incidentov</t>
  </si>
  <si>
    <t>Integrácia threat intelligence</t>
  </si>
  <si>
    <t>Môže prijímať OSINT a komerčné feedy a obohacovať logy o indikátory hrozieb</t>
  </si>
  <si>
    <t>Decodery logov</t>
  </si>
  <si>
    <t>Štandardné decodery pre OS, aplikácie a sieťové zariadenia; možnosť vytvoriť vlastné decodery pre špecifické formáty</t>
  </si>
  <si>
    <t>Ruleset a korelacné pravidlá</t>
  </si>
  <si>
    <t>Rozsiahly preddefinovaný ruleset na detekciu bezpečnostných udalostí; podporuje tvorbu vlastných pravidiel; obsahuje úrovne závažnosti a MITRE ATT&amp;CK tagy</t>
  </si>
  <si>
    <t>Mapovanie na MITRE ATT&amp;CK</t>
  </si>
  <si>
    <t>Pravidlá obohacujú alerty o techniky MITRE ATT&amp;CK; uľahčujú analýzu útočných vzorcov</t>
  </si>
  <si>
    <t>Dlhodobá archivácia logov</t>
  </si>
  <si>
    <t>Možnosť zapnúť archiváciu logov; logy sú komprimované a podpisované (MD5/SHA1/SHA256) pre overenie integrity</t>
  </si>
  <si>
    <t>Monitorovanie stavu agentov</t>
  </si>
  <si>
    <t>Upozorňuje na agentov, ktorí neodosielajú logy; umožňuje vyšetriť problémy s pripojením alebo konfiguráciou</t>
  </si>
  <si>
    <t>Monitorovanie výkonu servera</t>
  </si>
  <si>
    <t>Zbiera údaje o zaťažení CPU, I/O a pamäti; pomáha optimalizovať nastavenia</t>
  </si>
  <si>
    <t>Preddefinované dashboardy</t>
  </si>
  <si>
    <t>Dashboard poskytuje predpripravené vizualizácie pre bezpečnostné udalosti, zraniteľnosti, compliance a systémové metriky</t>
  </si>
  <si>
    <t>Možnost vytvárat vlastné dashboardy</t>
  </si>
  <si>
    <t>Užívatelia môžu vytvárať vlastné dashboardy a grafy; podporuje lineárne grafy, histogramy, heatmapy a ďalšie vizualizácie</t>
  </si>
  <si>
    <t>Real-time vyhladávanie a filtrovanie</t>
  </si>
  <si>
    <t>Dashboard umožňuje komplexné dotazy a filtráciu logov v reálnom čase na identifikáciu trendov a incidentov</t>
  </si>
  <si>
    <t>Integrácia Sysmon a Windows event logs</t>
  </si>
  <si>
    <t>Zbiera podrobné eventy z Sysmon a Windows event channel cez agent; umožňuje analýzu aktivít na úrovni procesu</t>
  </si>
  <si>
    <t>Zber logov z rôznych zdrojov</t>
  </si>
  <si>
    <t>Podpora syslog, journald, netflow a integrácia s IDS/IPS, firewallmi a antivírovými systémami</t>
  </si>
  <si>
    <t>Integrácia s rôznymi zdrojmi (firewall, IDS, antivírus)</t>
  </si>
  <si>
    <t>Umožňuje prijímať logy a alerty z externých bezpečnostných zariadení a aplikácií prostredníctvom syslog alebo API</t>
  </si>
  <si>
    <t>Notifikácie a upozornenia</t>
  </si>
  <si>
    <t>Možnosť posielať upozornenia e‑mailom, do Slacku, Microsoft Teams alebo webhookom</t>
  </si>
  <si>
    <t>Role-based access control (RBAC) a multi-tenancy</t>
  </si>
  <si>
    <t>Správa prístupových práv na úrovni dashboardu; umožňuje definovať používateľské roly a oddeliť dáta medzi tímami</t>
  </si>
  <si>
    <t>Export a integrácia s externými SIEM</t>
  </si>
  <si>
    <t>Možnosť exportovať alerty do iných SIEM riešení (napr. Splunk, Elastic) cez syslog alebo integráciu Filebeat/Logstash</t>
  </si>
  <si>
    <t>Jazyková lokalizácia rozhrania</t>
  </si>
  <si>
    <t>Dashboard podporuje viac jazykov a umožňuje prispôsobiť jazyk prostredia</t>
  </si>
  <si>
    <t>Ochrana integrity archivovaných logov</t>
  </si>
  <si>
    <t>Archivované logy sú komprimované a podpisované kontrolnými súčtami (MD5, SHA1, SHA256) pre zabezpečenie integrity</t>
  </si>
  <si>
    <t>Zobrazenie výkonnostných a stavových správ</t>
  </si>
  <si>
    <t>Dashboard poskytuje widgety so súhrnnými informáciami o počte alertov, stave agentov a výkonnostných metrikách</t>
  </si>
  <si>
    <t>Možnost plánovaných aktualizácií agentov</t>
  </si>
  <si>
    <t>Agentov možno hromadne aktualizovať z centrálneho servera bez manuálnej intervencie</t>
  </si>
  <si>
    <t>Nezávislost na licencných poplatkoch</t>
  </si>
  <si>
    <t>Riešenie je bez licenčných poplatkov a je vhodné pre verejný sektor a akademické prostredie</t>
  </si>
  <si>
    <t>Prístup k zdrojovému kódu</t>
  </si>
  <si>
    <t>Zdrojový kód je dostupný; umožňuje audit a prispôsobenie modulu a pravidiel podľa potrieb</t>
  </si>
  <si>
    <t>Komunita a dokumentácia</t>
  </si>
  <si>
    <t>Obsiahla online dokumentácia, blogy, fóra a aktívna komunita poskytujú podporu a návody</t>
  </si>
  <si>
    <t>Typ riešenia (EDR)</t>
  </si>
  <si>
    <t>EDR ochrana koncových bodov, detekcia, prevencia a reakcia na hrozby na koncových staniciach</t>
  </si>
  <si>
    <t>Agent – multiplatformová podpora</t>
  </si>
  <si>
    <t>Agenti pre Windows, Linux, macOS, Solaris, AIX, HP-UX</t>
  </si>
  <si>
    <t>Podpora monitorovania kontajnerov a cloudových pracovných zátaží</t>
  </si>
  <si>
    <t>Podporuje Kubernetes, Docker, AWS, Azure, Google Cloud</t>
  </si>
  <si>
    <t>Škálovatelnost</t>
  </si>
  <si>
    <t>Možnosť horizontálneho škálovania a klastrov (multi‑node)</t>
  </si>
  <si>
    <t>Pocet monitorovaných koncových staníc</t>
  </si>
  <si>
    <t>Škálovateľné na tisíce koncových bodov (10 000+ na jednom serveri, 100 000+ v klastri)</t>
  </si>
  <si>
    <t>Komunikácia agent – server</t>
  </si>
  <si>
    <t>Šifrovaná komunikácia pomocou AES-256, voliteľne Blowfish; TLS pre prepojenie servera a indexera</t>
  </si>
  <si>
    <t>Autentifikácia agentov</t>
  </si>
  <si>
    <t>Agenti sa zaraďujú s využitím certifikátov a kľúčov (prípadne centrálne registračné API)</t>
  </si>
  <si>
    <t>Správa prístupu</t>
  </si>
  <si>
    <t>Podpora RBAC (role-based access control) cez  dashboard</t>
  </si>
  <si>
    <t>Monitorovanie procesov v reálnom case</t>
  </si>
  <si>
    <t>Zachytáva spúšťanie a ukončovanie procesov na koncových bodoch</t>
  </si>
  <si>
    <t>Monitorovanie pamäte a správania</t>
  </si>
  <si>
    <t>Detekuje anomálie v pamäti (spracovanie malvéru, rootkitov, fileless útokov)</t>
  </si>
  <si>
    <t>Monitorovanie registrov a systémových volaní</t>
  </si>
  <si>
    <t>Sleduje zmeny v registri (Windows) a systémové volania</t>
  </si>
  <si>
    <t>File Integrity Monitoring (FIM)</t>
  </si>
  <si>
    <t>Sleduje zmeny v obsahu, oprávneniach a vlastníctve súborov a adresárov</t>
  </si>
  <si>
    <t>Detekcia malvéru a rootkitov</t>
  </si>
  <si>
    <t>Moduly Rootcheck a SCA identifikujú malvér, rootkity a backdoory</t>
  </si>
  <si>
    <t>Detekcia ransomvéru</t>
  </si>
  <si>
    <t>Správy detekujú šifrovacie procesy a anomálne aktivity charakteristické pre ransomvér</t>
  </si>
  <si>
    <t>Analyzuje správanie procesov a používateľov, identifikuje odchýlky a anomálie</t>
  </si>
  <si>
    <t>MITRE ATT&amp;CK mapovanie</t>
  </si>
  <si>
    <t>Pravidlá mapujú detekované techniky na rámec MITRE ATT&amp;CK</t>
  </si>
  <si>
    <t>Umožňuje vyhľadávanie v historických logoch a koreláciu indikátorov kompromitácie</t>
  </si>
  <si>
    <t>Integruje OSINT a komerčné feedy; koreluje udalosti s indikátormi hrozieb</t>
  </si>
  <si>
    <t>Aktívne reakcie – izolácia hosta</t>
  </si>
  <si>
    <t>Umožňuje izolovať infikovaný host od siete</t>
  </si>
  <si>
    <t>Aktívne reakcie – blokovanie IP</t>
  </si>
  <si>
    <t>Automaticky blokuje IP adresy prostredníctvom firewallu</t>
  </si>
  <si>
    <t>Aktívne reakcie – ukoncenie procesu</t>
  </si>
  <si>
    <t>Môže ukončiť škodlivý proces alebo službu</t>
  </si>
  <si>
    <t>Aktívne reakcie – spúštanie skriptov</t>
  </si>
  <si>
    <t>Podpora vlastných skriptov (Python, Bash) na automatizovanú reakciu</t>
  </si>
  <si>
    <t>Yara rules</t>
  </si>
  <si>
    <t>Podpora Yara pravidiel pre detekciu malvéru a podozrivých binárnych súborov</t>
  </si>
  <si>
    <t>Integration Sysmon/Windows event logs</t>
  </si>
  <si>
    <t>Zbieranie a korelácia Sysmon dát a event logov Windows pre podrobnú analýzu</t>
  </si>
  <si>
    <t>Správa zranitelností</t>
  </si>
  <si>
    <t>Zisťuje nainštalované balíky a verzie, porovnáva ich s CVE databázami</t>
  </si>
  <si>
    <t>Vyhodnocuje systémové konfigurácie podľa bezpečnostných benchmarkov</t>
  </si>
  <si>
    <t>Inventarizácia hardvéru a softvéru</t>
  </si>
  <si>
    <t>Zbiera informácie o zariadení, OS, nainštalovanom softvéri a verziách</t>
  </si>
  <si>
    <t>Monitorovanie používania sietí</t>
  </si>
  <si>
    <t>Sleduje spojenia, otvorené porty a prevádzku na koncových bodoch</t>
  </si>
  <si>
    <t>Kontrola politík registru a konfigurácie (Windows)</t>
  </si>
  <si>
    <t>Monitoruje kľúče a hodnoty registru a politík pre zmenu stavu</t>
  </si>
  <si>
    <t>Detekcia explóitu cez LKM a kernel modulov</t>
  </si>
  <si>
    <t>Sleduje načítanie modulov jadra a podozrivé zmeny</t>
  </si>
  <si>
    <t>Filtrácia USB/Device control</t>
  </si>
  <si>
    <t>Možnosť monitorovať alebo blokovať pripojené zariadenia (napr. USB disky)</t>
  </si>
  <si>
    <t>Whitelisting a blacklisting aplikácií</t>
  </si>
  <si>
    <t>Podpora zablokovania nepovolených binárnych súborov alebo aplikácií</t>
  </si>
  <si>
    <t>Systém skórovania rizík a incidentov</t>
  </si>
  <si>
    <t>Prioritizuje incidenty podľa závažnosti, umožňuje definovať metriky rizika</t>
  </si>
  <si>
    <t>Podpora viacnásobného nasadenia (multi-tenant)</t>
  </si>
  <si>
    <t>Umožňuje izolovať dáta rôznych oddelení alebo klientov</t>
  </si>
  <si>
    <t>Možnosť komprimovaného uloženia logov a sledovania integrity (MD5/SHA)</t>
  </si>
  <si>
    <t>REST API pre správu</t>
  </si>
  <si>
    <t>Poskytuje API na konfiguráciu agentov, pravidiel a získavanie dát</t>
  </si>
  <si>
    <t>Správa cez webové rozhranie</t>
  </si>
  <si>
    <t>Centralizovaný dashboard umožňuje správu a vizualizáciu udalostí</t>
  </si>
  <si>
    <t>Monitorovanie kontajnerov (Docker, Kubernetes)</t>
  </si>
  <si>
    <t>Zbiera metriky a logy z kontajnerov, deteguje podozrivé akcie v kontajneroch</t>
  </si>
  <si>
    <t>Monitorovanie cloudu (AWS, Azure, GCP)</t>
  </si>
  <si>
    <t>Integruje natívne služby (CloudTrail, CloudWatch) a monitoruje cloudové zdroje</t>
  </si>
  <si>
    <t>Podpora nasadenia do virtualizácií</t>
  </si>
  <si>
    <t>Možnosť inštalácie vo VMware, Hyper-V a KVM prostrediach</t>
  </si>
  <si>
    <t>Automatizované nasadenie</t>
  </si>
  <si>
    <t>Balíky pre Ansible, Puppet, Chef; Docker/K8s kontajnery</t>
  </si>
  <si>
    <t>Update a patch management</t>
  </si>
  <si>
    <t>Centralizovaná aktualizácia a vzdialené nasadzovanie agentov a pravidiel</t>
  </si>
  <si>
    <t>Vyhladávacie dopyty a vizualizácie</t>
  </si>
  <si>
    <t>Umožňuje tvoriť indexové dopyty a vlastné dashboardy v Kibana</t>
  </si>
  <si>
    <t>Kompatibilita s regulacnými štandardmi</t>
  </si>
  <si>
    <t>Kontroly pre GDPR, HIPAA, PCI-DSS, SOC2, NIST, ISO 27001</t>
  </si>
  <si>
    <t>Podpora v detekcii insider hrozieb</t>
  </si>
  <si>
    <t>Analyzuje anomálne správanie používateľov a upozorňuje na potenciálnych insiderov</t>
  </si>
  <si>
    <t>Prijímanie logov z tretích strán</t>
  </si>
  <si>
    <t>Získava telemetriu cez syslog a API z firewallov, antivírov, EPP a IDS/IPS</t>
  </si>
  <si>
    <t>Orchestrácia s EPP a SIEM nástrojmi</t>
  </si>
  <si>
    <t>Integruje a koreluje údaje so SIEM (napr. Splunk, Elastic) a EPP</t>
  </si>
  <si>
    <t>Správa incidentov a playbooky</t>
  </si>
  <si>
    <t>Umožňuje definovať playbooky a reagovať na incidenty s preddefinovanými akciami</t>
  </si>
  <si>
    <t>Podpora ohodnotenia zabezpecenia (risk scoring)</t>
  </si>
  <si>
    <t>Vypočítava skóre bezpečnosti jednotlivých hostov na základe zraniteľností a konfigurácie</t>
  </si>
  <si>
    <t>Zasielanie upozornení</t>
  </si>
  <si>
    <t>E‑mail, Slack, Teams, Syslog, webhooky pre notifikácie</t>
  </si>
  <si>
    <t>Hierarchia politík a pravidiel</t>
  </si>
  <si>
    <t>Umožňuje definovať viacvrstvové politiky pre rôzne skupiny hostov</t>
  </si>
  <si>
    <t>Monitoring prístupu k internetu a DNS</t>
  </si>
  <si>
    <t>Zachytáva DNS dotazy a prístup na internetové domény (monitoruje potenciálne C2)</t>
  </si>
  <si>
    <t>Sledovanie SSH/RDP autentizácií</t>
  </si>
  <si>
    <t>Monitoruje pokusy o prihlásenie a zlyhané autentizácie pre detekciu bruteforce</t>
  </si>
  <si>
    <t>Sledovanie používania privilegovaných úctov</t>
  </si>
  <si>
    <t>Identifikuje využitie administrátorských účtov a príkazov</t>
  </si>
  <si>
    <t>Správa licencných oprávnení</t>
  </si>
  <si>
    <t>EDR riešenie je zdarma a open source; neobmedzený počet agentov</t>
  </si>
  <si>
    <t>Podpora komunitou a dokumentácia</t>
  </si>
  <si>
    <t>Komplexná online dokumentácia a aktívna komunita</t>
  </si>
  <si>
    <t>LMS - Platforma</t>
  </si>
  <si>
    <t>Typ služby a nasadenie</t>
  </si>
  <si>
    <t>Nadobudnutie platformy sprevádza jednorazové zakúpenie licencie s následnou ročnou štandardnou technickou podporou. Súčasťou platformy bude aj modul pre tvorbu a správu používateľov a používateľských skupín.</t>
  </si>
  <si>
    <t>LMS - Používatelia</t>
  </si>
  <si>
    <t>Import používateľov</t>
  </si>
  <si>
    <t>LMS platforma umožní import používateľov. Každému používateľovi bude možné priradiť individuálne prístupové práva a oprávnenia v rámci celej platformy.</t>
  </si>
  <si>
    <t>LMS - Formáty obsahu</t>
  </si>
  <si>
    <t>SCORM</t>
  </si>
  <si>
    <t>LMS platforma bude mať schopnosť kompletne importovať a exportovať štandardný SCORM formát.</t>
  </si>
  <si>
    <t>LMS - Tvorba kurzov</t>
  </si>
  <si>
    <t>Online kurzy a kapitoly</t>
  </si>
  <si>
    <t>Na LMS platforme bude možné vytvárať komplexné online kurzy, štruktúrovaných do kapitol, s možnosťou integrácie živých lekcií, realizovaných prezenčne alebo online. Tvorba kurzov bude zabezpečená priamo na platforme, prostredníctvom integrovaného editora. Všetka administratíva, súvisiaca s tvorbou, správou kurzov a ich termínov, bude prebiehať priamo na platforme.</t>
  </si>
  <si>
    <t>LMS - Registrácia</t>
  </si>
  <si>
    <t>Termíny a notifikácie</t>
  </si>
  <si>
    <t>Prihlásenie a odhlásenie na kurz bude prebiehať prostredníctvom definovaných termínov. Používatelia sa budú môcť na termíny registrovať samostatne alebo ich do termínu priradí manažér. O prihlásení, odhlásení alebo zmene termínu budú používatelia informovaní notifikáciou v systéme alebo emailom.</t>
  </si>
  <si>
    <t>LMS - Katalóg kurzov</t>
  </si>
  <si>
    <t>Filtrovanie a zoradenie</t>
  </si>
  <si>
    <t>LMS platforma umožní filtrovanie a zoraďovanie ponuky kurzov podľa rôznych kritérií, ako napríklad názov, kategória, dátum vytvorenia a pod.</t>
  </si>
  <si>
    <t>LMS - Spätná väzba</t>
  </si>
  <si>
    <t>Recenzie</t>
  </si>
  <si>
    <t>Po úspešnom absolvovaní kurzu umožné LMS platforma hodnotenie kurzu prostredníctvom zanechania recenzie. Recenzie budú viditeľné v prehľade kurzu a umožnia používateľom vyhodnotiť potenciálny prínos kurzu.</t>
  </si>
  <si>
    <t>LMS - Správa študentov</t>
  </si>
  <si>
    <t>Prehľady</t>
  </si>
  <si>
    <t>Platforma poskytne manažment študentov kurzov vrátane prehľadu o stave štúdia a výsledkoch testov, a to priamo v tom termíne kurzu, ktorého sa používateľ zúčastnil.</t>
  </si>
  <si>
    <t>LMS - Certifikácia</t>
  </si>
  <si>
    <t>Tvorba a vydávanie certifikátov</t>
  </si>
  <si>
    <t>LMS platforma umožní tvorbu a editáciu certifikátov udeľovaných študentom po úspešnom absolvovaní kurzov. Generovanie certifikátov bude prebiehať automaticky a ich obsah bude prispôsobený detailom konkrétneho termínu kurzu. Pri tvorbe kurzu bude možné nastaviť, či jeho úspešné absolvovanie bude ohodnotené vydaním certifikátu alebo nie.</t>
  </si>
  <si>
    <t>LMS - Analytika</t>
  </si>
  <si>
    <t>Sledovanie aktivít a export</t>
  </si>
  <si>
    <t>LMS platforma umožní sledovanie aktivít používateľov vrátane porovnania v rebríčku študentov, priemernej úspešnosti testov, celkového času štúdia, získaných bodov, vydaných certifikátov a prehľadu aktívnych a dokončených kurzov. Prehľad študentov bude možné exportovať vo formátoch PDF a Excel.</t>
  </si>
  <si>
    <t>LMS - Testovanie</t>
  </si>
  <si>
    <t>Databáza otázok</t>
  </si>
  <si>
    <t>LMS platforma bude obsahovať databázu otázok rozdelených do kategórií, ktorá bude slúžiť na testovanie študentov v kurzoch. Platforma umožní vytvárať rôzne typy otázok, ako napríklad výber z viacerých možností, doplňovanie odpovedí alebo zoraďovanie.</t>
  </si>
  <si>
    <t>LMS - Kalendár</t>
  </si>
  <si>
    <t>Integrovaný kalendár</t>
  </si>
  <si>
    <t>LMS platforma bude obsahovať integrovaný kalendár, ktorý umožní zobraziť prehľad dostupných kurzov, ako aj kurzy pridelené iným používateľom platformy (napr. „moji inštruktori“, „moji študenti“).</t>
  </si>
  <si>
    <t>LMS - Správa používateľov</t>
  </si>
  <si>
    <t>Import, editácia, zneviditeľnenie</t>
  </si>
  <si>
    <t>LMS platforma bude obsahovať nástroj na správu používateľov vrátane možnosti hromadného importu a exportu. V rámci tohto nástroja bude možné editovať údaje o používateľoch, prideľovať im potrebné prístupové práva a oprávnenia, ako aj zneviditeľniť alebo natrvalo odstrániť používateľské účty.</t>
  </si>
  <si>
    <t>LMS - Prevádzka</t>
  </si>
  <si>
    <t>Aktualizácia a upgrade</t>
  </si>
  <si>
    <t>Poskytovateľ zároveň zabezpečí pravidelnú aktualizáciu a upgrade LMS systému vrátane aplikovania všetkých bezpečnostných záplat. Súčasťou riešenia bude aj aplikačný a systémový monitoring, pravidelné zálohovanie a v prípade potreby obnova riešenia zo zálohy.</t>
  </si>
  <si>
    <t>LMS - Obsah</t>
  </si>
  <si>
    <t>Archivácia a export kurzov</t>
  </si>
  <si>
    <t>LMS platforma umožní archiváciu kurzov a obsahu, ich duplikovanie v rámci platformy a export obsahu vo formáte SCORM.</t>
  </si>
  <si>
    <t>LMS - Prístup</t>
  </si>
  <si>
    <t>Webové rozhranie</t>
  </si>
  <si>
    <t>Prihlasovanie na LMS platformu bude možné prostredníctvom vlastného webového rozhrania dostupného na určenej URL adrese. Platforma bude prístupná prostredníctvom bežných webových prehliadačov (napr. Google Chrome, Mozilla Firefox, Microsoft Edge) na počítačoch aj mobilných zariadeniach, bez ohľadu na použitý operačný systém a bez potreby inštalácie dodatočných doplnkov.</t>
  </si>
  <si>
    <t>Ne-Funkčná požiadavka</t>
  </si>
  <si>
    <t>LMS - Legislatíva</t>
  </si>
  <si>
    <t>Súlad s GDPR</t>
  </si>
  <si>
    <t>LMS platforma a jej funkcionality musia byť v súlade s platnou legislatívou o ochrane osobných údajov (GDPR).</t>
  </si>
  <si>
    <t>Technická požiadavka</t>
  </si>
  <si>
    <t>LMS - Škálovateľnosť</t>
  </si>
  <si>
    <t>Navýšenie kont</t>
  </si>
  <si>
    <t>LMS musí byť modifikovateľný a musí byť bezproblémové navyšovanie počtu používateľských kont podľa požiadaviek objednávateľa (import používateľov jednotlivo alebo hromadne z databáz (napr. Excel, formátu CSV).</t>
  </si>
  <si>
    <t>Digitálny a externý obsah</t>
  </si>
  <si>
    <t>LMS umožní tvorbu digitálneho obsahu priamo vo svojom rozhraní a tiež umožní importovať externý obsah.</t>
  </si>
  <si>
    <t>LMS - Dáta</t>
  </si>
  <si>
    <t>Zachovanie údajov</t>
  </si>
  <si>
    <t>V prípade, ak používateľ vymaže/zruší svoje konto jeho dáta budú v reportoch zachované a bude možné s nimi pracovať.</t>
  </si>
  <si>
    <t>Responzívny dizajn</t>
  </si>
  <si>
    <t>Prihlásenie do LMS musí byť možné cez vlastný web, cez odkaz na stránke a tiež priamo cez zadanú URL adresu. LMS platforma bude dostupná v rámci responzívneho zobrazenia (vizuál stránky a obsah stránky sa vždy prispôsobí) cez notebook, desktopový PC, tablet alebo smartphone.</t>
  </si>
  <si>
    <t>LMS - Kompatibilita</t>
  </si>
  <si>
    <t>Podpora prehliadačov</t>
  </si>
  <si>
    <t>K LMS musí byť možná celosvetová prístupnosť, cez rozhranie najrozšírenejších webových prehliadačov (Google Chrome, Mozilla Firefox, Microsoft Edge, Safari), bez ohľadu na operačný systém a bez potreby doinštalovania nadštandardných doplnkov.</t>
  </si>
  <si>
    <t>Formulár a checkbox</t>
  </si>
  <si>
    <t>Registrácia používateľov musí byť možná cez registračný formulár individuálne alebo hromadne. Polia v rámci registrácie sa naformátujú podľa požiadaviek objednávateľa. Súčasťou formulára bude aj checkbox (zaškrtávacie políčko). V rámci checkboxu s pop up oknom bude text objednávateľa s čestným prehlásením a GDPR náležitosťami.</t>
  </si>
  <si>
    <t>LMS - Notifikácia</t>
  </si>
  <si>
    <t>Overenie e-mailu</t>
  </si>
  <si>
    <t>Po zaregistrovaní LMS musí vedieť odoslať URL notifikačný e-mail pre potvrdenie registrácie a overenie správnosti e-mailovej adresy.</t>
  </si>
  <si>
    <t>Heslo po registrácii</t>
  </si>
  <si>
    <t>LMS platforma musí obsahovať funkcionalitu, ktorá po registrácii používateľa automaticky odošle notifikačný e-mail s URL odkazom na vytvorenie alebo zmenu používateľského hesla, a to pri individuálnom aj hromadnom importe používateľov.</t>
  </si>
  <si>
    <t>LMS - Bezpečnosť</t>
  </si>
  <si>
    <t>Captcha</t>
  </si>
  <si>
    <t>Pre účely registrácie musí LMS disponovať funkcionalitou captcha z dôvodu eliminácie robotov.</t>
  </si>
  <si>
    <t>Role a oprávnenia</t>
  </si>
  <si>
    <t>LMS platforma umožní vytváranie rolí, používateľov a typov používateľov podľa potrieb objednávateľa.</t>
  </si>
  <si>
    <t>Definovanie rolí</t>
  </si>
  <si>
    <t>LMS platforma musí umožniť definovanie rolí (napr. administrátor, manažér, študent/používateľ, lektor), pričom každá z týchto rolí bude mať pridelené jedinečné oprávnenia. Role bude možné prideľovať pri registrácii na platformu (jednotlivo alebo hromadne).</t>
  </si>
  <si>
    <t>LMS - Používateľské konto</t>
  </si>
  <si>
    <t>Zmena údajov</t>
  </si>
  <si>
    <t>LMS platforma bude obsahovať funkcionalitu, ktorá umožní zmenu osobných a pracovných údajov používateľa. Súčasťou bude aj možnosť požiadať o zmenu alebo obnovenie prístupového hesla na platformu.</t>
  </si>
  <si>
    <t>Zabudnuté heslo</t>
  </si>
  <si>
    <t>V prípade zabudnutia hesla umožní LMS platforma jeho zmenu prostredníctvom automaticky zaslaného odkazu e-mailovú adresu používateľa, ktorá je priradená k jeho profilu.</t>
  </si>
  <si>
    <t>LMS - Manažment kurzov</t>
  </si>
  <si>
    <t>Priraďovanie kurzov</t>
  </si>
  <si>
    <t>LMS umožní role na to určenej priradiť/ odobrať kurz jednotlivcovi alebo skupine s termínom plnenia (priradenie kurzu, ktorý musí študent absolvovať do stanoveného termínu).</t>
  </si>
  <si>
    <t>Spätná väzba</t>
  </si>
  <si>
    <t>LMS platforma umožní účastníkom kurzov zanechať spätnú väzbu (hodnotenie kurzu). Hodnotenia budú viditeľné pre záujemcov o kurz a bude ich možné doplniť aj dodatočne po ukončení kurzu.</t>
  </si>
  <si>
    <t>Certifikáty</t>
  </si>
  <si>
    <t>Po úspešnom absolvovaní kurzu LMS platforma automaticky vygeneruje certifikát o jeho ukončení. Certifikáty sa budú ukladať do profilu používateľa a bude možné ich exportovať vo formáte PDF. Dizajn certifikátu bude možné prispôsobiť požiadavkám klienta prostredníctvom editora, ktorý bude podporovať dynamické texty nahradzované jedinečnými údajmi používateľa pri generovaní certifikátu.</t>
  </si>
  <si>
    <t>Pokračovanie v kurze</t>
  </si>
  <si>
    <t>LMS platforma umožní používateľovi kurz kedykoľvek prerušiť a následne sa k nemu vrátiť. Pri opätovnom spustení si bude môcť zvoliť, či kurz absolvuje od začiatku, alebo bude pokračovať od času/miesta, kde bol naposledy prerušený.</t>
  </si>
  <si>
    <t>Editácia kurzov</t>
  </si>
  <si>
    <t>LMS platforma umožní kedykoľvek aktualizovať, vymazať alebo duplikovať obsah kurzov. Jednotlivé kapitoly kurzov bude možné podľa potreby zviditeľniť alebo skryť.</t>
  </si>
  <si>
    <t>Online stream / webinár</t>
  </si>
  <si>
    <t>LMS platforma umožní v rámci kurzu realizovať online stream alebo webinár. Účastníci budú o termíne vopred informovaní a lektor potvrdí ich účasť priamo v kurze.</t>
  </si>
  <si>
    <t>Automatizované e-mailové notifikácie</t>
  </si>
  <si>
    <t>LMS platforma disponuje funkcionalitou automatizovaného zasielania notifikačných e-mailov o pridaní na termín kurzu, ukončení termínu, či získaní certifikátu.</t>
  </si>
  <si>
    <t>LMS - Reporting</t>
  </si>
  <si>
    <t>Osobný dashboard a export</t>
  </si>
  <si>
    <t>LMS platforma bude ukladať údaje o používateľovi na jeho osobnom dashboarde. Zobrazované budú informácie o počte získaných bodov, počte ukončených kurzov, poradí v rebríčku študentov, percentil priemerného výsledku testov a ďalšie štatistiky. Údaje o študentoch sa budú zhromažďovať aj v samostatnom module, z ktorého ich bude možné exportovať vo formáte Excel alebo PDF.</t>
  </si>
  <si>
    <t>Účasť, výsledky a testy</t>
  </si>
  <si>
    <t>LMS platforma bude disponovať funkcionalitou na reportovanie účasti a výsledkov kurzov. Umožní zobraziť počet účastníkov jednotlivých termínov, údaje o študentoch, prehľad výsledkov kurzov a výsledky testov v porovnaní s ostatnými účastníkmi daného termínu. Platforma zároveň poskytne informácie o čase, ktorý študent strávil absolvovaním jednotlivých kapitol kurzu, a detailné výsledky testov vrátane zobrazenia správnych a nesprávnych odpovedí.</t>
  </si>
  <si>
    <t>LMS - Formáty</t>
  </si>
  <si>
    <t>Podpora formátov a interaktívne videá</t>
  </si>
  <si>
    <t>LMS platforma bude podporovať tvorbu, vkladanie a editáciu textov, grafických prvkov (JPG, PNG), multimediálneho obsahu (MP3, MP4), SCORM súborov, Powerpointových prezentácií a dokumentov vo formáte MS Office a PDF. V prípade, že obsahom kapitoly bude video, systém umožní nastaviť jeho vlastnosti –povoliť a zakázať pretáčanie a určiť, či bude video interaktívne. Do interaktívnych videí bude možné vkladať prvky, ktoré video pozastavia a vyžiadajú aktivitu zo strany používateľa. Tvorba obsahu kurzov bude možná priamo prostredníctvom integrovaného editora na platforme. LMS platforma bude podporovať tvorbu kvízov a videí s interaktívnymi úlohami, ktoré budú slúžiť na overenie vedomostí a aktívne zapojenie používateľov do vzdelávacieho procesu.</t>
  </si>
  <si>
    <t>LMS - Testy</t>
  </si>
  <si>
    <t>Správa a vyhodnotenie testov</t>
  </si>
  <si>
    <t>LMS platforma umožní vytváranie, úpravu a mazanie testov v rámci tematických okruhov, ako aj ich archiváciu, zálohovanie a opätovné použitie. Používateľom bude umožnené označiť správnu odpoveď s možnosťou jej zmeny pred finálnym vyhodnotením. Platforma bude podporovať nastavenie testov s viacerými správnymi odpoveďami a umožní definovanie počtu vybraných možností. Po vyplnení a odoslaní testu systém zobrazí správnosť odpovedí s vizuálnym farebným odlíšením. Po ukončení testu LMS sprístupní aj relatívnu úspešnosť používateľa (percentil v porovnaní s ostatnými účastníkmi, ktorí test absolvovali). Platforma umožní definovať maximálny počet opakovaní testov a minimálne skóre pre ich úspešné absolvovanie. V prípade opakovaného testovania bude možné definovať, či systém pri vyhodnocovaní zohľadní najlepší dosiahnutý výsledok, alebo posledný absolvovaný pokus používateľa.V prípade opakovaného testovania systém pri vyhodnocovaní automaticky zohľadní najlepší dosiahnutý výsledok používateľa.</t>
  </si>
  <si>
    <t>Generovanie z banky otázok</t>
  </si>
  <si>
    <t>LMS platforma bude podporovať generovanie testov z banky otázok, organizovanie otázok do kategórií a ich označovanie pomocou tagov. Systém bude podporovať tvorbu testov priamo z banky otázok, ako aj ich automatizovanú tvorbu prostredníctvom hromadného importu v správnom formáte. Platforma zabezpečí predchádzanie duplicít, náhodné miešanie otázok a odpovedí a umožní určenie jednej alebo viacerých správnych odpovedí.</t>
  </si>
  <si>
    <t>LMS - Termíny kurzov</t>
  </si>
  <si>
    <t>Vytváranie a prihlásenie</t>
  </si>
  <si>
    <t>LMS platforma bude obsahovať nástroj na vytváranie termínov kurzov, prostredníctvom ktorých sa budú môcť používatelia na kurz prihlásiť alebo z neho odhlásiť. Pre jednotlivé termíny bude možné určiť maximálny počet účastníkov a ich trvanie nastaviť ako časovo ohraničené alebo neobmedzené.</t>
  </si>
  <si>
    <t>Zobrazovanie štatistík</t>
  </si>
  <si>
    <t>V prehľade termínov bude možné zobrazovať priebežné štatistiky o prihlásených študentoch, vrátane stavu štúdia, počtu účastníkov, priemerného času štúdia a úspešnosti testov.</t>
  </si>
  <si>
    <t>Správa účastníkov termínu</t>
  </si>
  <si>
    <t>Manažér termínu bude môcť pridávať nových študentov, odstraňovať študentov z termínu, zasielať notifikácie o jeho priebehu, nastavovať automatické upozornenia a zobrazovať štatistiky súvisiace s termínom.</t>
  </si>
  <si>
    <t>Pridávanie účastníkov</t>
  </si>
  <si>
    <t>Pre pridanie študentov na termín bude možné: individuálne pridať systémového používateľa, pridať vopred definovanú skupinu používateľov, pozvať študentov, ktorí nie sú systémovými používateľmi. V prípade pozvania externých študentov bude možné vygenerovať jednorazový PIN kód, ktorý bude slúžiť ako jedinečný login do daného termínu kurzu. Pri tomto type prihlasovania budú mať študenti prístup iba do zvoleného termínu, nie do celej platformy.</t>
  </si>
  <si>
    <t>Automatické pripomienky</t>
  </si>
  <si>
    <t>Pri definovaní termínu bude môcť manažér termínu nastaviť odoslanie automatickej pripomienky v požadovanom časovom predstihu. Automatické notifikácie budú zasielané aj pri pridaní alebo odstránení používateľa z kurzu a pri zmene termínu jeho konania</t>
  </si>
  <si>
    <t>LMS - Notifikácie</t>
  </si>
  <si>
    <t>Zmeny vzdelávacej aktivity</t>
  </si>
  <si>
    <t>LMS musí vedieť automatizovane zasielať e-mailové notifikácie prihláseným účastníkom o zmene termínu, popisu alebo iných zmenách vzdelávacej aktivity v kalendári.</t>
  </si>
  <si>
    <t>LMS - Údržba</t>
  </si>
  <si>
    <t>Cloudová údržba</t>
  </si>
  <si>
    <t>Údržba/update LMS musí byť zabezpečená v Cloude. Za správu a údržbu LMS platformy je zodpovedný uchádzač. Rozdelenie servisu LMS bude rozdelené nasledovne: objednávateľ - obsah, zhotoviteľ – platforma.</t>
  </si>
  <si>
    <t>LMS - Integrácie</t>
  </si>
  <si>
    <t>RIAM systém</t>
  </si>
  <si>
    <t>LMS platforma bude integrovaná s informačným systémom RIAM (autentifikácia používateľov s kontom iedu.sk)</t>
  </si>
  <si>
    <t>Systém VIKI</t>
  </si>
  <si>
    <t>LMS platforma bude integrovaná so vzdelávacou informačnou VIKI platformou.</t>
  </si>
  <si>
    <t>Bude spracovaných a pripravených minimálne 10 tém z oblasti praktických úloh z umelej inteligencie  tak, aby študenti získali komplexný teoretický a praktický základ v danej oblasti. Témy budú zahŕňať minimálne nasledovné oblasti:
- Úvod do umelej inteligencie 
- Umelá inteligencia v každodennom živote​  
- Etika a riziká umelej inteligencie​  
- AI: Viac než len generátor textu  
- Generatívna umelá inteligencia​
- Pokročilá generatívna umelá inteligencia (RAG a CAG)​  
- AI nástroje a vývojové prostredie v praxi 
- AI programovanie s využitím jazyka Python​  
- Praktické úlohy na rozpoznávanie rukou písaných číslic, predikciu cien produktov na základe historických údajov a pod.,   
- Princípy a tvorba: osobný asistent s privátnymi znalosťami / agent / avatar / chatbot / robot / mentor – kouč / analytik – prediktor / partner – kolaboratívna umelá inteligencia.</t>
  </si>
  <si>
    <t>Bude spracovaných a pripravených minimálne 5 tém z oblasti dátovej vedy alebo dátovej analýzy  tak, aby študenti získali komplexný teoretický a praktický základ v danej oblasti. Témy budú zahŕňať minimálne nasledovné oblasti:
- Techniky analýzy dát​  
- Techniky na spracovanie a analýzu veľkých dát, ktoré sú kľúčové pre podnikové rozhodovanie  
- Nástroje na analýzu veľkých dát​  
- Dátová analytika – význam pre rýchle a informované rozhodovanie  
- Praktické príklady pripojením na komerčné súkromné zdroje.</t>
  </si>
  <si>
    <t>Ku všetkým praktickým cvičeniam z uvedenej skupiny tém z oblasti umelej inteligencie a dátovej vedy bude pripravený návod, ako sa dané cvičenie bude realizovať. Tento návod musí byť detailný tak, aby podľa neho mohol cvičenie realizovať aj študent, ktorý má len teoretické vedomosti a základné praktické skúsenosti v danej oblasti</t>
  </si>
  <si>
    <t>Bude pripravená centrálna platforma pre oblasť umelej inteligencie a dátovej vedy, ktorá zvládne:
-  naraz prácu študentov na cvičeniach na 100 pracoviskách a to v prípade jednoduchých úloh (napr. inferencing), pričom každý študent bude vedieť realizovať samostatné cvičenie,
- naraz prácu študentov na cvičení 1 pracoviska a to v prípade zložitých výpočtových úloh, kde každý študent bude pracovať so svojou inštanciou robustného LLM do veľkosti 40GB a dĺžka trénovania modelov nepresiahne 5 minút. 
Pracoviská sa budú k platforme pripájať vzdialene, cez internet..</t>
  </si>
  <si>
    <t>Štandardizovaná infraštruktúra pre beh služieb pokrývajúce:
- Repozitár kurzov - centrálny bod pre ukladanie a správu všetkého vzdelávacieho obsahu,
- Automatizačný modul -  dynamické vytváranie, správa a odstraňovanie výučbových prostredí podľa potrieb jednotlivých kurzov a ich používateľov, umožňuje študentom a lektorom pristupovať k interaktívnym nástrojom,
- Rezervačný modul - poskytuje mechanizmus na plánovanie a riadenie prístupu k výučbovým prostrediam, najmä ak ide o obmedzené alebo zdieľané výpočtové zdroje, 
- Modul integráciu s centrálnou správou identít - zodpovedný za autentifikáciu a autorizáciu používateľov celej platformy, integráciu s existujúcimi službami pre riadenie identít, správu rolí riadenie prístupových práv ku kurzom a výučbovým prostrediam, ako aj audit prihlásení a bezpečnostné logovanie,
- Prístupový modul - brána medzi používateľmi a jednotlivými komponentmi platformy. Umožňuje centralizovaný prístup ku kurzom, interaktívnym prostrediam a nástrojom.</t>
  </si>
  <si>
    <t>Jednotná integrovaná platforma zabezpečujúca poskytovanie zdrojov na nasledujúcich vrstvách:
- Manažment vrstva – zabezpečujúca všetky služby potrebné pre fungovanie prostredia ako celku, vrátane riadenia komunikačných tokov a procesov smerom k užívateľom, ako aj interne medzi jednotlivými prvkami riešenia,
- Výpočtová vrstva – slúžiaca na realizovanie samotného behu modelov umelej inteligencie v rôznych nasadeniach, primárne využívajúca GPU zdroje,
- Sieťová vrstva – vysokorýchlostné  nízkolatentné sieťové prepojenie jednotlivých prvkov riešenia,
- Dátová vrstva – slúžiaca na ukladanie dát potrebných pre manažment vrstvu a beh modelov umelej inteligencie,
- Monitorovacia vrstva – zabezpečujúca kompletný dohľad nad platformou ako celkom,
- Prezentačná vrstva - slúžiaca pre publikovanie LLM, ML modelov, chatbotov a AI agentov</t>
  </si>
  <si>
    <t>hardvérové vybavenie</t>
  </si>
  <si>
    <t>Jednotná integrovaná platforma bude pozostávať v maximálnej miere z redundatných komponentov a bude poskytovať minimálne nasledujúce výpočtové zdroje a úložné kapacity:
- Manažment vrstva – z dôvodu redundancie pozostávajúca z viacerých uzlov, spolu 96 výpočtových jadier, 1150GB operačnej pamäte, 38TB raw úložného priestoru,
- Výpočtová vrstva –– dôvodu redundancie pozostávajúca z viacerých uzlov, spolu 344 výpočtových jadier, 3000GB operačnej pamäte, 25TB raw úložného priestoru, 8 grafických akcelerátorov s celkovo 1128GB GPU pamäte,
- Sieťová vrstva – redundantná 400Gb výpočtovú sieť,
- Dátová vrstva – min. 100TB zdieľanej použiteľnej kapacity prístupnú pre manažovaciu a výpočtovú vrstvu ako S3 a súborové úložisko,</t>
  </si>
  <si>
    <t>softvérové vybavenie</t>
  </si>
  <si>
    <t>Súbor softvérových nástrojov, ktoré slúžia na poskytovanie prostredia beh workloadov, ich orchestráciu, správu a škálovanie: 
- Nástroje na dátové inžinierstvo – súbor nástrojov na sprístupnenie a prácu so štruktúrovanými a neštruktúrovanými dátami z rôznych zdojov, vrátane workflow manažmentu,
- Analytické a vizualizačné nástroje – súbor nástrojov na analýzu, transformáciu a zobrazovanie dát,
- Nástroje na data science – súbor nástrojov na vývoj, trénovanie, nasadzovanie, manažovanie  pracovných úloh,
- Nástroje pre správu – súbor nástrojov pre dohľad platformy,
- Bezpečnostné nástroje – súbor nástrojov na prihlasovanie, identity manažment, manažment certifikátov,
- Katalóg modelov – súbor preddefinovaných integrovaných nVidia inferečných modelov, rozhraní na integráciu komunitných a custom modelov a pod.</t>
  </si>
  <si>
    <t>podpora</t>
  </si>
  <si>
    <t>Jednotná integrovaná platvorma pokrytá zárukou na platformu ako celok, vrátane dohľadu na jej funkčnosť, ako aj jeho upgradovania prostredníctvom jedného balíčka (HW, SW)</t>
  </si>
  <si>
    <t>Vzdelávanie a školenia</t>
  </si>
  <si>
    <t>Odborné školenia a workshopy</t>
  </si>
  <si>
    <t>Realizácia min. 56 školení/workshopov pre pedagógov, správcov labov a inštruktorov na nové a kľúčové technológie v rámci IS NetAcad.</t>
  </si>
  <si>
    <t>Školenia pedagógov pre IS NetAcad</t>
  </si>
  <si>
    <t>Školenia pre pedagógov na využívanie funkcií IS NetAcad a implementovaných častí cloudu a laboratórneho vybavenia.</t>
  </si>
  <si>
    <t>Vybavenie laboratórií</t>
  </si>
  <si>
    <t>NetAcad LAB A</t>
  </si>
  <si>
    <t>Školenia pre využívanie vybavenia zameraného na networking a základy kybernetickej bezpečnosti.</t>
  </si>
  <si>
    <t>NetAcad LAB B</t>
  </si>
  <si>
    <t>Školenia pre vybavenie zamerané na pokročilú kybernetickú bezpečnosť.</t>
  </si>
  <si>
    <t>NetAcad LAB – komunikačná infraštruktúra</t>
  </si>
  <si>
    <t>Školenia pre spoločnú komunikačnú infraštruktúru laboratórií.</t>
  </si>
  <si>
    <t>NetAcad LAB – obsah kyberbezpečnosti</t>
  </si>
  <si>
    <t>Vzdelávací obsah pre oblasť kybernetickej bezpečnosti.</t>
  </si>
  <si>
    <t>Školenia pre LMS systém a interoperabilitu.</t>
  </si>
  <si>
    <t>CSKI infraštruktúra</t>
  </si>
  <si>
    <t>Školenia pre centrálnu serverovú a komunikačnú infraštruktúru.</t>
  </si>
  <si>
    <t>Školenia pre prácu s AI clustrom.</t>
  </si>
  <si>
    <t>Školenia pre prácu s modelovým CSIRT/SOC prostredím.</t>
  </si>
  <si>
    <t>Kvantové počítače</t>
  </si>
  <si>
    <t>Školenia pre vybavenie z oblasti kvantových počítačov a príslušenstva.</t>
  </si>
  <si>
    <t>Rozširujúce laboratóriá</t>
  </si>
  <si>
    <t>Moduly AI pre robotické stavebnice, drony a zostavy „Offensive Security Lab“.</t>
  </si>
  <si>
    <t>Certifikačné/recertifikačné kurzy</t>
  </si>
  <si>
    <t>Min. 183 účastníkov certifikačných kurzov podľa NetAcad (nad 50 hodín, do ½ roka).</t>
  </si>
  <si>
    <t>Inovačné vzdelávanie – kľúčové IKT oblasti</t>
  </si>
  <si>
    <t>Min. 441 účastníkov inovačných kurzov (kyberbezpečnosť, AI, dátová veda).</t>
  </si>
  <si>
    <t>Krátkodobé školenia – kľúčové IKT oblasti</t>
  </si>
  <si>
    <t>Min. 267 účastníkov školení v trvaní &lt;50 hodín.</t>
  </si>
  <si>
    <t>Inovačné vzdelávanie – iné IKT oblasti</t>
  </si>
  <si>
    <t>Min. 328 účastníkov (programovanie, UNIX, IT základy a iné).</t>
  </si>
  <si>
    <t>Krátkodobé školenia – iné IKT oblasti</t>
  </si>
  <si>
    <t>Min. 231 účastníkov školení &lt;50 hodín (napr. aplikovaná matematika).</t>
  </si>
  <si>
    <t>Prevencia a osvetové aktivity</t>
  </si>
  <si>
    <t>Prednášky o kybernetickej bezpečnosti</t>
  </si>
  <si>
    <t>Min. 80 prednášok na SŠ s mikroprojektmi „Budovania kultúry bezpečnosti“.</t>
  </si>
  <si>
    <t>Workshopy pre žiačky ZŠ</t>
  </si>
  <si>
    <t>380 workshopov pre žiačky 8.–9. ročníka ZŠ (dopad na cca 4 560 žiačok).</t>
  </si>
  <si>
    <t>Online odborné webináre</t>
  </si>
  <si>
    <t>Min. 60 pravidelných webinárov organizovaných FEI TUKE (každý 2. týždeň).</t>
  </si>
  <si>
    <t>Súťaže a podujatia</t>
  </si>
  <si>
    <t>Networking Academy Games (NAG)</t>
  </si>
  <si>
    <t>Každoročne organizovaná súťaž pre študentov, rozšírená o AI.</t>
  </si>
  <si>
    <t>Kyberbezpečnostná olympiáda</t>
  </si>
  <si>
    <t>Podpora účasti študentov v novo pripravovanej súťaži.</t>
  </si>
  <si>
    <t>Cybersec Hackathon</t>
  </si>
  <si>
    <t>Podpora účasti študentov na hackathonoch v spolupráci s Clustrom kybernetickej bezpečnosti.</t>
  </si>
  <si>
    <t>Odborné konferencie</t>
  </si>
  <si>
    <t>4 odborné konferencie (úvodná, priebežné, záverečná) na vyhodnotenie projektu.</t>
  </si>
  <si>
    <t>Prax a aplikované vzdelávanie</t>
  </si>
  <si>
    <t>Praktické vzdelávanie študentov</t>
  </si>
  <si>
    <t>Podpora praxe študentov s využitím IS NetAcad pod dohľadom pedagógov.</t>
  </si>
  <si>
    <t>Certifikácia a dokumentácia</t>
  </si>
  <si>
    <t>Akreditácia CSIRT/SOC clustra</t>
  </si>
  <si>
    <t>Akreditácia/certifikácia modelového CSIRT/SOC prostredia.</t>
  </si>
  <si>
    <t>Bezpečnostný projekt IS NetAcad</t>
  </si>
  <si>
    <t>Vypracovanie bezpečnostného projektu pre IS NetAcad.</t>
  </si>
  <si>
    <t>Dokumentácia AI clustra</t>
  </si>
  <si>
    <t>Vypracovanie technickej a súladovej dokumentácie pre AI cluster.</t>
  </si>
  <si>
    <t>Produkty</t>
  </si>
  <si>
    <t>Digitálne vzdelávacie obsahy a akreditácia</t>
  </si>
  <si>
    <t>Vypracovanie digitálnych vzdelávacích obsahov a akreditácia vzdelávania pre NetAcad.</t>
  </si>
  <si>
    <t>Nákup HW a krabicový SW</t>
  </si>
  <si>
    <t>Biznis analytik , IT špecialista - mentor μ-projektov</t>
  </si>
  <si>
    <t>Biznis analytik, programátor - mentor μ-projektov</t>
  </si>
  <si>
    <t>Programátor cloudu</t>
  </si>
  <si>
    <t>Počet hodín v roku bez okrajových mesiacov pri 8h prac.čase:</t>
  </si>
  <si>
    <t>Počet hodín v roku pri 8h .prac.čase:</t>
  </si>
  <si>
    <t>R 2026</t>
  </si>
  <si>
    <t>R 2027</t>
  </si>
  <si>
    <t>R 2028</t>
  </si>
  <si>
    <t>R 2029</t>
  </si>
  <si>
    <t>01</t>
  </si>
  <si>
    <t>02</t>
  </si>
  <si>
    <t>03</t>
  </si>
  <si>
    <t>04</t>
  </si>
  <si>
    <t>05</t>
  </si>
  <si>
    <t>06</t>
  </si>
  <si>
    <t>07</t>
  </si>
  <si>
    <t>08</t>
  </si>
  <si>
    <t>09</t>
  </si>
  <si>
    <t>10</t>
  </si>
  <si>
    <t>11</t>
  </si>
  <si>
    <t>Odborná podpora IS NetAcad</t>
  </si>
  <si>
    <t>interný 3/4 FTE</t>
  </si>
  <si>
    <t>?VŠ</t>
  </si>
  <si>
    <t>VŠ? - Riadenie odbornej skupiny, vyprac.metodík, Q/Y plán činnosti</t>
  </si>
  <si>
    <t>VLASTNÝ ROZPOČET UPJŠ ako partner  (aj prezentácia Q-IT pre účely MŠ</t>
  </si>
  <si>
    <t>interný 1/8FTE</t>
  </si>
  <si>
    <t>odhad z pasport1 - znížené o predpokladanú neaktivitu škôl</t>
  </si>
  <si>
    <t>univerzita: garant - fyzická UI/edge computing - stavebnice, drony, PLC</t>
  </si>
  <si>
    <t xml:space="preserve"> menej hodín vzhľadom na menšie využitie oblasti edge computing</t>
  </si>
  <si>
    <t>12</t>
  </si>
  <si>
    <t xml:space="preserve">Offensive Security Lab: výučba hardvérových hrozieb a obrany v kyberpriestore </t>
  </si>
  <si>
    <t>Workshopy na témy: Ozobot, bezpečnosť, micro:bit, Lego robot, Canva, Scratch</t>
  </si>
  <si>
    <t>Odhad poštovné (z Košíc alebo ekvivalent)</t>
  </si>
  <si>
    <t>Asistent PM pre koordináciu  odborných aktivít</t>
  </si>
  <si>
    <t>Monitorovacie zariadenie pre riadenie IS NetAcad</t>
  </si>
  <si>
    <t>Koef. odvodov:</t>
  </si>
  <si>
    <t>Ver.14</t>
  </si>
  <si>
    <t>Modul#</t>
  </si>
  <si>
    <t>Prieskum1</t>
  </si>
  <si>
    <t>Prieskum2</t>
  </si>
  <si>
    <t>Prieskum3</t>
  </si>
  <si>
    <t>Prieskum4</t>
  </si>
  <si>
    <t>Vykonaný predbežný prieskum trhu: Prieskumy 1, 3 sken vedľa</t>
  </si>
  <si>
    <t>Vykonaný predbežný prieskum trhu: Prieskum 2 sken vedľa</t>
  </si>
  <si>
    <t>Vykonaný predbežný prieskum trhu: Prieskum 1, 3 sken vedľa</t>
  </si>
  <si>
    <t>Vykonaný predbežný prieskum trhu: Prieskum 3 sken vedľa</t>
  </si>
  <si>
    <t>Vykonaný predbežný prieskum trhu: Prieskum 4 sken vedľa</t>
  </si>
  <si>
    <t>Zoznam URL 5</t>
  </si>
  <si>
    <t xml:space="preserve">DJI Mini 4 Pro (DJI RC 2) </t>
  </si>
  <si>
    <t>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prehlad/</t>
  </si>
  <si>
    <t>https://rlx.sk/sk/jetson-nvidia/8968-jetson-nano-development-expansion-kit-lite-version-a-incl-jetson-nano-module-ws-23668.html</t>
  </si>
  <si>
    <t>NVidia Jetson Nano, Expansion Kit</t>
  </si>
  <si>
    <t>https://www.tme.eu/sk/katalog/raspberry-pi-minipocitace_118304/?params=2390:2019966_vyrobna-seria:raspberry-pi-5&amp;utm_source=google&amp;utm_medium=cpc&amp;utm_campaign=S%C5%81OWACJA%20[HP]&amp;gad_source=1&amp;gad_campaignid=664939422&amp;gbraid=0AAAAADyylhJVtYw5ShQ27DK5EG3SrA-Ve&amp;gclid=Cj0KCQjwovPGBhDxARIsAFhgkwQrxg0WHzIwW9rlCRrTTS66gV7g2AAQQihzN98-W6POVFPmR2TNN3EaAgCiEALw_wcB</t>
  </si>
  <si>
    <t>RPI5-STARTER KIT-8GB-UK / ekvivalent</t>
  </si>
  <si>
    <t>https://rpishop.cz/554037/raspberry-pi-ai-hat-26-tops/</t>
  </si>
  <si>
    <t>Raspberry Pi AI HAT+ 26 TOPS</t>
  </si>
  <si>
    <t>Arduino Nano 33 BLE</t>
  </si>
  <si>
    <t>https://techfun.sk/?s=Arduino+Nano+33+BLE&amp;post_type=product</t>
  </si>
  <si>
    <t>Predbežný prieskum trhu internetom: Zoznam URL 5 príkl.vedľa</t>
  </si>
  <si>
    <t>Prieskum6</t>
  </si>
  <si>
    <t>Prieskum7</t>
  </si>
  <si>
    <t>Prieskum8</t>
  </si>
  <si>
    <t>SW vybavenie AjTyvIT - prieskumom trhu: Prieskum 6
Kurzy na VŠ prieskum trhu z WEBov VŠ, zhrnutie: Prieskum8</t>
  </si>
  <si>
    <t>HW vybavenie AjTyvIT - prieskumom trhu: Prieskum 6
HW vybavenie Offensive Security Lab - prieskum AI: Prieskum7</t>
  </si>
  <si>
    <t>Dáta zozbierané z URL ako:</t>
  </si>
  <si>
    <t>https://unitc.sk/cennik/</t>
  </si>
  <si>
    <t>http://netacad.kis.fri.uniza.sk/cennik-kurzov</t>
  </si>
  <si>
    <t>https://academy.fiit.stuba.sk/kurzy</t>
  </si>
  <si>
    <t>ZOBRAZENIE TU:</t>
  </si>
  <si>
    <t>Ext. Vyvoj</t>
  </si>
  <si>
    <t>Cena z prieskumu/Rozpoctu</t>
  </si>
  <si>
    <t>3rd Party Technical Certification</t>
  </si>
  <si>
    <t>C</t>
  </si>
  <si>
    <t>C Essentials 1</t>
  </si>
  <si>
    <t>C Essentials 2</t>
  </si>
  <si>
    <t>C++</t>
  </si>
  <si>
    <t>C++ Advanced</t>
  </si>
  <si>
    <t>C++ Essentials 1</t>
  </si>
  <si>
    <t>C++ Essentials 2</t>
  </si>
  <si>
    <t>IT Essentials</t>
  </si>
  <si>
    <t>IT Essentials 7</t>
  </si>
  <si>
    <t>JavaScript</t>
  </si>
  <si>
    <t>Linux</t>
  </si>
  <si>
    <t>Linux 1</t>
  </si>
  <si>
    <t>Linux Essentials</t>
  </si>
  <si>
    <t>Python</t>
  </si>
  <si>
    <t>Python Essentials 1</t>
  </si>
  <si>
    <t>Python Essentials 2</t>
  </si>
  <si>
    <t>Cisco Associate-level Certification</t>
  </si>
  <si>
    <t>CCNA R&amp;S</t>
  </si>
  <si>
    <t>CCNA: Enterprise Networking, Security, and Automation</t>
  </si>
  <si>
    <t>CCNA: Introduction to Networks</t>
  </si>
  <si>
    <t>CCNA: Switching, Routing, and Wireless Essentials</t>
  </si>
  <si>
    <t>CCNP R&amp;S</t>
  </si>
  <si>
    <t>CCNP Enterprise: Core Networking</t>
  </si>
  <si>
    <t>Cybersecurity</t>
  </si>
  <si>
    <t>CyberOps Associate</t>
  </si>
  <si>
    <t>Cisco Entry-level Certification</t>
  </si>
  <si>
    <t>Cyber Threat Management</t>
  </si>
  <si>
    <t>Cybersecurity Essentials</t>
  </si>
  <si>
    <t>Networking Essentials</t>
  </si>
  <si>
    <t>Networking Basics</t>
  </si>
  <si>
    <t>Intermediate Technical Skills</t>
  </si>
  <si>
    <t>Ethical Hacker</t>
  </si>
  <si>
    <t>Network Security</t>
  </si>
  <si>
    <t>Data Analyst</t>
  </si>
  <si>
    <t>Data Analytics Essentials</t>
  </si>
  <si>
    <t>Introductory Technical Skills</t>
  </si>
  <si>
    <t>Introduction to Cybersecurity</t>
  </si>
  <si>
    <t>Digital Literacy</t>
  </si>
  <si>
    <t>Digital Awareness</t>
  </si>
  <si>
    <t>Using Computer and Mobile Devices</t>
  </si>
  <si>
    <t>IoT</t>
  </si>
  <si>
    <t>Introduction to IoT and Digital Transformation</t>
  </si>
  <si>
    <t>OS &amp; IT</t>
  </si>
  <si>
    <t>Computer Hardware Basics</t>
  </si>
  <si>
    <t>Operating Systems Basics</t>
  </si>
  <si>
    <t>Professional Skills</t>
  </si>
  <si>
    <t>English for IT</t>
  </si>
  <si>
    <t>English for IT 1</t>
  </si>
  <si>
    <t>Academy</t>
  </si>
  <si>
    <t>Course Id</t>
  </si>
  <si>
    <t>Class Start Date</t>
  </si>
  <si>
    <t>Class End Date</t>
  </si>
  <si>
    <t>Portfolio Category</t>
  </si>
  <si>
    <t>Curriculum</t>
  </si>
  <si>
    <t>Course</t>
  </si>
  <si>
    <t>Class Name</t>
  </si>
  <si>
    <t>Course Language</t>
  </si>
  <si>
    <t>Course Version</t>
  </si>
  <si>
    <t>Instructor Id</t>
  </si>
  <si>
    <t># Class Registrants</t>
  </si>
  <si>
    <t>Stredna priemyselna skola, Bzinska 11, Nove Mesto nad Vahom</t>
  </si>
  <si>
    <t>0e59072e-0828-400d-9208-812a744721a9</t>
  </si>
  <si>
    <t>English</t>
  </si>
  <si>
    <t>1</t>
  </si>
  <si>
    <t>1029261145</t>
  </si>
  <si>
    <t>2263519</t>
  </si>
  <si>
    <t>Networking Essentials - Legacy</t>
  </si>
  <si>
    <t>2024 - Networking Essentials - new</t>
  </si>
  <si>
    <t>2.01 - Self-Paced</t>
  </si>
  <si>
    <t>4146708</t>
  </si>
  <si>
    <t>2263928</t>
  </si>
  <si>
    <t>IT Essentials: PC Hardware and Software</t>
  </si>
  <si>
    <t>2024 - IT Essentials: PC Hardware and Software - NEW</t>
  </si>
  <si>
    <t>8.01</t>
  </si>
  <si>
    <t>2264529</t>
  </si>
  <si>
    <t>CCNAv7: Switching, Routing, and Wireless Essentials</t>
  </si>
  <si>
    <t>2024 - CCNAv7: Switching, Routing, and Wireless Essentials</t>
  </si>
  <si>
    <t>7.02</t>
  </si>
  <si>
    <t>2264540</t>
  </si>
  <si>
    <t>2024_25 4C Switching, Routing and Wireless essentials</t>
  </si>
  <si>
    <t>2264948</t>
  </si>
  <si>
    <t>CCNAv7: Introduction to Networks</t>
  </si>
  <si>
    <t>2024 - CCNAv7: Introduction to Networks - NEW</t>
  </si>
  <si>
    <t>298e2d1c-95c5-463a-99aa-d0aee1ae62ec</t>
  </si>
  <si>
    <t>39ce5d82-bd94-40b7-bfb3-8fb44f1698a7</t>
  </si>
  <si>
    <t>19293b33-a5d0-4ba5-93a6-0aecd2db6c25</t>
  </si>
  <si>
    <t>7</t>
  </si>
  <si>
    <t>1172176</t>
  </si>
  <si>
    <t>1eb46369-aeb6-4688-828d-a43bc04ed3bf</t>
  </si>
  <si>
    <t>2286616</t>
  </si>
  <si>
    <t>CCNA2</t>
  </si>
  <si>
    <t>a11c2bea-f890-43e1-8d93-3dff02c83065</t>
  </si>
  <si>
    <t>54873415</t>
  </si>
  <si>
    <t>a7c817c3-cdf1-48d2-a3ee-f3c718dd468f</t>
  </si>
  <si>
    <t>e897f90e-a9ba-4a82-821f-3603b4b7a05e</t>
  </si>
  <si>
    <t>723e2219-9154-4091-8454-b2d10d51c5d7</t>
  </si>
  <si>
    <t>44182013</t>
  </si>
  <si>
    <t>c68e0fba-b00f-49e4-a2ec-47637eebb7c1</t>
  </si>
  <si>
    <t>CCNA: 3.ELE Introduction to Networks</t>
  </si>
  <si>
    <t>SPS-IT Kysucke Nove Mesto</t>
  </si>
  <si>
    <t>00d186b5-109e-4b4f-be69-7981c4df6540</t>
  </si>
  <si>
    <t>2024-Sutek-II.AT-CCNA: Switching, Routing, and Wireless Essentials</t>
  </si>
  <si>
    <t>47965934</t>
  </si>
  <si>
    <t>03ebc065-b10c-4bae-984b-21dae4d7a845</t>
  </si>
  <si>
    <t>2024-Pa-4AI-CCNA3v7</t>
  </si>
  <si>
    <t>554629</t>
  </si>
  <si>
    <t>1726412a-ae27-4fc1-b300-b68f64ffc9d8</t>
  </si>
  <si>
    <t>2024-Pa-3CI-CCNA2v7</t>
  </si>
  <si>
    <t>17d29dfc-8a29-4229-bd28-4c316411d95b</t>
  </si>
  <si>
    <t>2024-Pa-2AI-CCNA1v7</t>
  </si>
  <si>
    <t>1ca2467e-c9aa-4343-b8dc-9d1485b349d0</t>
  </si>
  <si>
    <t>IV:AE 2sk. 2024 CCNA: Introduction to Networks</t>
  </si>
  <si>
    <t>7695167</t>
  </si>
  <si>
    <t>2203334</t>
  </si>
  <si>
    <t>2023-Pa-1AI-CCNA1v7</t>
  </si>
  <si>
    <t>2225305</t>
  </si>
  <si>
    <t>CCNAv7: Enterprise Networking, Security, and Automation</t>
  </si>
  <si>
    <t>2023-Pa-3AT-CCNA3v7</t>
  </si>
  <si>
    <t>2264698</t>
  </si>
  <si>
    <t>Partner: PCAP - Programming Essentials in Python</t>
  </si>
  <si>
    <t>II.BI_Python</t>
  </si>
  <si>
    <t>2.10 - Self-Paced</t>
  </si>
  <si>
    <t>49360382</t>
  </si>
  <si>
    <t>28e2f860-6884-494a-a65f-fe2dd00017c6</t>
  </si>
  <si>
    <t>2024-Pa-3AT-CCNA1v7</t>
  </si>
  <si>
    <t>2efaa7f0-9b29-4a3c-a4dc-7b0bb1b8d139</t>
  </si>
  <si>
    <t>2024-ITEv8-Pm-1CI</t>
  </si>
  <si>
    <t>8</t>
  </si>
  <si>
    <t>53339298</t>
  </si>
  <si>
    <t>5929610</t>
  </si>
  <si>
    <t>3dce20c7-fd0c-4a9a-a2e9-9312d8c5c2ff</t>
  </si>
  <si>
    <t>2024_4.BI - CCNA: Enterprise Networking, Security, and Automation</t>
  </si>
  <si>
    <t>3e808f2f-47f9-4d33-bcc4-eb202e659747</t>
  </si>
  <si>
    <t>IT Essentials 8</t>
  </si>
  <si>
    <t>1001852129</t>
  </si>
  <si>
    <t>41c44568-2dc0-4117-bf03-7eb605532508</t>
  </si>
  <si>
    <t>I.AI CIT Spsit 2024 IT Essentials 8</t>
  </si>
  <si>
    <t>4f67195d-4c3e-4230-b2a4-098ee2848d2a</t>
  </si>
  <si>
    <t>2024-Pa-4CI-CCNA3v7</t>
  </si>
  <si>
    <t>50345d3a-554a-4e49-9095-b4b39a636052</t>
  </si>
  <si>
    <t>2024_1.BI_IT Essentials 8</t>
  </si>
  <si>
    <t>6a8a5c9a-7835-4e4c-b6b0-96fcdb97f4a6</t>
  </si>
  <si>
    <t>2024-Sutek-IV.AT-Network Security</t>
  </si>
  <si>
    <t>73a7e044-62fa-46c4-a899-0207ac61afc3</t>
  </si>
  <si>
    <t>2024-Petrik-II.BI-GamesLab-CCNA: Switching, Routing, and Wireless Essentials</t>
  </si>
  <si>
    <t>745efa49-7ca5-4a65-89e8-d66946acbd2a</t>
  </si>
  <si>
    <t>Packet Tracer</t>
  </si>
  <si>
    <t>Getting Started with Cisco Packet Tracer</t>
  </si>
  <si>
    <t>Packet tracer II.BI</t>
  </si>
  <si>
    <t>7890cacd-64cd-4a29-9f99-eaaf9a19c3ef</t>
  </si>
  <si>
    <t>47986460</t>
  </si>
  <si>
    <t>8e86eeac-d4b6-4b45-859b-4dacd0ce546c</t>
  </si>
  <si>
    <t>I.AT ZIG 2.sk 2024 IT Essentials 8</t>
  </si>
  <si>
    <t>900bfd26-86f3-4141-8a32-7280038859d2</t>
  </si>
  <si>
    <t>2024-Pa-3AI-CCNA2v7</t>
  </si>
  <si>
    <t>93ac343c-92a5-4b65-9f71-481724c8f705</t>
  </si>
  <si>
    <t>2024-Sutek-I.AI-CCNA: Introduction to Networks</t>
  </si>
  <si>
    <t>9bc25dd8-b553-4cf0-9ed7-a5a7e39a7ac2</t>
  </si>
  <si>
    <t>I.BI CIT Spsit 2024 IT Essentials 8</t>
  </si>
  <si>
    <t>a1d0e552-9aae-4b47-a8b9-d3b29a3f257c</t>
  </si>
  <si>
    <t>2024-Sutek-I.AI-IT Essentials 8</t>
  </si>
  <si>
    <t>a38ab6e2-9a73-46ff-b45e-8b9c3885720f</t>
  </si>
  <si>
    <t>2024-Sutek-I.AT-CCNA: Introduction to Networks</t>
  </si>
  <si>
    <t>a552b91e-e970-4772-bc8e-bc1eaffb79b9</t>
  </si>
  <si>
    <t>2024_3.AT_CCNA 1: Introduction to Networks</t>
  </si>
  <si>
    <t>ab8c24a5-a371-4e70-a620-d3da0dfe9a1b</t>
  </si>
  <si>
    <t>2024-Pa-3BI-CCNA2v7</t>
  </si>
  <si>
    <t>b3848be8-18d4-41df-8283-96d8d96d881c</t>
  </si>
  <si>
    <t>I.CI CIT 2.sk CCNA: Introduction to Networks</t>
  </si>
  <si>
    <t>be0ccea3-a9fe-459b-b2a4-9278e8dd2b22</t>
  </si>
  <si>
    <t>I.BI CIT Spsit CCNA: Introduction to Networks</t>
  </si>
  <si>
    <t>c7d0cef4-87a7-4808-af15-1845a7c95996</t>
  </si>
  <si>
    <t>Packet tracer II.AI</t>
  </si>
  <si>
    <t>ce55185a-7d91-4999-8cd7-e9147d4bafa1</t>
  </si>
  <si>
    <t>I.AI CIT 2. Spsit CCNA: Introduction to Networks</t>
  </si>
  <si>
    <t>df09b6c8-d0a1-4efd-93e8-a528ea0ca39f</t>
  </si>
  <si>
    <t>2024-Pa-4BI-CCNA3v7</t>
  </si>
  <si>
    <t>e2d72be3-5c96-4475-90aa-ceaf52db8f32</t>
  </si>
  <si>
    <t>2024-Petrik-II.CI-2sk-CCNA: Switching, Routing, and Wireless Essentials</t>
  </si>
  <si>
    <t>f74731ec-00f4-4ebf-b6d7-a828f356512e</t>
  </si>
  <si>
    <t>2024-Pa-Python Essentials 1</t>
  </si>
  <si>
    <t>f9775b9d-ac26-4bab-8f73-a74f362637f5</t>
  </si>
  <si>
    <t>I.CI CIT 2.sk 2024 IT Essentials 8</t>
  </si>
  <si>
    <t>ffeecb1d-1a52-40dd-990e-487a0245a1a3</t>
  </si>
  <si>
    <t>IV.AE CIT 1.sk 2024 CCNA: Introduction to Networks</t>
  </si>
  <si>
    <t>BIT Academy</t>
  </si>
  <si>
    <t>0899dfdb-74e6-4d81-b079-20eda5da372f</t>
  </si>
  <si>
    <t>Linux Essentials (LPI Essentials) - Noi 2024 - online</t>
  </si>
  <si>
    <t>2</t>
  </si>
  <si>
    <t>8109010</t>
  </si>
  <si>
    <t>0b535aa6-fc54-4dd2-8bb9-5e652ce7720f</t>
  </si>
  <si>
    <t>CCNA 3 v7 - Sep 2024 - online</t>
  </si>
  <si>
    <t>0be8d5a1-a91f-444b-a66c-e8b4e60c861f</t>
  </si>
  <si>
    <t>Linux Essentials - 04 Oct 2024 - remote</t>
  </si>
  <si>
    <t>28371145</t>
  </si>
  <si>
    <t>50664416</t>
  </si>
  <si>
    <t>0e82a404-7c50-45d6-818b-ab4d519ea9d2</t>
  </si>
  <si>
    <t>C++ Programming - Modul 1 - Noi 2024 online (Part 2)</t>
  </si>
  <si>
    <t>14789715-51dc-4e47-8d07-228cdecb1379</t>
  </si>
  <si>
    <t>CCNA 2 v7 - 03 Sep 2024 - remote</t>
  </si>
  <si>
    <t>160078a5-b6e3-49c4-b149-242db6bedb09</t>
  </si>
  <si>
    <t>CCNA 3 v7 - 15 Ian 2025 - remote</t>
  </si>
  <si>
    <t>2214441</t>
  </si>
  <si>
    <t>CCNA 1 v7 - 14 Feb 2024 - remote</t>
  </si>
  <si>
    <t>2218375</t>
  </si>
  <si>
    <t>CCNA 2 v7 - 22 Feb 2024 - remote</t>
  </si>
  <si>
    <t>2228114</t>
  </si>
  <si>
    <t>CCNA 3 v7 - 11 Mar 2024 - remote</t>
  </si>
  <si>
    <t>2229902</t>
  </si>
  <si>
    <t>Partner: NDG Linux Unhatched</t>
  </si>
  <si>
    <t>Linux Unhatched - Stefan</t>
  </si>
  <si>
    <t>2.1</t>
  </si>
  <si>
    <t>2234194</t>
  </si>
  <si>
    <t>Partner: CPA - Programming Essentials in C++</t>
  </si>
  <si>
    <t>C++ Programming - Modul 1 - Mai 2024 - online</t>
  </si>
  <si>
    <t>2.00 - Instructor-Le</t>
  </si>
  <si>
    <t>1000958607</t>
  </si>
  <si>
    <t>2236903</t>
  </si>
  <si>
    <t>CCNA 1 v7 - 03 Apr 2024 - remote</t>
  </si>
  <si>
    <t>2246583</t>
  </si>
  <si>
    <t>C++ Programming - Modul 1 - Iun 2024 - online</t>
  </si>
  <si>
    <t>2250536</t>
  </si>
  <si>
    <t>Partner: NDG Linux Essentials</t>
  </si>
  <si>
    <t>Linux Essentials (LPI Essentials) - Mai 2024 - online</t>
  </si>
  <si>
    <t xml:space="preserve">2.21 - Instructor - </t>
  </si>
  <si>
    <t>2250615</t>
  </si>
  <si>
    <t>CCNA 1 v7 - 07 Mai 2024 - remote</t>
  </si>
  <si>
    <t>2251992</t>
  </si>
  <si>
    <t>Network Security - Mai 2024 - online</t>
  </si>
  <si>
    <t>2252514</t>
  </si>
  <si>
    <t>Partner: NDG Linux II</t>
  </si>
  <si>
    <t>Linux Advanced (LPIC1 - examen 2) - Iun 2024 - online</t>
  </si>
  <si>
    <t>2253525</t>
  </si>
  <si>
    <t>CCNA 1 v7 - Mai 2024 - online</t>
  </si>
  <si>
    <t>2254266</t>
  </si>
  <si>
    <t>CCNA 2 v7 - Mai 2024 - online</t>
  </si>
  <si>
    <t>2254505</t>
  </si>
  <si>
    <t>CCNA 3 v7 - Mai 2024 - online</t>
  </si>
  <si>
    <t>2259594</t>
  </si>
  <si>
    <t>Python Fundamentals - 10 Iun 2024 - remote</t>
  </si>
  <si>
    <t>2259946</t>
  </si>
  <si>
    <t>Network Security - Iun 2024 - online</t>
  </si>
  <si>
    <t>2261231</t>
  </si>
  <si>
    <t>CCNA 3 v7 - Iun 2024 - online</t>
  </si>
  <si>
    <t>2261431</t>
  </si>
  <si>
    <t>CCNA 1 v7 - Iun 2024 - online</t>
  </si>
  <si>
    <t>2261487</t>
  </si>
  <si>
    <t>CCNA 2 v7 - Iun 2024 - online</t>
  </si>
  <si>
    <t>2262993</t>
  </si>
  <si>
    <t>Partner: NDG Linux I</t>
  </si>
  <si>
    <t>Linux Fundamentals (LPIC1 - examen 1) - Iun 2024 - online</t>
  </si>
  <si>
    <t>2265718</t>
  </si>
  <si>
    <t>CCNA 3 v7 - 17 Iun 2024 - remote</t>
  </si>
  <si>
    <t>2271695</t>
  </si>
  <si>
    <t>CCNA 1 v7 - Iul 2024 - online</t>
  </si>
  <si>
    <t>2272586</t>
  </si>
  <si>
    <t>CCNA 3 v7 - Iul 2024 - online</t>
  </si>
  <si>
    <t>2272633</t>
  </si>
  <si>
    <t>CCNA 2 v7 - Iul 2024 - online</t>
  </si>
  <si>
    <t>2272820</t>
  </si>
  <si>
    <t>CCNA 1 v7 - 04 Iul 2024 - remote</t>
  </si>
  <si>
    <t>2273239</t>
  </si>
  <si>
    <t>C++ Programming - Modul 1 - Iul 2024 - online</t>
  </si>
  <si>
    <t>2273283</t>
  </si>
  <si>
    <t>IT Essentials - Iul 2024 - online</t>
  </si>
  <si>
    <t>2273898</t>
  </si>
  <si>
    <t>C++ Essentials STEFAN</t>
  </si>
  <si>
    <t>2280282</t>
  </si>
  <si>
    <t>2285673</t>
  </si>
  <si>
    <t>CCNA 2 v7 - Aug 2024 - online</t>
  </si>
  <si>
    <t>2286281</t>
  </si>
  <si>
    <t>Linux Essentials (LPI Essentials) - Aug 2024 - online</t>
  </si>
  <si>
    <t>2288883</t>
  </si>
  <si>
    <t>CCNA 1 v7 - 19 Aug 2024 - remote</t>
  </si>
  <si>
    <t>234c4a22-dd15-4830-a8fd-4c818af804ca</t>
  </si>
  <si>
    <t>2933270f-f371-49df-abef-9002d323b278</t>
  </si>
  <si>
    <t>CCNA 2 v7 - Sep 2024 - online</t>
  </si>
  <si>
    <t>335aed31-e7b2-48fa-9837-741da10c7036</t>
  </si>
  <si>
    <t>C Programming - Modul 1 - Sep 2024 - online (Part 1)</t>
  </si>
  <si>
    <t>3400aaf5-27c3-4471-976a-4b78f0afc143</t>
  </si>
  <si>
    <t>CCNA 1 TEST STEFAN</t>
  </si>
  <si>
    <t>3bb22e89-82f5-4352-bcee-c0acb817dd4e</t>
  </si>
  <si>
    <t>C Programming - Modul 1 - Sep 2024 - online (Part 2)</t>
  </si>
  <si>
    <t>49d72b42-b927-4879-8066-c37cfcc83bf3</t>
  </si>
  <si>
    <t>C++ Programming - Modul 1 - Sep 2024 - online (Part 1)</t>
  </si>
  <si>
    <t>5467b4a9-de88-4ff8-aa27-9f9a00277bca</t>
  </si>
  <si>
    <t>C Programming - Modul 1 - Oct 2024 - online (Part 1)</t>
  </si>
  <si>
    <t>5692b12a-1b9a-4348-9858-d83f7f6830a5</t>
  </si>
  <si>
    <t>IT Essentials - Noi 2024 - online</t>
  </si>
  <si>
    <t>5dd05676-e216-44bc-bb63-d7cbf400df92</t>
  </si>
  <si>
    <t>C Programming - Modul 1 - Noi 2024 - online (Part 2)</t>
  </si>
  <si>
    <t>60ab4ee7-f1ce-43fc-97b5-31f6e4cd10e9</t>
  </si>
  <si>
    <t>C Programming - Modul 1 - Noi 2024 - online (Part 1)</t>
  </si>
  <si>
    <t>6b0b1f15-ca8f-43a4-8633-c8357111bb99</t>
  </si>
  <si>
    <t>CCNA 3 v7 - Noi 2024 - online</t>
  </si>
  <si>
    <t>6d2c86e4-3f4a-4d18-82f6-437fada1f2ac</t>
  </si>
  <si>
    <t>Linux 2</t>
  </si>
  <si>
    <t>Linux Advanced (LPIC1 - examen 2) - Sep 2024 - online</t>
  </si>
  <si>
    <t>6e0cdc00-3ee4-4756-a55d-c99b0bace8fc</t>
  </si>
  <si>
    <t>Python Fundamentals - 03 Oct 2024 - remote (Part 1)</t>
  </si>
  <si>
    <t>6e4cd4db-fc8e-4682-91bf-e1ef4425a413</t>
  </si>
  <si>
    <t>CCNA 1 v7 - Dec 2024 - online</t>
  </si>
  <si>
    <t>7812ed61-dac0-4c8e-ab05-58ccc55ad844</t>
  </si>
  <si>
    <t>782604b9-9f14-48d7-a01b-468883710232</t>
  </si>
  <si>
    <t>C++ Programming - Modul 1 - Noi 2024 online (Part 1)</t>
  </si>
  <si>
    <t>7a9cdfce-5f21-453b-9855-6eb43944e3cb</t>
  </si>
  <si>
    <t>CCNP Enterprise: Advanced Routing</t>
  </si>
  <si>
    <t>CCNP ENARSI v8.0 - 11 Sep 2024 - remote</t>
  </si>
  <si>
    <t>7eb9f537-d79f-4726-81a6-dbad04a8298c</t>
  </si>
  <si>
    <t>CCNA 3 v7 - Oct 2024 - online</t>
  </si>
  <si>
    <t>81ee77d1-51cd-4c3d-813f-4dca9675f18f</t>
  </si>
  <si>
    <t>855502b7-fcd9-482e-bd51-10474f7da703</t>
  </si>
  <si>
    <t>CCNA 1 v7 - Oct 2024 - online</t>
  </si>
  <si>
    <t>88115899-4c6b-48a4-94e2-aba509022e27</t>
  </si>
  <si>
    <t>CCNA 2 v7 - Oct 2024 - online</t>
  </si>
  <si>
    <t>8c44c217-9e99-4f29-bf6c-9f7655eca513</t>
  </si>
  <si>
    <t>CCNA 1 v7 - 07 Noi 2024 - remote</t>
  </si>
  <si>
    <t>8fe07dfc-00b5-4baa-9024-2beb0a320244</t>
  </si>
  <si>
    <t>Linux Essentials (LPI Essentials) - Oct 2024 - online</t>
  </si>
  <si>
    <t>a9a35b35-a8f0-4b34-8895-67a07978fe90</t>
  </si>
  <si>
    <t>CCNA 2 v7 - 05 Dec 2024 - remote</t>
  </si>
  <si>
    <t>ada74d6a-3923-4937-8dbc-76a15f8ed275</t>
  </si>
  <si>
    <t>Linux Essentials (LPI Essentials) - Sep 2024 - online</t>
  </si>
  <si>
    <t>affaa33a-bf67-475b-a4bb-e9d0e5db1b8f</t>
  </si>
  <si>
    <t>CCNA 1 v7 - 23 Sep 2024 - remote</t>
  </si>
  <si>
    <t>b398ea3b-7b9a-4b96-88da-58b75afca5be</t>
  </si>
  <si>
    <t>C++ Programming - Modul 1 - Oct 2024 - online (Part 1)</t>
  </si>
  <si>
    <t>b74c1473-b3e9-4977-ba92-c99e7a4359ab</t>
  </si>
  <si>
    <t>CCNA 3 TEST STEFAN</t>
  </si>
  <si>
    <t>bba1d460-49b7-4bfb-b2c0-077ab9969630</t>
  </si>
  <si>
    <t>be668c48-eea6-4b7e-ba41-e6c91290659e</t>
  </si>
  <si>
    <t>CCNA 1 v7 - 26 Oct 2024 - remote</t>
  </si>
  <si>
    <t>c36fce35-206c-4d7d-8c9b-57b2976e582c</t>
  </si>
  <si>
    <t>Python Fundamentals - 03 Oct 2024 - remote (Part 2)</t>
  </si>
  <si>
    <t>c55c67ac-8ea8-4564-8c6b-2aa35202cd75</t>
  </si>
  <si>
    <t>CCNA 1 v7 - Noi 2024 - online</t>
  </si>
  <si>
    <t>d05dbc41-a13b-41bc-af96-03e7b61ef1da</t>
  </si>
  <si>
    <t>CCNA 1 v7 - Aug 2024 - online</t>
  </si>
  <si>
    <t>d8a52943-0cd8-4b12-84c3-99ba8700b258</t>
  </si>
  <si>
    <t>C++ Programming - Modul 1 - Sep 2024 - online (Part 2)</t>
  </si>
  <si>
    <t>e7e03629-1721-4c4f-89f0-c0f5048909ee</t>
  </si>
  <si>
    <t>C++ Programming - Modul 1 - Oct 2024 - online (Part 2)</t>
  </si>
  <si>
    <t>ea520b98-8c6f-4732-8913-c50195e90566</t>
  </si>
  <si>
    <t>CCNA 1 v7 - Sep 2024 - online</t>
  </si>
  <si>
    <t>f97c5808-c7b0-4b3d-a07f-8de80ace8223</t>
  </si>
  <si>
    <t>C Programming - Modul 1 - Oct 2024 - online (Part 2)</t>
  </si>
  <si>
    <t>fed8e8b2-2eef-48d4-8d1b-fffa1fe16c34</t>
  </si>
  <si>
    <t>CCNA 3 v7 - Aug 2024 - online</t>
  </si>
  <si>
    <t>SPSE Zochova Bratislava</t>
  </si>
  <si>
    <t>066c399f-fbd8-4366-892f-630ad67c2788</t>
  </si>
  <si>
    <t>4427147</t>
  </si>
  <si>
    <t>10ba9a15-9ea5-42de-a05d-9bbaf69edc51</t>
  </si>
  <si>
    <t>CCNA1 - I.A (2024/25)</t>
  </si>
  <si>
    <t>141d0436-1370-4a53-8639-2543d22fa0e5</t>
  </si>
  <si>
    <t>4C-CyberEss-2sk</t>
  </si>
  <si>
    <t>3</t>
  </si>
  <si>
    <t>3083943</t>
  </si>
  <si>
    <t>2287565</t>
  </si>
  <si>
    <t>moji ludia</t>
  </si>
  <si>
    <t>43173501</t>
  </si>
  <si>
    <t>2813322f-32de-402b-8e0f-639736d1c072</t>
  </si>
  <si>
    <t>CCNA2 2024/25</t>
  </si>
  <si>
    <t>2e2dd68c-7a41-4b07-848b-3f7956eb2369</t>
  </si>
  <si>
    <t>2A-2sk</t>
  </si>
  <si>
    <t>3214130</t>
  </si>
  <si>
    <t>30d811d7-fe9f-4e58-bfd4-b118cec335e8</t>
  </si>
  <si>
    <t>CCNA3 - III.A (2024/25)</t>
  </si>
  <si>
    <t>375b22eb-4cc6-4dd4-9677-a6879cad93f4</t>
  </si>
  <si>
    <t>CCNA2 Peto Jurcik</t>
  </si>
  <si>
    <t>3b6d91ad-88cc-4060-9357-ef352d8232ad</t>
  </si>
  <si>
    <t>1.C, 2.skupina, 2024/2025, CCNA: Introduction to Networks</t>
  </si>
  <si>
    <t>1029670634</t>
  </si>
  <si>
    <t>4e361433-13b3-4b7e-9f41-ff9f48560fd7</t>
  </si>
  <si>
    <t>CCNA1 - III.E (2024/25) CCNA: Introduction to Networks</t>
  </si>
  <si>
    <t>527597f7-7706-4e31-9995-a718ff193f0c</t>
  </si>
  <si>
    <t>1.D, 2.skupina, 2024/2025, CCNA: Introduction to Networks</t>
  </si>
  <si>
    <t>76ebbca9-0db0-459e-b99f-2e1536e353c0</t>
  </si>
  <si>
    <t>CCNA2 - IV.C (2024/25)</t>
  </si>
  <si>
    <t>8e2fce10-e6fc-46c2-95cd-deec48050367</t>
  </si>
  <si>
    <t>2A-1SK</t>
  </si>
  <si>
    <t>93ac958b-a076-47b4-bbad-e7328d45de17</t>
  </si>
  <si>
    <t>3S-SPSE-24/25-Sk2</t>
  </si>
  <si>
    <t>994ee4be-cf4f-4dbe-9524-77b51aea0ca0</t>
  </si>
  <si>
    <t>4C-CyberEss-1sk</t>
  </si>
  <si>
    <t>9befb182-41a6-491e-b4d2-35754d4e8c3d</t>
  </si>
  <si>
    <t>3.C CCNA: Enterprise Networking, Security, and Automation</t>
  </si>
  <si>
    <t>a93921fd-e1a5-47b1-99ee-62d41a5859bf</t>
  </si>
  <si>
    <t>1.B, 2.skupina, 2024/2025, CCNA: Introduction to Networks</t>
  </si>
  <si>
    <t>b4714f2a-6719-44cc-b3cf-a71b24ba16a2</t>
  </si>
  <si>
    <t>3S-SPSE-24/25-Sk1</t>
  </si>
  <si>
    <t>cf2cc5d8-bf0a-4620-aa21-ac727c41b753</t>
  </si>
  <si>
    <t>1.B, 1.skupina, CCNA: Introduction to Networks</t>
  </si>
  <si>
    <t>cf5a9af0-ad71-440a-b9ec-c6969bfbe9b2</t>
  </si>
  <si>
    <t>1.B, 1.skupina, 2024/2025, CCNA: Introduction to Networks</t>
  </si>
  <si>
    <t>df60cc25-6916-4de1-ba0f-ddaba9f77a19</t>
  </si>
  <si>
    <t>1.D, 1.skupina, 2024/2025, CCNA: Introduction to Networks</t>
  </si>
  <si>
    <t>e1bfe3bc-b772-4a2a-84ca-3aaac3b08919</t>
  </si>
  <si>
    <t>1.C, 1.skupina, 2024/2025, CCNA: Introduction to Networks</t>
  </si>
  <si>
    <t>e7bfa561-1219-44de-9db6-a08a3ed43681</t>
  </si>
  <si>
    <t>2.A_2sem_2024/25</t>
  </si>
  <si>
    <t>ee173fa8-c1a7-4fd6-9d6e-f66173b332ba</t>
  </si>
  <si>
    <t>CCNA1 - IV.E (2024/25)</t>
  </si>
  <si>
    <t>f260a5ca-88a3-4894-a3f1-d9e6e666cca3</t>
  </si>
  <si>
    <t>CCNA2 - IV.E (2024/25)</t>
  </si>
  <si>
    <t>fa04442c-9ce9-4877-8eb5-c1fbe06ac876</t>
  </si>
  <si>
    <t>CCNA2 - II.C (2024/25)</t>
  </si>
  <si>
    <t>2199590</t>
  </si>
  <si>
    <t>3A-Linux4</t>
  </si>
  <si>
    <t>1004873937</t>
  </si>
  <si>
    <t>2208214</t>
  </si>
  <si>
    <t>3A-Linux1</t>
  </si>
  <si>
    <t>2208292</t>
  </si>
  <si>
    <t>3A-Linux3</t>
  </si>
  <si>
    <t>2210308</t>
  </si>
  <si>
    <t>python</t>
  </si>
  <si>
    <t>2210639</t>
  </si>
  <si>
    <t>3A-Linux2</t>
  </si>
  <si>
    <t>47c49d36-ac39-4c74-9783-dd5c9239901c</t>
  </si>
  <si>
    <t>0cde6c9c-ce41-49eb-8ddd-f5e162376386</t>
  </si>
  <si>
    <t>52318445</t>
  </si>
  <si>
    <t>54906844</t>
  </si>
  <si>
    <t>116c7881-e055-4b63-a6c1-c6ad057cd198</t>
  </si>
  <si>
    <t>III_B_ELE_1_sk_24_25_CCNA: Introduction to Networks</t>
  </si>
  <si>
    <t>1017453519</t>
  </si>
  <si>
    <t>12a9d8c2-c3f7-44d7-ad5f-5bd5013f4c34</t>
  </si>
  <si>
    <t>3.C sk.2 - CCNA: Enterprise Networking, Security, and Automation</t>
  </si>
  <si>
    <t>201149c6-29a9-4457-b20d-4d87f3c96bf7</t>
  </si>
  <si>
    <t>2221298</t>
  </si>
  <si>
    <t>Linux II.D TPD</t>
  </si>
  <si>
    <t>1032013018</t>
  </si>
  <si>
    <t>2221300</t>
  </si>
  <si>
    <t>Linux II.C 2.skupina</t>
  </si>
  <si>
    <t>2223847</t>
  </si>
  <si>
    <t>Linux II.D</t>
  </si>
  <si>
    <t>2254082</t>
  </si>
  <si>
    <t>3D_24</t>
  </si>
  <si>
    <t>1001132357</t>
  </si>
  <si>
    <t>2262961</t>
  </si>
  <si>
    <t>2.C SIE 2.sk.</t>
  </si>
  <si>
    <t>28d91b06-790e-4d09-87cb-ac8d3033845a</t>
  </si>
  <si>
    <t>1.C-CCNA: Introduction to Networks</t>
  </si>
  <si>
    <t>8315504</t>
  </si>
  <si>
    <t>35792f9d-d7e9-4717-a4e9-082a37cdf899</t>
  </si>
  <si>
    <t>1042865910</t>
  </si>
  <si>
    <t>3e0970ba-8297-4aa8-a63a-9d9472b03fe0</t>
  </si>
  <si>
    <t>41b642c1-10b0-4c82-a08e-1bc0448d8a63</t>
  </si>
  <si>
    <t>3.D - CCNA: Enterprise Networking, Security, and Automation</t>
  </si>
  <si>
    <t>49a3c959-f351-4181-9e69-d9663f5066db</t>
  </si>
  <si>
    <t>Cybersecurity Essentials II.sk</t>
  </si>
  <si>
    <t>6dee10e9-5db1-4df4-bccf-771bd2d5b19d</t>
  </si>
  <si>
    <t>II.C 2.sk. Linux Essentials 2024/2025</t>
  </si>
  <si>
    <t>737ceaae-0e28-4f57-b527-294e3b41497c</t>
  </si>
  <si>
    <t>I_D_IST_24_25_CCNA: Introduction to Networks</t>
  </si>
  <si>
    <t>a8119f81-c432-453f-8c20-09a4366a6299</t>
  </si>
  <si>
    <t>c475988a-1429-4404-864b-415c3bd650a0</t>
  </si>
  <si>
    <t>ce1a8ee4-87b5-4aea-bba8-0a8bff770d51</t>
  </si>
  <si>
    <t>III_B_ELE_2_sk_24_25_CCNA: Introduction to Networks</t>
  </si>
  <si>
    <t>d3dc8e81-1557-45e2-8b7c-61b3ea8d1882</t>
  </si>
  <si>
    <t>3.C 1.sk-CCNA: Enterprise Networking, Security, and Automation</t>
  </si>
  <si>
    <t>e0777808-22cf-43c7-9b09-20c075c7664d</t>
  </si>
  <si>
    <t>Ethical Hacker II.sk</t>
  </si>
  <si>
    <t>eb83aae3-3fbd-45b9-949d-3f6e6d4d7136</t>
  </si>
  <si>
    <t>II.C 1.sk. Linux Essentials 2024/2025</t>
  </si>
  <si>
    <t>fcd5b882-ffcb-4442-8f15-ab2e75478c23</t>
  </si>
  <si>
    <t>CCNA: Switching, Routing, and Wireless Essentials II.C. 2.sk</t>
  </si>
  <si>
    <t>4ee5609d-8b00-47a4-ac9c-b412169e35fe</t>
  </si>
  <si>
    <t>46471229</t>
  </si>
  <si>
    <t>5961a91b-1772-4858-b6cb-df6448cdfca5</t>
  </si>
  <si>
    <t>1001054017</t>
  </si>
  <si>
    <t>5b8b983e-7b1b-494f-b1c4-a81a22f2610f</t>
  </si>
  <si>
    <t>Networking Basics_1E_SIE_2sk_2024_2025</t>
  </si>
  <si>
    <t>588121</t>
  </si>
  <si>
    <t>6ab8f0d9-4da7-4372-a957-5ba16677672b</t>
  </si>
  <si>
    <t>Networking Basics_1E_SIE_1sk_2024_2025</t>
  </si>
  <si>
    <t>1011637596</t>
  </si>
  <si>
    <t>6d7fcfe2-8113-4eff-b4d4-1a70743d76e0</t>
  </si>
  <si>
    <t>Networking Basics_1D_SIE_2024_2025</t>
  </si>
  <si>
    <t>755c7fb4-8985-423b-b7bb-5733651014b1</t>
  </si>
  <si>
    <t>Introduction to Cybersecurity_3E_2sk_2024_2025</t>
  </si>
  <si>
    <t>7.1</t>
  </si>
  <si>
    <t>9612e767-b013-48d9-946f-1825190dc280</t>
  </si>
  <si>
    <t>b5c5432e-7ff4-4c3a-b451-6b8426656942</t>
  </si>
  <si>
    <t>Introduction to Cybersecurity_3E_1sk_2024_2025</t>
  </si>
  <si>
    <t>bd0978e9-0a18-4d50-a2ae-4d22b78a7a4e</t>
  </si>
  <si>
    <t>IIntroduction to Cybersecurity_3D_2sk_2024_2025</t>
  </si>
  <si>
    <t>d6ef5416-7d62-4f62-abfa-6ad1c440b893</t>
  </si>
  <si>
    <t>Cybersecurity_3D_1sk_2024_2025</t>
  </si>
  <si>
    <t>0627031d-5ec9-4161-9453-a680a7c5f432</t>
  </si>
  <si>
    <t>1B2_English for IT 1</t>
  </si>
  <si>
    <t>40202895</t>
  </si>
  <si>
    <t>09893843-aaf0-443c-abe8-50670e2b3079</t>
  </si>
  <si>
    <t>2B 1sk 2024_2025 English for IT 1</t>
  </si>
  <si>
    <t>10e94dae-b12a-4981-9ab9-aa9cd872e1d7</t>
  </si>
  <si>
    <t>CyberOps Associate IVA</t>
  </si>
  <si>
    <t>4874700</t>
  </si>
  <si>
    <t>1829fb30-d2d3-4fc5-be87-3dc7e5677fdf</t>
  </si>
  <si>
    <t>CyberOps Associate IVD</t>
  </si>
  <si>
    <t>1ba2b5be-9f66-445d-a295-4bb189d7f25a</t>
  </si>
  <si>
    <t>CCNA: Switching, Routing, and Wireless Essentials IIB</t>
  </si>
  <si>
    <t>1d957b08-7c7d-4b26-8a6c-aeda11b01500</t>
  </si>
  <si>
    <t>Linux Essentials - 4D</t>
  </si>
  <si>
    <t>35471307</t>
  </si>
  <si>
    <t>47991594</t>
  </si>
  <si>
    <t>21759dc1-a710-48db-8552-f2459d7ed9ca</t>
  </si>
  <si>
    <t>3B 1sk 2024_2025 IT Essentials 7</t>
  </si>
  <si>
    <t>2207464</t>
  </si>
  <si>
    <t>Partner: CLA - Programming Essentials in C</t>
  </si>
  <si>
    <t>II.A Programovanie IaST</t>
  </si>
  <si>
    <t>1.1</t>
  </si>
  <si>
    <t>2280819</t>
  </si>
  <si>
    <t>CCNA-2</t>
  </si>
  <si>
    <t>2280917</t>
  </si>
  <si>
    <t>CCNA-3</t>
  </si>
  <si>
    <t>2280926</t>
  </si>
  <si>
    <t>CCNA-1</t>
  </si>
  <si>
    <t>25fe7a99-8089-4ad1-b33b-da44d9742295</t>
  </si>
  <si>
    <t>3B 2sk 2024_2025 English for IT 1</t>
  </si>
  <si>
    <t>2929b847-998d-4609-aeda-53285f6049d0</t>
  </si>
  <si>
    <t>CCNA2 II.C</t>
  </si>
  <si>
    <t>4874969</t>
  </si>
  <si>
    <t>2fc0952e-fc1e-449c-ab98-656515cc3940</t>
  </si>
  <si>
    <t>CyberOps Associate IVB</t>
  </si>
  <si>
    <t>350f5054-1944-40b9-ac6a-96b658290352</t>
  </si>
  <si>
    <t>C Essentials 1 - II.B</t>
  </si>
  <si>
    <t>3b2c40e1-134e-439c-b501-c3c6f81e86c1</t>
  </si>
  <si>
    <t>2G 2024_2025 English for IT 1</t>
  </si>
  <si>
    <t>43e2f34c-7d7c-4531-ba2d-498332bc9830</t>
  </si>
  <si>
    <t>2G 2024_2025 CCNA: Introduction to Networks</t>
  </si>
  <si>
    <t>442ef037-57e7-46b6-a69b-9d148c4a01a0</t>
  </si>
  <si>
    <t>C Essentials 1 - II.C</t>
  </si>
  <si>
    <t>4821de1b-12e7-49be-b3ef-98a943b94c89</t>
  </si>
  <si>
    <t>4ecc1f76-6a7d-4e79-bcec-fa68cbaf633d</t>
  </si>
  <si>
    <t>C Essentials 1 /2.A 1. skupina</t>
  </si>
  <si>
    <t>47991622</t>
  </si>
  <si>
    <t>5606f81c-f10a-45bf-b882-c40c3b3f16cf</t>
  </si>
  <si>
    <t>CCNA3 IIIC</t>
  </si>
  <si>
    <t>595af9ed-859e-4f1f-b357-d139653d52ce</t>
  </si>
  <si>
    <t>CCNA1 Int to Net IB</t>
  </si>
  <si>
    <t>59c4c51a-b41a-4954-892f-8a7a66767789</t>
  </si>
  <si>
    <t>3A 2sk 2024_2025 Computer Hardware Basics</t>
  </si>
  <si>
    <t>7a5dfdd9-599a-4666-a7e6-d490cef6fc91</t>
  </si>
  <si>
    <t>3.A 2sk 2024_2025 English for IT 1</t>
  </si>
  <si>
    <t>7e83c615-1221-4aad-a88f-275dbc25bf4f</t>
  </si>
  <si>
    <t>2G 2024_2025 Computer Hardware Basics</t>
  </si>
  <si>
    <t>95865e54-3f88-4eec-a75f-919ddcce4bd6</t>
  </si>
  <si>
    <t>3B 1sk 2024_2025 English for IT 1</t>
  </si>
  <si>
    <t>96f98c63-14e7-4906-a756-5b70c2bc8a82</t>
  </si>
  <si>
    <t>CCNA: Enterprise Networking, Security, and Automation 3.B</t>
  </si>
  <si>
    <t>43991239</t>
  </si>
  <si>
    <t>9a625ad7-3c04-4c0e-b5c3-9caca10d3acd</t>
  </si>
  <si>
    <t>2C 2sk 2024_2025 English for IT 1</t>
  </si>
  <si>
    <t>9d22d2b8-a4fa-4b09-bbe0-8a5bba7eb587</t>
  </si>
  <si>
    <t>CyberOps Associate IVC</t>
  </si>
  <si>
    <t>9fa0a48d-d779-4e67-bb57-f7e45227151a</t>
  </si>
  <si>
    <t>2A 2sk 2024_2025 IT Essentials 7</t>
  </si>
  <si>
    <t>af400e0c-7efb-4fdc-aeac-9367c4106864</t>
  </si>
  <si>
    <t>CCNA: Enterprise Networking, Securand aut. III.F</t>
  </si>
  <si>
    <t>b803211d-8c18-4775-9e6b-23f88f03d284</t>
  </si>
  <si>
    <t>2A 2sk 2024_2025 English for IT 1</t>
  </si>
  <si>
    <t>b9b76185-a015-444d-9445-e780ff7d86ac</t>
  </si>
  <si>
    <t>CCNA1 I.G</t>
  </si>
  <si>
    <t>bbcc2291-b135-4667-87e1-e2ab227fe681</t>
  </si>
  <si>
    <t>2B 1.sk 2024_2025 IT Essentials 7</t>
  </si>
  <si>
    <t>c8552d4d-f9bb-42d0-8e52-aff0fa468226</t>
  </si>
  <si>
    <t>CCNA2: IIA a IIG</t>
  </si>
  <si>
    <t>d1353c3f-f71f-48fc-a19f-cff58a6e6131</t>
  </si>
  <si>
    <t>CCNA: Introduction to Networks IA</t>
  </si>
  <si>
    <t>d190886e-419b-46e6-a2db-2657353b26c4</t>
  </si>
  <si>
    <t>CCNA: Introduction to Networks I.C</t>
  </si>
  <si>
    <t>d26f9947-ecd5-4d92-ba13-79860ff0552f</t>
  </si>
  <si>
    <t>2C 2sk 2024_2025 IT Essentials 7</t>
  </si>
  <si>
    <t>daa79542-fba9-49ea-8c5e-f1fabe131592</t>
  </si>
  <si>
    <t>3B 2sk 2024_2025 IT Essentials 7</t>
  </si>
  <si>
    <t>e532d0d8-75d2-4fab-b613-f3c9adb62621</t>
  </si>
  <si>
    <t>3B 1sk 2024_2025 Computer Hardware Basics</t>
  </si>
  <si>
    <t>f289cb25-a377-4db1-8678-19b655b3ffad</t>
  </si>
  <si>
    <t>Computer and Mobile Devices</t>
  </si>
  <si>
    <t>35492121</t>
  </si>
  <si>
    <t>f5138233-5924-4c3f-9bb4-16e1449f8f91</t>
  </si>
  <si>
    <t>C Essentials 1/ 2.A 2. skupina</t>
  </si>
  <si>
    <t>fe899fc1-187b-4e9b-b74d-856720902552</t>
  </si>
  <si>
    <t>ff789b55-9417-4b7a-9930-ef530806cbc5</t>
  </si>
  <si>
    <t>3A 2.sk 2024_2025 IT Essentials 7</t>
  </si>
  <si>
    <t>08bbaebe-ade2-4a3a-afd3-3a4cac788299</t>
  </si>
  <si>
    <t>43974284</t>
  </si>
  <si>
    <t>a8cdf849-330e-4356-9d59-23386d92c88a</t>
  </si>
  <si>
    <t>05303b41-5a92-4229-88cf-c05c0ec03fb3</t>
  </si>
  <si>
    <t>2024_2025 II.D CCNA: Switching, Routing, and Wireless Essentials</t>
  </si>
  <si>
    <t>1024075773</t>
  </si>
  <si>
    <t>6183054</t>
  </si>
  <si>
    <t>0f5fa89a-5132-46fc-af5a-d57c8f72a71f</t>
  </si>
  <si>
    <t>I.C/2 2024-2025 CCNA1: Introduction to Networks</t>
  </si>
  <si>
    <t>1053317386</t>
  </si>
  <si>
    <t>1020165e-3ec3-440c-9406-8e2134050700</t>
  </si>
  <si>
    <t>2.C/3.sk_24-25_CCNA: Switching, Routing, and Wireless Essentials</t>
  </si>
  <si>
    <t>4475541</t>
  </si>
  <si>
    <t>2199290</t>
  </si>
  <si>
    <t>III.D OVY1 SOS-IT 2023_2024</t>
  </si>
  <si>
    <t>2235837</t>
  </si>
  <si>
    <t>CCNA NS test</t>
  </si>
  <si>
    <t>2242943</t>
  </si>
  <si>
    <t>III.C OVY 2 SOS-IT 2023_2024</t>
  </si>
  <si>
    <t>2251676</t>
  </si>
  <si>
    <t>III.D OVY2 SOS-IT 2023_2024</t>
  </si>
  <si>
    <t>42bcb41a-d722-4a68-89b5-a22eec73a840</t>
  </si>
  <si>
    <t>24/25 I.A CCNA: Introduction to Networks</t>
  </si>
  <si>
    <t>3067396</t>
  </si>
  <si>
    <t>51c18817-06f5-49b0-beb3-63f532b5ea2a</t>
  </si>
  <si>
    <t>2024-2025 CCNA3 III.A CCNA: Enterprise Networking, Security, and Automation</t>
  </si>
  <si>
    <t>55387a21-5269-4e87-a49e-86686c5630a8</t>
  </si>
  <si>
    <t>I.C/1 2024-2025 CCNA1: Introduction to Networks</t>
  </si>
  <si>
    <t>6281c08a-661e-4374-9c55-fc98f065cab7</t>
  </si>
  <si>
    <t>2024_2025 III.D/3 CCNA: Enterprise Networking, Security, and Automation</t>
  </si>
  <si>
    <t>74309754-1009-46ed-a0b9-c0b8f2bbb895</t>
  </si>
  <si>
    <t>2.C/1.sk_24-25_CCNA: Switching, Routing, and Wireless Essentials</t>
  </si>
  <si>
    <t>759e8af1-6a09-48f8-bee4-3b3cf28a0dae</t>
  </si>
  <si>
    <t>I.C/3 2024-2025 CCNA1: Introduction to Networks</t>
  </si>
  <si>
    <t>8037fa53-bd6d-4358-8270-1cd344a8478f</t>
  </si>
  <si>
    <t>24-25 IV.C CCNA: Enterprise Networking, Security, and Automation</t>
  </si>
  <si>
    <t>91d6cdd4-2ae6-4d3a-8195-3742a88e6f32</t>
  </si>
  <si>
    <t>III.C_OVY3_CCNA: Enterprise Networking, Security, and Automation</t>
  </si>
  <si>
    <t>9479ef51-96ba-4e88-9f17-1d04cf605f62</t>
  </si>
  <si>
    <t>2024-2025 CCNA1 II.A-1 CCNA: Introduction to Networks</t>
  </si>
  <si>
    <t>96df7754-92dd-45cf-8f6c-2a8ed6d19ced</t>
  </si>
  <si>
    <t>2024-2025 III.A-3 CCNA Network Security</t>
  </si>
  <si>
    <t>b9325caf-8683-45f6-873f-4fc647b918f3</t>
  </si>
  <si>
    <t>2.C/2.sk_24-25_CCNA: Switching, Routing, and Wireless Essentials</t>
  </si>
  <si>
    <t>d8b8a127-7b17-4178-867e-4fd6e792c920</t>
  </si>
  <si>
    <t>2024_2025 III.C/2 CCNA: Enterprise Networking, Security, and Automation</t>
  </si>
  <si>
    <t>e10edf26-fd70-488f-89e1-52650e69877a</t>
  </si>
  <si>
    <t>2024-2025 III.A CCNA3 CCNA: Enterprise Networking, Security, and Automation</t>
  </si>
  <si>
    <t>eb4be3bf-e6bd-478f-a8e2-2371e4857754</t>
  </si>
  <si>
    <t>2024_2025 I.D CCNA: Introduction to Networks</t>
  </si>
  <si>
    <t>ff6337b7-840e-4a24-a554-6f13d074315e</t>
  </si>
  <si>
    <t>CCNA3 Suja MP CCNA: Enterprise Networking, Security, and Automation</t>
  </si>
  <si>
    <t>2271688</t>
  </si>
  <si>
    <t>2023/2024-1.semester</t>
  </si>
  <si>
    <t>5383759</t>
  </si>
  <si>
    <t>2262571</t>
  </si>
  <si>
    <t>20244CKruzok</t>
  </si>
  <si>
    <t>7578101</t>
  </si>
  <si>
    <t>fd449244-c212-479a-82e7-1fa6cb85f01a</t>
  </si>
  <si>
    <t>Stredna odborna skola technicka Michalovce</t>
  </si>
  <si>
    <t>0993eace-4d95-4c61-ac49-ddfc4ba6f5aa</t>
  </si>
  <si>
    <t>38990760</t>
  </si>
  <si>
    <t>39040547</t>
  </si>
  <si>
    <t>21bc042b-46b3-4604-b36a-b01391aa496d</t>
  </si>
  <si>
    <t>2241540</t>
  </si>
  <si>
    <t>II.BP-4</t>
  </si>
  <si>
    <t>2f9172d3-a2a9-419d-8647-24bb49ba0374</t>
  </si>
  <si>
    <t>c9464abb-c8b8-439f-85ab-e8a2a81acbcd</t>
  </si>
  <si>
    <t>CCNA: Introduction to Networks 2AP</t>
  </si>
  <si>
    <t>048b5407-035d-45e6-a817-a8b580e231be</t>
  </si>
  <si>
    <t>1002106561</t>
  </si>
  <si>
    <t>1036883352</t>
  </si>
  <si>
    <t>1174596</t>
  </si>
  <si>
    <t>37725539</t>
  </si>
  <si>
    <t>4144651</t>
  </si>
  <si>
    <t>43110443</t>
  </si>
  <si>
    <t>4900460</t>
  </si>
  <si>
    <t>17e02a25-041e-4f0f-beda-b9097ed9f30e</t>
  </si>
  <si>
    <t>III.A. - ITN - 2024/25 - MK</t>
  </si>
  <si>
    <t>2203537</t>
  </si>
  <si>
    <t>Cybersecurity Essentials - Legacy</t>
  </si>
  <si>
    <t>Bezpečnosť PC</t>
  </si>
  <si>
    <t>1.13</t>
  </si>
  <si>
    <t>2238599</t>
  </si>
  <si>
    <t>SOSE_3B_3S_2024</t>
  </si>
  <si>
    <t>2239677</t>
  </si>
  <si>
    <t>SOSE_3B_2S_2024</t>
  </si>
  <si>
    <t>2252531</t>
  </si>
  <si>
    <t>Partner: JavaScript Essentials 1 (JSE)</t>
  </si>
  <si>
    <t>Javascript</t>
  </si>
  <si>
    <t>1.00 - Instructor-Le</t>
  </si>
  <si>
    <t>2255730</t>
  </si>
  <si>
    <t>SOSELH_2B_2024_IntroToNet</t>
  </si>
  <si>
    <t>2311913e-96c0-4d08-9460-95ebbf6bae4e</t>
  </si>
  <si>
    <t>III.A-2-ITTN-2024/25</t>
  </si>
  <si>
    <t>2fc96e60-7f35-4ef8-bdb1-ba49af7f283a</t>
  </si>
  <si>
    <t>SOSELH_2B_CCNA2: Switching, Routing, and Wireless Essentials</t>
  </si>
  <si>
    <t>43c0cac6-babd-4f1c-9c4d-a96f9fa55967</t>
  </si>
  <si>
    <t>I.C - ITN - 2024/25 - MK</t>
  </si>
  <si>
    <t>44267ba8-b260-4373-aca3-c3762794a318</t>
  </si>
  <si>
    <t>3.B_1.sk_2024_2024</t>
  </si>
  <si>
    <t>44ef3fa1-b0a2-4c45-bb4f-37aeffbd7d46</t>
  </si>
  <si>
    <t>SOSELH_4B_2024_CCNA: Enterprise Networking, Security, and Automation</t>
  </si>
  <si>
    <t>497bb3e9-5bbc-4fe7-b735-37c2c1a56f33</t>
  </si>
  <si>
    <t>Industrial Networking Essentials</t>
  </si>
  <si>
    <t>[BETA] Industrial Networking Essentials</t>
  </si>
  <si>
    <t>4fc9fdf8-1977-4fc2-b338-7c706b270b1c</t>
  </si>
  <si>
    <t>SOSELH_4D_CCNA: Switching, Routing, and Wireless Essentials</t>
  </si>
  <si>
    <t>6869fdec-1abe-4b56-880f-ca907d215b9f</t>
  </si>
  <si>
    <t>I.C-2-ITN-2024/25</t>
  </si>
  <si>
    <t>6f880f87-ea37-40f6-81ef-a6fa75bbb594</t>
  </si>
  <si>
    <t>SOSELH 4B 2024 CCNA: Introduction to Networks</t>
  </si>
  <si>
    <t>701b9a1b-924e-4092-9345-a77bdb16f744</t>
  </si>
  <si>
    <t>Endpoint Security</t>
  </si>
  <si>
    <t>749e4280-81a9-4bf9-ba99-a65827ba0d57</t>
  </si>
  <si>
    <t>SOSELH_4B-2024_Cybersecurity Essentials</t>
  </si>
  <si>
    <t>79a09db8-7dea-4a12-8966-59c45eeb92b3</t>
  </si>
  <si>
    <t>IV.A-ITN-2024/25</t>
  </si>
  <si>
    <t>7e88df4f-96f1-42e3-94b4-c81b590679dc</t>
  </si>
  <si>
    <t>80048ca1-2eaf-4454-8487-3841a61b1954</t>
  </si>
  <si>
    <t>SOSELH 2B CCNA1: Introduction to Networks</t>
  </si>
  <si>
    <t>848d0c25-955a-4f7f-a1c7-37dc1b510db6</t>
  </si>
  <si>
    <t>SOSELH_4D_2024_CCNA: Introduction to Networks</t>
  </si>
  <si>
    <t>84dee90a-05f8-4b69-9bf3-0ba89e5bdd26</t>
  </si>
  <si>
    <t>8eedb304-337e-453a-83fe-a1af981039a6</t>
  </si>
  <si>
    <t>95b34584-9731-41d9-83ae-e6571150aa9a</t>
  </si>
  <si>
    <t>96e70bcb-1402-4f7f-a0a0-6ada9fceb8c5</t>
  </si>
  <si>
    <t>9a658571-a3b9-403b-9c51-a81feeffe671</t>
  </si>
  <si>
    <t>3.C_OSY_2.sk</t>
  </si>
  <si>
    <t>9af9959d-0dba-46d5-b46e-7dd7d4571ef7</t>
  </si>
  <si>
    <t>2c1</t>
  </si>
  <si>
    <t>9d474343-425e-4874-a358-989041b709bb</t>
  </si>
  <si>
    <t>SOSELH_4A_2024_Introduction to Cybersecurity</t>
  </si>
  <si>
    <t>a41c3739-b783-4b89-a28e-810950fece75</t>
  </si>
  <si>
    <t>SOSELH_4D_2024_CCNA: Enterprise Networking, Security, and Automation</t>
  </si>
  <si>
    <t>b5ec1588-78d8-4b45-b0fc-050d3f78d2bc</t>
  </si>
  <si>
    <t>SOSELH_3B_2024_CCNA: Switching, Routing, and Wireless Essentials</t>
  </si>
  <si>
    <t>b620c6b0-c197-4a4e-b421-8d2224e74390</t>
  </si>
  <si>
    <t>II.E - ITN - 2024/25 - MK</t>
  </si>
  <si>
    <t>bd1416c8-1ae2-49cf-b440-a81fcaa35ead</t>
  </si>
  <si>
    <t>3678742</t>
  </si>
  <si>
    <t>c3acf2da-fe19-4e47-b34d-d17e78eefe68</t>
  </si>
  <si>
    <t>c56b9ec1-24f3-4ada-92bb-bf307622a14c</t>
  </si>
  <si>
    <t>SOSELH_3B_2024_CCNA: Introduction to Networks</t>
  </si>
  <si>
    <t>c6b80559-1ed0-481d-8781-f8121b3c9c6c</t>
  </si>
  <si>
    <t>SOSELH_4B_2024_Introduction to Cybersecurity</t>
  </si>
  <si>
    <t>ceeefa17-1984-43f0-bc0e-b3045177aae1</t>
  </si>
  <si>
    <t>1.E_MPS_2024_2025</t>
  </si>
  <si>
    <t>d3021e5a-a8d1-4418-b8c1-03658f5c4b17</t>
  </si>
  <si>
    <t>d8d056ea-4634-4be9-93f4-f9f4a75f0a8e</t>
  </si>
  <si>
    <t>I.B-2-ITN2024/25</t>
  </si>
  <si>
    <t>db44ef7e-9d8e-4cc0-b264-e05639b2c253</t>
  </si>
  <si>
    <t>I.B - ITN - 2024/25 - MK</t>
  </si>
  <si>
    <t>deaf4c10-50ca-43b1-920d-cbf86139c71c</t>
  </si>
  <si>
    <t>1.E_OVY_MPS</t>
  </si>
  <si>
    <t>e8652c0a-bdf9-48e4-b282-c435fe3b22f6</t>
  </si>
  <si>
    <t>SOSELH_4B_2024_CCNA: Switching, Routing, and Wireless Essentials</t>
  </si>
  <si>
    <t>ec42c6ce-7779-452e-890a-1e363301c230</t>
  </si>
  <si>
    <t>3c1</t>
  </si>
  <si>
    <t>02d85180-1e69-4279-ab95-5471e91d874f</t>
  </si>
  <si>
    <t>CCNA2-3B-2024</t>
  </si>
  <si>
    <t>3529022</t>
  </si>
  <si>
    <t>2196168</t>
  </si>
  <si>
    <t>CCNA1 - 1A 2023/24</t>
  </si>
  <si>
    <t>27549722</t>
  </si>
  <si>
    <t>2235246</t>
  </si>
  <si>
    <t>CCNA1</t>
  </si>
  <si>
    <t>2f4b5924-35d3-4626-a55d-854d180ea4a8</t>
  </si>
  <si>
    <t>CCNA 3: Enterprise Networking, Security, and Automation</t>
  </si>
  <si>
    <t>55e57bca-605e-47d1-b14a-e7663709ab06</t>
  </si>
  <si>
    <t>IT-1A-2024</t>
  </si>
  <si>
    <t>72189f0c-152e-4d16-9010-adb0700e7c1b</t>
  </si>
  <si>
    <t>CCNA1-2B-2024</t>
  </si>
  <si>
    <t>96ef7397-b0ac-4f42-978e-fa70bd19317b</t>
  </si>
  <si>
    <t>CCNA 2: Switching, Routing, and Wireless Essentials</t>
  </si>
  <si>
    <t>c18691fd-a70e-4125-ae5d-f18fb21b42f8</t>
  </si>
  <si>
    <t>CCNA 1: Introduction to Networks</t>
  </si>
  <si>
    <t>c7e4e2fa-219e-497c-b886-bf99bc116639</t>
  </si>
  <si>
    <t>IT-1B-2024</t>
  </si>
  <si>
    <t>d05bd053-8e17-483a-a4d0-c8c53fa41f44</t>
  </si>
  <si>
    <t>CCNA3-4B-2024</t>
  </si>
  <si>
    <t>Univerzita sv. Cyrila a Metoda v Trnave</t>
  </si>
  <si>
    <t>2271498</t>
  </si>
  <si>
    <t>1SMH12</t>
  </si>
  <si>
    <t>7496090</t>
  </si>
  <si>
    <t>Gymnazium of Terezia Vansova Stara Lubovna</t>
  </si>
  <si>
    <t>028e2a02-27f5-43f9-8504-a76d0639cc6c</t>
  </si>
  <si>
    <t>32419925</t>
  </si>
  <si>
    <t>3db8938d-570a-418c-81d0-6dcfa45339ce</t>
  </si>
  <si>
    <t>96456dde-30d2-43e8-bbc5-95b93cad93f5</t>
  </si>
  <si>
    <t>Spojená škola sv. Jána Bosca, Nová Dubnica</t>
  </si>
  <si>
    <t>3dd41eb6-a095-4230-bbc7-39fd68dc9e8b</t>
  </si>
  <si>
    <t>CCNA: 3 - Enterprise Networking, Security, and Automation (2024/2025)</t>
  </si>
  <si>
    <t>48091207</t>
  </si>
  <si>
    <t>9342a3c5-2552-413a-9a2b-259cc239534f</t>
  </si>
  <si>
    <t>CCNA: 2 - Switching, Routing, and Wireless Essentials (2024/2025)</t>
  </si>
  <si>
    <t>d75c743e-2c77-4808-b742-14b34f940c61</t>
  </si>
  <si>
    <t>CCNA: 1 - Introduction to Networks (2024/2025)</t>
  </si>
  <si>
    <t>Armed Forces Academy of General M. R.Stefanik</t>
  </si>
  <si>
    <t>2195283</t>
  </si>
  <si>
    <t>s1sB23_2024</t>
  </si>
  <si>
    <t>31300392</t>
  </si>
  <si>
    <t>446177</t>
  </si>
  <si>
    <t>2195334</t>
  </si>
  <si>
    <t>s2sB23_2024</t>
  </si>
  <si>
    <t>2195361</t>
  </si>
  <si>
    <t>s3sB33_2024</t>
  </si>
  <si>
    <t>352d5d98-6fbb-4d1a-99ac-e1a55046dd93</t>
  </si>
  <si>
    <t>S1other-2024: CCNA: Introduction to Networks</t>
  </si>
  <si>
    <t>93c0f283-e539-4ebc-bf51-5847f1dd442c</t>
  </si>
  <si>
    <t>S1B23_2025 - CCNA: Introduction to Networks</t>
  </si>
  <si>
    <t>a3c1d0ee-dbed-46a9-a58a-c4c4d559a423</t>
  </si>
  <si>
    <t>S2B23_2025 - CCNA: Switching, Routing, and Wireless Essentials</t>
  </si>
  <si>
    <t>bb8e18fd-68b2-46ca-9cb5-11f5115bb604</t>
  </si>
  <si>
    <t>S3B23_2025 - CCNA: Enterprise Networking, Security, and Automation</t>
  </si>
  <si>
    <t>f641199d-0271-4f61-b01b-afa94443486c</t>
  </si>
  <si>
    <t>test01 - Introduction to Cybersecurity</t>
  </si>
  <si>
    <t>University of Zilina</t>
  </si>
  <si>
    <t>00b3948f-57a7-4875-952f-1781fd3b3184</t>
  </si>
  <si>
    <t>2024_cna2_str12.00_PS</t>
  </si>
  <si>
    <t>278326</t>
  </si>
  <si>
    <t>3327200</t>
  </si>
  <si>
    <t>36641768</t>
  </si>
  <si>
    <t>0659b818-7f1a-4bc9-bc2f-84ab462934f3</t>
  </si>
  <si>
    <t>Introduction to Cybersecurity-PIS-Uto-2B</t>
  </si>
  <si>
    <t>3277372</t>
  </si>
  <si>
    <t>06b155eb-15d1-457e-9794-c2a7eedfb1ea</t>
  </si>
  <si>
    <t>SOS-LE-2024</t>
  </si>
  <si>
    <t>23623420</t>
  </si>
  <si>
    <t>12f5be2f-4eec-497c-85a1-b94da64f4abc</t>
  </si>
  <si>
    <t>Introduction to Cybersecurity-MIB_2024</t>
  </si>
  <si>
    <t>37904197</t>
  </si>
  <si>
    <t>1a77be15-1214-4e4c-80ea-f2f3ef89dffa</t>
  </si>
  <si>
    <t>2024_C++_Essentials_01_Vrican</t>
  </si>
  <si>
    <t>1046216128</t>
  </si>
  <si>
    <t>1e0181fc-66dc-4189-bcc0-1abe7da3aaec</t>
  </si>
  <si>
    <t>PVSA-PE2-2024-ut8-MK</t>
  </si>
  <si>
    <t>1ed615bf-d210-434b-bc14-e9ef656c4ad4</t>
  </si>
  <si>
    <t>2024_cna2_ut_08_OS</t>
  </si>
  <si>
    <t>278325</t>
  </si>
  <si>
    <t>214542a7-1f2c-4abd-93bb-e159a29f63d0</t>
  </si>
  <si>
    <t>2024_ZS_CCNA2_01_D_Madlenak</t>
  </si>
  <si>
    <t>6222458</t>
  </si>
  <si>
    <t>2205855</t>
  </si>
  <si>
    <t>PIKS_2024</t>
  </si>
  <si>
    <t>1007193775</t>
  </si>
  <si>
    <t>28509693</t>
  </si>
  <si>
    <t>43080202</t>
  </si>
  <si>
    <t>2207535</t>
  </si>
  <si>
    <t>2024_LS_CCNA1_01Se-Madlenak</t>
  </si>
  <si>
    <t>2211696</t>
  </si>
  <si>
    <t>2024_q1_Linux-zaklady</t>
  </si>
  <si>
    <t>2.20 - Self-Paced</t>
  </si>
  <si>
    <t>2213272</t>
  </si>
  <si>
    <t>MK-CybSecEssen-2-2024</t>
  </si>
  <si>
    <t>2215468</t>
  </si>
  <si>
    <t>2024_OS_ucitelia</t>
  </si>
  <si>
    <t>2216652</t>
  </si>
  <si>
    <t>2024_cna3_po10_OS</t>
  </si>
  <si>
    <t>2216973</t>
  </si>
  <si>
    <t>2023_cna3_po14_MK</t>
  </si>
  <si>
    <t>2216974</t>
  </si>
  <si>
    <t>2024_cna3_v7.02_ut16.00_MM</t>
  </si>
  <si>
    <t>2217365</t>
  </si>
  <si>
    <t>2024_LS_CCNA1_01Si-Madlenak</t>
  </si>
  <si>
    <t>2218334</t>
  </si>
  <si>
    <t>2024_cna3_JU</t>
  </si>
  <si>
    <t>2218338</t>
  </si>
  <si>
    <t>2024_cna3_we8.00_Erasmus</t>
  </si>
  <si>
    <t>2220115</t>
  </si>
  <si>
    <t>MK-IntCybSec-2-2024-10:00</t>
  </si>
  <si>
    <t>2.13</t>
  </si>
  <si>
    <t>2220804</t>
  </si>
  <si>
    <t>2024_LS_CCNA1_02Si-Madlenak</t>
  </si>
  <si>
    <t>2246151</t>
  </si>
  <si>
    <t>2024_q2_cyberops_01p</t>
  </si>
  <si>
    <t>1.02</t>
  </si>
  <si>
    <t>2249976</t>
  </si>
  <si>
    <t>2024_Q2_CCNA3_Vrican-Dolnak</t>
  </si>
  <si>
    <t>2256306</t>
  </si>
  <si>
    <t>2024_Introduction_to_cybersecurity_Chovan</t>
  </si>
  <si>
    <t>2260748</t>
  </si>
  <si>
    <t>2024-ccna3-Telecom_SudParis</t>
  </si>
  <si>
    <t>2261124</t>
  </si>
  <si>
    <t>2024-ccna2-Telecom_SudParis</t>
  </si>
  <si>
    <t>2261160</t>
  </si>
  <si>
    <t>CybeSecEss</t>
  </si>
  <si>
    <t>2261414</t>
  </si>
  <si>
    <t>2024-ccna1-Telecom_SudParis</t>
  </si>
  <si>
    <t>2274876</t>
  </si>
  <si>
    <t>2024_Q3_CCNA3_Krug-Dolnak</t>
  </si>
  <si>
    <t>2284482</t>
  </si>
  <si>
    <t>2024_Linux_Essentials_Hubocan</t>
  </si>
  <si>
    <t>2dd43252-32dc-4ca8-a2cd-786cedf5aab6</t>
  </si>
  <si>
    <t>2024_Betka_Introduction to Cybersecurity</t>
  </si>
  <si>
    <t>3565d7e4-435f-4f57-8185-a1328980484b</t>
  </si>
  <si>
    <t>2024_Erasmus_winter CCNA1: Introduction to Networks</t>
  </si>
  <si>
    <t>46412fb8-9fb8-4d5a-b286-78e125cd9ed7</t>
  </si>
  <si>
    <t>PvSA-PE1-2024-ut8-MM</t>
  </si>
  <si>
    <t>4e6a34f8-8069-4d42-9521-1997612295de</t>
  </si>
  <si>
    <t>2024_ZS_CCNA1-Erasmus-Litvik</t>
  </si>
  <si>
    <t>1030863898</t>
  </si>
  <si>
    <t>1035539796</t>
  </si>
  <si>
    <t>57cce800-e455-4248-a5f1-6c7700bc366b</t>
  </si>
  <si>
    <t>Cyber Threat Management-KmNT-2024</t>
  </si>
  <si>
    <t>58dcf958-0ca2-44c5-b757-4fa00c7b8992</t>
  </si>
  <si>
    <t>2024-cna3-ALL</t>
  </si>
  <si>
    <t>59483ee3-e480-417f-8c42-38f44ba927d5</t>
  </si>
  <si>
    <t>Introduction to Cybersecurity-PIS-Pon-4B</t>
  </si>
  <si>
    <t>5c11fb0a-7af6-485d-beb3-ba68ed50fe46</t>
  </si>
  <si>
    <t>DevNet Associate</t>
  </si>
  <si>
    <t>VaCT-2024-str16-MK</t>
  </si>
  <si>
    <t>66e39389-b978-4a0e-94b8-0cbff89b9590</t>
  </si>
  <si>
    <t>2024-cna2-IB</t>
  </si>
  <si>
    <t>6ffd46c4-973f-4e6b-8ddd-cc284d6aa2c0</t>
  </si>
  <si>
    <t>Introduction to Cybersecurity-PIS-Pon-6B</t>
  </si>
  <si>
    <t>72dfdf08-8060-407b-aa75-7c171cc3770b</t>
  </si>
  <si>
    <t>2024_ZS_CCNA2_01_E_Madlenak</t>
  </si>
  <si>
    <t>7358e537-b270-40df-a874-df233c1c2c7c</t>
  </si>
  <si>
    <t>CCNA2_2024_WE: Switching, Routing, and Wireless Essentials</t>
  </si>
  <si>
    <t>78bf9866-72ed-43f4-ab4f-efd6ab9d195b</t>
  </si>
  <si>
    <t>CCNA2_2024_MO: Switching, Routing, and Wireless Essentials</t>
  </si>
  <si>
    <t>83fcc2c6-9a6a-4cb9-92ab-f59062e1cabf</t>
  </si>
  <si>
    <t>VaCT-2024-po18-MM</t>
  </si>
  <si>
    <t>8abd7505-6772-45ec-a8e1-8c2473d46b4d</t>
  </si>
  <si>
    <t>8b33196c-bb4c-4a7f-ab15-ab38964ad7a1</t>
  </si>
  <si>
    <t>PVSA-PE1-2024-ut8-MK</t>
  </si>
  <si>
    <t>8d6fc002-55a4-4231-a385-7ab6b7e59377</t>
  </si>
  <si>
    <t>2024-cna2-JU</t>
  </si>
  <si>
    <t>a54b5c8c-c2cb-4dd8-8ff6-866e8a6def19</t>
  </si>
  <si>
    <t>PvSA-PE2-2024-ut8-MM</t>
  </si>
  <si>
    <t>aa815363-0a5c-4ea2-b9db-a1d6da212e32</t>
  </si>
  <si>
    <t>CCNA3_IaKT3: Enterprise Networking, Security, and Automation</t>
  </si>
  <si>
    <t>aeefd635-c965-4b9e-8a11-34f64c68b3f4</t>
  </si>
  <si>
    <t>ceb17d40-db09-4327-b227-02ab3ff2d083</t>
  </si>
  <si>
    <t>2024_BIS</t>
  </si>
  <si>
    <t>e9d19bb0-27cf-4b89-91be-765f4f3cec0a</t>
  </si>
  <si>
    <t>CCNA: Introduction to Networks-KMnT-2024</t>
  </si>
  <si>
    <t>ee0fd9b1-2dd1-43ef-916e-a779bfeb8df2</t>
  </si>
  <si>
    <t>f2501c8f-9ba3-4f54-b6a3-f42f0dc1b067</t>
  </si>
  <si>
    <t>Cybersecurity Essentials-new-KmNT-2024</t>
  </si>
  <si>
    <t>f3d1fcb7-4d62-4346-a11c-4a5d572b5d4c</t>
  </si>
  <si>
    <t>CCNA2_2024_TH: Switching, Routing, and Wireless Essentials</t>
  </si>
  <si>
    <t>f984d114-ae41-4e12-88d7-ad88dc06c1a0</t>
  </si>
  <si>
    <t>2024-CyberOps</t>
  </si>
  <si>
    <t>fcc1a848-bd77-4260-ad35-addb2c52c907</t>
  </si>
  <si>
    <t>Introduction to Cybersecurity-PIS-Pia-2B</t>
  </si>
  <si>
    <t>SPST Martin</t>
  </si>
  <si>
    <t>0772fa8f-1f56-49aa-9df0-cb4a8b4bdb35</t>
  </si>
  <si>
    <t>Test - CCNA: Enterprise Networking, Security, and Automation</t>
  </si>
  <si>
    <t>3233760</t>
  </si>
  <si>
    <t>2195994</t>
  </si>
  <si>
    <t>IIID IST SN 2023_2024</t>
  </si>
  <si>
    <t>2196003</t>
  </si>
  <si>
    <t>IIICI SN 2023_2024</t>
  </si>
  <si>
    <t>2221471</t>
  </si>
  <si>
    <t>Absolvent 2</t>
  </si>
  <si>
    <t>2221576</t>
  </si>
  <si>
    <t>Absolvent 1</t>
  </si>
  <si>
    <t>2f4c52ba-239c-4bdc-9bdd-e124141e3281</t>
  </si>
  <si>
    <t>IVC IST 2024 CCNA: Switching, Routing, and Wireless Essentials</t>
  </si>
  <si>
    <t>3331afe3-e65e-4e30-94f8-60e3040ba6e8</t>
  </si>
  <si>
    <t>2CD 2024_2025 CCNA: Introduction to Networks.</t>
  </si>
  <si>
    <t>48144732</t>
  </si>
  <si>
    <t>49205383-6655-4398-8dd8-eb6ba0135746</t>
  </si>
  <si>
    <t>1CD 2024_2025 CCNA: Introduction to Networks.</t>
  </si>
  <si>
    <t>5a7fc844-8ea6-4632-b00c-7f37874ea9f7</t>
  </si>
  <si>
    <t>IIIC - CCNA: Switching, Routing, and Wireless Essentials</t>
  </si>
  <si>
    <t>8775e428-4f2e-4e92-a12c-f9362c58db2d</t>
  </si>
  <si>
    <t>Test - Cybersecurity Essentials</t>
  </si>
  <si>
    <t>fcbfafaa-e00c-4dac-a1d6-5859dff13246</t>
  </si>
  <si>
    <t>IVD IST 2024 CCNA: Switching, Routing, and Wireless Essentials</t>
  </si>
  <si>
    <t>36792c15-882a-4ce1-9430-e2c3c32007ff</t>
  </si>
  <si>
    <t>1.polrok_2024_CCNA1</t>
  </si>
  <si>
    <t>50211287</t>
  </si>
  <si>
    <t>Stredna priemyselna skola elektrotechnicka Presov</t>
  </si>
  <si>
    <t>24aef680-af1f-4e1c-ae3a-275b6be1640c</t>
  </si>
  <si>
    <t>2425_3c_pci_ITN_GAS</t>
  </si>
  <si>
    <t>281054</t>
  </si>
  <si>
    <t>47996400</t>
  </si>
  <si>
    <t>31c7d0bb-c100-452c-9665-8da1c28e9b80</t>
  </si>
  <si>
    <t>2425_1sc_zit_ITE_kul</t>
  </si>
  <si>
    <t>28220946</t>
  </si>
  <si>
    <t>8402826</t>
  </si>
  <si>
    <t>4a8763b8-ebb8-4364-b718-6ac47d131445</t>
  </si>
  <si>
    <t>2425_1sa_zit_ITE_NEV_2.skupina</t>
  </si>
  <si>
    <t>35910753</t>
  </si>
  <si>
    <t>4b566be4-9dcc-49a9-b8f8-b2f9ffb2faa3</t>
  </si>
  <si>
    <t>2425_2sa_sie2_srwe_kul</t>
  </si>
  <si>
    <t>54744c42-51b5-460e-ba9e-01e022b5f0dc</t>
  </si>
  <si>
    <t>2425_1sb_sie1_ITN_GAS</t>
  </si>
  <si>
    <t>5ad06d77-112d-42e8-978d-d27c27b95556</t>
  </si>
  <si>
    <t>2425_3sc_sie3_SRWE_VUJ</t>
  </si>
  <si>
    <t>64a6afae-b4aa-43cd-90d7-8be9eed0248e</t>
  </si>
  <si>
    <t>2425_3b_pci_ITN_GAS</t>
  </si>
  <si>
    <t>655182b3-c5f1-479c-b0f1-12a5a70bcb50</t>
  </si>
  <si>
    <t>2425_2sb_sie2_srwe_kul</t>
  </si>
  <si>
    <t>6a34ba1e-70f1-4e72-9df6-b8d302019b35</t>
  </si>
  <si>
    <t>2425_4sabc_kyb_CSE_VUJ</t>
  </si>
  <si>
    <t>8764b169-c357-4fa8-9331-9e60e795db78</t>
  </si>
  <si>
    <t>2425_2sc_sie2_srwe_nev</t>
  </si>
  <si>
    <t>884c4018-616a-4a65-a426-3a727a344442</t>
  </si>
  <si>
    <t>2425_4sc_sie4_ENSA_VUJ</t>
  </si>
  <si>
    <t>9624d66d-9eb4-475e-902b-51e1ceb9cb19</t>
  </si>
  <si>
    <t>2425_1sa_sie1_ITN_KAC</t>
  </si>
  <si>
    <t>48090686</t>
  </si>
  <si>
    <t>9fc19501-4ffa-4cd9-84f5-7cbb8843dfd4</t>
  </si>
  <si>
    <t>2425_4sabc_kyb_EtHack_VUJ</t>
  </si>
  <si>
    <t>a708f28e-3cff-4f44-9289-2ce25c643a3f</t>
  </si>
  <si>
    <t>2425_1sc_sie1_ItN_Kul</t>
  </si>
  <si>
    <t>b2b76ab9-4bab-44a6-b13c-e29858325da5</t>
  </si>
  <si>
    <t>2425_3sb_sie3_SRWE_VAV</t>
  </si>
  <si>
    <t>bdb54104-6e23-4016-ae35-dcc47808b53e</t>
  </si>
  <si>
    <t>2425_4sa_sie4_ENSA_VUJ_VAV</t>
  </si>
  <si>
    <t>c089c0b9-77e7-4067-ab32-f37067d43851</t>
  </si>
  <si>
    <t>2425_4sabc_kyb_ItCS_VUJ</t>
  </si>
  <si>
    <t>c5414a80-28d9-4f06-be2e-ae04ec2d2605</t>
  </si>
  <si>
    <t>2425_3sa_sie3_SRWE_VUJ</t>
  </si>
  <si>
    <t>cb268612-871c-4a25-9459-91dc26c2cf4f</t>
  </si>
  <si>
    <t>2425_1sb_ZIT_ITE_kul</t>
  </si>
  <si>
    <t>de98cdbf-d880-4762-95d9-fe3996302c9b</t>
  </si>
  <si>
    <t>2425_4sb_sie4_ENSA_VUJ_VAV</t>
  </si>
  <si>
    <t>f9261489-af44-4bd7-ba3c-8248dcb4da51</t>
  </si>
  <si>
    <t>2425_3sb_sie3_SRWE_VAV_2sk</t>
  </si>
  <si>
    <t>fcb7d67b-bad1-444e-bda9-d2683155b4c7</t>
  </si>
  <si>
    <t>2425_1sa_zit_ITE_NEV_1.skupina</t>
  </si>
  <si>
    <t>SOS HANDLOVA</t>
  </si>
  <si>
    <t>01c4147f-df3e-4a69-8d06-09a8432c6d1f</t>
  </si>
  <si>
    <t>CCNA2_2.C ist2: Switching, Routing, and Wireless Essentials</t>
  </si>
  <si>
    <t>37030922</t>
  </si>
  <si>
    <t>0bc86801-6a7b-4689-b2d1-4d56752b833b</t>
  </si>
  <si>
    <t>Mažar_4.B_CCNA: Introduction to Networks</t>
  </si>
  <si>
    <t>1042030123</t>
  </si>
  <si>
    <t>0ce06ca9-ac1b-46e2-96e5-5d1d2f50686f</t>
  </si>
  <si>
    <t>CCNA1_2.C ist2: Introduction to Networks</t>
  </si>
  <si>
    <t>14f1b48d-2c63-4a69-a3cf-4afa1f6a1205</t>
  </si>
  <si>
    <t>43435718</t>
  </si>
  <si>
    <t>1a8cf73d-6b66-4df4-a4bb-9088b068775a</t>
  </si>
  <si>
    <t>CCNA3_3.C ist1: Enterprise Networking, Security, and Automation</t>
  </si>
  <si>
    <t>1ca3d967-87f1-4551-bed7-5e6bba4a1046</t>
  </si>
  <si>
    <t>2202246</t>
  </si>
  <si>
    <t>CCNA1_3.B_MPS_MT</t>
  </si>
  <si>
    <t>36745095</t>
  </si>
  <si>
    <t>2224338</t>
  </si>
  <si>
    <t>CCNA2_2.B_SIDS_DKA_IV</t>
  </si>
  <si>
    <t>2238046</t>
  </si>
  <si>
    <t>CCNA3_J.Masiar, V. Demkova, M. Dolezal, S. Dolnik</t>
  </si>
  <si>
    <t>2238047</t>
  </si>
  <si>
    <t>CCNA3_Michal P.</t>
  </si>
  <si>
    <t>2238311</t>
  </si>
  <si>
    <t>CCNA2_J.Masiar, V. Demkova, M. Doležal, M. Cíger, A. Barta, S. Dolnik</t>
  </si>
  <si>
    <t>2238313</t>
  </si>
  <si>
    <t>CCNA2_Michal P.</t>
  </si>
  <si>
    <t>2238750</t>
  </si>
  <si>
    <t>CCNA1_Michal P.</t>
  </si>
  <si>
    <t>2242248</t>
  </si>
  <si>
    <t>CCNAv7_Viki</t>
  </si>
  <si>
    <t>2250565</t>
  </si>
  <si>
    <t>Emerging Technologies Workshops</t>
  </si>
  <si>
    <t>Emerging Technologies Workshop - Model Driven Programmability</t>
  </si>
  <si>
    <t>SDN_pf</t>
  </si>
  <si>
    <t>2251067</t>
  </si>
  <si>
    <t>CCNA1 - 4.C</t>
  </si>
  <si>
    <t>2251103</t>
  </si>
  <si>
    <t>CCNA2 - 4.C</t>
  </si>
  <si>
    <t>2258572</t>
  </si>
  <si>
    <t>CCNA1-Slukova, Adamik, Demkova, Dolezal, Dolnik, Masiar</t>
  </si>
  <si>
    <t>293d7869-a29f-48ea-b5fd-53798ceea291</t>
  </si>
  <si>
    <t>CCNA3_4.C ist1: Enterprise Networking, Security, and Automation</t>
  </si>
  <si>
    <t>3623c6f9-c731-443a-8044-20e8492d4f7c</t>
  </si>
  <si>
    <t>CCNA1_4.C ist1: Introduction to Networks</t>
  </si>
  <si>
    <t>3953e476-f63d-4b7e-8d25-c760cd358944</t>
  </si>
  <si>
    <t>2.B_mps_CCNA: Introduction to Networks</t>
  </si>
  <si>
    <t>39c05858-fa06-43dc-81d5-983c7471d592</t>
  </si>
  <si>
    <t>CCNA2_kruh: Switching, Routing, and Wireless Essentials</t>
  </si>
  <si>
    <t>44194d04-5741-499c-8ec0-f4dc528b9757</t>
  </si>
  <si>
    <t>2. B_sids_CCNA: Introduction to Networks</t>
  </si>
  <si>
    <t>4ac8fe3c-d23d-4e32-8801-927bf6cd0bfa</t>
  </si>
  <si>
    <t>CCNA2_4.C ist2: Switching, Routing, and Wireless Essentials</t>
  </si>
  <si>
    <t>5b10d493-d8db-4b11-b25d-7ea9249d291f</t>
  </si>
  <si>
    <t>4.B_dka_CCNA: Introduction to Networks</t>
  </si>
  <si>
    <t>5f9afbfa-7ca2-4a7c-abac-f42fb7e1a086</t>
  </si>
  <si>
    <t>CCNA1_1.D: Introduction to Networks</t>
  </si>
  <si>
    <t>68b9381e-ada5-4f5d-a4d5-f78a08a5c876</t>
  </si>
  <si>
    <t>CCNA2_2.C ist1: Switching, Routing, and Wireless Essentials</t>
  </si>
  <si>
    <t>69740315-bcda-4a43-b92f-57a33c6ea9be</t>
  </si>
  <si>
    <t>CCNA1_2.C ist1: Introduction to Networks</t>
  </si>
  <si>
    <t>6e43210f-7d65-4c14-a605-0cc72868f8ac</t>
  </si>
  <si>
    <t>CCNA1_1.C ist1: Introduction to Networks</t>
  </si>
  <si>
    <t>73587de3-758a-4b69-bfa9-bbaae04c2c7a</t>
  </si>
  <si>
    <t>CCNA2_3.B mps: Switching, Routing, and Wireless Essentials</t>
  </si>
  <si>
    <t>7de43a36-869a-454f-90a0-3af1c1954926</t>
  </si>
  <si>
    <t>CCNA1_kruh: Introduction to Networks</t>
  </si>
  <si>
    <t>8d345ca6-71e5-4581-b1d1-f010c4bae341</t>
  </si>
  <si>
    <t>CCNA2_3.C ist2: Switching, Routing, and Wireless Essentials</t>
  </si>
  <si>
    <t>a758b237-9658-447e-bdfd-554ad94ad6bc</t>
  </si>
  <si>
    <t>Introduction to IoT and Digital Transformation-3.C ist1</t>
  </si>
  <si>
    <t>a8993e52-1bd1-4b2e-bb02-b2261d843a43</t>
  </si>
  <si>
    <t>IoT_3.C ist2:Introduction to IoT and Digital Transformation</t>
  </si>
  <si>
    <t>a8c53a14-a3a8-4ec8-a02b-f7b62632adf0</t>
  </si>
  <si>
    <t>CCNA1_4.C ist2: Introduction to Networks</t>
  </si>
  <si>
    <t>ae0ff7d1-177a-4e36-af4f-a88707a4f7ec</t>
  </si>
  <si>
    <t>Operating Systems Basics-3.C ist1</t>
  </si>
  <si>
    <t>af0f3f12-e5fd-4140-951a-e7f3b47c3a9d</t>
  </si>
  <si>
    <t>CCNA1_1.C ist2</t>
  </si>
  <si>
    <t>1024075889</t>
  </si>
  <si>
    <t>bad12663-619a-4ecc-a0ba-845ee2ea279f</t>
  </si>
  <si>
    <t>3.B_sids-Operating Systems Basics</t>
  </si>
  <si>
    <t>bd5f48c3-8069-499f-a9f4-24c9e49a0dbf</t>
  </si>
  <si>
    <t>bfde2e1e-acdf-41e1-b181-9aee4315bcac</t>
  </si>
  <si>
    <t>CCNA2_3.C ist1: Switching, Routing, and Wireless Essentials</t>
  </si>
  <si>
    <t>cefdf9a4-36b5-4e97-9030-4a1444b77a63</t>
  </si>
  <si>
    <t>CCNA1_1.B sids: Introduction to Networks</t>
  </si>
  <si>
    <t>d47a0795-27ab-4a4e-85d6-950a61360963</t>
  </si>
  <si>
    <t>e5b9e878-c994-4fa4-92a9-59958fceb40f</t>
  </si>
  <si>
    <t>CCNA3_kruh: Enterprise Networking, Security, and Automation</t>
  </si>
  <si>
    <t>ec49e5f4-47f1-44a6-a0eb-d57654a0e997</t>
  </si>
  <si>
    <t>CCNA1_majstri: Introduction to Networks</t>
  </si>
  <si>
    <t>fd9bf774-b1c0-4981-84c5-a2ded8ebfc54</t>
  </si>
  <si>
    <t>feefdfd2-13ae-4ab0-a02c-02aa9ddfcf4a</t>
  </si>
  <si>
    <t>CCNA2_4.C ist1: Switching, Routing, and Wireless Essentials</t>
  </si>
  <si>
    <t>ffc40724-ef54-429e-a090-dedcd002b23a</t>
  </si>
  <si>
    <t>CCNA3_4.C ist2: Enterprise Networking, Security, and Automation</t>
  </si>
  <si>
    <t>03dbc254-dcdb-4e37-96cd-d26a35dc4cf7</t>
  </si>
  <si>
    <t>Networking Devices and Initial Configuration</t>
  </si>
  <si>
    <t>Networking Devices and Initial Configuration_I_B</t>
  </si>
  <si>
    <t>856716</t>
  </si>
  <si>
    <t>2b107ac4-79b5-4a0b-ad7b-1ed3cc04842e</t>
  </si>
  <si>
    <t>Základy počítačových sietí 1</t>
  </si>
  <si>
    <t>1034790638</t>
  </si>
  <si>
    <t>34921fc2-3e9c-4fbf-a634-4547b954c67d</t>
  </si>
  <si>
    <t>Základy informačných technológií 1</t>
  </si>
  <si>
    <t>1023188300</t>
  </si>
  <si>
    <t>3a9986a7-adcd-469e-b467-0330830d9c49</t>
  </si>
  <si>
    <t>5536132</t>
  </si>
  <si>
    <t>4da916fa-f5e7-4914-8c34-b1540b01a985</t>
  </si>
  <si>
    <t>Základy počítačových sietí 2.</t>
  </si>
  <si>
    <t>5316d932-1c3d-48db-82be-1c38b7a999d6</t>
  </si>
  <si>
    <t>4BS2KBZ</t>
  </si>
  <si>
    <t>5b426e26-1c99-43b5-95d8-adb7cd12ee01</t>
  </si>
  <si>
    <t>4AS2KBZ</t>
  </si>
  <si>
    <t>5cfd759e-86e5-4676-91b3-e59fc4d6bf11</t>
  </si>
  <si>
    <t>4BS1KBZ</t>
  </si>
  <si>
    <t>70fd154d-e907-47b8-b6cd-b98733db6b43</t>
  </si>
  <si>
    <t>ETIK</t>
  </si>
  <si>
    <t>794a9dcd-c310-4b6d-bb62-e191e8ece1b4</t>
  </si>
  <si>
    <t>92c57ded-267f-4829-948f-b6fcf61a8f77</t>
  </si>
  <si>
    <t>2BS1PRAX</t>
  </si>
  <si>
    <t>aa3b1baa-fbf7-4d51-aea1-ad02e43bb5b6</t>
  </si>
  <si>
    <t>b0a3c6e1-29a9-41a3-a0d6-e3a020f80c71</t>
  </si>
  <si>
    <t>Network Support and Security</t>
  </si>
  <si>
    <t>4AS1KBZ Network Support and Security</t>
  </si>
  <si>
    <t>c74313ad-c636-44a1-ab6b-17f0a6687ba5</t>
  </si>
  <si>
    <t>2AS1PRAX</t>
  </si>
  <si>
    <t>c8bc9f2c-fa37-467e-a282-2826d2b4fc1c</t>
  </si>
  <si>
    <t>CCNA: Switching, Routing, and Wireless Essentials_IIB_IIIA</t>
  </si>
  <si>
    <t>d6f9f3bb-9c73-40cc-a150-a6371d122ce6</t>
  </si>
  <si>
    <t>Club Ethical Hackers</t>
  </si>
  <si>
    <t>d705e22d-20be-463a-9109-a1c300ba0eff</t>
  </si>
  <si>
    <t>4AS1KBZ</t>
  </si>
  <si>
    <t>0d7c32d3-d14f-4383-867b-484663e71d0c</t>
  </si>
  <si>
    <t>6484408</t>
  </si>
  <si>
    <t>1832892a-150d-492b-a997-702d64ba4f3b</t>
  </si>
  <si>
    <t>2270378</t>
  </si>
  <si>
    <t>CCNA - Introduction to Networks 2024</t>
  </si>
  <si>
    <t>2270394</t>
  </si>
  <si>
    <t>IT Essenials 2024</t>
  </si>
  <si>
    <t>4c9e1e7b-d915-4c50-a24f-6d69e1ce5450</t>
  </si>
  <si>
    <t>2024-OSP-ITEss8-2</t>
  </si>
  <si>
    <t>6237097c-9b1b-466f-9033-2e2cff268936</t>
  </si>
  <si>
    <t>2024-OSP-ITEss8</t>
  </si>
  <si>
    <t>SPŠ Považská Bystrica</t>
  </si>
  <si>
    <t>09e22187-d937-44fe-812e-df89e9a9c469</t>
  </si>
  <si>
    <t>2024-25-JH-CCNA1-1B</t>
  </si>
  <si>
    <t>52481635</t>
  </si>
  <si>
    <t>1b455d22-d17b-401c-9e11-b29cbb7f93e2</t>
  </si>
  <si>
    <t>CCNA1: Introduction to Networks</t>
  </si>
  <si>
    <t>929408</t>
  </si>
  <si>
    <t>2212419</t>
  </si>
  <si>
    <t>2023-24-ZS-CCNA1-4B</t>
  </si>
  <si>
    <t>2254786</t>
  </si>
  <si>
    <t>2024-ZS-2B-ITessentials</t>
  </si>
  <si>
    <t>2264120</t>
  </si>
  <si>
    <t>2024-ZS-CCNA1-Hikanikova</t>
  </si>
  <si>
    <t>26e0e429-4453-40dd-8486-3822e3a6960b</t>
  </si>
  <si>
    <t>2024-25-ZS-CCNA3-3B</t>
  </si>
  <si>
    <t>5349f1d0-931a-4f99-9c82-f5b19f7ba17b</t>
  </si>
  <si>
    <t>2024-25-ZS-CCNA2-2B</t>
  </si>
  <si>
    <t>c4319892-39c3-404b-bccf-b61792b990b0</t>
  </si>
  <si>
    <t>CSOSE P.G.Frassatiho Bratislava</t>
  </si>
  <si>
    <t>034b1f43-90cd-49d7-a11f-957eebea7bd1</t>
  </si>
  <si>
    <t>Networking Basics_5.MPS-2024-25</t>
  </si>
  <si>
    <t>771404</t>
  </si>
  <si>
    <t>772379</t>
  </si>
  <si>
    <t>2206906</t>
  </si>
  <si>
    <t>prvá MPS - druhy pokus</t>
  </si>
  <si>
    <t>2221948</t>
  </si>
  <si>
    <t>stvrta MPS - Introduction to Networks CCNAv7</t>
  </si>
  <si>
    <t>396ca6b6-1596-4aa1-9461-07bec032f9ce</t>
  </si>
  <si>
    <t>Networking Basics - 1.MPS_2024-25</t>
  </si>
  <si>
    <t>45ead624-c33a-4434-9291-b8354194547c</t>
  </si>
  <si>
    <t>CCNA: Introduction to Networks I.GDMPS 1MI069</t>
  </si>
  <si>
    <t>1004269791</t>
  </si>
  <si>
    <t>85bff98f-2728-46e8-bf23-972720ae9513</t>
  </si>
  <si>
    <t>Networking Basics 2.MPS_2024-25</t>
  </si>
  <si>
    <t>f99d8fae-121a-4e02-8732-6df980538f2c</t>
  </si>
  <si>
    <t>Networking Basics 4.MPS_2024-25</t>
  </si>
  <si>
    <t>Secondary Polytechnic School Humenne</t>
  </si>
  <si>
    <t>2c2be5e2-d563-4960-a230-5f00147947ee</t>
  </si>
  <si>
    <t>37679512</t>
  </si>
  <si>
    <t>5395933</t>
  </si>
  <si>
    <t>Gymnázium P.J. Šafárika, Rožňava</t>
  </si>
  <si>
    <t>1e475027-d3d5-4072-bd74-cce55982c958</t>
  </si>
  <si>
    <t>47992261</t>
  </si>
  <si>
    <t>SPS elektrotechnicka Kosice</t>
  </si>
  <si>
    <t>05b3ef88-f456-4129-8384-4d5d3653421a</t>
  </si>
  <si>
    <t>5986815</t>
  </si>
  <si>
    <t>0ae1d885-aaa7-4bda-8310-251a8cd7e45b</t>
  </si>
  <si>
    <t>CCNA: Introduction to Networks_2_D_2sk</t>
  </si>
  <si>
    <t>7717569</t>
  </si>
  <si>
    <t>192f7001-0c32-4d4e-907e-72a81bc119d2</t>
  </si>
  <si>
    <t>CyberOps Associate - 2024/25</t>
  </si>
  <si>
    <t>4694369</t>
  </si>
  <si>
    <t>2195667</t>
  </si>
  <si>
    <t>DUAL, 4 ročník</t>
  </si>
  <si>
    <t>2198876</t>
  </si>
  <si>
    <t>CCNA2v7 - 3.A - 23/24</t>
  </si>
  <si>
    <t>37490080</t>
  </si>
  <si>
    <t>2201121</t>
  </si>
  <si>
    <t>CCNA1v7 - 3.A - 23/24</t>
  </si>
  <si>
    <t>2227677</t>
  </si>
  <si>
    <t>Norman, Oliver, Roman</t>
  </si>
  <si>
    <t>45821601</t>
  </si>
  <si>
    <t>2258806</t>
  </si>
  <si>
    <t>CCNA2 - Oliver Kapusta</t>
  </si>
  <si>
    <t>2319118d-7d6b-485b-abf5-5ab298876ccd</t>
  </si>
  <si>
    <t>28b287a5-6972-4896-9e88-caf5452e8744</t>
  </si>
  <si>
    <t>5404307</t>
  </si>
  <si>
    <t>52083410-0739-44b8-a79a-2f5364f92949</t>
  </si>
  <si>
    <t>Endpoint Security - 2024/25</t>
  </si>
  <si>
    <t>52474d19-bb8a-474a-bd63-560e7f225c45</t>
  </si>
  <si>
    <t>2.E.2sk_24/25_CCNA: Introduction to Networks</t>
  </si>
  <si>
    <t>52e5d885-46e5-440c-9ee6-c6663cf3a395</t>
  </si>
  <si>
    <t>CCNA: Introduction to Networks_2_D_1sk</t>
  </si>
  <si>
    <t>536a98dd-e3d3-4b72-9f99-c725d09b6a18</t>
  </si>
  <si>
    <t>1V_DUAL_24/25_CCNA: Introduction to Networks</t>
  </si>
  <si>
    <t>5758d673-a4f2-413d-8a95-9d0dcf7452d5</t>
  </si>
  <si>
    <t>PEŤO_ZAMBORI_Python Essentials 2</t>
  </si>
  <si>
    <t>5b8ab13f-b829-47ff-a76d-6775ccb18651</t>
  </si>
  <si>
    <t>CCNA: Switching, Routing, and Wireless Essentials_3_B_ADM</t>
  </si>
  <si>
    <t>6154de97-f603-4393-8e99-cc652ccbb4e9</t>
  </si>
  <si>
    <t>1V_DUAL_24/25_CCNA: Switching, Routing, and Wireless Essentials</t>
  </si>
  <si>
    <t>65413a80-8e31-4d37-8198-ff50d3430892</t>
  </si>
  <si>
    <t>694d8f5f-9343-4c23-b461-877fd0af7901</t>
  </si>
  <si>
    <t>6a0a199e-2a7e-4a38-9dac-e0b703b67aff</t>
  </si>
  <si>
    <t>Network Defense</t>
  </si>
  <si>
    <t>Network Defense - 2024/25</t>
  </si>
  <si>
    <t>7af6d7ac-a633-441f-93d4-abd08a231cd6</t>
  </si>
  <si>
    <t>856c6fb1-bffe-4047-ae60-f9eea3a885fd</t>
  </si>
  <si>
    <t>CCNA: Introduction to Networks II.A 2.sk</t>
  </si>
  <si>
    <t>8a196604-6080-4f08-bd29-e72b3ea771b4</t>
  </si>
  <si>
    <t>4D_SPSEKE_24/25_CCNA: Switching, Routing, and Wireless Essentials</t>
  </si>
  <si>
    <t>91f99301-833b-4060-8eba-b5341dc08bd6</t>
  </si>
  <si>
    <t>PEŤO_ZAMBORI_Python Essentials 1</t>
  </si>
  <si>
    <t>97345d31-2ce7-4263-a590-396f091886c7</t>
  </si>
  <si>
    <t>CCNA: Switching, Routing, and Wireless Essentials_3_D_ADM</t>
  </si>
  <si>
    <t>998f7daa-1b40-4118-8cd8-ca6d412c3ac7</t>
  </si>
  <si>
    <t>CCNA: Introduction to Networks II.A 1.sk</t>
  </si>
  <si>
    <t>b5232f9e-4024-40ea-b6b0-c6eb23ee1707</t>
  </si>
  <si>
    <t>CCNA: Introduction to Networks II.B 2.sk</t>
  </si>
  <si>
    <t>c6c6ed6e-4cc7-418d-a507-5fc65e434ab0</t>
  </si>
  <si>
    <t>Introduction to Cybersecurity - 2024/25</t>
  </si>
  <si>
    <t>dc9e15c6-6208-421b-9ad8-9c45fe278bab</t>
  </si>
  <si>
    <t>CCNA: Enterprise Networking, Security, and Automation_VOŠ</t>
  </si>
  <si>
    <t>f05ef5d0-307b-49d8-babf-97d8f49e57c6</t>
  </si>
  <si>
    <t>f19613aa-85cd-4dbd-929f-d9d9acf98ec1</t>
  </si>
  <si>
    <t>2.E.1sk_24/25_CCNA: Introduction to Networks</t>
  </si>
  <si>
    <t>f9d9f232-84d7-47e8-84b1-4e9f435a6306</t>
  </si>
  <si>
    <t>CCNA: Introduction to Networks II. B 1.sk</t>
  </si>
  <si>
    <t>fbb7cbd5-31fe-4dd6-88f0-b2fedef95892</t>
  </si>
  <si>
    <t>Ethical Hacker - 2024/25</t>
  </si>
  <si>
    <t>SOŠ Strojnícka, Bánovce nad Bebravou</t>
  </si>
  <si>
    <t>1d1ca6d5-7fcd-4608-8439-3729cc87c8ac</t>
  </si>
  <si>
    <t>51363958</t>
  </si>
  <si>
    <t>a5e5c9f2-7eb0-4eae-962f-3f530f5c9064</t>
  </si>
  <si>
    <t>Exploring Networking with Cisco Packet Tracer</t>
  </si>
  <si>
    <t>c5a573cb-58f9-42c5-bd09-363b1c151869</t>
  </si>
  <si>
    <t>e0842dcc-033d-4ecc-8414-3e5a823e65fb</t>
  </si>
  <si>
    <t>Getting Started with Cisco Packet Tracer T42024</t>
  </si>
  <si>
    <t>Spojená škola, Ľ. Podjavorinskej 22, Prešov</t>
  </si>
  <si>
    <t>49fe564a-408c-49c9-a56e-7321c191b8d0</t>
  </si>
  <si>
    <t>CCNA2 3.E MPS 2024/2025</t>
  </si>
  <si>
    <t>54873416</t>
  </si>
  <si>
    <t>6d08e77d-c249-403c-b27c-5abedbe72572</t>
  </si>
  <si>
    <t>CCNA1 2.F MPS 2024/2025</t>
  </si>
  <si>
    <t>6e08fbb3-def9-49e3-aaed-247baac0a212</t>
  </si>
  <si>
    <t>CCNA3 4.E MPS 2024/2025</t>
  </si>
  <si>
    <t>b62ade82-acc9-4611-bc84-87c98327baeb</t>
  </si>
  <si>
    <t>CCNA2 3.F MPS 2024/2025</t>
  </si>
  <si>
    <t>1b6e13d0-ba1b-406f-9e51-eeeb966cf661</t>
  </si>
  <si>
    <t>278907</t>
  </si>
  <si>
    <t>f6068b35-d057-4af6-97c0-3e49b49d96c3</t>
  </si>
  <si>
    <t>1014712376</t>
  </si>
  <si>
    <t>19456ebb-aa2b-4562-b894-b216f7046137</t>
  </si>
  <si>
    <t>35420883</t>
  </si>
  <si>
    <t>2242273</t>
  </si>
  <si>
    <t>CCNA2_IV.D_2.sk_23/24</t>
  </si>
  <si>
    <t>2242924</t>
  </si>
  <si>
    <t>CCNA2_III.D_1.sk_23/24</t>
  </si>
  <si>
    <t>43bb0eec-b3cb-49c6-bd77-6c1bdaa6ffff</t>
  </si>
  <si>
    <t>99deda51-7811-42ce-a6be-4035816d08b1</t>
  </si>
  <si>
    <t>SST - 2.D-2.sk - CCNA: Introduction to Networks</t>
  </si>
  <si>
    <t>1006943468</t>
  </si>
  <si>
    <t>c9da1855-37c5-4c04-8e85-60ae64ddd48c</t>
  </si>
  <si>
    <t>e5455284-c778-4549-9589-dedae9a1697f</t>
  </si>
  <si>
    <t>fbc5d010-eb30-42fa-af42-238e1ee1d980</t>
  </si>
  <si>
    <t>SST - 2.D-1.sk - CCNA: Introduction to Networks</t>
  </si>
  <si>
    <t>Stredna priemyselna skola Snina</t>
  </si>
  <si>
    <t>2269549</t>
  </si>
  <si>
    <t>2023_24_R_CCNA1_SO</t>
  </si>
  <si>
    <t>24868972</t>
  </si>
  <si>
    <t>24929073</t>
  </si>
  <si>
    <t>25059480</t>
  </si>
  <si>
    <t>39030601</t>
  </si>
  <si>
    <t>39050426</t>
  </si>
  <si>
    <t>2a07364e-9538-4016-a665-0d40dc942910</t>
  </si>
  <si>
    <t>2024_25_4.L_CCNA1_SO: Introduction to Networks</t>
  </si>
  <si>
    <t>bcbce7cc-d25c-4e53-a68f-cf860065cfc3</t>
  </si>
  <si>
    <t>ca3a5a08-d4d2-4b25-a0a9-e2002bcba1e6</t>
  </si>
  <si>
    <t>2024_26_3.L_CCNA1_SO: Introduction to Networks</t>
  </si>
  <si>
    <t>ebd50116-17d0-4153-853d-23d0fe551c7d</t>
  </si>
  <si>
    <t>2024_25_RA_CCNA1_SO: Introduction to Networks</t>
  </si>
  <si>
    <t>1f9b12b3-e945-4569-abf9-9d8faafd5039</t>
  </si>
  <si>
    <t>PKS2425-STV08-LST1</t>
  </si>
  <si>
    <t>1001538379</t>
  </si>
  <si>
    <t>1014792255</t>
  </si>
  <si>
    <t>1015457254</t>
  </si>
  <si>
    <t>49393169</t>
  </si>
  <si>
    <t>8585016</t>
  </si>
  <si>
    <t>2234248</t>
  </si>
  <si>
    <t>ENCOR-2</t>
  </si>
  <si>
    <t>8.02</t>
  </si>
  <si>
    <t>2e029762-35ac-4d1f-a859-1c3a39b89f60</t>
  </si>
  <si>
    <t>PKS2425-STV18-Digilab</t>
  </si>
  <si>
    <t>43cce90f-0363-4a5e-a684-458e771ceab7</t>
  </si>
  <si>
    <t>PKS2425-STV18-Lenovo</t>
  </si>
  <si>
    <t>451eb7fb-b719-4319-8b3d-e3cc14242c7f</t>
  </si>
  <si>
    <t>PKS2425-UT18-Digilab</t>
  </si>
  <si>
    <t>4b6fd822-9ebe-4a76-9e3f-233e4ff9a701</t>
  </si>
  <si>
    <t>PKS2425-STV16-Digilab</t>
  </si>
  <si>
    <t>65152501-6cd9-4140-b08a-ed1d3be1f573</t>
  </si>
  <si>
    <t>CCNA1: 1S-BJ-01</t>
  </si>
  <si>
    <t>684dcb3f-cccd-4043-93d1-743ad2ec2028</t>
  </si>
  <si>
    <t>PKS2425-STV08-Digilab</t>
  </si>
  <si>
    <t>72d3ff51-f10d-4d7d-8698-2dd55c2613a8</t>
  </si>
  <si>
    <t>PKS2425-UT16-Lenovo</t>
  </si>
  <si>
    <t>7f085d21-0df6-4d72-a6bc-58f64baddd93</t>
  </si>
  <si>
    <t>PKS2425-UT18-LST1</t>
  </si>
  <si>
    <t>8c27e0ff-38a8-4d2e-8e55-0545b6faf9f7</t>
  </si>
  <si>
    <t>PKS2425-STV10-Digilab</t>
  </si>
  <si>
    <t>8e4a7d5e-4f05-420c-ac06-b8e9615dd5ca</t>
  </si>
  <si>
    <t>1S-PKS-AO-2425</t>
  </si>
  <si>
    <t>989d53ea-1ec8-4c9c-8eca-fd5e73a75869</t>
  </si>
  <si>
    <t>PKS2425-STV10-LST1</t>
  </si>
  <si>
    <t>bb7a6658-69d6-4290-9649-5d122ea3803b</t>
  </si>
  <si>
    <t>PKS2425-STV08-Lenovo</t>
  </si>
  <si>
    <t>bdd6fd33-f549-4b58-a27b-4fef14852e90</t>
  </si>
  <si>
    <t>PKS2425-UT18-Lenovo</t>
  </si>
  <si>
    <t>ce05be88-81d5-483a-ab22-f9c7f60a088c</t>
  </si>
  <si>
    <t>PKS2425-UT16-LST1</t>
  </si>
  <si>
    <t>e67d4171-f17f-440c-9174-2a9e4657d9d1</t>
  </si>
  <si>
    <t>PKS2425-STV16-Lenovo</t>
  </si>
  <si>
    <t>ebfb324b-b4ed-47bc-ab20-632aa4e33a3d</t>
  </si>
  <si>
    <t>PKS2425-STV10-Lenovo</t>
  </si>
  <si>
    <t>fe67aa13-8298-43bc-91d6-84e472fb696d</t>
  </si>
  <si>
    <t>PKS2425-UT16-Digilab</t>
  </si>
  <si>
    <t>Gymnazium Spisska Nova Ves</t>
  </si>
  <si>
    <t>2189745</t>
  </si>
  <si>
    <t>WANT-AV-J01</t>
  </si>
  <si>
    <t>27142535</t>
  </si>
  <si>
    <t>62ed98b4-0a6d-40a5-8063-ec1ecc230222</t>
  </si>
  <si>
    <t>d3abc925-c528-446b-a049-3cb4bf052e8f</t>
  </si>
  <si>
    <t>SOŠ ekonomická, Stojan 1, Spišská Nová Ves</t>
  </si>
  <si>
    <t>1d36a877-3752-4bcb-b337-e00d3f131de1</t>
  </si>
  <si>
    <t>2024/25 3L CCNA1</t>
  </si>
  <si>
    <t>48010334</t>
  </si>
  <si>
    <t>2213317</t>
  </si>
  <si>
    <t>III.L 2023/2024</t>
  </si>
  <si>
    <t>48900791</t>
  </si>
  <si>
    <t>2c350655-46dd-4344-aa69-02494770cfcc</t>
  </si>
  <si>
    <t>daf119d8-cebc-403a-a422-32290a63ef1b</t>
  </si>
  <si>
    <t>2024/2025 1L CCNA1</t>
  </si>
  <si>
    <t>f30b2ccb-464c-461c-9f34-21716d4e47c2</t>
  </si>
  <si>
    <t>3L 24/25 CCNA: Introduction to Networks.</t>
  </si>
  <si>
    <t>Secondary Vocational School Roznava</t>
  </si>
  <si>
    <t>2217524</t>
  </si>
  <si>
    <t>siete 3C 2023</t>
  </si>
  <si>
    <t>3180944</t>
  </si>
  <si>
    <t>3e67231a-721d-43e5-90ba-8208a6896415</t>
  </si>
  <si>
    <t>Python 2C 24_25</t>
  </si>
  <si>
    <t>14385cbe-1b6e-41dc-9879-fee3483453c8</t>
  </si>
  <si>
    <t>52ac5bb1-7e15-4f44-bcf4-debd831374c0</t>
  </si>
  <si>
    <t>siete 2C 2024</t>
  </si>
  <si>
    <t>55d0ef4e-9951-49f5-943f-fffb1d52fb8c</t>
  </si>
  <si>
    <t>43962840</t>
  </si>
  <si>
    <t>6efe1ada-8ec7-4d37-b9f6-048c106e3103</t>
  </si>
  <si>
    <t>siete2 4C 2024</t>
  </si>
  <si>
    <t>8914ea9e-c773-4ea5-8dfd-bb6d979dcd32</t>
  </si>
  <si>
    <t>bezpečnosť 4C 2024</t>
  </si>
  <si>
    <t>89786a97-ed7b-406b-8ca8-d974609076fe</t>
  </si>
  <si>
    <t>siete 4C 2024</t>
  </si>
  <si>
    <t>962e7d8c-9977-411b-9979-88df7d5fd522</t>
  </si>
  <si>
    <t>siete2 3C 2024</t>
  </si>
  <si>
    <t>9b743dbc-ad55-43c4-a5f9-7d91bb8be37f</t>
  </si>
  <si>
    <t>siete1 3C 2024</t>
  </si>
  <si>
    <t>f5510808-6473-4be4-89b1-6fc5e7fd2a11</t>
  </si>
  <si>
    <t>CCNA: Introduction to Networks II.A</t>
  </si>
  <si>
    <t>0934bb2b-25e7-46b2-9ea4-af39ec7cf0cc</t>
  </si>
  <si>
    <t>S2_IIIEA_2425_MAD</t>
  </si>
  <si>
    <t>5511638</t>
  </si>
  <si>
    <t>6555574</t>
  </si>
  <si>
    <t>0ebbefa2-9356-4848-81e7-098193b50bba</t>
  </si>
  <si>
    <t>0efb5ede-270f-4232-8e46-e42924ffa0ba</t>
  </si>
  <si>
    <t>2.EA - CCNA: Introduction to Networks</t>
  </si>
  <si>
    <t>1053764432</t>
  </si>
  <si>
    <t>2194321</t>
  </si>
  <si>
    <t>sec2324</t>
  </si>
  <si>
    <t>2ec8a25d-2da0-46ca-a458-b4184acf7b10</t>
  </si>
  <si>
    <t>CCNA2 IV.EC SAL</t>
  </si>
  <si>
    <t>5c031ecd-b7d3-4c05-ae3a-5389ce62d7de</t>
  </si>
  <si>
    <t>2.EB - CCNA: Introduction to Networks</t>
  </si>
  <si>
    <t>5c5b7812-3fcd-4eab-a48d-4c27255fce24</t>
  </si>
  <si>
    <t>CCNA3 IV.EA SAL</t>
  </si>
  <si>
    <t>66b6ed74-7975-4cdd-9f74-a5afe7b64c21</t>
  </si>
  <si>
    <t>S2_IVEC_2425_MAD</t>
  </si>
  <si>
    <t>676a5d4d-9f55-47f7-9d4d-b90fa6bda697</t>
  </si>
  <si>
    <t>S1_IIIEC_2425_MAD</t>
  </si>
  <si>
    <t>69703ee6-beb1-486c-9de9-6eb4f94b5c87</t>
  </si>
  <si>
    <t>S1_IIEB_2425_MAD</t>
  </si>
  <si>
    <t>a7ea9929-a3f0-4c2d-8365-323bc6208d69</t>
  </si>
  <si>
    <t>S3_IVEA_2425_MAD</t>
  </si>
  <si>
    <t>b7d5de6f-9837-4573-9c04-7a89916d6958</t>
  </si>
  <si>
    <t>CCNA2 III.EB SAL</t>
  </si>
  <si>
    <t>e61a216c-73f9-41b6-9129-2c0adf44152e</t>
  </si>
  <si>
    <t>S3_IVEB_2425_MAD</t>
  </si>
  <si>
    <t>e9ad7678-d03e-450a-b028-5dc92738688e</t>
  </si>
  <si>
    <t>CCNA 2 III.EA SAL</t>
  </si>
  <si>
    <t>ebd7364c-8110-42c0-b588-7c7ac0fad1e7</t>
  </si>
  <si>
    <t>S2_IIIEB_2425_MAD</t>
  </si>
  <si>
    <t>f2bc8101-7a43-45ab-a6f6-632ef7e2bd3b</t>
  </si>
  <si>
    <t>3.EC - CCNA: Introduction to Networks</t>
  </si>
  <si>
    <t>f5cce812-07f6-4a39-9683-727332c44ab7</t>
  </si>
  <si>
    <t>S1- test</t>
  </si>
  <si>
    <t>fd779641-c772-4cd0-89fd-fef494b65b9e</t>
  </si>
  <si>
    <t>CCNA 3 IV.EB SAL</t>
  </si>
  <si>
    <t>36f9da93-0aa3-4c07-bf90-502d19400372</t>
  </si>
  <si>
    <t>SOSD IIIM 2024 CCNA: Introduction to Networks</t>
  </si>
  <si>
    <t>8175632</t>
  </si>
  <si>
    <t>a343ae2b-442b-4ee1-b79b-fc86860ee441</t>
  </si>
  <si>
    <t>SOSD IVM 2024 CCNA: Switching, Routing, and Wireless Essentials</t>
  </si>
  <si>
    <t>Spojená škola Svätej Rodiny-gymnázium, Gercenova 10, Bratislava</t>
  </si>
  <si>
    <t>b963fe5f-121b-4529-9c86-02adc2ddd93d</t>
  </si>
  <si>
    <t>48020893</t>
  </si>
  <si>
    <t>SPSE Piestany</t>
  </si>
  <si>
    <t>2270654</t>
  </si>
  <si>
    <t>CCNA3v7.2_IN_Ma24_24</t>
  </si>
  <si>
    <t>1004444803</t>
  </si>
  <si>
    <t>2270659</t>
  </si>
  <si>
    <t>CCNA2v7.2_IN_Ma24_24 Leto</t>
  </si>
  <si>
    <t>3afcf9ba-49ab-4bfa-bea3-4c9aeb010d2c</t>
  </si>
  <si>
    <t>CCNA1: Introduction to Networks_test</t>
  </si>
  <si>
    <t>1034342212</t>
  </si>
  <si>
    <t>9f009b62-27c0-4157-8def-107761c67019</t>
  </si>
  <si>
    <t>CCNA3_2024-2025_Hr</t>
  </si>
  <si>
    <t>53382230</t>
  </si>
  <si>
    <t>2228258</t>
  </si>
  <si>
    <t>CCNA1_intro</t>
  </si>
  <si>
    <t>7650621</t>
  </si>
  <si>
    <t>06a91d85-5b2e-46b7-8cfa-68c00649113f</t>
  </si>
  <si>
    <t>53411129</t>
  </si>
  <si>
    <t>20779929-1aa9-421d-bd37-a97c00e4e48e</t>
  </si>
  <si>
    <t>IV.DI_2024/2025_CyberOps Associate</t>
  </si>
  <si>
    <t>21450511</t>
  </si>
  <si>
    <t>2327659a-fadb-402f-af58-6800049d32fe</t>
  </si>
  <si>
    <t>2024-25_I.AI_ITEv8</t>
  </si>
  <si>
    <t>4193525</t>
  </si>
  <si>
    <t>34c158cd-1a7f-4616-b6a8-ee65c4f11f91</t>
  </si>
  <si>
    <t>2024-25_IV.AI_SIE4</t>
  </si>
  <si>
    <t>34d5e28f-028c-4ad9-b636-f95beb1bf18f</t>
  </si>
  <si>
    <t>2024-25_II.AI_SIE2</t>
  </si>
  <si>
    <t>35429b69-de55-48c9-b5fa-4d33d0d8aacf</t>
  </si>
  <si>
    <t>4389d192-63de-4df4-9663-d9a71d5c47ca</t>
  </si>
  <si>
    <t>2024-25_II.DI_SIE2</t>
  </si>
  <si>
    <t>48120789</t>
  </si>
  <si>
    <t>4cf42e52-448f-46d1-9cd8-c63c742dd588</t>
  </si>
  <si>
    <t>2024-25_IV.AP_SIE2</t>
  </si>
  <si>
    <t>4ee75b92-8641-4ee3-bdf7-65e913e34e1e</t>
  </si>
  <si>
    <t>2024-25_III.AP_SIE1</t>
  </si>
  <si>
    <t>503f6095-eec4-4780-9cf4-fe9e2928dae9</t>
  </si>
  <si>
    <t>5630b82e-f0f2-442b-89f5-864572d36c4e</t>
  </si>
  <si>
    <t>III.AI_2024/2025_CCNA: Enterprise Networking, Security, and Automation</t>
  </si>
  <si>
    <t>5e9b63a2-6127-4017-b2d9-1584a263f930</t>
  </si>
  <si>
    <t>2024-25_I.DI_ITEv8</t>
  </si>
  <si>
    <t>6bb5c8e8-c306-4985-b230-23d678500435</t>
  </si>
  <si>
    <t>I.DI_2024/2025_IoT and Digital Transformation</t>
  </si>
  <si>
    <t>80fe9d7e-c123-4b67-b897-b9da9bd315b0</t>
  </si>
  <si>
    <t>2024-25_Linux Essentials_70hod.</t>
  </si>
  <si>
    <t>b8305396-5fd1-4d20-b8e9-b1e3c3414445</t>
  </si>
  <si>
    <t>2024-25_III.DI_SIE3</t>
  </si>
  <si>
    <t>c9347775-d627-441a-93ae-dac5b13fbb5b</t>
  </si>
  <si>
    <t>II.DI_2024/205_Data Analytics</t>
  </si>
  <si>
    <t>e7265827-574c-4176-a515-b4e15979c025</t>
  </si>
  <si>
    <t>II.AI_2024/2025_Data Analytics</t>
  </si>
  <si>
    <t>e962d21e-d332-464f-8251-845186b4e686</t>
  </si>
  <si>
    <t>2024-25_I.AI_SIE1</t>
  </si>
  <si>
    <t>ef41e254-169c-4f88-8f3c-af838dc22f4e</t>
  </si>
  <si>
    <t>2024-25_I.DI_SIE1</t>
  </si>
  <si>
    <t>f864cb15-e8f8-4958-9e0b-f54726dc2a38</t>
  </si>
  <si>
    <t>I.AI_2024/2025_Introduction to IoT and Digital Transformation</t>
  </si>
  <si>
    <t>18ac997e-d903-4622-8d45-f5ad6c16c900</t>
  </si>
  <si>
    <t>Základy prepínania, smerovania a bezdrôtového pripojenia</t>
  </si>
  <si>
    <t>1017523815</t>
  </si>
  <si>
    <t>1017758227</t>
  </si>
  <si>
    <t>46921831</t>
  </si>
  <si>
    <t>54246319</t>
  </si>
  <si>
    <t>2266187</t>
  </si>
  <si>
    <t>93bd12ae-7b70-442c-82fb-0e0e26ce5d20</t>
  </si>
  <si>
    <t>Úvod do sietí</t>
  </si>
  <si>
    <t>f372b26a-3b1b-4bd0-b342-2b2de4ad8038</t>
  </si>
  <si>
    <t>Podnikové siete, bezpečnosť a automatizácia</t>
  </si>
  <si>
    <t>2254897</t>
  </si>
  <si>
    <t>CCNA_2024_2</t>
  </si>
  <si>
    <t>3211134</t>
  </si>
  <si>
    <t>6a52e930-8bba-487d-b639-5a6a23271d8f</t>
  </si>
  <si>
    <t>12706a4a-68b7-4d85-a922-dbc0fb5c90e2</t>
  </si>
  <si>
    <t>46455489</t>
  </si>
  <si>
    <t>3783c0ae-98a3-4425-abc1-f0ab8c21af13</t>
  </si>
  <si>
    <t>a904462e-4a64-4c07-bf4e-bf0dd4479f21</t>
  </si>
  <si>
    <t>6c72c098-6d36-49ba-b56d-b9889f535e94</t>
  </si>
  <si>
    <t>36678786</t>
  </si>
  <si>
    <t>98e3d83c-1719-4a94-8015-9b1173de5dff</t>
  </si>
  <si>
    <t>II MPS a/1sk CCNA: Introduction to Networks</t>
  </si>
  <si>
    <t>a041023e-b5a4-4413-b5a1-6c60b41f4782</t>
  </si>
  <si>
    <t>CCNA: Introduction to Networks - 2MPS 2sk</t>
  </si>
  <si>
    <t>03b765fc-08a9-463a-b25b-e2783375bc82</t>
  </si>
  <si>
    <t>Networking Basics-streda 6,7</t>
  </si>
  <si>
    <t>28071238</t>
  </si>
  <si>
    <t>1d64d2d6-7aae-4788-b5a7-902e8cf48cf3</t>
  </si>
  <si>
    <t>4.ES_Čp</t>
  </si>
  <si>
    <t>1024075800</t>
  </si>
  <si>
    <t>3961c119-a3cf-4bd7-8beb-735878fb1664</t>
  </si>
  <si>
    <t>Networking Basics-stvrtok1,2</t>
  </si>
  <si>
    <t>45ab3694-1a98-4f8e-8b23-089799f00d9d</t>
  </si>
  <si>
    <t>4.EA_pondelok_SIE</t>
  </si>
  <si>
    <t>52039584-8222-4f9b-9b28-eeb13eb32e42</t>
  </si>
  <si>
    <t>Networking Basics-stvrtok5,6</t>
  </si>
  <si>
    <t>7e207e0d-3a10-456a-ab9d-5167942ea428</t>
  </si>
  <si>
    <t>Networking Basics-pondelok</t>
  </si>
  <si>
    <t>a6363175-547d-492c-8b25-d414426fbacd</t>
  </si>
  <si>
    <t>Networking Basics-streda1,2</t>
  </si>
  <si>
    <t>edc6e4db-8854-4894-8374-208ca2a9b5b6</t>
  </si>
  <si>
    <t>4EA_2.sk_Čp</t>
  </si>
  <si>
    <t>SPSE Halova 16 Bratislava</t>
  </si>
  <si>
    <t>1df67480-b38f-4504-a1e8-bc898a75ab44</t>
  </si>
  <si>
    <t>CCNA3_IV_B_2024_25</t>
  </si>
  <si>
    <t>1025298462</t>
  </si>
  <si>
    <t>32616399</t>
  </si>
  <si>
    <t>43660966</t>
  </si>
  <si>
    <t>2293970</t>
  </si>
  <si>
    <t>cyber v</t>
  </si>
  <si>
    <t>2294191</t>
  </si>
  <si>
    <t>CyberOps Hálova 16</t>
  </si>
  <si>
    <t>35039cbf-0210-440a-89d6-5533c320fb55</t>
  </si>
  <si>
    <t>CCNA1_II_IST_2024_2025</t>
  </si>
  <si>
    <t>39c9b406-36cb-4048-bdaa-bc23a5cb250c</t>
  </si>
  <si>
    <t>OSY_IV_B_2024_2025</t>
  </si>
  <si>
    <t>64acd66c-1a88-4ab0-bb8d-1a282e246fc5</t>
  </si>
  <si>
    <t>Kurz ELK - CCNA1_2024_25</t>
  </si>
  <si>
    <t>85177ccc-7736-490d-9f89-f46383d49f44</t>
  </si>
  <si>
    <t>CCNA2_IV_E_2024_25</t>
  </si>
  <si>
    <t>87c55f8d-ba85-4cfb-9e6f-c9f3b66fc316</t>
  </si>
  <si>
    <t>CCNA1_IV_D_2024_25</t>
  </si>
  <si>
    <t>8aa6c3ad-84af-4ed8-85f0-c0829e1e1a70</t>
  </si>
  <si>
    <t>CCNA2_III_A_2024_25</t>
  </si>
  <si>
    <t>93500eab-8113-4c4b-914e-285b3d49b106</t>
  </si>
  <si>
    <t>I_IST_A_2024_25_Introduction to Cybersecurity</t>
  </si>
  <si>
    <t>aa88738c-1c58-4da3-a414-62ce0117bf14</t>
  </si>
  <si>
    <t>CCNA2_III_B_2024_25</t>
  </si>
  <si>
    <t>dabdd4e7-9f57-44c8-b862-7d8a398ed4fd</t>
  </si>
  <si>
    <t>dae1939f-feb0-4236-b150-d143a075380e</t>
  </si>
  <si>
    <t>CCNA3_IV_A_2024_25</t>
  </si>
  <si>
    <t>e02be556-b11f-4b44-9e67-8b483ee2e661</t>
  </si>
  <si>
    <t>CCNA2_IV_A_2024_25_Switching, Routing, and Wireless Essentials</t>
  </si>
  <si>
    <t>f7f7d13b-595b-46fa-a2db-827a4030a4f0</t>
  </si>
  <si>
    <t>I_IST_B_2024_25_Introduction to Cybersecurity</t>
  </si>
  <si>
    <t>f9ff263b-2149-4121-be2a-9cf36216cc6d</t>
  </si>
  <si>
    <t>CCNA1_III_E_2024_25</t>
  </si>
  <si>
    <t>02ba93c6-d50b-444a-89ea-817e4c1ed0de</t>
  </si>
  <si>
    <t>AH3TL2023_2024-CCNA2</t>
  </si>
  <si>
    <t>1008626937</t>
  </si>
  <si>
    <t>0de9a86b-3f90-4a39-9c38-85da527a054f</t>
  </si>
  <si>
    <t>NA3-DM-24-4D1</t>
  </si>
  <si>
    <t>554645</t>
  </si>
  <si>
    <t>1262cbb5-acea-4970-8bc6-36f013ba0df9</t>
  </si>
  <si>
    <t>AH2C2024_2025-CCNA1</t>
  </si>
  <si>
    <t>13a31b46-ba76-46d6-a620-326d8b50cc3c</t>
  </si>
  <si>
    <t>NA2-DM-24-3C2</t>
  </si>
  <si>
    <t>2192566</t>
  </si>
  <si>
    <t>By_4C_2023_2024-NetworkSecurity</t>
  </si>
  <si>
    <t>1021413552</t>
  </si>
  <si>
    <t>2192568</t>
  </si>
  <si>
    <t>By_4D_2023_2024-NetworkSecurity</t>
  </si>
  <si>
    <t>2235259</t>
  </si>
  <si>
    <t>kruzok2024</t>
  </si>
  <si>
    <t>2eda400e-aed2-40d6-a25c-7a773123e8e9</t>
  </si>
  <si>
    <t>AH2B2024_2025-CCNA1</t>
  </si>
  <si>
    <t>2f8e8f12-b2e0-4872-a3fb-9a0a3b360c16</t>
  </si>
  <si>
    <t>By_4B_2024-2025_LinuxEssentials</t>
  </si>
  <si>
    <t>4158d58b-9d15-485f-bbfe-3cd1189bb9c0</t>
  </si>
  <si>
    <t>By_3D_2024-2025_LinuxEssentials</t>
  </si>
  <si>
    <t>5f37621a-5053-4708-91d6-fc39a2838baf</t>
  </si>
  <si>
    <t>NA2-DM-24-3C1</t>
  </si>
  <si>
    <t>6fcb7fc7-88c6-4e23-b317-61c9f9678a23</t>
  </si>
  <si>
    <t>CCNA2 - 3.D (2024-25)</t>
  </si>
  <si>
    <t>86fea50c-a7eb-44ae-8468-3bf5665bcafe</t>
  </si>
  <si>
    <t>AH2TL2024_2025-CCNA1</t>
  </si>
  <si>
    <t>8fdf026a-4a22-48b1-ba97-818e5c65df37</t>
  </si>
  <si>
    <t>NA3-DM-24-4C1</t>
  </si>
  <si>
    <t>9675f1c3-7a06-4aba-8287-cf85b6d719d2</t>
  </si>
  <si>
    <t>NA3-DM-24-4B2</t>
  </si>
  <si>
    <t>ab55b84e-3d5e-4518-bcc9-b3c4dc1f4259</t>
  </si>
  <si>
    <t>NA3-DM-24-4C2</t>
  </si>
  <si>
    <t>ab9066ff-6516-40a4-894d-1a7a8e7f1a10</t>
  </si>
  <si>
    <t>By_3B_2024_2025-CCNA2</t>
  </si>
  <si>
    <t>b45944ea-6f24-400f-9363-39dfbf04aea0</t>
  </si>
  <si>
    <t>NA3-DM-24-4D2</t>
  </si>
  <si>
    <t>c4ab54cf-47ca-4926-8228-14097027b224</t>
  </si>
  <si>
    <t>NA3-DM-24-4B1</t>
  </si>
  <si>
    <t>e58b72c8-7924-43b9-887c-17326bd86419</t>
  </si>
  <si>
    <t>By_3C_2024-2025_LinuxEssential</t>
  </si>
  <si>
    <t>e5cebb83-fd0d-4176-bc97-e8b55136a4d9</t>
  </si>
  <si>
    <t>f801cf3f-ebee-45ff-a16b-daaeeaf38592</t>
  </si>
  <si>
    <t>kruzok ccna 1</t>
  </si>
  <si>
    <t>f994009d-d1ee-400f-a6f0-ddab9c5f916b</t>
  </si>
  <si>
    <t>NA2-DM-24-3B1</t>
  </si>
  <si>
    <t>09005f51-d58a-42e8-ae3d-ff9d7a480463</t>
  </si>
  <si>
    <t>36801647</t>
  </si>
  <si>
    <t>1cfc9e86-301a-4d11-a7db-d7ae197da8e0</t>
  </si>
  <si>
    <t>2180027</t>
  </si>
  <si>
    <t>ADY_CCNA_v7.01-TR</t>
  </si>
  <si>
    <t>Turkish</t>
  </si>
  <si>
    <t>7.01</t>
  </si>
  <si>
    <t>36821165</t>
  </si>
  <si>
    <t>2198609</t>
  </si>
  <si>
    <t>CCNAv7</t>
  </si>
  <si>
    <t>42260217</t>
  </si>
  <si>
    <t>2c966b82-a34c-45f9-8e66-290dc8d17da3</t>
  </si>
  <si>
    <t>2f62bc31-61ca-48a8-9fd3-3010697819a8</t>
  </si>
  <si>
    <t>408fd9bc-3910-4c30-a53d-971e14aac42e</t>
  </si>
  <si>
    <t>50064867-ab61-442a-afba-b71d2fb9f0f9</t>
  </si>
  <si>
    <t>7224f3f3-59da-4019-ba14-5f1c8a9ff630</t>
  </si>
  <si>
    <t>b61a3c30-d7e2-4180-a094-61f3cea3d235</t>
  </si>
  <si>
    <t>be4613d4-b705-477a-876e-0b22d26b7bba</t>
  </si>
  <si>
    <t>d897fb82-f65e-43f1-99ec-d9a0c36e9a23</t>
  </si>
  <si>
    <t>2287597</t>
  </si>
  <si>
    <t>CCNA, Switching, Routing and Wireless Essentials</t>
  </si>
  <si>
    <t>48031645</t>
  </si>
  <si>
    <t>41a6b86c-eb52-4f0b-92f9-deaf17e46b7f</t>
  </si>
  <si>
    <t>1037354406</t>
  </si>
  <si>
    <t>438a16df-8219-48ce-9376-e91e65db45a1</t>
  </si>
  <si>
    <t>f9894894-389d-4fc5-bad6-a2b07a0c2100</t>
  </si>
  <si>
    <t>117bbf4f-5f18-4772-8bf7-086fa4a04027</t>
  </si>
  <si>
    <t>CCNA: Switching, Routing, and Wireless Essentials Oct2024V</t>
  </si>
  <si>
    <t>7870791</t>
  </si>
  <si>
    <t>1ac20736-167f-4e98-b07b-fa33fa365fcd</t>
  </si>
  <si>
    <t>2024-2025 CCNA 1: Introduction to Networks</t>
  </si>
  <si>
    <t>7710788</t>
  </si>
  <si>
    <t>2193909</t>
  </si>
  <si>
    <t>CCNAv7: Switching, Routing, and Wireless Essentials 8/1/2024</t>
  </si>
  <si>
    <t>2221834</t>
  </si>
  <si>
    <t>CCNAv7: Enterprise Networking, Security, and Automation Alexandris</t>
  </si>
  <si>
    <t>2228048</t>
  </si>
  <si>
    <t>ENCOR (S.Telakis)</t>
  </si>
  <si>
    <t>4323792</t>
  </si>
  <si>
    <t>2231591</t>
  </si>
  <si>
    <t>2024_CCNAv702_1_ITN</t>
  </si>
  <si>
    <t>2239286</t>
  </si>
  <si>
    <t>CCNAv7-SEM2-Mon_Wen_PG</t>
  </si>
  <si>
    <t>2251929</t>
  </si>
  <si>
    <t>PCAP: Certified Associate in Python Programming</t>
  </si>
  <si>
    <t>1030709858</t>
  </si>
  <si>
    <t>2253997</t>
  </si>
  <si>
    <t>2024_CCNAv702_2_SRWE</t>
  </si>
  <si>
    <t>2260420</t>
  </si>
  <si>
    <t>2024_CCNAv702_3_ENSA</t>
  </si>
  <si>
    <t>2261535</t>
  </si>
  <si>
    <t>Interlei-CCNAv7</t>
  </si>
  <si>
    <t>30176325</t>
  </si>
  <si>
    <t>2262454</t>
  </si>
  <si>
    <t>CCNAv7-SEM3-Mon_Wen_PG</t>
  </si>
  <si>
    <t>28836837-5df2-4b29-ab33-3dbab641d40e</t>
  </si>
  <si>
    <t>CCNA: Enterprise Networking, Security, and Automation Oct2024V</t>
  </si>
  <si>
    <t>403577a8-022f-4743-809d-49dc184c6016</t>
  </si>
  <si>
    <t>CCNA: Introduction to Networks Oct2024V</t>
  </si>
  <si>
    <t>4a7fab55-dcb8-4510-8c4f-7090a382cf33</t>
  </si>
  <si>
    <t>4c025e17-12dc-47f5-96b8-3c45b6b7c78b</t>
  </si>
  <si>
    <t>CCNP Enterprise: Core Networking Oct 2024</t>
  </si>
  <si>
    <t>5d802d51-8a7a-4164-bf22-6492ead8bbda</t>
  </si>
  <si>
    <t>CCNA: Enterprise Networking, Security, and Automation 2025</t>
  </si>
  <si>
    <t>4327940</t>
  </si>
  <si>
    <t>6b174245-f811-43c8-b101-2323e19d4afd</t>
  </si>
  <si>
    <t>79edb982-0cb0-4bfd-b074-592313301724</t>
  </si>
  <si>
    <t>a82bccd8-134c-4652-b06f-bcc3636ae11e</t>
  </si>
  <si>
    <t>CCNP Enterprise: Advanced Routing Oct 2024</t>
  </si>
  <si>
    <t>aa026404-1714-43d1-ba0e-69c11e580c8d</t>
  </si>
  <si>
    <t>CCNA: Switching, Routing, and Wireless Essentials 2025</t>
  </si>
  <si>
    <t>ab9239de-9add-44cb-aa69-da2486fac65a</t>
  </si>
  <si>
    <t>CCNA: Introduction to Networks 2025</t>
  </si>
  <si>
    <t>ff7840f2-6562-47c2-b26f-83ed8c22a717</t>
  </si>
  <si>
    <t>75d8b4e5-4cdf-4efc-9967-4eac024bd1d6</t>
  </si>
  <si>
    <t>Webinar - CCNA: Enterprise Networking, Security, and Automation</t>
  </si>
  <si>
    <t>37891419</t>
  </si>
  <si>
    <t>e0f5457f-4a2d-4522-9ff9-63be55177de8</t>
  </si>
  <si>
    <t>ed860519-1053-4f5f-841e-675700290288</t>
  </si>
  <si>
    <t>017363a0-0a64-4f54-9abc-0c0d0acb7a59</t>
  </si>
  <si>
    <t>843403</t>
  </si>
  <si>
    <t>10eff6f5-49f0-44a2-bb77-9776800906e0</t>
  </si>
  <si>
    <t>KPI.2024.NetwInro</t>
  </si>
  <si>
    <t>2199110</t>
  </si>
  <si>
    <t>CL184S1</t>
  </si>
  <si>
    <t>2211367</t>
  </si>
  <si>
    <t>KPI.CS.2024.ITN</t>
  </si>
  <si>
    <t>2228776</t>
  </si>
  <si>
    <t>KPI.SRWE.2024</t>
  </si>
  <si>
    <t>2232825</t>
  </si>
  <si>
    <t>NetwEss.2024</t>
  </si>
  <si>
    <t>2.01 - Instructor-Le</t>
  </si>
  <si>
    <t>2237243</t>
  </si>
  <si>
    <t>ENSA.2024</t>
  </si>
  <si>
    <t>2237851</t>
  </si>
  <si>
    <t>SRWE.2024</t>
  </si>
  <si>
    <t>2241640</t>
  </si>
  <si>
    <t>DUIKT.2024.ENSA</t>
  </si>
  <si>
    <t>2252418</t>
  </si>
  <si>
    <t>3457b02a-85d5-489a-a612-edd2ba2ad0f1</t>
  </si>
  <si>
    <t>5934f2a2-3c17-4f88-aa81-c39a4873df0d</t>
  </si>
  <si>
    <t>CL185S2</t>
  </si>
  <si>
    <t>8aa02b07-323a-4e37-8ffb-f07a518cf20d</t>
  </si>
  <si>
    <t>CL185S1</t>
  </si>
  <si>
    <t>a54e2ac1-fbd9-4564-bba2-3422312904d2</t>
  </si>
  <si>
    <t>NetworkSecurity_2024</t>
  </si>
  <si>
    <t>b45c0ee8-bd63-4010-8df5-a88821c456b9</t>
  </si>
  <si>
    <t>CL185S3</t>
  </si>
  <si>
    <t>fa8fafb0-ab3e-46d1-b4c0-f94aef43d903</t>
  </si>
  <si>
    <t>0a2f4c93-a9d8-4493-90c6-e125cc33b1c9</t>
  </si>
  <si>
    <t>157dbe1e-8dc7-4b84-a801-ab1f5947ba38</t>
  </si>
  <si>
    <t>2225121</t>
  </si>
  <si>
    <t>test-CCNA1</t>
  </si>
  <si>
    <t>2232535</t>
  </si>
  <si>
    <t>2024_CNL_DevNet_Associate</t>
  </si>
  <si>
    <t>1.01</t>
  </si>
  <si>
    <t>2250439</t>
  </si>
  <si>
    <t>CNL-MM</t>
  </si>
  <si>
    <t>6562821</t>
  </si>
  <si>
    <t>2274429</t>
  </si>
  <si>
    <t>CCNA1: Introduction to Networks - for students S_2024</t>
  </si>
  <si>
    <t>50393253</t>
  </si>
  <si>
    <t>50403273</t>
  </si>
  <si>
    <t>37bc9241-9265-4c9f-9f44-0caad26afadd</t>
  </si>
  <si>
    <t>3a870642-b64e-4889-adb3-19409312a71e</t>
  </si>
  <si>
    <t>KEMT APCS 2024/25</t>
  </si>
  <si>
    <t>8296074</t>
  </si>
  <si>
    <t>8782ed66-9f88-4561-a74c-bea681ba5728</t>
  </si>
  <si>
    <t>2024 ZS CCNA 3: Enterprise Networking, Security, and Automation</t>
  </si>
  <si>
    <t>1006597259</t>
  </si>
  <si>
    <t>3543729</t>
  </si>
  <si>
    <t>87faaee7-e4cb-4981-9403-cd082916b7da</t>
  </si>
  <si>
    <t>KEMT ÚPS 2024/25</t>
  </si>
  <si>
    <t>aa27067b-a35e-470a-82ad-bd2203a54ae3</t>
  </si>
  <si>
    <t>2024 ZS CCNA 2: Switching, Routing, and Wireless Essentials</t>
  </si>
  <si>
    <t>d83f4a5e-bbf1-4a88-aeb8-5c1b4de2303c</t>
  </si>
  <si>
    <t>2024 ZS Network Security</t>
  </si>
  <si>
    <t>e98b7eea-3495-4361-8c5e-f4d520dc55e0</t>
  </si>
  <si>
    <t>Označenia riadkov</t>
  </si>
  <si>
    <t>Celkový súčet</t>
  </si>
  <si>
    <t>ID_01</t>
  </si>
  <si>
    <t>ID_02</t>
  </si>
  <si>
    <t>ID_03</t>
  </si>
  <si>
    <t>ID_04</t>
  </si>
  <si>
    <t>ID_05</t>
  </si>
  <si>
    <t>ID_06</t>
  </si>
  <si>
    <t>ID_07</t>
  </si>
  <si>
    <t>ID_08</t>
  </si>
  <si>
    <t>ID_09</t>
  </si>
  <si>
    <t>ID_10</t>
  </si>
  <si>
    <t>ID_11</t>
  </si>
  <si>
    <t>ID_12</t>
  </si>
  <si>
    <t>ID_13</t>
  </si>
  <si>
    <t>ID_14</t>
  </si>
  <si>
    <t>ID_15</t>
  </si>
  <si>
    <t>ID_16</t>
  </si>
  <si>
    <t>ID_17</t>
  </si>
  <si>
    <t>ID_18</t>
  </si>
  <si>
    <t>ID_19</t>
  </si>
  <si>
    <t>ID_20</t>
  </si>
  <si>
    <t>ID_21</t>
  </si>
  <si>
    <t>ID_22</t>
  </si>
  <si>
    <t>ID_23</t>
  </si>
  <si>
    <t>ID_24</t>
  </si>
  <si>
    <t>ID_25</t>
  </si>
  <si>
    <t>ID_26</t>
  </si>
  <si>
    <t>ID_27</t>
  </si>
  <si>
    <t>ID_28</t>
  </si>
  <si>
    <t>ID_29</t>
  </si>
  <si>
    <t>ID_30</t>
  </si>
  <si>
    <t>ID_31</t>
  </si>
  <si>
    <t>ID_32</t>
  </si>
  <si>
    <t>ID_33</t>
  </si>
  <si>
    <t>ID_34</t>
  </si>
  <si>
    <t>ID_35</t>
  </si>
  <si>
    <t>ID_36</t>
  </si>
  <si>
    <t>ID_37</t>
  </si>
  <si>
    <t>ID_38</t>
  </si>
  <si>
    <t>ID_39</t>
  </si>
  <si>
    <t>ID_40</t>
  </si>
  <si>
    <t>ID_41</t>
  </si>
  <si>
    <t>ID_42</t>
  </si>
  <si>
    <t>ID_43</t>
  </si>
  <si>
    <t>ID_44</t>
  </si>
  <si>
    <t>ID_45</t>
  </si>
  <si>
    <t>ID_46</t>
  </si>
  <si>
    <t>ID_47</t>
  </si>
  <si>
    <t>ID_48</t>
  </si>
  <si>
    <t>ID_49</t>
  </si>
  <si>
    <t>ID_50</t>
  </si>
  <si>
    <t>ID_51</t>
  </si>
  <si>
    <t>ID_52</t>
  </si>
  <si>
    <t>ID_53</t>
  </si>
  <si>
    <t>ID_54</t>
  </si>
  <si>
    <t>ID_55</t>
  </si>
  <si>
    <t>ID_56</t>
  </si>
  <si>
    <t>ID_57</t>
  </si>
  <si>
    <t>ID_58</t>
  </si>
  <si>
    <t>ID_59</t>
  </si>
  <si>
    <t>ID_60</t>
  </si>
  <si>
    <t>ID_61</t>
  </si>
  <si>
    <t>ID_62</t>
  </si>
  <si>
    <t>ID_63</t>
  </si>
  <si>
    <t>ID_64</t>
  </si>
  <si>
    <t>ID_65</t>
  </si>
  <si>
    <t>ID_66</t>
  </si>
  <si>
    <t>ID_67</t>
  </si>
  <si>
    <t>ID_68</t>
  </si>
  <si>
    <t>ID_69</t>
  </si>
  <si>
    <t>ID_70</t>
  </si>
  <si>
    <t>ID_71</t>
  </si>
  <si>
    <t>ID_72</t>
  </si>
  <si>
    <t>ID_73</t>
  </si>
  <si>
    <t>ID_74</t>
  </si>
  <si>
    <t>ID_75</t>
  </si>
  <si>
    <t>ID_76</t>
  </si>
  <si>
    <t>ID_77</t>
  </si>
  <si>
    <t>ID_78</t>
  </si>
  <si>
    <t>ID_79</t>
  </si>
  <si>
    <t>ID_80</t>
  </si>
  <si>
    <t>ID_81</t>
  </si>
  <si>
    <t>ID_82</t>
  </si>
  <si>
    <t>ID_83</t>
  </si>
  <si>
    <t>ID_84</t>
  </si>
  <si>
    <t>ID_85</t>
  </si>
  <si>
    <t>ID_86</t>
  </si>
  <si>
    <t>ID_87</t>
  </si>
  <si>
    <t>ID_88</t>
  </si>
  <si>
    <t>ID_89</t>
  </si>
  <si>
    <t>ID_90</t>
  </si>
  <si>
    <t>ID_91</t>
  </si>
  <si>
    <t>ID_92</t>
  </si>
  <si>
    <t>ID_93</t>
  </si>
  <si>
    <t>ID_94</t>
  </si>
  <si>
    <t>ID_95</t>
  </si>
  <si>
    <t>ID_96</t>
  </si>
  <si>
    <t>ID_97</t>
  </si>
  <si>
    <t>ID_98</t>
  </si>
  <si>
    <t>ID_99</t>
  </si>
  <si>
    <t>ID_100</t>
  </si>
  <si>
    <t>ID_101</t>
  </si>
  <si>
    <t>ID_102</t>
  </si>
  <si>
    <t>ID_103</t>
  </si>
  <si>
    <t>ID_104</t>
  </si>
  <si>
    <t>ID_105</t>
  </si>
  <si>
    <t>ID_106</t>
  </si>
  <si>
    <t>ID_107</t>
  </si>
  <si>
    <t>ID_108</t>
  </si>
  <si>
    <t>ID_109</t>
  </si>
  <si>
    <t>ID_110</t>
  </si>
  <si>
    <t>ID_111</t>
  </si>
  <si>
    <t>ID_112</t>
  </si>
  <si>
    <t>ID_113</t>
  </si>
  <si>
    <t>ID_114</t>
  </si>
  <si>
    <t>ID_115</t>
  </si>
  <si>
    <t>ID_116</t>
  </si>
  <si>
    <t>ID_117</t>
  </si>
  <si>
    <t>ID_118</t>
  </si>
  <si>
    <t>ID_119</t>
  </si>
  <si>
    <t>ID_120</t>
  </si>
  <si>
    <t>ID_121</t>
  </si>
  <si>
    <t>ID_122</t>
  </si>
  <si>
    <t>ID_123</t>
  </si>
  <si>
    <t>ID_124</t>
  </si>
  <si>
    <t>ID_125</t>
  </si>
  <si>
    <t>ID_126</t>
  </si>
  <si>
    <t>ID_127</t>
  </si>
  <si>
    <t>ID_128</t>
  </si>
  <si>
    <t>ID_129</t>
  </si>
  <si>
    <t>ID_130</t>
  </si>
  <si>
    <t>ID_131</t>
  </si>
  <si>
    <t>ID_132</t>
  </si>
  <si>
    <t>ID_133</t>
  </si>
  <si>
    <t>ID_134</t>
  </si>
  <si>
    <t>ID_135</t>
  </si>
  <si>
    <t>ID_136</t>
  </si>
  <si>
    <t>ID_137</t>
  </si>
  <si>
    <t>ID_138</t>
  </si>
  <si>
    <t>ID_139</t>
  </si>
  <si>
    <t>ID_140</t>
  </si>
  <si>
    <t>ID_141</t>
  </si>
  <si>
    <t>ID_142</t>
  </si>
  <si>
    <t>ID_143</t>
  </si>
  <si>
    <t>ID_144</t>
  </si>
  <si>
    <t>ID_145</t>
  </si>
  <si>
    <t>ID_146</t>
  </si>
  <si>
    <t>ID_147</t>
  </si>
  <si>
    <t>ID_148</t>
  </si>
  <si>
    <t>ID_149</t>
  </si>
  <si>
    <t>ID_150</t>
  </si>
  <si>
    <t>ID_151</t>
  </si>
  <si>
    <t>ID_152</t>
  </si>
  <si>
    <t>ID_153</t>
  </si>
  <si>
    <t>ID_154</t>
  </si>
  <si>
    <t>ID_155</t>
  </si>
  <si>
    <t>ID_156</t>
  </si>
  <si>
    <t>ID_157</t>
  </si>
  <si>
    <t>ID_158</t>
  </si>
  <si>
    <t>ID_159</t>
  </si>
  <si>
    <t>ID_160</t>
  </si>
  <si>
    <t>ID_161</t>
  </si>
  <si>
    <t>ID_162</t>
  </si>
  <si>
    <t>ID_163</t>
  </si>
  <si>
    <t>ID_164</t>
  </si>
  <si>
    <t>ID_165</t>
  </si>
  <si>
    <t>ID_166</t>
  </si>
  <si>
    <t>ID_167</t>
  </si>
  <si>
    <t>ID_168</t>
  </si>
  <si>
    <t>ID_169</t>
  </si>
  <si>
    <t>ID_170</t>
  </si>
  <si>
    <t>ID_171</t>
  </si>
  <si>
    <t>ID_172</t>
  </si>
  <si>
    <t>ID_173</t>
  </si>
  <si>
    <t>ID_174</t>
  </si>
  <si>
    <t>ID_175</t>
  </si>
  <si>
    <t>ID_176</t>
  </si>
  <si>
    <t>ID_177</t>
  </si>
  <si>
    <t>ID_178</t>
  </si>
  <si>
    <t>ID_179</t>
  </si>
  <si>
    <t>ID_180</t>
  </si>
  <si>
    <t>ID_181</t>
  </si>
  <si>
    <t>ID_182</t>
  </si>
  <si>
    <t>ID_183</t>
  </si>
  <si>
    <t>ID_184</t>
  </si>
  <si>
    <t>ID_185</t>
  </si>
  <si>
    <t>ID_186</t>
  </si>
  <si>
    <t>ID_187</t>
  </si>
  <si>
    <t>ID_188</t>
  </si>
  <si>
    <t>ID_189</t>
  </si>
  <si>
    <t>ID_190</t>
  </si>
  <si>
    <t>ID_191</t>
  </si>
  <si>
    <t>ID_192</t>
  </si>
  <si>
    <t>ID_193</t>
  </si>
  <si>
    <t>ID_194</t>
  </si>
  <si>
    <t>ID_195</t>
  </si>
  <si>
    <t>ID_196</t>
  </si>
  <si>
    <t>ID_197</t>
  </si>
  <si>
    <t>ID_198</t>
  </si>
  <si>
    <t>ID_199</t>
  </si>
  <si>
    <t>ID_200</t>
  </si>
  <si>
    <t>ID_201</t>
  </si>
  <si>
    <t>ID_202</t>
  </si>
  <si>
    <t>ID_203</t>
  </si>
  <si>
    <t>ID_204</t>
  </si>
  <si>
    <t>ID_205</t>
  </si>
  <si>
    <t>ID_206</t>
  </si>
  <si>
    <t>ID_207</t>
  </si>
  <si>
    <t>ID_208</t>
  </si>
  <si>
    <t>ID_209</t>
  </si>
  <si>
    <t>ID_210</t>
  </si>
  <si>
    <t>ID_211</t>
  </si>
  <si>
    <t>ID_212</t>
  </si>
  <si>
    <t>ID_213</t>
  </si>
  <si>
    <t>ID_214</t>
  </si>
  <si>
    <t>ID_215</t>
  </si>
  <si>
    <t>ID_216</t>
  </si>
  <si>
    <t>ID_217</t>
  </si>
  <si>
    <t>ID_218</t>
  </si>
  <si>
    <t>ID_219</t>
  </si>
  <si>
    <t>ID_220</t>
  </si>
  <si>
    <t>ID_221</t>
  </si>
  <si>
    <t>ID_222</t>
  </si>
  <si>
    <t>ID_223</t>
  </si>
  <si>
    <t>ID_224</t>
  </si>
  <si>
    <t>ID_225</t>
  </si>
  <si>
    <t>ID_226</t>
  </si>
  <si>
    <t>ID_227</t>
  </si>
  <si>
    <t>ID_228</t>
  </si>
  <si>
    <t>ID_229</t>
  </si>
  <si>
    <t>ID_230</t>
  </si>
  <si>
    <t>ID_231</t>
  </si>
  <si>
    <t>ID_232</t>
  </si>
  <si>
    <t>ID_233</t>
  </si>
  <si>
    <t>ID_234</t>
  </si>
  <si>
    <t>ID_235</t>
  </si>
  <si>
    <t>ID_236</t>
  </si>
  <si>
    <t>ID_237</t>
  </si>
  <si>
    <t>ID_238</t>
  </si>
  <si>
    <t>ID_239</t>
  </si>
  <si>
    <t>ID_240</t>
  </si>
  <si>
    <t>ID_241</t>
  </si>
  <si>
    <t>ID_242</t>
  </si>
  <si>
    <t>ID_243</t>
  </si>
  <si>
    <t>ID_244</t>
  </si>
  <si>
    <t>ID_245</t>
  </si>
  <si>
    <t>ID_246</t>
  </si>
  <si>
    <t>Riadenie odbornej skupiny, vyprac.metodík, Q/Y plán činnosti (REZERVA)</t>
  </si>
  <si>
    <t xml:space="preserve"> oblasť edge computing</t>
  </si>
  <si>
    <t>610</t>
  </si>
  <si>
    <t>Dočasne pridelený IT špecialista - garant</t>
  </si>
  <si>
    <t>univerzita: garant</t>
  </si>
  <si>
    <t>Laboratórne vybavenie pre praktické vzdelávanie v oblasti sieťových technológií a základov kybernetickej bezpečnosti. Zvolený variant COTS (Cisco) umožňuje kompatibilitu s kurzami NetAcad.com (CCNA, Network Security) a zároveň pokrýva základné úlohy kybernetickej bezpečnosti z modulu MOD_04 v slovenskom jazyku.</t>
  </si>
  <si>
    <t xml:space="preserve">Dodanie, inštalácia a testovanie COTS zariadení (router, switch) v laboratóriách zapojených škôl. Overenie sieťovej komunikácie, pripojenia do cloudu IS NetAcad a bezpečnostného prepojenia internetom cez MOD_03. Využíva PaaS prostredie pre kontajnerizované úlohy v rámci cloudovej integrácie. Vyžaduje infraštruktúru podľa požiadaviek CISCO "Additional Lab HW and SW Required". </t>
  </si>
  <si>
    <t>Nasadenie overených funkčností pre výučbu kurzov CCNA 1–3 a Network Security, vrátane pokročilých sieťových technológií (programované siete, kontajnerizácia, bezpečnostné aplikácie). Zariadenia sú prepojené s cloudovým prostredím IS NetAcad (PaaS) a umožňujú hybridné cvičenia v reálnom aj virtuálnom prostredí z vybraných častí vzdelávacieho obsahu MOD_04.</t>
  </si>
  <si>
    <t>Laboratórne zostavy pre pokročilú kybernetickú bezpečnosť. Zvolený model PaaS (Kubernetes, ProxMox) umožňuje kontajnerizáciu prostredí a integráciu s LMS MOD_05 na výkonovom clustri MOD_06 CSKI. Zohľadňuje vzdelávací obsah bezpečnosti Wi-Fi na HW vybavené a hybridné vzdelávacie prostredia.</t>
  </si>
  <si>
    <t>Inštalácia a testovanie infraštruktúry na školách podľa požiadaviek Cisco Additional Lab HW/SW. Overenie integrácie s cloudovým riešením IS NetAcad v LMS funčnosti MOD_05 a výkonovou infraštruktúrou MOD_06, vrátane  funkcie bezpečnosti WiFi pripojení v rámci lokálneho laboratórneho vybavenie pre každé pracovisko. Bezpečnostné pripojenie internetom zabezpečené cez MOD_03.</t>
  </si>
  <si>
    <t>Nasadenie vyžaduje funkčnosť centrálnych častí cloudu MOD_05 a MOD_06 a lokálnu inštaláciu MOD_02 spolu s MOD_03 na škole. Priomárne sa využíva pokročilý vzdelávací obsah 15 praktických úloh z MOD_04.</t>
  </si>
  <si>
    <t>Návrh bezpečnostnej infraštruktúry prepájajúcej LAB A, LAB B a výkonovú cloudovú infraštruktúru MOD_06 s LMS funkčnosťou MOD_05. Použitý variant IaaS s firewallom novej generácie a routermi na princípe vendor diversity pre zvýšenie odolnosti.</t>
  </si>
  <si>
    <t>Inštaluje a overuje sa pre každú zapojenú školu s aspoň jedným pracoviskom pre plnú funkčnosť Lab A a/alebo LabB, resp. aj pre prístup z iných laboratórií do serverovej infraštruktúry (cloudu) IS NetAcad. Vyžaduje sa aj počas dočasných inštalácií, napr. súťaží, ak neprebiehajú v škole s vybavením IS NetAcad.</t>
  </si>
  <si>
    <t>Nasadenie bude realizované súbežne s nasadením laboratórneho vybavenie MOD_01 a/alebo MOD_02 na každej škole a s využívaním celého vzdelávacieho a cvičného prostredia IS NetAcad na serverovej infraštruktúre (MOD_04 až 08).</t>
  </si>
  <si>
    <t>Navrhnutý a vytvorený ako štandardizované riešenie LMS systému na prácu s digitálnym vzdelávacím obsahom, rozšírené o virtuálne cvičé priestory. Predpokladá sa integračné rozhranie na digitálnu vzdelávaciu platformu Wiki MŠVVaM SR. Základom je open-source technológia Kubernetes s funkčnosťou kontajnerizácie, vytváraním virtuálneho prostredia prostredníctvom Prox-mox a s využitím štandardizovanej súčasti - DASHBOARDU na plánovanie, rezervciu a riadenie vzdelávania, ktoré sú integrované do celého riešenia IS NetAcad. MOD_05 je centralizovaným integrovaným riešením s integračným API rozhraním na LMS funkčnosť v MOD_07 (AI CLuster) a MOD_08 CSIRT-SOC Cluster.</t>
  </si>
  <si>
    <t>LMS Cluster je implementované SW riešenie nad výkonovou časťou MOD_06 v serverovej infraštruktúre (cloud) IS NetAcad. Implementácia má charakter integrácie jednotlivých overených technologických celkov v rámci modulu a medzi modulmi MOD_07 a MOD_08, ktoré majú tiež funkčnosť LMS, avšak budú zastúpené jednotným prostredím MOD_05 cez API.</t>
  </si>
  <si>
    <t>Nasadenie a overenie modulu bude na základe funkčnosti vzdelávania vo všetkých častiach IS NetAcad - laboratórnych na školách i virtuálnych v serverovej infraštruktúre (clustroch cloudu). Interoperabilita riešenia predstavuje integračné rozhranie na vzdelávaciu digitálnu platformu Viki MŠVVaM SR a na rezortný systém identifikovania používateľov (RIAM, alebo vlastný IAM). Variant PaaS s podporou škálovania a centralizovanej správy.</t>
  </si>
  <si>
    <t>AI Cluster je navrhnutý ako overená škálovateľná a kontajnerizovaná infraštruktúra pre vývoj, tréning a nasadzovanie modelov umelej inteligencie s centrálnou správou a podporou distribuovaného výpočtu medzi školami. Je výkonovo oddelený od MOD_06 kôli nárazovej charakteristike spracovania dát. Technologicky je AI CLuster variantom PaaS  postaveným na Kubernetes a Prox-mox, navyše s výkonnými výpočtovými komponentmi-kartami (predpoklad NVIDIA) a distribúcie úloh AI medzi školami. AI Cluster však obsahuje aj vlastnú LMS časť, ktorá bude integrovaná na MOD_05 ako podriadená časť.</t>
  </si>
  <si>
    <t>Po samostatnej implementácii časti MOD_07, overení súladu obsahov obrazov vzorových virtuálnych "knižníc" a ich funkčnosti je nevyhnutné samostatne overiť kompletnú funkčnosť AI Clustra a následne jeho funkčnosť v rámci integrácie do IS NetAcad - MOD_05 a súčinnosť výkonových častí MOD_07 AI Cluster a MOD_06 CSKI pre kombinovaných úlohách a integrácii s patformou Viki.</t>
  </si>
  <si>
    <t>Nasadenie AI Clustra do produkčného prostredia zabezpečuje výkonové spracovanie dát a tréning AI modelov v PaaS prostredí na základe dodaného vzdelávacieho obsahu (10 komplexných úloh AI a 5 komplexných úloh dátovej vedy) s integráciou na LMS MOD_05, CSKI MOD_06 a platformu Viki.</t>
  </si>
  <si>
    <t>Návrh centrálneho bezpečnostného clustra pre monitorovanie, detekciu a reakciu na incidenty, tzv. "Modelový CSIRT-SOC" t.j. používaný v rozsahu reálneho vybavenia pre vzdelávacie účely technologickej časti typu SOC a spracovania procesov v CSIRT. Zvolený variant PaaS umožňuje škálovanie, integráciu so školskými systémami a LMS MOD_05.</t>
  </si>
  <si>
    <t>Implementácia nástrojov SIEM/SOAR v prostredí Kubernetes. Testovanie zhromažďovania logov, detekčných pravidiel a vizualizačných dashboardov pre školy a CSKI. Min. 10 overených praktických scenárov.</t>
  </si>
  <si>
    <t>Nasadenie SOC Clustra do prevádzky v praktickom vzdelávaní. Zabezpečuje centrálne monitorovanie laboratórnych pracovísk a siete IS NetAcad, správu incidentov a automatizovanú reakciu v PaaS prostredí (na dodaných scenároch).</t>
  </si>
  <si>
    <t>Analýza potrieb vzdelávania a podpory používateľov IS NetAcad bola vykonaná v rámci Pasportizácie č1 ako zber požiadaviek škôl a bude verifikovaná a ukončená Pasportizáciou č2 ako mandatórnym záväzkom zapojenia škôl do projektu s uvedením presnej špecifikácie vlastných HW a SW zariadení príbuzných k IS NetAcad (alebo v pôvodnom stave AS IS) pre efektívne a hospodárne využitie finančnej alokácie na národných projekt a pre vyhnutie sa duplicitám v konfigurácií IS NetAcad pre každú školu. Zvolený variant využíva kombináciu PaaS (vzdelávacie portály) a externých COTS platforiem (napr. Webex, NetAcad.com).</t>
  </si>
  <si>
    <t>Implementácia vzdelávacích služieb, tréningov a online kurzov. Testovanie používateľských prístupov, prepojení na LMS pre tvorbu a používanie digitálneho vzdelávacieho obsahu, cvičných virtuálnych a hybridných prostredí a pre sledovanie zapájania sa študentov a pedagógov-lektorov do vzdelávacieho procesu v rámci overovania IS NetAcad.</t>
  </si>
  <si>
    <t>Nasadenie externých služieb vrátane používateľských školení, podpory rozvoja a správy/ladenie obsahu IS NetAcad. Zabezpečené ako PaaS/COTS riešenie s technickou alebo obsahovou integráciou do IS NetAcad a centrálneho LMS (a interoparability na štátne i súkromné prostredia na internete).</t>
  </si>
  <si>
    <t>Vyhodnotenie benefitov implementácie NP NetAcad a IS NetAcad</t>
  </si>
  <si>
    <t>Postup:</t>
  </si>
  <si>
    <t>Vyhodnotenie kvalitatívneho prínosu IS NetAcad porovnaním získaných certifikátov v rámci vzdelávanie Cisco Networking Academy s identickými alebo obdobnými komerčnými certifikátmi,</t>
  </si>
  <si>
    <t>ktoré 1) zvýhodňujú absolventa na trhu práce, 2) garantujú zamestnávateľovi kvalitu absolventa v IKT, 3) garantujú kvalitu vzdelávania absolventov samotnej školy vzhľadom na stanovené ciele</t>
  </si>
  <si>
    <t>národného projektu</t>
  </si>
  <si>
    <t>1. Uplatnenie mladých ľudí v dynamicky sa rozvíjajúcich odvetviach s vysokým potenciálom odborného rastu, atraktívneho príjmu a kvalitného života (podľa Štatistického úradu SR sú pravidelne</t>
  </si>
  <si>
    <t>najvyššie mzdy evidované práve v sektore IKT, podľa Eurostatu – Earnings by economic activity (NACE Rev. 2, J) IKT je medzi top 3 odvetviami s najvyššími príjmami vo väčšine krajín EÚ)</t>
  </si>
  <si>
    <t>2. Reakcia na kritický nedostatok IKT špecialistov pre Slovensko a EU - podporou vytvorenia “vlny absolventov IKT odborov s relevantnými a modernými digitálnymi kompetenciami, potvrdenými</t>
  </si>
  <si>
    <t>certifikáciami” (odhady deficitu na Slovensku sú 15 tis. podľa Národnej stratégie digitálnych zručností SR z roku 2023, podľa prieskumov CEDEFOP https://www.cedefop.europa.eu/sk/tools/skills-forecast Slovensko</t>
  </si>
  <si>
    <t>bude potrebovať vyše 30 tis. IT špecialistov a profesionálov do roku 2035 - v tom nie sú zohľadnené úbytky do iných sektorov a odchody do dôchodku).</t>
  </si>
  <si>
    <t>3. Podpora konkurencieschopnosti a udržateľného rastu Slovenska a EU (dlhodobo zaostávame v produktivite práce na úrovni ~80 % priemeru EÚ, čelíme kritickému nedostatku kvalifikovaných odborníkov v</t>
  </si>
  <si>
    <t>IKT sektore, pričom podľa Štatistického úradu SR a Eurostatu IKT patrí medzi najproduktívnejšie a najlepšie platené odvetvia, avšak podľa Digital Skills Strategy SR 2023 má Slovensko len 6,7 % IKT odborníkov na</t>
  </si>
  <si>
    <t>pracovnom trhu a každý druhý mladý talent zvažuje odchod do zahraničia – viď GLOBSEC, 2023, takto „vlna nových a v moderných technológiách kompetentných IKT absolventov“ prispeje k realizácii návrhu Aliancie</t>
  </si>
  <si>
    <t>sektorových rád v sektorovej stratégii IT a telekomunikácií z roku 2023 a má potenciál principiálne zlepšiť konkurencieschopnosť krajiny, udržať talenty doma a zvýšiť exportnú výkonnosť v digitálnych službách).</t>
  </si>
  <si>
    <t>Východisko:</t>
  </si>
  <si>
    <t>Vzdelávací program CISCO NETWORKING ACADEMY (NetAcad) poskytuje rôzne úrovne vzdelávania, vrátane certifikačného vzdelávania t.j. vzdelávania v prepojení na online vzdelávací obsah NetAcad.com, rozšírený v roku 2024</t>
  </si>
  <si>
    <t>o novú edíciu SkillsForAll.com (Skills For All Cisco) pozostávajúcu z nových kľúčových oblastí IKT - kybernetická bezpečnosť (širší záber napr. Etický hacker), Umelá inteligencia, Dátová veda (Dátová analýza) a udržateľnosť.</t>
  </si>
  <si>
    <t>Certifikačné vzdelávanie pripravuje študentov i pedagógov na úrovni prípravy na zodpovedajúcu priemyselne uzávanú certifikačnú skúšku, ktorá potvrdzuje dosiahnuté teoretické vedomosti i praktické zručnosti.</t>
  </si>
  <si>
    <t>Podmienkou pre získanie certifikátu o absolvovaní tohto certifikačného kontinuálne vzdelávania je využívanie vzdelávacieho obsahu z NetAcad.com a plnenie teoretických i praktických úloh pod dohľadom certifikovaného</t>
  </si>
  <si>
    <t>pedagóga-inštruktora akadémie. Z najrôznejších dôvodov, sčasti z dôvodov rôzneho stavu laboratórneho IT vybavenia, kvalifikácie pedagógov, schopnosti študentov komunikovať v anglickom jazyku a z miery náročnosti školy/pedagógov</t>
  </si>
  <si>
    <t>delíme školy-akadémie na 3 skupiny, všetky zhodnotené v kategóriách A1-C2 podľa kvality vzdelávania a kvantity vzdelávaných absolventov: 1. skupina - školy ktorých žiaci získavajú certifikát o účasti na vzdelávaní od CISCO,</t>
  </si>
  <si>
    <t>2. skupina - školy, ktoré síce využívajú vzdelávací program NetAcad, avšak vzdelávanie vykonávajú v slovenčine, z preložených zdrojov ako NetAcad.com a tak ich žiaci nezískavajú certifikát. V takomto prípade je kvalita vzdelávania otázna, zvlášť ak škola nemá technické laboratórne vybavenie.</t>
  </si>
  <si>
    <t>Pre možnosť objektívneho vyhodnocovania (certifikačnej stránky) kvality vzdelávania pre každú školu stanovíme koeficient kvantifikujúci strednú hodnotu počtu absolvovaných certifikačných vzdelávaní s certifikátom potvrdených</t>
  </si>
  <si>
    <t xml:space="preserve">spoločnosťou CISCO SYSTEMS. Pre vyhodnotenie máme k dispozícii zoznam kurzov NetAcad začínajúcich v roku 2024 a ukončených. Pritom spoločnosť CISCO vyhodnocuje mieru ukončenia vzdelávania na počet študentov: </t>
  </si>
  <si>
    <t>zaregistrovaní študenti (Registrants), zúčastnení vzdelávania (Participants) a študenti ktorí ukončili vzdelávania naplnením podmienok spoločnosti CISCO SYSTEMS a nárovok podporného centra na TU v Košiciach.</t>
  </si>
  <si>
    <t>Metodika:</t>
  </si>
  <si>
    <t xml:space="preserve">Vyhodnotenie benefitov vykonáme v krokoch: </t>
  </si>
  <si>
    <t xml:space="preserve">1. Vyhodnotenie benefitu zo zvýšenej kvality vplyvom zabezpečenia technického prostredia pre vzdelávanie, moderného vzdelávacieho obsahu vo virtuálnom a hybridnom cvičnom prostredí, podpory pre praktické </t>
  </si>
  <si>
    <t>vzdelávanie študentov  a vzdelávania pedagógov (resp. počnúc od "školiteľov školiteľov" t.j. - zvýšenej ich odbornej kvalifikácie v oblasti IKT - implementáciou národného projektu rozvoja NetAcad.</t>
  </si>
  <si>
    <t>Vyhodnotenie vychádza z porovnania ceny komerčných certifikátov, ktoré by absolvent škôl musel získať prostredníctvom komerčného certifikačného školenia pre zvýšenie svojej hodnoty na trhu práce - ktoré môže</t>
  </si>
  <si>
    <t>získať počas štúdia na stredných a vysokých školách, ktoré sú súčasne akadémiami Cisco Networkign Academy. Vzhľadom na rôznu úroveň posudzovaných škôl a ich prístup k vzdelávaniu vychádzame z hlbšieho poznania</t>
  </si>
  <si>
    <t>týchto škôl na základe zrealizovanej Pasportizácie1 a na základe objektívnych dátach o certifikačnom vzdelávaní študentov zapojených škôl-akadémií od spoločnosti CISCO SYSTEMS. Vyhodnotíme oddelene:</t>
  </si>
  <si>
    <t>1. početnosť študentov na jednotlivých kurzoch (vzdelávaní NetAcad), ktorí ukončili s diplomom potvrdeným spoločnosťou CISCO SYSTEMS - v hárku "Sub-analyza1" a prepočet na komerčnú hodnotu získaných certifikátov - v hárku "Sub-analyza2"</t>
  </si>
  <si>
    <t>Do toho však nezapočítame školy v kategórii A1 (najlepšie), ktoré certifikáciu v networkingu dosiahnu i bez podpory národného projektu (nie však v umelej inteligencii a dátovej vede) - t.j. len certifikácie na 26,7%</t>
  </si>
  <si>
    <t>2. početnosť študentov na jednotlivých kurzoch (vzdelávaní NetAcad), ktorí sa zúčastnili vzdelávania (a z nejakého dôvodu nesplnili všetky podmienky CISCO SYSTEMS pre získanie certifikátu) potvrdeného spoločnosťou CISCO SYSTEMS</t>
  </si>
  <si>
    <t>týmto školám stanovíme v rámci Pasportizácie2 povinnosť, aby po ukončení projektu dosiahli 90% (cca.) úspešnosť v získavaní certifkácií (t.j. dotiahli vzdelávanie podľa podmienok CISCO SYSTEMS)</t>
  </si>
  <si>
    <t>3. týmto školám stanovíme na základe kategorizácie z Pasportizácie1, v rámci pasportizácie2 podmienku navýšenia koeficientu početnosti certifikátov na 1 študenta (v tom min. 1 z kľúčových technológií) - v hornej časti hárku "Sub-analyza3" - na max. 90%</t>
  </si>
  <si>
    <t xml:space="preserve">4. školy, ktoré nie sú reportované v systéme CISCO NetAcad stanovíme na základe kategorizácie z Pasportizácie1, v rámci Pasportizácie2, podmienku dosiahnutia koeficientu početnosti certifikátov v stanvenej lehote po ukončení projektu </t>
  </si>
  <si>
    <t xml:space="preserve"> - v dolnej časti hárku "Sub-analyza3"  - na max. 90% (s nižšou náročnosťou - len 2 kurzy v priemere, t.j. "kľúčové IKT" - CCNA a niektorý menej náročný napr. Programovanie v Python).</t>
  </si>
  <si>
    <t>Prieskum komerčnej ceny porovnateľných alebo ekvivalentných kurzov vychádza z max. 3 spriemerovaných zistených cien na internete, ceny sú vr. DPH - v hárku "Prieskum trhu TOP kurzy zdroj3"</t>
  </si>
  <si>
    <t>Pre stanovení záväzku pre školy na zvýšenie koeficientu početnosti certifikácií na študenta prepočet hodnoty na základe porovnania s komerčnými kurzi vyhodnocujeme jednotnou priemernou cenou.</t>
  </si>
  <si>
    <t>Vychádzame z prepodkladu, že početnosť kurzov bude aj naďalej kontinuálne rásť, resp. neklesať, čo potvrdzuje výstup od CISCO SYSTEM v hárku "CISCO 2015-25 zdroj2". A to ešte nezapočítavame certifikácie z oblast i AI a dátovej vedy:</t>
  </si>
  <si>
    <t>Hranica 80% až 90% pri zadaní navýšenia koeficientu priemerného počtu certifikačných kurzov na 1 študenta vychádza zo skúsenosti, že báročnosť certifikačného vzdelávania zvláda cca. 80-90% študentov SOŠ, avšak aspoň 2 kurzy za štúdium musí zvládnuť aj slabší študent.</t>
  </si>
  <si>
    <t>Typickým dôvodom pre zlyhávanie certifikačného vzdelávania ja odmietanie vzdelávania sa v anglickom jazyku, čo je však neakceptovateľný stav, nakoľko angličtina je používaná v technickej literatúre IKT.</t>
  </si>
  <si>
    <t>Vyhodnotenie benefitov:</t>
  </si>
  <si>
    <t>Certifikačné vzdelávanie-kurzy CISCO po ukončení projektu v rámci udržateľnosti - podľa hodnoty na trhu komerčného vzdelávania:</t>
  </si>
  <si>
    <t>Rok 2024</t>
  </si>
  <si>
    <t>Rok +1</t>
  </si>
  <si>
    <t>Rok +2</t>
  </si>
  <si>
    <t>Rok +3</t>
  </si>
  <si>
    <t>Rok +4</t>
  </si>
  <si>
    <t>Rok +5</t>
  </si>
  <si>
    <t>Rok +6</t>
  </si>
  <si>
    <t>Rok +7</t>
  </si>
  <si>
    <t>Rok +8</t>
  </si>
  <si>
    <t>Rok +9</t>
  </si>
  <si>
    <t>Rok +10</t>
  </si>
  <si>
    <t>1. kurzy ukončené certifikátom CISCO (bez KAT A1 len 26,7%)</t>
  </si>
  <si>
    <t>Početnosť:</t>
  </si>
  <si>
    <t>Počet, ktorý nebude klesať (konzervatívne počty) - bez započítania TOP škôl KAT A1 (ktoré udržia certifikácie aj bez podpory NP) len 26,7%</t>
  </si>
  <si>
    <t>Hodnota:</t>
  </si>
  <si>
    <t>2. kurzy s účasťou bez certifikátu (navýšiť na 90%)</t>
  </si>
  <si>
    <t>So záväzkom dotiahnuť kurzy na certifikácie po ukončení projektu na 90%.</t>
  </si>
  <si>
    <t>3. navýšenie početnosti certifikátov u škôl KAT A (na 90%)</t>
  </si>
  <si>
    <t>Navýšenie vybraných škôl 3 roky po projekte na 90% zapojenia sa.</t>
  </si>
  <si>
    <t>4. záväzok certifikovať sa aspoň 2x (na 90%)</t>
  </si>
  <si>
    <t>Certifikovanie sa vybraných škôl 2 roky po projekte na 90% zapojenia sa.</t>
  </si>
  <si>
    <t>ZÁVER:</t>
  </si>
  <si>
    <t>Pritom ešte neberieme v úvahu potenciál národného projektu podporiť zvýšenie počtu študentov - absolventov IKT špecialistov.</t>
  </si>
  <si>
    <t>Kurzy CISCO NETWORKING ACADEMY so začiatkom v roku 2024 a ukončené</t>
  </si>
  <si>
    <t>Kurzy NetAcad školy Slovensko mimo BSK</t>
  </si>
  <si>
    <t>KAT Pasport1 (dopln)</t>
  </si>
  <si>
    <t>First Name</t>
  </si>
  <si>
    <t>Last Name</t>
  </si>
  <si>
    <t># Class Participants</t>
  </si>
  <si>
    <t># Class Completions</t>
  </si>
  <si>
    <t># Class Completions KAT A1</t>
  </si>
  <si>
    <t>00161403</t>
  </si>
  <si>
    <t>A3</t>
  </si>
  <si>
    <t>Martin</t>
  </si>
  <si>
    <t>Blasko</t>
  </si>
  <si>
    <t>Jozef</t>
  </si>
  <si>
    <t>Porubsky</t>
  </si>
  <si>
    <r>
      <t xml:space="preserve">Gymnazium Srobarova, </t>
    </r>
    <r>
      <rPr>
        <sz val="8"/>
        <color rgb="FF0070C0"/>
        <rFont val="Calibri"/>
        <family val="2"/>
        <charset val="238"/>
      </rPr>
      <t>Košice</t>
    </r>
  </si>
  <si>
    <t>00160989</t>
  </si>
  <si>
    <t>B3</t>
  </si>
  <si>
    <t>Jan</t>
  </si>
  <si>
    <t>Poradsky</t>
  </si>
  <si>
    <t>Marek</t>
  </si>
  <si>
    <t>Coronič</t>
  </si>
  <si>
    <r>
      <t>SPS</t>
    </r>
    <r>
      <rPr>
        <sz val="8"/>
        <color rgb="FF0070C0"/>
        <rFont val="Calibri"/>
        <family val="2"/>
        <charset val="238"/>
      </rPr>
      <t xml:space="preserve"> Myjava</t>
    </r>
  </si>
  <si>
    <t>00161381</t>
  </si>
  <si>
    <t>Marcel</t>
  </si>
  <si>
    <t>Borik</t>
  </si>
  <si>
    <t>A1</t>
  </si>
  <si>
    <t>Michal</t>
  </si>
  <si>
    <t>Šutek</t>
  </si>
  <si>
    <t>Miroslav</t>
  </si>
  <si>
    <t>PADYSAK</t>
  </si>
  <si>
    <t>Dudešek</t>
  </si>
  <si>
    <t>Tomáš</t>
  </si>
  <si>
    <t>Šálek</t>
  </si>
  <si>
    <t>Milan</t>
  </si>
  <si>
    <t>Petrík</t>
  </si>
  <si>
    <t>Jana</t>
  </si>
  <si>
    <t>Hrivikova</t>
  </si>
  <si>
    <t>Palica</t>
  </si>
  <si>
    <t>Zadňan</t>
  </si>
  <si>
    <t>???</t>
  </si>
  <si>
    <t>Bogdan</t>
  </si>
  <si>
    <t>Nastase</t>
  </si>
  <si>
    <t>Stefan Iulian</t>
  </si>
  <si>
    <t>ENACHE</t>
  </si>
  <si>
    <t>Denisa</t>
  </si>
  <si>
    <t>Hriscu</t>
  </si>
  <si>
    <t>Ing. Štefan</t>
  </si>
  <si>
    <t>Gajdoš, PhD.</t>
  </si>
  <si>
    <t>IGOR</t>
  </si>
  <si>
    <t>GRELLNETH</t>
  </si>
  <si>
    <t>Šatara</t>
  </si>
  <si>
    <t>Ing. Blažena</t>
  </si>
  <si>
    <t>Čonková</t>
  </si>
  <si>
    <t>Peter</t>
  </si>
  <si>
    <t>Jurčík</t>
  </si>
  <si>
    <r>
      <t xml:space="preserve">Súkromná stredná odborná škola </t>
    </r>
    <r>
      <rPr>
        <sz val="8"/>
        <color rgb="FF0070C0"/>
        <rFont val="Calibri"/>
        <family val="2"/>
        <charset val="238"/>
      </rPr>
      <t>Saleziánska, Žilina</t>
    </r>
  </si>
  <si>
    <t>Malacha</t>
  </si>
  <si>
    <r>
      <t xml:space="preserve">Stredna priemyselna skola </t>
    </r>
    <r>
      <rPr>
        <sz val="8"/>
        <color rgb="FF0070C0"/>
        <rFont val="Calibri"/>
        <family val="2"/>
        <charset val="238"/>
      </rPr>
      <t xml:space="preserve">technická </t>
    </r>
    <r>
      <rPr>
        <sz val="8"/>
        <color theme="1"/>
        <rFont val="Calibri"/>
        <family val="2"/>
      </rPr>
      <t>Bardejov</t>
    </r>
  </si>
  <si>
    <t>00161705</t>
  </si>
  <si>
    <t>Jakub</t>
  </si>
  <si>
    <t>Grohoľ</t>
  </si>
  <si>
    <t>Furmanova</t>
  </si>
  <si>
    <t>Lenka</t>
  </si>
  <si>
    <t>Mizíková</t>
  </si>
  <si>
    <t>Patrícia</t>
  </si>
  <si>
    <t>Stracenská</t>
  </si>
  <si>
    <t>Juraj</t>
  </si>
  <si>
    <t>Pavlisin</t>
  </si>
  <si>
    <t>Dana</t>
  </si>
  <si>
    <t>Janeckova</t>
  </si>
  <si>
    <t>Igor</t>
  </si>
  <si>
    <t>Obšasník</t>
  </si>
  <si>
    <r>
      <t xml:space="preserve">Stredná priemyselná škola informačných technológií Ignáca Gessaya, </t>
    </r>
    <r>
      <rPr>
        <sz val="8"/>
        <color rgb="FF0070C0"/>
        <rFont val="Calibri"/>
        <family val="2"/>
        <charset val="238"/>
      </rPr>
      <t>Tvrdošín</t>
    </r>
  </si>
  <si>
    <t>A2</t>
  </si>
  <si>
    <t>Alena</t>
  </si>
  <si>
    <t>Pakosová</t>
  </si>
  <si>
    <t>Miroslava</t>
  </si>
  <si>
    <t>Svetláková</t>
  </si>
  <si>
    <t>Miksovsky</t>
  </si>
  <si>
    <t>Elza</t>
  </si>
  <si>
    <t>Kočíková</t>
  </si>
  <si>
    <r>
      <t xml:space="preserve">Stredna odborna skola </t>
    </r>
    <r>
      <rPr>
        <sz val="8"/>
        <color rgb="FF0070C0"/>
        <rFont val="Calibri"/>
        <family val="2"/>
        <charset val="238"/>
      </rPr>
      <t>IT Ostrovského, Košice</t>
    </r>
  </si>
  <si>
    <t>00893331</t>
  </si>
  <si>
    <t>Marian</t>
  </si>
  <si>
    <t>Petrik</t>
  </si>
  <si>
    <t>Marcela</t>
  </si>
  <si>
    <t>Timková</t>
  </si>
  <si>
    <t>Lukas</t>
  </si>
  <si>
    <t>Zmuda</t>
  </si>
  <si>
    <t>Katarína</t>
  </si>
  <si>
    <t>Zmudová</t>
  </si>
  <si>
    <t>Martina</t>
  </si>
  <si>
    <t>Santova</t>
  </si>
  <si>
    <t>Chudá</t>
  </si>
  <si>
    <t>Aleš</t>
  </si>
  <si>
    <t>Chovanec</t>
  </si>
  <si>
    <t>Ivana</t>
  </si>
  <si>
    <t>Jasanova</t>
  </si>
  <si>
    <r>
      <t xml:space="preserve">Secondary Technical School </t>
    </r>
    <r>
      <rPr>
        <sz val="8"/>
        <color rgb="FF0070C0"/>
        <rFont val="Calibri"/>
        <family val="2"/>
        <charset val="238"/>
      </rPr>
      <t>Kukučínova</t>
    </r>
    <r>
      <rPr>
        <sz val="8"/>
        <color theme="1"/>
        <rFont val="Calibri"/>
        <family val="2"/>
      </rPr>
      <t>, Poprad</t>
    </r>
  </si>
  <si>
    <t>00891541</t>
  </si>
  <si>
    <t>Sramko</t>
  </si>
  <si>
    <r>
      <t xml:space="preserve">Stredna odborna skola informacnych technologii, </t>
    </r>
    <r>
      <rPr>
        <sz val="8"/>
        <color rgb="FF0070C0"/>
        <rFont val="Calibri"/>
        <family val="2"/>
        <charset val="238"/>
      </rPr>
      <t>Tajovského, Banská Bystrica</t>
    </r>
  </si>
  <si>
    <t>Novák</t>
  </si>
  <si>
    <t>Pagáč</t>
  </si>
  <si>
    <t>Ďuriš</t>
  </si>
  <si>
    <t>Radoslav</t>
  </si>
  <si>
    <t>Sanitra</t>
  </si>
  <si>
    <t>Katarina</t>
  </si>
  <si>
    <t>Stronerova</t>
  </si>
  <si>
    <r>
      <t>Spojena skola - Stredna odborna skola elektrotechnicka,</t>
    </r>
    <r>
      <rPr>
        <sz val="8"/>
        <color rgb="FF0070C0"/>
        <rFont val="Calibri"/>
        <family val="2"/>
        <charset val="238"/>
      </rPr>
      <t xml:space="preserve"> Banská Bystrica</t>
    </r>
  </si>
  <si>
    <t>37956108</t>
  </si>
  <si>
    <t>Mgr. Michal</t>
  </si>
  <si>
    <t>Mikita</t>
  </si>
  <si>
    <r>
      <t xml:space="preserve">Associated Secondary School, </t>
    </r>
    <r>
      <rPr>
        <sz val="8"/>
        <color rgb="FF0070C0"/>
        <rFont val="Calibri"/>
        <family val="2"/>
        <charset val="238"/>
      </rPr>
      <t>Nižná</t>
    </r>
  </si>
  <si>
    <t>17050448</t>
  </si>
  <si>
    <t>B1</t>
  </si>
  <si>
    <t>Mojmir</t>
  </si>
  <si>
    <t>Vrana</t>
  </si>
  <si>
    <t>Dobias</t>
  </si>
  <si>
    <t>Kocis</t>
  </si>
  <si>
    <r>
      <t xml:space="preserve">Stredna odborna skola elektrotechnicka </t>
    </r>
    <r>
      <rPr>
        <sz val="8"/>
        <color rgb="FF0070C0"/>
        <rFont val="Calibri"/>
        <family val="2"/>
        <charset val="238"/>
      </rPr>
      <t>Liptovský Hrádok</t>
    </r>
  </si>
  <si>
    <t>00893170</t>
  </si>
  <si>
    <t>Vladimir</t>
  </si>
  <si>
    <t>Vesely</t>
  </si>
  <si>
    <t>Klimčík</t>
  </si>
  <si>
    <t>Lengyelova</t>
  </si>
  <si>
    <t>Staronova</t>
  </si>
  <si>
    <t>Koloman</t>
  </si>
  <si>
    <t>Baďo</t>
  </si>
  <si>
    <t>Tomas</t>
  </si>
  <si>
    <t>Vondrak</t>
  </si>
  <si>
    <t>Gabauer</t>
  </si>
  <si>
    <t>Fecilak</t>
  </si>
  <si>
    <r>
      <t xml:space="preserve">Sukromna stredna odborna skola, </t>
    </r>
    <r>
      <rPr>
        <sz val="8"/>
        <color rgb="FF0070C0"/>
        <rFont val="Calibri"/>
        <family val="2"/>
        <charset val="238"/>
      </rPr>
      <t>Ul. 29.augusta, Poprad</t>
    </r>
  </si>
  <si>
    <t>Janka</t>
  </si>
  <si>
    <t>Jurkovičová</t>
  </si>
  <si>
    <t>Ján</t>
  </si>
  <si>
    <t>Kovalčík</t>
  </si>
  <si>
    <t>HOSTOVECKY</t>
  </si>
  <si>
    <t>00161217</t>
  </si>
  <si>
    <t>Marián</t>
  </si>
  <si>
    <t>Rura</t>
  </si>
  <si>
    <t>30414164</t>
  </si>
  <si>
    <t>Dušan</t>
  </si>
  <si>
    <t>Zervan</t>
  </si>
  <si>
    <t>37910337</t>
  </si>
  <si>
    <t>Dulik</t>
  </si>
  <si>
    <t>Julius</t>
  </si>
  <si>
    <t>Barath</t>
  </si>
  <si>
    <t>00397563</t>
  </si>
  <si>
    <t>D</t>
  </si>
  <si>
    <t>Pavel</t>
  </si>
  <si>
    <t>Segec</t>
  </si>
  <si>
    <t>Uramová</t>
  </si>
  <si>
    <t>Moravcik</t>
  </si>
  <si>
    <t>Kubina</t>
  </si>
  <si>
    <t>Kontsek</t>
  </si>
  <si>
    <t>Gabriel</t>
  </si>
  <si>
    <t>Koman</t>
  </si>
  <si>
    <t>Matus</t>
  </si>
  <si>
    <t>Madlenak</t>
  </si>
  <si>
    <t>Ondrej</t>
  </si>
  <si>
    <t>Skvarek</t>
  </si>
  <si>
    <t>Ivan</t>
  </si>
  <si>
    <t>Dolnak</t>
  </si>
  <si>
    <t>Bridova</t>
  </si>
  <si>
    <t>Papan</t>
  </si>
  <si>
    <t>Šterbák</t>
  </si>
  <si>
    <t>Michaela</t>
  </si>
  <si>
    <t>Hola</t>
  </si>
  <si>
    <t>Sevcik</t>
  </si>
  <si>
    <t>00161578</t>
  </si>
  <si>
    <t>Eduard</t>
  </si>
  <si>
    <t>Jadron</t>
  </si>
  <si>
    <t>Iveta</t>
  </si>
  <si>
    <t>Chmelikova</t>
  </si>
  <si>
    <r>
      <t xml:space="preserve">Sukromna stredna odborna skola Postupimska, </t>
    </r>
    <r>
      <rPr>
        <sz val="8"/>
        <color rgb="FF0070C0"/>
        <rFont val="Calibri"/>
        <family val="2"/>
        <charset val="238"/>
      </rPr>
      <t>Košice</t>
    </r>
  </si>
  <si>
    <t>Ing. Roman</t>
  </si>
  <si>
    <t>Žák</t>
  </si>
  <si>
    <t>00161829</t>
  </si>
  <si>
    <t>Vujcik</t>
  </si>
  <si>
    <t>Gašparik</t>
  </si>
  <si>
    <t>Kulbaga</t>
  </si>
  <si>
    <t>Vavrek</t>
  </si>
  <si>
    <t>Viliam</t>
  </si>
  <si>
    <t>Nehila</t>
  </si>
  <si>
    <t>Ing. Peter</t>
  </si>
  <si>
    <t>Kačur</t>
  </si>
  <si>
    <t>Fabian</t>
  </si>
  <si>
    <t>Ivanova</t>
  </si>
  <si>
    <t>Stanislav</t>
  </si>
  <si>
    <t>Dolnik</t>
  </si>
  <si>
    <t>Maroš</t>
  </si>
  <si>
    <t>Matejov</t>
  </si>
  <si>
    <t>Prno</t>
  </si>
  <si>
    <r>
      <t xml:space="preserve">Secondary Vocational School Jozefa Murgasa, </t>
    </r>
    <r>
      <rPr>
        <sz val="8"/>
        <color rgb="FF0070C0"/>
        <rFont val="Calibri"/>
        <family val="2"/>
        <charset val="238"/>
      </rPr>
      <t>Banská Bystrica</t>
    </r>
  </si>
  <si>
    <t>00161471</t>
  </si>
  <si>
    <t>Guzlejova</t>
  </si>
  <si>
    <t>František</t>
  </si>
  <si>
    <t>Kysel</t>
  </si>
  <si>
    <t>Krivek</t>
  </si>
  <si>
    <t>Juhasova</t>
  </si>
  <si>
    <r>
      <t xml:space="preserve">Gymnazium Grosslingova, </t>
    </r>
    <r>
      <rPr>
        <sz val="8"/>
        <color rgb="FF0070C0"/>
        <rFont val="Calibri"/>
        <family val="2"/>
        <charset val="238"/>
      </rPr>
      <t>Bratislava</t>
    </r>
  </si>
  <si>
    <t>17337101</t>
  </si>
  <si>
    <t>Farkas</t>
  </si>
  <si>
    <t>00161594</t>
  </si>
  <si>
    <t>Mgr. Zuzana</t>
  </si>
  <si>
    <t>Špilová</t>
  </si>
  <si>
    <t>Pavol</t>
  </si>
  <si>
    <t>MACUCH</t>
  </si>
  <si>
    <t>Rudolf</t>
  </si>
  <si>
    <t>MICHALAC</t>
  </si>
  <si>
    <t>Marta</t>
  </si>
  <si>
    <t>Magyaricsova</t>
  </si>
  <si>
    <t>Andel</t>
  </si>
  <si>
    <t>00893358</t>
  </si>
  <si>
    <t>Maria</t>
  </si>
  <si>
    <t>Bacova</t>
  </si>
  <si>
    <t>Anton</t>
  </si>
  <si>
    <t>Baca</t>
  </si>
  <si>
    <t>00161144</t>
  </si>
  <si>
    <t>Halková</t>
  </si>
  <si>
    <t>00161756</t>
  </si>
  <si>
    <t>Ploscica</t>
  </si>
  <si>
    <t>Izabela</t>
  </si>
  <si>
    <t>Molitorisova</t>
  </si>
  <si>
    <t>Copko</t>
  </si>
  <si>
    <t>Ľudmila</t>
  </si>
  <si>
    <t>Ďuratná</t>
  </si>
  <si>
    <t>Barutiak</t>
  </si>
  <si>
    <t>Radovan</t>
  </si>
  <si>
    <t>Repovsky</t>
  </si>
  <si>
    <t>37922459</t>
  </si>
  <si>
    <t>Miro</t>
  </si>
  <si>
    <t>Kalocai</t>
  </si>
  <si>
    <t>37946765</t>
  </si>
  <si>
    <t>C1?</t>
  </si>
  <si>
    <t>Richard</t>
  </si>
  <si>
    <t>Pisarský</t>
  </si>
  <si>
    <r>
      <t xml:space="preserve">Gymnazium P. Horova, </t>
    </r>
    <r>
      <rPr>
        <sz val="8"/>
        <color rgb="FF0070C0"/>
        <rFont val="Calibri"/>
        <family val="2"/>
        <charset val="238"/>
      </rPr>
      <t>Michalovce</t>
    </r>
  </si>
  <si>
    <t>00161063</t>
  </si>
  <si>
    <t>Spisakova</t>
  </si>
  <si>
    <t>Otília</t>
  </si>
  <si>
    <t>Heveryová</t>
  </si>
  <si>
    <r>
      <t>Stredna priemyselna skola technicka SNV</t>
    </r>
    <r>
      <rPr>
        <sz val="8"/>
        <color rgb="FF0070C0"/>
        <rFont val="Calibri"/>
        <family val="2"/>
        <charset val="238"/>
      </rPr>
      <t>, Spišská Nová Ves</t>
    </r>
  </si>
  <si>
    <t>00521663</t>
  </si>
  <si>
    <t>Henrieta</t>
  </si>
  <si>
    <t>Tarajcakova</t>
  </si>
  <si>
    <t>Zekucia</t>
  </si>
  <si>
    <t>00161721</t>
  </si>
  <si>
    <t>Mirko</t>
  </si>
  <si>
    <t>Semjon</t>
  </si>
  <si>
    <t>Ortutayova</t>
  </si>
  <si>
    <t>Adriana</t>
  </si>
  <si>
    <t>Bindzarova</t>
  </si>
  <si>
    <t>Onufer</t>
  </si>
  <si>
    <t>Anna</t>
  </si>
  <si>
    <t>Buchlaková</t>
  </si>
  <si>
    <r>
      <t xml:space="preserve">Slovak University of Technology, </t>
    </r>
    <r>
      <rPr>
        <sz val="9"/>
        <color rgb="FF0070C0"/>
        <rFont val="Calibri"/>
        <family val="2"/>
        <charset val="238"/>
      </rPr>
      <t>FIIT Bratislava</t>
    </r>
  </si>
  <si>
    <t>00397687</t>
  </si>
  <si>
    <t>Matúš</t>
  </si>
  <si>
    <t>Mikuláš</t>
  </si>
  <si>
    <t>Adrián</t>
  </si>
  <si>
    <t>Ondov</t>
  </si>
  <si>
    <t>Branislav</t>
  </si>
  <si>
    <t>Jančovič</t>
  </si>
  <si>
    <t>Ladislav</t>
  </si>
  <si>
    <t>Zemko</t>
  </si>
  <si>
    <t>Helebrandt</t>
  </si>
  <si>
    <t>Alexander</t>
  </si>
  <si>
    <t>Valach</t>
  </si>
  <si>
    <t>B2</t>
  </si>
  <si>
    <t>Róbert</t>
  </si>
  <si>
    <t>Kovalič</t>
  </si>
  <si>
    <t>Pramuka</t>
  </si>
  <si>
    <t>Elena</t>
  </si>
  <si>
    <t>Kalinova</t>
  </si>
  <si>
    <t>Ľuboslava</t>
  </si>
  <si>
    <t>Kroupová</t>
  </si>
  <si>
    <t>Forgáčová</t>
  </si>
  <si>
    <r>
      <t xml:space="preserve">SPSD, </t>
    </r>
    <r>
      <rPr>
        <sz val="8"/>
        <color rgb="FF0070C0"/>
        <rFont val="Calibri"/>
        <family val="2"/>
        <charset val="238"/>
      </rPr>
      <t>Dopravná</t>
    </r>
    <r>
      <rPr>
        <sz val="8"/>
        <color theme="1"/>
        <rFont val="Calibri"/>
        <family val="2"/>
      </rPr>
      <t xml:space="preserve"> Trnava</t>
    </r>
  </si>
  <si>
    <t>00491861</t>
  </si>
  <si>
    <t>Madunicky</t>
  </si>
  <si>
    <t>Salis</t>
  </si>
  <si>
    <t>Zuzana</t>
  </si>
  <si>
    <t>Radošovská</t>
  </si>
  <si>
    <r>
      <t>Stredna odborna skola drevarska</t>
    </r>
    <r>
      <rPr>
        <sz val="8"/>
        <color rgb="FF0070C0"/>
        <rFont val="Calibri"/>
        <family val="2"/>
        <charset val="238"/>
      </rPr>
      <t>, Vranov nad Topľou</t>
    </r>
  </si>
  <si>
    <t>Mihalcin</t>
  </si>
  <si>
    <t xml:space="preserve">42178941 </t>
  </si>
  <si>
    <t>Matej</t>
  </si>
  <si>
    <t>Machurek</t>
  </si>
  <si>
    <t>00161454</t>
  </si>
  <si>
    <t>Erik</t>
  </si>
  <si>
    <t>Martak</t>
  </si>
  <si>
    <t>Viktor</t>
  </si>
  <si>
    <t>Bagin</t>
  </si>
  <si>
    <t>Hrcka</t>
  </si>
  <si>
    <r>
      <t>SOS elektrotechnicka,</t>
    </r>
    <r>
      <rPr>
        <sz val="8"/>
        <color rgb="FF0070C0"/>
        <rFont val="Calibri"/>
        <family val="2"/>
        <charset val="238"/>
      </rPr>
      <t xml:space="preserve"> ???</t>
    </r>
  </si>
  <si>
    <t>Radoslav Michal</t>
  </si>
  <si>
    <t>Kopera</t>
  </si>
  <si>
    <r>
      <t>SPSE SAJ NZ,</t>
    </r>
    <r>
      <rPr>
        <sz val="8"/>
        <color rgb="FF0070C0"/>
        <rFont val="Calibri"/>
        <family val="2"/>
        <charset val="238"/>
      </rPr>
      <t xml:space="preserve"> Nové Zámky</t>
    </r>
  </si>
  <si>
    <t>00012432</t>
  </si>
  <si>
    <t>Zoltán</t>
  </si>
  <si>
    <t>Soóky</t>
  </si>
  <si>
    <t>Cucor</t>
  </si>
  <si>
    <t>MIKO</t>
  </si>
  <si>
    <t>Molnár</t>
  </si>
  <si>
    <r>
      <t>Velitelstvo vzdusnych sil OS SR</t>
    </r>
    <r>
      <rPr>
        <sz val="8"/>
        <color rgb="FF0070C0"/>
        <rFont val="Calibri"/>
        <family val="2"/>
        <charset val="238"/>
      </rPr>
      <t>, Zvolen</t>
    </r>
  </si>
  <si>
    <t>POHANKA</t>
  </si>
  <si>
    <t>Stecak</t>
  </si>
  <si>
    <t>Albert</t>
  </si>
  <si>
    <t>Tuzinsky</t>
  </si>
  <si>
    <r>
      <t>Gymnázium A.H. Škultétyho</t>
    </r>
    <r>
      <rPr>
        <sz val="8"/>
        <color rgb="FF0070C0"/>
        <rFont val="Calibri"/>
        <family val="2"/>
        <charset val="238"/>
      </rPr>
      <t>, Veľký Krtíš</t>
    </r>
  </si>
  <si>
    <t>00160709</t>
  </si>
  <si>
    <t>Melisko</t>
  </si>
  <si>
    <r>
      <rPr>
        <sz val="8"/>
        <color rgb="FF0070C0"/>
        <rFont val="Calibri"/>
        <family val="2"/>
        <charset val="238"/>
      </rPr>
      <t xml:space="preserve">Gymnázium </t>
    </r>
    <r>
      <rPr>
        <sz val="8"/>
        <color theme="1"/>
        <rFont val="Calibri"/>
        <family val="2"/>
      </rPr>
      <t xml:space="preserve">Secondary Grammar School Kosice Trebisovska 12, </t>
    </r>
    <r>
      <rPr>
        <sz val="8"/>
        <color rgb="FF0070C0"/>
        <rFont val="Calibri"/>
        <family val="2"/>
        <charset val="238"/>
      </rPr>
      <t>Košice</t>
    </r>
  </si>
  <si>
    <t>00398900</t>
  </si>
  <si>
    <t>Stefan</t>
  </si>
  <si>
    <t>Kubanek</t>
  </si>
  <si>
    <r>
      <t>Stredna odborna skola informacnych technologii</t>
    </r>
    <r>
      <rPr>
        <sz val="8"/>
        <color rgb="FF0070C0"/>
        <rFont val="Calibri"/>
        <family val="2"/>
        <charset val="238"/>
      </rPr>
      <t>, Hlinícka 1, Bratislava</t>
    </r>
  </si>
  <si>
    <r>
      <t xml:space="preserve">Secondary Technical School in Poprad Mnohelova str., </t>
    </r>
    <r>
      <rPr>
        <sz val="8"/>
        <color rgb="FF0070C0"/>
        <rFont val="Calibri"/>
        <family val="2"/>
        <charset val="238"/>
      </rPr>
      <t>Poprad</t>
    </r>
  </si>
  <si>
    <t>00161802</t>
  </si>
  <si>
    <t>Stoselova</t>
  </si>
  <si>
    <t>Meda</t>
  </si>
  <si>
    <t>Mário</t>
  </si>
  <si>
    <t>Jurik</t>
  </si>
  <si>
    <t>Boris</t>
  </si>
  <si>
    <t>Molnar</t>
  </si>
  <si>
    <t>Daniela</t>
  </si>
  <si>
    <t>Hivesova</t>
  </si>
  <si>
    <r>
      <t xml:space="preserve">SPSE Adlerka, </t>
    </r>
    <r>
      <rPr>
        <sz val="8"/>
        <color rgb="FF0070C0"/>
        <rFont val="Calibri"/>
        <family val="2"/>
        <charset val="238"/>
      </rPr>
      <t>Bratislava</t>
    </r>
  </si>
  <si>
    <t>Aljoša</t>
  </si>
  <si>
    <t>Ahmečković</t>
  </si>
  <si>
    <t>MALINA</t>
  </si>
  <si>
    <t>Butkovsky</t>
  </si>
  <si>
    <r>
      <t xml:space="preserve">The Mary Center, </t>
    </r>
    <r>
      <rPr>
        <sz val="8"/>
        <color rgb="FF0070C0"/>
        <rFont val="Calibri"/>
        <family val="2"/>
        <charset val="238"/>
      </rPr>
      <t>???</t>
    </r>
  </si>
  <si>
    <t>Shamil</t>
  </si>
  <si>
    <t>Shafiyev</t>
  </si>
  <si>
    <t>Ruslan</t>
  </si>
  <si>
    <t>Giperboreyskiy</t>
  </si>
  <si>
    <t>Aleksandr</t>
  </si>
  <si>
    <t>Krylow</t>
  </si>
  <si>
    <r>
      <t xml:space="preserve">Don Bosco Vocational Training Centre, Juba, </t>
    </r>
    <r>
      <rPr>
        <sz val="8"/>
        <color rgb="FF0070C0"/>
        <rFont val="Calibri"/>
        <family val="2"/>
        <charset val="238"/>
      </rPr>
      <t>???</t>
    </r>
  </si>
  <si>
    <t>Fábian</t>
  </si>
  <si>
    <t>Kormancik</t>
  </si>
  <si>
    <r>
      <t xml:space="preserve">INTERNATIONAL LEARNING INSTITTUTE, </t>
    </r>
    <r>
      <rPr>
        <sz val="8"/>
        <color rgb="FF0070C0"/>
        <rFont val="Calibri"/>
        <family val="2"/>
        <charset val="238"/>
      </rPr>
      <t>???</t>
    </r>
  </si>
  <si>
    <t>Chrysovalantis</t>
  </si>
  <si>
    <t>Oikonomopoulos</t>
  </si>
  <si>
    <t>Ilias</t>
  </si>
  <si>
    <t>Manos</t>
  </si>
  <si>
    <t>Stavros</t>
  </si>
  <si>
    <t>Telakis</t>
  </si>
  <si>
    <t>Chrysoula</t>
  </si>
  <si>
    <t>Koutroumpa</t>
  </si>
  <si>
    <t>Theofilos</t>
  </si>
  <si>
    <t>Gkioulis</t>
  </si>
  <si>
    <t>Nikolaos</t>
  </si>
  <si>
    <t>Agiotis</t>
  </si>
  <si>
    <r>
      <t xml:space="preserve">CEELABS Training Institute, </t>
    </r>
    <r>
      <rPr>
        <sz val="8"/>
        <color rgb="FF0070C0"/>
        <rFont val="Calibri"/>
        <family val="2"/>
        <charset val="238"/>
      </rPr>
      <t>TU v Košiciach</t>
    </r>
  </si>
  <si>
    <t>00397610</t>
  </si>
  <si>
    <t>Rastislav</t>
  </si>
  <si>
    <t>Petija</t>
  </si>
  <si>
    <t>Digital Bridge Ukraine, ???</t>
  </si>
  <si>
    <t>Dmytro</t>
  </si>
  <si>
    <t>Myronov</t>
  </si>
  <si>
    <r>
      <t xml:space="preserve">CNL Academy, </t>
    </r>
    <r>
      <rPr>
        <sz val="8"/>
        <color rgb="FF0070C0"/>
        <rFont val="Calibri"/>
        <family val="2"/>
        <charset val="238"/>
      </rPr>
      <t>TU v Košiciach</t>
    </r>
  </si>
  <si>
    <t>Kainz</t>
  </si>
  <si>
    <t>Gabonai</t>
  </si>
  <si>
    <t>Andrejdes</t>
  </si>
  <si>
    <t>Bugár</t>
  </si>
  <si>
    <t>Erika Abigail</t>
  </si>
  <si>
    <t>Katonova</t>
  </si>
  <si>
    <t>Michalko</t>
  </si>
  <si>
    <t>BEZ KAT A1</t>
  </si>
  <si>
    <t>Účastníci kurzov NetAcad</t>
  </si>
  <si>
    <t>Účastníci kurzov školy mimo BSK</t>
  </si>
  <si>
    <t>Kontingenčná tabuľka - prehľad cien alternatívnych komerčných kurzov a počtov študentov (registrovaných --&gt; účastníkov --&gt; ukončených certifikátom) - NP NetAcad Slovensko mimo BSK</t>
  </si>
  <si>
    <t>Súčet z # Class Registrants2</t>
  </si>
  <si>
    <t>Súčet z # Class Participants2</t>
  </si>
  <si>
    <t>Súčet z # Class Completions2</t>
  </si>
  <si>
    <t>Kurz z prieskumu alebo obdobný/ekvivalent</t>
  </si>
  <si>
    <t>Jedn.cena-prieskum</t>
  </si>
  <si>
    <t>SPOLU Cena Registrants2</t>
  </si>
  <si>
    <t>SPOLU Cena Participant2</t>
  </si>
  <si>
    <t>SPOLU Cena Completions2</t>
  </si>
  <si>
    <t>(prázdne)</t>
  </si>
  <si>
    <t>MIMO NetAcad, mimo Slovenska, alebo v BSK</t>
  </si>
  <si>
    <t>ROZVOJOVÝ POTENCIÁL: Kontingenčná tabuľka - počtov študentov - porovnanie údajov od CISCO s údajmi MŠVVaM SR (počty registrovaných --&gt; účastníkov --&gt; ukončených certifikátom) vs. počty žiakov v IKT odboroch škôl (Poč. žiakov ODHAD25 ikt)</t>
  </si>
  <si>
    <t>ŠKOLY KTORÉ VYUŽÍVAJÚ KURZY NetAcad z portálu CISCO NETWORKING ACADEMY NetAcad.com</t>
  </si>
  <si>
    <t>Intenzívne využívanie NetAcad</t>
  </si>
  <si>
    <t>Nepodmienený cieľ:</t>
  </si>
  <si>
    <t>Vyčíslenie hodnoty kvalitatívneho cieľa:</t>
  </si>
  <si>
    <t>Názov školy z Pasportizácie1</t>
  </si>
  <si>
    <t>Adresa školy z Pasportizácie1</t>
  </si>
  <si>
    <t>Mimo BSK</t>
  </si>
  <si>
    <t>KAT</t>
  </si>
  <si>
    <t>Počty</t>
  </si>
  <si>
    <t>Počet kurzov na študenta</t>
  </si>
  <si>
    <t>Vyhodnotenie škôl realizujúcich certifikačné kurzy NetAcad.com</t>
  </si>
  <si>
    <t>Stanovenie kvalitatívneho cieľa po zapojení do NP NetAcad</t>
  </si>
  <si>
    <t>Cieľ.koef</t>
  </si>
  <si>
    <t>Navýšenie certifikátov</t>
  </si>
  <si>
    <t>Priem. cena certifikátu</t>
  </si>
  <si>
    <t>Navýšenie hodnoty</t>
  </si>
  <si>
    <t>ANO</t>
  </si>
  <si>
    <t>Kvalitné certifikačné vzdelávanie.</t>
  </si>
  <si>
    <t>Do 3 rokov zvýšiť na 3 certifikácie/žiaka školy.</t>
  </si>
  <si>
    <t>Udržať. Prípadne zvýšiť na 2.</t>
  </si>
  <si>
    <t>Novšia avšak kvalitná škola. Dobré začiatky.</t>
  </si>
  <si>
    <t>Kvalitné tradičné certifikačné vzdelávanie.</t>
  </si>
  <si>
    <t>Tradičná škola.</t>
  </si>
  <si>
    <t>Do 3 rokov zvýšiť na 2 certifikácie/žiaka školy. A do 6 rokov 3.</t>
  </si>
  <si>
    <t>Do 3 rokov zvýšiť na 2 certifikácie/žiaka školy.</t>
  </si>
  <si>
    <t>Rozvíjajúca sa a snažiaca sa škola podporená projektom.</t>
  </si>
  <si>
    <t>Udržať úroveň nad 4.</t>
  </si>
  <si>
    <t>Tradičná a dobre nasmerovaná škola.</t>
  </si>
  <si>
    <t>Tradičná a podporovaná škola.</t>
  </si>
  <si>
    <t>Bez hodnotenia a bez cieľov. Bez vybavenia z NP NetAcad.</t>
  </si>
  <si>
    <t>Snažia sa. Ak chcú niečo disiahnuť, musia zlepšiť garancie kvality.</t>
  </si>
  <si>
    <t>Udržať. Prípadne zvýšiť na 3.</t>
  </si>
  <si>
    <t>CELKOM:</t>
  </si>
  <si>
    <t>ŠKOLY KTORÉ NEVYUŽÍVAJÚ KURZY NetAcad z portálu CISCO NETWORKING ACADEMY NetAcad.com ALE SÚ AKADÉMIAMI</t>
  </si>
  <si>
    <t>17050499</t>
  </si>
  <si>
    <t>Stredná odborná škola strojnícka ako org.zl. Spojenej školy</t>
  </si>
  <si>
    <t>Československej armády 24, 036 01 Martin</t>
  </si>
  <si>
    <t>Potenciál.</t>
  </si>
  <si>
    <t>Do 2 rokov zvýšiť na 2 certifikácie/žiaka školy.</t>
  </si>
  <si>
    <t>Stredná odborná škola hotelových služieb a dopravy</t>
  </si>
  <si>
    <t>Zvolenská cesta 83, 984 01 Lučenec</t>
  </si>
  <si>
    <t>Súkromná stredná odborná škola ELBA</t>
  </si>
  <si>
    <t>Smetanova 2, 080 05 Prešov</t>
  </si>
  <si>
    <t>Súkromná stredná odborná škola podnikania</t>
  </si>
  <si>
    <t>Hollého 1380, Senica</t>
  </si>
  <si>
    <t>Stredná odborná škola polytechnická ako org.zložka Spojená škola Juraja Henischa</t>
  </si>
  <si>
    <t>Slovenská 5, 085 01 Bardejov</t>
  </si>
  <si>
    <t>00160741</t>
  </si>
  <si>
    <t>Gymnázium Dominika Tatarku</t>
  </si>
  <si>
    <t>Školská 234/8, Považská Bystrica</t>
  </si>
  <si>
    <t>Stredná odborná škola technická</t>
  </si>
  <si>
    <t>Družstevná 1474/19, 066 01 Humenné</t>
  </si>
  <si>
    <t>Stredná odborná škola</t>
  </si>
  <si>
    <t>Generála Viesta č.6, 050 01 Revúca</t>
  </si>
  <si>
    <t>35568356</t>
  </si>
  <si>
    <t>Stredná odborná škola techniky a služieb  ako org.zl. Spojenej školy</t>
  </si>
  <si>
    <t>Kollárova 17, Sečovce</t>
  </si>
  <si>
    <t>Stredná odborná škola elektrotechnická</t>
  </si>
  <si>
    <t>Komenského 50, 010 01 Žilina</t>
  </si>
  <si>
    <t>Súkromná stredná odborná škola Via Humana</t>
  </si>
  <si>
    <t>Mallého 2, 909 01 Skalica</t>
  </si>
  <si>
    <t>Otázne výkony.</t>
  </si>
  <si>
    <t>00160580</t>
  </si>
  <si>
    <t>Gymnázium - Gimnázium Fiľakovo</t>
  </si>
  <si>
    <t>Námestie padlých hrdinov 2, 986 15 Fiľakovo</t>
  </si>
  <si>
    <t>Stredná priemyselná škola technická</t>
  </si>
  <si>
    <t>Komenského 1, 917 31 Trnava</t>
  </si>
  <si>
    <t>53638549</t>
  </si>
  <si>
    <t>Spojená škola Dunajská Streda</t>
  </si>
  <si>
    <t>Gyulu Szabóa 21, Dunajská Streda</t>
  </si>
  <si>
    <t>Tradičná škola. Vyučovanie v maďarskom jazyku.</t>
  </si>
  <si>
    <t>00893315</t>
  </si>
  <si>
    <t>Stredná odborná škola techniky a služieb</t>
  </si>
  <si>
    <t>Pod amfiteátrom 7, 934 01 Levice</t>
  </si>
  <si>
    <t>00893188</t>
  </si>
  <si>
    <t>Stredná priemyselná škola</t>
  </si>
  <si>
    <t>Športová 675, 916 01 Stará Turá</t>
  </si>
  <si>
    <t xml:space="preserve">Tradičná, kvalitná a potenciálne campusová škola. </t>
  </si>
  <si>
    <t>42326931</t>
  </si>
  <si>
    <t>Stredná odborná škola informačných technológií sv. Maximiliána Kolbeho ako org.zl. Spojenej katolíckej školy</t>
  </si>
  <si>
    <t>Farská 19, Nitra</t>
  </si>
  <si>
    <t>Úplne nová škola - využiť NP NetAcad a potenciál.</t>
  </si>
  <si>
    <t>Súkromné gymnázium FUTURUM</t>
  </si>
  <si>
    <t>Školská 66, 911 05 Trenčín</t>
  </si>
  <si>
    <t>00160903</t>
  </si>
  <si>
    <t>Gymnázium</t>
  </si>
  <si>
    <t>Hlinská 29, 011 80 Žilina</t>
  </si>
  <si>
    <t>Info: navrhnúť postupný nábeh na certifikácie! Pri SPŠ Stará Turá s rapídnou rýchlosťou!</t>
  </si>
  <si>
    <t>Cenový prieskum komerčných kurozv (vrátane DPH)</t>
  </si>
  <si>
    <r>
      <rPr>
        <b/>
        <sz val="11"/>
        <color theme="1"/>
        <rFont val="Calibri"/>
        <family val="2"/>
        <charset val="238"/>
      </rPr>
      <t>Ceny komerčných kurzov</t>
    </r>
    <r>
      <rPr>
        <sz val="11"/>
        <color theme="1"/>
        <rFont val="Calibri"/>
        <family val="2"/>
        <charset val="238"/>
      </rPr>
      <t xml:space="preserve"> (bez DPH, priemerné ceny z 3 prieskumov, pri veľkom rozdiele cien najvyššia vynechaná)</t>
    </r>
  </si>
  <si>
    <t>Označenia kurzov poskytovaných v NetAcad</t>
  </si>
  <si>
    <t>NetAcad kurz</t>
  </si>
  <si>
    <t>Názov kurzu</t>
  </si>
  <si>
    <t>Dodávateľ 1</t>
  </si>
  <si>
    <t>Link 1</t>
  </si>
  <si>
    <t>Pozn.1</t>
  </si>
  <si>
    <t>Dodávateľ 2</t>
  </si>
  <si>
    <t>Link 2</t>
  </si>
  <si>
    <t>Pozn.2</t>
  </si>
  <si>
    <t>Dodávateľ 3</t>
  </si>
  <si>
    <t>Link 3</t>
  </si>
  <si>
    <t>Cena 1</t>
  </si>
  <si>
    <t>Cena 2</t>
  </si>
  <si>
    <t>Cena 3</t>
  </si>
  <si>
    <t>Výsl. Cena</t>
  </si>
  <si>
    <t>Poznámka k spracovaniu ceny</t>
  </si>
  <si>
    <t>C Essentials 1–2 / C Advanced</t>
  </si>
  <si>
    <t>C/C++ I. Začiatočník</t>
  </si>
  <si>
    <t>IT Academy</t>
  </si>
  <si>
    <t>https://www.it-academy.sk/kurz/cc-i-zaciatocnik/</t>
  </si>
  <si>
    <t>https://www.it-academy.sk/kurz/uml/</t>
  </si>
  <si>
    <t>Skillmea</t>
  </si>
  <si>
    <t>https://skillmea.sk/online-kurzy/zaklady-programovania-a-oop</t>
  </si>
  <si>
    <t>Priemerná cena.</t>
  </si>
  <si>
    <t>C++ Essentials 1–2 / C++ Advanced</t>
  </si>
  <si>
    <t>https://skillmea.sk/blog/objektovo-orientovane-programovanie-v-c-trieda-reprezentujuca-valec-a-nieco-viac</t>
  </si>
  <si>
    <t>CCNA – všeobecný kurz</t>
  </si>
  <si>
    <t>Macrosoft</t>
  </si>
  <si>
    <t>https://www.macrosoft.sk/sk/component/hodnotenie/?idkat2=19&amp;nazov=Kurzy+po%C4%8D%C3%ADta%C4%8Dov%C3%BDch+siet%C3%AD%2C+CISCO.pdf&amp;task=downloadpdf</t>
  </si>
  <si>
    <t>UNITC</t>
  </si>
  <si>
    <t>https://unitc.sk/</t>
  </si>
  <si>
    <t>https://www.skolenia.sk/kurzy/175222/priprava-na-certifikaciu-ccna-skolenie-bratislava</t>
  </si>
  <si>
    <t>CCNA I – Úvod do počítačových sietí</t>
  </si>
  <si>
    <t>https://te.macrosoft.sk/kurz/cisco-ccna-uvod-do-pocitacovych-sieti</t>
  </si>
  <si>
    <t>2 dni (09:00–15:00)</t>
  </si>
  <si>
    <t>Macrosoft (iné URL)</t>
  </si>
  <si>
    <t>https://finance.macrosoft.sk/kurz/cisco-ccna-prepinanie-v-lan-sietach</t>
  </si>
  <si>
    <t>https://mailroom.macrosoft.sk/kurz/cisco-ccna-smerovanie-v-ip-sietach</t>
  </si>
  <si>
    <t>CCNA II – Smerovanie v IP sieťach</t>
  </si>
  <si>
    <t>Cisco Basics (úvodný Cisco kurz)</t>
  </si>
  <si>
    <t>https://www.it-academy.sk/kurz/cisco-basics/</t>
  </si>
  <si>
    <t>Priemerná cena z dvoch uvedených cien.</t>
  </si>
  <si>
    <t>CCNA – všeobecný kurz (Macrosoft)</t>
  </si>
  <si>
    <t>Skolenia.sk (organizátor rôzny)</t>
  </si>
  <si>
    <t>CCNP Enterprise: Core Networking (ENCOR)</t>
  </si>
  <si>
    <t>CCNP ENCOR poplatky (študenti)</t>
  </si>
  <si>
    <t>CCNA.sk / STC</t>
  </si>
  <si>
    <t>https://www.ccna.sk/sk/poplatky/</t>
  </si>
  <si>
    <t>UCK Košice</t>
  </si>
  <si>
    <t>https://uck.sk/sk/kurzy/ccnp-enterprise/detail/20</t>
  </si>
  <si>
    <t>3 mesiace</t>
  </si>
  <si>
    <t>AcademyTech</t>
  </si>
  <si>
    <t>https://www.academytech.com/en-SK/course/encore-implementing-and-operating-cisco-enterprise-network-core-technologies-350-401-course/humenne</t>
  </si>
  <si>
    <t>Základy hardware PC</t>
  </si>
  <si>
    <t>IT Academy (Skolenia.sk zápis)</t>
  </si>
  <si>
    <t>Len jedno školenie.</t>
  </si>
  <si>
    <t>Cybersecurity Essentials / Cyber Threat Management</t>
  </si>
  <si>
    <t>Siete III. – Základy bezpečnosti sietí</t>
  </si>
  <si>
    <t>https://www.it-academy.sk/kurz/cisco-asa-firewall/</t>
  </si>
  <si>
    <t>GOPAS</t>
  </si>
  <si>
    <t>https://www.gopas.sk/get-course-pdf-detail/9959202</t>
  </si>
  <si>
    <t>5 dní</t>
  </si>
  <si>
    <t>ALEF SK (Skolenia.sk)</t>
  </si>
  <si>
    <t>https://www.skolenia.sk/vzdelavacie-spolocnosti/1157/alef-distribution-sk</t>
  </si>
  <si>
    <t>Certified Network Defender v2 (EC-Council)</t>
  </si>
  <si>
    <t>https://www.gopas.sk/get-course-pdf-detail/9814120</t>
  </si>
  <si>
    <t>https://www.skolenia.sk/kurzy/110062989/kyberneticka-bezpecnost-pre-technikov-sprava-zranitelnosti-bratislava</t>
  </si>
  <si>
    <t>TÜV SÜD Slovakia (Skolenia.sk)</t>
  </si>
  <si>
    <t>https://www.skolenia.sk/kurzy/403264/manazer-kybernetickej-bezpecnosti-podla-zakona-c692018-zz-bratislava</t>
  </si>
  <si>
    <t>Jediná nájdená cena</t>
  </si>
  <si>
    <t>ekvivalent: Power BI / Data Analytics</t>
  </si>
  <si>
    <t xml:space="preserve">UNITC
</t>
  </si>
  <si>
    <t>https://unitc.sk/cennik/?utm_source=chatgpt.com</t>
  </si>
  <si>
    <t>https://www.gopas.sk/analyza-dat-nastrojom-a-sluzbou-microsoft-power-bi_moc-pl-300?utm_source=chatgpt.com</t>
  </si>
  <si>
    <t>Zriedkavé kurzy - len 1 cena.</t>
  </si>
  <si>
    <t>Developing App. and Automating Workflows Using Cisco Platf.</t>
  </si>
  <si>
    <t>priprava na certifikáciu Cisco® DevNet Associate</t>
  </si>
  <si>
    <t>ALEF Distribution SK</t>
  </si>
  <si>
    <t>https://www.skolenia.sk/kurzy/110017507/developing-app-and-automating-workflows-using-cisco-platf-bratislava-2</t>
  </si>
  <si>
    <t>Len jedna ponuka</t>
  </si>
  <si>
    <t>Malý počet študentov - bez prieskumu.</t>
  </si>
  <si>
    <t>Emerging Technologies Workshop</t>
  </si>
  <si>
    <t>UNITC – „Workshop 1</t>
  </si>
  <si>
    <t>Business/Professional English s IT zameraním</t>
  </si>
  <si>
    <t>resentation Skills in English</t>
  </si>
  <si>
    <t>FBE</t>
  </si>
  <si>
    <t>https://kurzy.edumenu.cz/d-113401/presentation-skills-in-english-ii-kurz-bratislava?utm_source=chatgpt.com</t>
  </si>
  <si>
    <t>English Academy</t>
  </si>
  <si>
    <t>https://www.skolenia.sk/kurzy/39607/jazykovy-kurz-anglictiny-zaciatocnici-pokrocili-konverz-bratislava?utm_source=chatgpt.com</t>
  </si>
  <si>
    <t>The Bridge</t>
  </si>
  <si>
    <t>https://thebridge.sk/kurz/professional-english/?utm_source=chatgpt.com</t>
  </si>
  <si>
    <t>Certified Ethical Hacker v13 ELITE</t>
  </si>
  <si>
    <t>GOPAS (Skolenia.sk)</t>
  </si>
  <si>
    <t>https://www.skolenia.sk/kurzy/110061900/certified-ethical-hacker-v13-elite-bratislava</t>
  </si>
  <si>
    <t>https://www.gopas.sk/certified-ethical-hacker-v13-qa</t>
  </si>
  <si>
    <t>Základy kybernetickej bezpečnosti</t>
  </si>
  <si>
    <t>CyberCompetence</t>
  </si>
  <si>
    <t>https://cybercompetence.sk/product/zaklady-kybernetickej-bezpecnosti/?utm_source=chatgpt.com</t>
  </si>
  <si>
    <t>Len jedna ponuka, cena  konzervatívna</t>
  </si>
  <si>
    <t>IT Essentials (Košice)</t>
  </si>
  <si>
    <t>skolenia.sk (organizátor rôzny)</t>
  </si>
  <si>
    <t>https://www.skolenia.sk/kurzy/299698/it-essentials-kosice</t>
  </si>
  <si>
    <t>IT LEARNING Slovakia</t>
  </si>
  <si>
    <t>https://www.skolenia.sk/kurzy/389267/spravca-pocitaca-i-pocitacovy-hardver-skladanie-a-oprava-bratislava</t>
  </si>
  <si>
    <t>https://www.it-academy.sk/kurz/powershell-i-zaciatocnik/</t>
  </si>
  <si>
    <t>Linux / Linux Essentials</t>
  </si>
  <si>
    <t>Linux/UNIX I. Začiatočník</t>
  </si>
  <si>
    <t>https://www.it-academy.sk/kurz/linuxunix-i-zaciatocnik/</t>
  </si>
  <si>
    <t>https://www.itlearning.sk/detail/kurz-linuxunix-sietove-sluzby/</t>
  </si>
  <si>
    <t>https://www.skolenia.sk/kurzy/386264/linux-v-sietach-bratislava/0/14815281</t>
  </si>
  <si>
    <t>https://www.itlearning.sk/detail/oficialny-kurz-mikrotik-mtctce/</t>
  </si>
  <si>
    <t>https://www.skolenia.sk/kurzy/368431/mpls-basics-sp1-bratislava-2</t>
  </si>
  <si>
    <t>Priemer. Extrémne vysoká cena vynechaná.</t>
  </si>
  <si>
    <t>Networking Basics / Networking Essentials</t>
  </si>
  <si>
    <t>Siete I. – Základy počítačových sietí</t>
  </si>
  <si>
    <t>https://www.it-academy.sk/objednavka/pocitacove-siete-i-zaklady-pocitacovych-sieti/148779/</t>
  </si>
  <si>
    <t>https://www.itlearning.sk/detail/kurz-pocitacove-siete-tcp-ip-sietove-protokoly-sietove-sluzby/</t>
  </si>
  <si>
    <t>IT LEARNING Slovakia (skolenia.sk)</t>
  </si>
  <si>
    <t>https://www.skolenia.sk/kurzy/110050939/moderna-a-kreativna-grafika-bez-photoshopu-pre-zaciatocnikov-bratislava/0/13417873</t>
  </si>
  <si>
    <t>INTERCONNECTING CISCO NETWORKING DEVICES 1 (ICND1)</t>
  </si>
  <si>
    <t>Modul ICND 1: Interconnecting Network Devices, Part 1</t>
  </si>
  <si>
    <t>https://www.macrosoft.sk/en/kurz/interconnecting-cisco-networking-devices-en?utm_source=chatgpt.com</t>
  </si>
  <si>
    <t>Univerzitné Centrum Košice</t>
  </si>
  <si>
    <t>https://uck.sk/en/courses</t>
  </si>
  <si>
    <t>https://uck.sk/en/pricelist</t>
  </si>
  <si>
    <t>JavaScript / JavaScript Essentials 1–2</t>
  </si>
  <si>
    <t>JavaScript I. Začiatočník</t>
  </si>
  <si>
    <t>https://www.it-academy.sk/kurz/javascript-i-zaciatocnik/</t>
  </si>
  <si>
    <t>https://www.it-academy.sk/objednavka/javascript-iii-oop/156767/</t>
  </si>
  <si>
    <t>https://skillmea.sk/academy/javascript</t>
  </si>
  <si>
    <t>Python / Python Essentials 1–2</t>
  </si>
  <si>
    <t>Kurz Python I. Začiatočník</t>
  </si>
  <si>
    <t>https://www.it-academy.sk/kurz/python/</t>
  </si>
  <si>
    <t>https://skillmea.sk/academy/python</t>
  </si>
  <si>
    <t>https://www.itlearning.sk/detail/python-standardna-kniznica-a-bezne-ulohy-programatora/</t>
  </si>
  <si>
    <t>NENACENENÉ IT KURZY *</t>
  </si>
  <si>
    <t>Poznámka *: Kurzy, ktoré sú možné len ako samoštúdium ("self-packed") nie sú nacenené. Tiež neboli naceňované kurzy realizované subjektami mimo škôl na území SR okrem BSK.</t>
  </si>
  <si>
    <t>Priem.cena certifikácie</t>
  </si>
  <si>
    <t>Poznámka **: Nacenené sú len kurzy z oblasti základov IT, networking a bezpečnosť IT. Nenaceňovali sme kurzy z oblasti AI, Dátová veda, atp. nakoľko sa v minulosti nerealizovali.</t>
  </si>
  <si>
    <t>SOŠ - Cisco Sieťová Akadémia (NetAcad)</t>
  </si>
  <si>
    <t>Aktualizácia 15.10.2025</t>
  </si>
  <si>
    <t>Kvalita --&gt;</t>
  </si>
  <si>
    <t>Žiaci --&gt;</t>
  </si>
  <si>
    <t>Kategória--&gt;</t>
  </si>
  <si>
    <t>Pripojenie</t>
  </si>
  <si>
    <t>Laboratóriá--&gt;</t>
  </si>
  <si>
    <t>...LabA...</t>
  </si>
  <si>
    <t xml:space="preserve"> </t>
  </si>
  <si>
    <t>...LabB...</t>
  </si>
  <si>
    <t>...LabQuant...</t>
  </si>
  <si>
    <t>...LabDron...</t>
  </si>
  <si>
    <t>...LabRobo...</t>
  </si>
  <si>
    <t>...LabIOT...</t>
  </si>
  <si>
    <t>Pedagógovia--&gt;</t>
  </si>
  <si>
    <t>Kontakty --&gt;</t>
  </si>
  <si>
    <t>Link --&gt;</t>
  </si>
  <si>
    <t>EDUID</t>
  </si>
  <si>
    <t>KODSKO</t>
  </si>
  <si>
    <t>Nazov vzdelávacej inštitúcie -akadémie NetAcad</t>
  </si>
  <si>
    <t>Adresa</t>
  </si>
  <si>
    <t>Mesto</t>
  </si>
  <si>
    <t>BSK?</t>
  </si>
  <si>
    <t>Kraj</t>
  </si>
  <si>
    <t>Akadémia</t>
  </si>
  <si>
    <t>Záujem?</t>
  </si>
  <si>
    <t>OVP v ikt RIS24?</t>
  </si>
  <si>
    <t>Miera zapoj.</t>
  </si>
  <si>
    <t>Campus potenc.</t>
  </si>
  <si>
    <t>INEKO skore23</t>
  </si>
  <si>
    <t>Súťaže NAG</t>
  </si>
  <si>
    <t>CENTR.EXCEL / COVP</t>
  </si>
  <si>
    <t>Optimalizácia</t>
  </si>
  <si>
    <t>Poč. žiakov RIS24 / CVTISR</t>
  </si>
  <si>
    <t>Poč. žiačok RIS24</t>
  </si>
  <si>
    <t>Poč. žiakov ODHAD25 všetci</t>
  </si>
  <si>
    <t>Poč. žiakov ODHAD25 ikt</t>
  </si>
  <si>
    <t>Poč. žiakov ODHAD25 digi.zručnosti</t>
  </si>
  <si>
    <t>Poč. žiakov ODHAD25 talentovaní</t>
  </si>
  <si>
    <t>Max.žiakov</t>
  </si>
  <si>
    <t>Max.žiakov ikt</t>
  </si>
  <si>
    <t>Ponuka</t>
  </si>
  <si>
    <t>Certifikačné kurzy? UTILIZÁCIA</t>
  </si>
  <si>
    <t>KATEGÓRIA</t>
  </si>
  <si>
    <t>Dôvod KAT</t>
  </si>
  <si>
    <t>Firewall (pripojenie k IS NetAcad)</t>
  </si>
  <si>
    <t>KoľkoLAB?</t>
  </si>
  <si>
    <t>DODKoľkoLAB</t>
  </si>
  <si>
    <t>Poč.LabA?</t>
  </si>
  <si>
    <t>Poč.prac.LabA?</t>
  </si>
  <si>
    <t>DODPoč.LabA</t>
  </si>
  <si>
    <t>DODPoč.prac.LabA</t>
  </si>
  <si>
    <t>Poč.LabB?</t>
  </si>
  <si>
    <t>Poč.prac.LabB?</t>
  </si>
  <si>
    <t>DODPoč.LabB</t>
  </si>
  <si>
    <t>DODPoč.prac.LabB</t>
  </si>
  <si>
    <t>Poč.LabQuant?</t>
  </si>
  <si>
    <t>Poč.prac.LabQuant(mini)?</t>
  </si>
  <si>
    <t>Poč.prac.LabQuant(uč.lab)?</t>
  </si>
  <si>
    <t>DODPoč.LabQuant</t>
  </si>
  <si>
    <t>DODPoč.prac.LabQuant(mini)</t>
  </si>
  <si>
    <t>DODPoč.prac.LabQuant(kufrík)</t>
  </si>
  <si>
    <t>Poč.LabDron?</t>
  </si>
  <si>
    <t>Poč.prac.LabDron?</t>
  </si>
  <si>
    <t>DODPoč.LabDron</t>
  </si>
  <si>
    <t>DODPoč.prac.LabDron</t>
  </si>
  <si>
    <t>Poč.LabRobo?</t>
  </si>
  <si>
    <t>Poč.prac.LabRobo?</t>
  </si>
  <si>
    <t>DODPoč.LabRobo</t>
  </si>
  <si>
    <t>DODPoč.prac.LabRobo</t>
  </si>
  <si>
    <t>Poč.LabIOT?</t>
  </si>
  <si>
    <t>Poč.prac.LabIOT?</t>
  </si>
  <si>
    <t>DODPoč.LabIOT</t>
  </si>
  <si>
    <t>DODPoč.prac.LabIOT</t>
  </si>
  <si>
    <t>Poč.ITpedg</t>
  </si>
  <si>
    <t>Poč.KĽÚČpedg</t>
  </si>
  <si>
    <t>Re/CertKL</t>
  </si>
  <si>
    <t>InovKL</t>
  </si>
  <si>
    <t>ŠkolKL</t>
  </si>
  <si>
    <t>InovINE</t>
  </si>
  <si>
    <t>ŠkolINE</t>
  </si>
  <si>
    <t>Riaditel (overené)</t>
  </si>
  <si>
    <t>Email riaditel (overené)</t>
  </si>
  <si>
    <t>Email škola</t>
  </si>
  <si>
    <t>Zástupca-vedenie (overené)</t>
  </si>
  <si>
    <t>Email zástupca (overené)</t>
  </si>
  <si>
    <t>Pedagóg-koord. (overené)</t>
  </si>
  <si>
    <t>Email pedagógovia (overené)</t>
  </si>
  <si>
    <t>Idnum</t>
  </si>
  <si>
    <t xml:space="preserve">Súkromná stredná odborná škola </t>
  </si>
  <si>
    <t>Saleziánska 18, Žilina</t>
  </si>
  <si>
    <t>Žilina</t>
  </si>
  <si>
    <t>nie BSK</t>
  </si>
  <si>
    <t>ZSK</t>
  </si>
  <si>
    <t>ano</t>
  </si>
  <si>
    <t>Max</t>
  </si>
  <si>
    <t>2*top,vysoké hodnotenie INEKO, dodržané záväzky s RUZ, sk 25ikt</t>
  </si>
  <si>
    <t>info@ssosza.sk</t>
  </si>
  <si>
    <t>Miroslav Malacha, poverený riaditeľkou</t>
  </si>
  <si>
    <t>miroslav.malacha@gmail.com</t>
  </si>
  <si>
    <t>Stredná priemyselná škola dopravná</t>
  </si>
  <si>
    <t>Študentská 23, 917 45 Trnava</t>
  </si>
  <si>
    <t>Trnava</t>
  </si>
  <si>
    <t>TTSK</t>
  </si>
  <si>
    <t>ano sk26</t>
  </si>
  <si>
    <t>NAG</t>
  </si>
  <si>
    <t>odbor ekst</t>
  </si>
  <si>
    <t>Ing. Peter Papík, riaditeľ školy</t>
  </si>
  <si>
    <t>peterpapik.spsdtt@gmail.com</t>
  </si>
  <si>
    <t>spsdtt@zupa-tt.sk</t>
  </si>
  <si>
    <t>Novomeského 5/24, 036 36 Martin</t>
  </si>
  <si>
    <t>3*top, iniciatívna škola</t>
  </si>
  <si>
    <t>Mgr. Dušan Koťka</t>
  </si>
  <si>
    <t>dusan.kotka@spsmt.sk</t>
  </si>
  <si>
    <t>office@spsmt.sk</t>
  </si>
  <si>
    <t>Stredná odborná škola polytechnická</t>
  </si>
  <si>
    <t>Štefánikova 1550/20, 066 01 Humenné</t>
  </si>
  <si>
    <t>Humenné</t>
  </si>
  <si>
    <t>PSK</t>
  </si>
  <si>
    <t>Ing. Anton Bača</t>
  </si>
  <si>
    <t>antonbaca@soshe.sk</t>
  </si>
  <si>
    <t>riaditel@soshe.sk</t>
  </si>
  <si>
    <t>Gymnázium Terézie Vansovej Stará Ľubovňa</t>
  </si>
  <si>
    <t>Ul. 17. novembra 6, 064 01 Stará Ľubovňa</t>
  </si>
  <si>
    <t>Stará Ľubovňa</t>
  </si>
  <si>
    <t>nie</t>
  </si>
  <si>
    <t>2*top gymnázium</t>
  </si>
  <si>
    <t>PaedDr. Klaudia Satkeová</t>
  </si>
  <si>
    <t>riaditel@gymtv-sl.vucpo.sk</t>
  </si>
  <si>
    <t>gtv.sl.riaditel@gmail.com</t>
  </si>
  <si>
    <t>Mgr. Ivana Hurtošová; zástupkyňa školy</t>
  </si>
  <si>
    <t>zastupcagtv@gmail.com</t>
  </si>
  <si>
    <t>Ing. Marián Rura</t>
  </si>
  <si>
    <t>mrura@pobox.sk</t>
  </si>
  <si>
    <t>Súkromná stredná odborná škola</t>
  </si>
  <si>
    <t>Ul. 29. augusta 4812, 058 01 Poprad</t>
  </si>
  <si>
    <t>Poprad</t>
  </si>
  <si>
    <t>COVP</t>
  </si>
  <si>
    <t>4*top, sk 25ikt - ide však o vynikajúcu súkromnú školu na slovenské (a možno i európske pomery) s výbornou kombináciou s manažérsko-ekonmickým odborov, ktorá tým pádom však nemá potenciál a ani podporu kraja pre "campusovú školu" (kraj v Poprade podporuje iné SOŠ, čo je však pozitívne vzhľadom na priemyselný potenciál mesta a skutočnosť, že cca. 97% absolventov tejto súkromnej SOŠ pokračuje na univerzite a to i mimo SR, ktorú mesto nemá - a teda môžu byť pre Poprad "stratení")</t>
  </si>
  <si>
    <t>Ing. Beáta Mitická, riaditeľka školy</t>
  </si>
  <si>
    <t>riaditel@tatranskaakademia.sk</t>
  </si>
  <si>
    <t>Ján Kovalčík</t>
  </si>
  <si>
    <t>janes.kovalcik@gmail.com</t>
  </si>
  <si>
    <t>Ul. Slovenských partizánov 1132/52, 017 01 Považská Bystrica</t>
  </si>
  <si>
    <t>Považská Bystrica</t>
  </si>
  <si>
    <t>TNSK</t>
  </si>
  <si>
    <t>3*top, sk 25ikt</t>
  </si>
  <si>
    <t>Mgr. Tibor Macháč</t>
  </si>
  <si>
    <t>riaditel@spspb.edu.sk</t>
  </si>
  <si>
    <t>riaditel@spspb.sk</t>
  </si>
  <si>
    <t>Mgr. Zuzana Špilová, garant NetAcad na škole</t>
  </si>
  <si>
    <t>zuzana.spilova@spspb.sk</t>
  </si>
  <si>
    <t>100009338</t>
  </si>
  <si>
    <t>161471</t>
  </si>
  <si>
    <t>Stredná priemyselná škola Jozefa Murgaša</t>
  </si>
  <si>
    <t>Hurbanova 6, 975 18 Banská Bystrica</t>
  </si>
  <si>
    <t>Banská Bystrica</t>
  </si>
  <si>
    <t>BBSK</t>
  </si>
  <si>
    <t>Max+pedagóg</t>
  </si>
  <si>
    <t>CExOVP</t>
  </si>
  <si>
    <t>Ano1</t>
  </si>
  <si>
    <t>7*top, sk 25ikt</t>
  </si>
  <si>
    <t>Ing. Kamil Kordík</t>
  </si>
  <si>
    <t>kordik@spsjm.sk</t>
  </si>
  <si>
    <t>Ing. Dana Juhásová, zástupkyňa riaditeľa školy pre odborné predmety</t>
  </si>
  <si>
    <t>dana.juhasova@spsjm.sk</t>
  </si>
  <si>
    <t>Dana Juhásová
Juraj Badáni
Miroslava Guzlejová
Tomáš Javůrek</t>
  </si>
  <si>
    <t>dana.juhasova@spsjm.sk
juraj.badani@spsjm.sk
miroslava.guzlejova@spsjm.sk
tomas.javurek@kinit.sk</t>
  </si>
  <si>
    <t>Stredná odborná škola technická ako org.zl. Spojenej školy</t>
  </si>
  <si>
    <t>Ľ. Podjavorinskej 22, 080 01 Prešov</t>
  </si>
  <si>
    <t>Prešov</t>
  </si>
  <si>
    <t>Ano2</t>
  </si>
  <si>
    <t>Nejasná existencia - neviem ju nájsť v zozname CVTI SR (k 15.9.2024)?</t>
  </si>
  <si>
    <t>Mgr. Ján Holub</t>
  </si>
  <si>
    <t>riaditel@spojenaskola.sk</t>
  </si>
  <si>
    <t>info@spojenaskola.sk</t>
  </si>
  <si>
    <t>PhDr. Richard Pisarský</t>
  </si>
  <si>
    <t>richard.pisarsky@spojenaskola.sk</t>
  </si>
  <si>
    <t>Stredná odborná škola ekonomická</t>
  </si>
  <si>
    <t>Stojan 1, 052 01 Spišská Nová Ves</t>
  </si>
  <si>
    <t>Spišská Nová Ves</t>
  </si>
  <si>
    <t>KSK</t>
  </si>
  <si>
    <t>Len výber</t>
  </si>
  <si>
    <t>Ing. Andrea Iovdijová</t>
  </si>
  <si>
    <t>andrea.iovdijova@sosesnv.sk</t>
  </si>
  <si>
    <t>oasnvsk@gmail.com</t>
  </si>
  <si>
    <t>Mgr. Ján Pramuka, koordinátor sieťového programu NetAcad, učiteľ informatiky a geografie</t>
  </si>
  <si>
    <t>jan.pramuka@sosesnv.sk</t>
  </si>
  <si>
    <t>Kukučínova 483/12, 058 01 Poprad</t>
  </si>
  <si>
    <t>Ing. Ľubomír Rokos</t>
  </si>
  <si>
    <t>riaditel@sostpoprad.sk</t>
  </si>
  <si>
    <t>PaedDr. Erik Slivka</t>
  </si>
  <si>
    <t>slivka@ucitel.sostpoprad.sk</t>
  </si>
  <si>
    <t>Stredná priemyselná škola elektrotechnická</t>
  </si>
  <si>
    <t>Brezová 2, 921 77 Piešťany</t>
  </si>
  <si>
    <t>Piešťany</t>
  </si>
  <si>
    <t>3*top, sk 25ikt, regionálne významná SOŠ vyžadujúca výraznú podporu</t>
  </si>
  <si>
    <t>Mgr. Jozef Kolník</t>
  </si>
  <si>
    <t>skola@spsepn.edu.sk</t>
  </si>
  <si>
    <t>Ing. Daniel Vido</t>
  </si>
  <si>
    <t>vido.daniel@spsepn.edu.sk</t>
  </si>
  <si>
    <t>Viktor Bagin
Jozef Danko</t>
  </si>
  <si>
    <t>bagin.viktor@spsepn.edu.sk
danko.jozef@spsepn.edu.sk</t>
  </si>
  <si>
    <t>Akadémia ozbrojených síl generála M. R. Štefánika</t>
  </si>
  <si>
    <t>Demänová 393, 031 01 Liptovský Mikuláš</t>
  </si>
  <si>
    <t>Liptovský Mikuláš</t>
  </si>
  <si>
    <t>tajné :-)</t>
  </si>
  <si>
    <r>
      <t>B1 (</t>
    </r>
    <r>
      <rPr>
        <sz val="11"/>
        <color rgb="FFC00000"/>
        <rFont val="Aptos Narrow"/>
        <family val="2"/>
      </rPr>
      <t>vš</t>
    </r>
    <r>
      <rPr>
        <sz val="11"/>
        <color theme="1"/>
        <rFont val="Aptos Narrow"/>
        <family val="2"/>
      </rPr>
      <t>)</t>
    </r>
  </si>
  <si>
    <t>doc. Ing. Július Baráth, PhD.</t>
  </si>
  <si>
    <t>julius.barath@aos.sk</t>
  </si>
  <si>
    <t>Ing. Miroslav Ďulík, PhD.</t>
  </si>
  <si>
    <t>miroslav.dulikml@aos.sk</t>
  </si>
  <si>
    <t>Gymnázium P. Horova</t>
  </si>
  <si>
    <t>Masarykova 1, 071 01 Michalovce</t>
  </si>
  <si>
    <t>Michalovce</t>
  </si>
  <si>
    <t>3*top</t>
  </si>
  <si>
    <t>Mgr. Katarína Olšavová, riaditeľka školy</t>
  </si>
  <si>
    <t>olsavova@gphmi.sk</t>
  </si>
  <si>
    <t>gph@gphmi.sk</t>
  </si>
  <si>
    <t>Mária Spišáková</t>
  </si>
  <si>
    <t>spisakov@gphmi.sk</t>
  </si>
  <si>
    <t>Stredná priemyselná škola techniky a dizajnu</t>
  </si>
  <si>
    <t>Mnoheľova 828/23, 058 46 Poprad</t>
  </si>
  <si>
    <t>posta@spspp.sk</t>
  </si>
  <si>
    <t>Mgr. Marcel Slavkovský, zástupca riaditeľa</t>
  </si>
  <si>
    <t>mslavkovsky@spspp.sk</t>
  </si>
  <si>
    <t>Ano</t>
  </si>
  <si>
    <t>NIE</t>
  </si>
  <si>
    <t>podporiť IKT</t>
  </si>
  <si>
    <t>Mgr. Milan Žingor</t>
  </si>
  <si>
    <t>ssmt@vuczilina.sk</t>
  </si>
  <si>
    <t>Mgr. Rastislav Gavurník</t>
  </si>
  <si>
    <t>rgavurnik@gmail.com</t>
  </si>
  <si>
    <t>Stredná odborná škola Handlová</t>
  </si>
  <si>
    <t>Lipová 8, 972 51 Handlová</t>
  </si>
  <si>
    <t>Handlová</t>
  </si>
  <si>
    <t>5*top, sk 25ikt</t>
  </si>
  <si>
    <t>Mgr. Maroš Štorcel, riaditeľ školy</t>
  </si>
  <si>
    <t>riaditel@sosha.sk</t>
  </si>
  <si>
    <t>Peter Fabián
Maroš Matejov</t>
  </si>
  <si>
    <t>peter.fabian@sosha.sk
maros.matejov@sosha.sk</t>
  </si>
  <si>
    <t>Lučenec</t>
  </si>
  <si>
    <t>Ing. Patrik Koštialik</t>
  </si>
  <si>
    <t>patko79@gmail.com</t>
  </si>
  <si>
    <t>soslc@soslc.sk</t>
  </si>
  <si>
    <t>Stredná priemyselná škola Myjava</t>
  </si>
  <si>
    <t>Ul. SNP 413/ 8, 907 01 Myjava</t>
  </si>
  <si>
    <t>Myjava</t>
  </si>
  <si>
    <t>tech.lýceum s nejakou informatikou</t>
  </si>
  <si>
    <t>Mgr. Jaroslav Foltín</t>
  </si>
  <si>
    <t>jaroslav.foltin@spsmy.sk</t>
  </si>
  <si>
    <t>info@spsmy.tsk.sk</t>
  </si>
  <si>
    <t>Mgr. Marcel Bórik</t>
  </si>
  <si>
    <t>marcel.borik@spsmy.sk</t>
  </si>
  <si>
    <t>Stredná odborná škola informačných technológií</t>
  </si>
  <si>
    <t>Ostrovského 1, 040 01 Košice</t>
  </si>
  <si>
    <t>Košice</t>
  </si>
  <si>
    <t>3,4!</t>
  </si>
  <si>
    <t>7*top, sk 25ikt, veľmi iniciatívna SOŠ s viacerými novými programami v  IKT, avšak vyžaduje silnú podporu rozvoja kvality v OVP IKT vzhľadom na vysoký počet a kapacitné rezervy pre OVP v IKT v Košickom kraji</t>
  </si>
  <si>
    <t>Ing. Elena Tibenská</t>
  </si>
  <si>
    <t>skola@ostrovskeho.sk</t>
  </si>
  <si>
    <t>Ing. Marcela Timková</t>
  </si>
  <si>
    <t>m.timkova@ostrovskeho.com</t>
  </si>
  <si>
    <t>Stredná priemyselná škola elektrotechnická S. A. Jedlika ako org.zl. Spojenej školy</t>
  </si>
  <si>
    <t>Komárňanská 28, 940 75 Nové Zámky</t>
  </si>
  <si>
    <t>Nové Zámky</t>
  </si>
  <si>
    <t>NSK</t>
  </si>
  <si>
    <t>4*top, sk 25ikt</t>
  </si>
  <si>
    <t>PaedDr. Lucia Takácsová, riaditeľka školy</t>
  </si>
  <si>
    <t>ltakacsova@spsenz.sk</t>
  </si>
  <si>
    <t>skola@spsenz.sk</t>
  </si>
  <si>
    <t>Michal Miko</t>
  </si>
  <si>
    <t>michalm68@gmail.com</t>
  </si>
  <si>
    <t>Spojená škola - Stredná odborná škola elektrotechnická</t>
  </si>
  <si>
    <t>Zvolenská cesta 18, 975 32 Banská Bystrica</t>
  </si>
  <si>
    <t>mechanik poč. Sieti 20 žiakov 2026</t>
  </si>
  <si>
    <t>Ing. Marcel Hrnčiar</t>
  </si>
  <si>
    <t>ss.skolska7@gmail.com</t>
  </si>
  <si>
    <t>ss.sosebb@gmail.com</t>
  </si>
  <si>
    <t>Mgr. František Elias, zástupca riaditeľa</t>
  </si>
  <si>
    <t>Mgr. Michal Mikita - vedúci predmetovej komisie OP a hlavný kontakt a lektor CISCO</t>
  </si>
  <si>
    <t>mikita@chello.sk</t>
  </si>
  <si>
    <t>Stredná priemyselná škola informačných technológií Ignáca Gessaya</t>
  </si>
  <si>
    <t>Medvedzie 133/1, 027 44 Tvrdošín</t>
  </si>
  <si>
    <t>Tvrdošín</t>
  </si>
  <si>
    <t>Ing. Ľudmila Uhlíková</t>
  </si>
  <si>
    <t>uhlikova@sstv.sk</t>
  </si>
  <si>
    <t>sekretariat@sstv.sk</t>
  </si>
  <si>
    <t>Stredná odborná škola technická Michalovce</t>
  </si>
  <si>
    <t>Partizánska 1, 071 92 Michalovce</t>
  </si>
  <si>
    <t>3*top nie sk.25ikt, sk 25ikt</t>
  </si>
  <si>
    <t>Ing. Jaroslav Kapitan</t>
  </si>
  <si>
    <t>kapitan@sostmi.sk</t>
  </si>
  <si>
    <t>sostmi@sostmi.sk</t>
  </si>
  <si>
    <t>Jozef Dobiáš, zástupca</t>
  </si>
  <si>
    <t>Jozef_Dobias@hotmail.com</t>
  </si>
  <si>
    <t>Ing. Jozef Dobiaš, učiteľ odborných predmetov IT</t>
  </si>
  <si>
    <t>Spojená škola sv. Jána Bosca - org. zl. SOŠ IT sv. Jána Bosca</t>
  </si>
  <si>
    <t>Trenčianska 66/28, 018 51 Nová Dubnica</t>
  </si>
  <si>
    <t>Nová Dubnica</t>
  </si>
  <si>
    <t>technické lýceum na IT</t>
  </si>
  <si>
    <t>Ing. Jozef Imrišek</t>
  </si>
  <si>
    <t>riaditel@ssnd.sk</t>
  </si>
  <si>
    <t>Mgr. Ján Šatka</t>
  </si>
  <si>
    <t>zastsos@ssnd.sk</t>
  </si>
  <si>
    <t>Ing. Dušan Zervan, učiteľ odborných IT predmetov, správca IT</t>
  </si>
  <si>
    <t>dusan.zervan@ssnd.sk</t>
  </si>
  <si>
    <t>Hviezdoslavova 6, 052 01 Spišská Nová Ves</t>
  </si>
  <si>
    <t>Ing. Martin Kokoruďa, riaditeľ</t>
  </si>
  <si>
    <t>martin.kokoruda@spst.sk</t>
  </si>
  <si>
    <t>skola@spst.sk</t>
  </si>
  <si>
    <t>Mgr. Romana Birošová, MBA</t>
  </si>
  <si>
    <t xml:space="preserve">romana.birosova@elbaci.sk </t>
  </si>
  <si>
    <t>odborna@elbaci.sk</t>
  </si>
  <si>
    <t>Emil Blicha, GENERÁLNY RIADITEĽ Európskej vzdelávacej agentúry ELBA n.o.</t>
  </si>
  <si>
    <t>emil.blicha@elbaci.sk</t>
  </si>
  <si>
    <t>Ing. Branislav Blicha, PREDSEDA SPRÁVNEJ RADY Európskej vzdelávacej agentúry ELBA n.o.</t>
  </si>
  <si>
    <t>branislav.blicha@elbaci.sk</t>
  </si>
  <si>
    <t>Súkromná stredná odborná škola ekonomicko-technická</t>
  </si>
  <si>
    <t>Postupimská 37, 040 22 Košice</t>
  </si>
  <si>
    <t>mechanik počítačových sietí</t>
  </si>
  <si>
    <t>Ing. Martina Ilišková</t>
  </si>
  <si>
    <t>soapostuke@gmail.com</t>
  </si>
  <si>
    <t>Roman Žák, Ing., správca IKT</t>
  </si>
  <si>
    <t>zak.postupimska@gmail.com</t>
  </si>
  <si>
    <t>Senica</t>
  </si>
  <si>
    <t>PhDr. Milan Trizuliak</t>
  </si>
  <si>
    <t>trizuliak@ssspsenica.sk</t>
  </si>
  <si>
    <t>ssspsenica@ssspsenica.sk</t>
  </si>
  <si>
    <t>Michal Sedláček</t>
  </si>
  <si>
    <t xml:space="preserve">sedlacekmichalpraca@gmail.com </t>
  </si>
  <si>
    <t>Bzinská 11, 915 01 Nové Mesto nad Váhom</t>
  </si>
  <si>
    <t>Nové Mesto nad Váhom</t>
  </si>
  <si>
    <t>Mgr. Milan Lipták</t>
  </si>
  <si>
    <t>milan.liptak@spsnmnv.sk</t>
  </si>
  <si>
    <t>zsps@spsnmnv.sk</t>
  </si>
  <si>
    <t>Tajovského 30, 975 90 Banská Bystrica</t>
  </si>
  <si>
    <t>6*top, sk 25ikt, škola sa ako jedna z mála na Slovensku výnimočne kvalitne zameriava na odbory stupňa K v IKT (jediný avšak moderný) 2571 K správca inteligentných a digitálnych systémov, čo spolu s odbormi "Mechanik počítačových sietí", "Technik informačných a telekomunikačných technológií" dosahuje excelentnú úroveň OVP v IKT, IKT zameranie školy iste vie pomôcť v "digitalizácii" odboru "Pracovník marketingu mobilného operátora"</t>
  </si>
  <si>
    <t>Ing. Štefan Balogh</t>
  </si>
  <si>
    <t>stefan.balogh@sos-it.sk</t>
  </si>
  <si>
    <t>Ing. Katarína Štrónerová, zástupkyňa riaditeľa pre praktické vyučovanie</t>
  </si>
  <si>
    <t>katarina.stronerova@sos-it.sk</t>
  </si>
  <si>
    <t>Martin Pagáč</t>
  </si>
  <si>
    <t>martin.pagac@sos-it.sk</t>
  </si>
  <si>
    <t>Bardejov</t>
  </si>
  <si>
    <t>mechanik počítačových sietí , spájanie</t>
  </si>
  <si>
    <t>RNDr. Jozef Sobek (poverený)</t>
  </si>
  <si>
    <t>ssjhbj@slovanet.sk</t>
  </si>
  <si>
    <t>Mgr. Mária Čukanová 
Ing. Ján Židzik</t>
  </si>
  <si>
    <t>maria.cukanova@ssjh.sk;
jan.zidzik@ssjh.sk</t>
  </si>
  <si>
    <t>Ing. Egid Haluška</t>
  </si>
  <si>
    <t xml:space="preserve">egid.haluska@ssjh.sk </t>
  </si>
  <si>
    <t>Stredná odborná škola strojnícka</t>
  </si>
  <si>
    <t>Partizánska cesta 76, 957 01 Bánovce nad Bebravou</t>
  </si>
  <si>
    <t>Bánovce nad Bebravou</t>
  </si>
  <si>
    <t>mechanik počítačových sietí  a technické lýceum</t>
  </si>
  <si>
    <t>Ing. Zuzana Janíková</t>
  </si>
  <si>
    <t>spsbn@pbi.sk</t>
  </si>
  <si>
    <t>Ing. Miroslav Kaločai - pedagóg</t>
  </si>
  <si>
    <t>miro.kalocai@gmail.com</t>
  </si>
  <si>
    <t>Hviezdoslavova 5, 048 01 Rožňava</t>
  </si>
  <si>
    <t>Rožňava</t>
  </si>
  <si>
    <t>super škola IKT</t>
  </si>
  <si>
    <t>PaedDr. Diana Košťálová</t>
  </si>
  <si>
    <t>diana.kostalova@sostrv.sk</t>
  </si>
  <si>
    <t>sekretariat@sostrv.sk</t>
  </si>
  <si>
    <t>Ing. Elena Kalinová, vedúca PK</t>
  </si>
  <si>
    <t>elena.kalinova@sostrv.sk</t>
  </si>
  <si>
    <t xml:space="preserve">Gymnázium </t>
  </si>
  <si>
    <t>Javorová 16, 052 01 Spišská Nová Ves</t>
  </si>
  <si>
    <t>2*top gymnázium + ochota ponúknuť pedagóga</t>
  </si>
  <si>
    <t>PaedDr. Ingeborg Skalská</t>
  </si>
  <si>
    <t>skola@gjavsnv.edu.sk</t>
  </si>
  <si>
    <t>Gymnázium Trebišovská</t>
  </si>
  <si>
    <t>Trebišovská 12, 040 11 Košice</t>
  </si>
  <si>
    <t>Mgr. Jana Šalagovičová, riaditeľka školy</t>
  </si>
  <si>
    <t>jana.salagovicova@gt12.sk</t>
  </si>
  <si>
    <t>Stredná odborná škola technická ako org.zl.Spojenej školy</t>
  </si>
  <si>
    <t>Hattalova 471, 027 43 Nižná</t>
  </si>
  <si>
    <t>Nižná</t>
  </si>
  <si>
    <t>Ing. Roman Javorek</t>
  </si>
  <si>
    <t>roman.javorek@ssnizna.sk</t>
  </si>
  <si>
    <t>ssnizna@ssnizna.sk</t>
  </si>
  <si>
    <t>Ing. Mojmír Vrana</t>
  </si>
  <si>
    <t>mojmir.vrana@ss-nizna.sk</t>
  </si>
  <si>
    <t>Gymnázium  Augusta Horislava Škultétyho</t>
  </si>
  <si>
    <t>Školská 21, 9901 Veľký Krtiš</t>
  </si>
  <si>
    <t>Veľký Krtíš</t>
  </si>
  <si>
    <t>gymvk@svsbb.sk</t>
  </si>
  <si>
    <t>Ing. Jozef Meliško, pedagogický zamestnanec - správca siete</t>
  </si>
  <si>
    <t>jmelisko@gmail.com</t>
  </si>
  <si>
    <t>Mgr. Pavel Mikuláš</t>
  </si>
  <si>
    <t>pavel.mikulas@gympb.sk</t>
  </si>
  <si>
    <t>info@gympb.sk</t>
  </si>
  <si>
    <t>Katarína Fórová, Mgr.</t>
  </si>
  <si>
    <t>katarina.forova@gympb.sk</t>
  </si>
  <si>
    <t>Gymnázium P. J. Šafárika - P. J. Šafárik Gimnázium</t>
  </si>
  <si>
    <t>Akademika Hronca 1, 048 01 Rožňava</t>
  </si>
  <si>
    <t>Katarína Adamková</t>
  </si>
  <si>
    <t>katarinaadamkova@centrum.sk</t>
  </si>
  <si>
    <t>skola@gymrv.edu.sk</t>
  </si>
  <si>
    <t>Ing. Janka Halková</t>
  </si>
  <si>
    <t>jhalkova@gmail.com</t>
  </si>
  <si>
    <t>Ing. Róbert Juhás, riaditeľ školy</t>
  </si>
  <si>
    <t>riaditel@sosthe.sk</t>
  </si>
  <si>
    <t>Ing. Miloš Krupa</t>
  </si>
  <si>
    <t>mkrupa@sosthe.sk</t>
  </si>
  <si>
    <t>Celiny 536, 033 15 Liptovský Hrádok</t>
  </si>
  <si>
    <t>Liptovský Hrádok</t>
  </si>
  <si>
    <t>Ing. Martin Gabauer</t>
  </si>
  <si>
    <t>mgabauer@soselh.sk</t>
  </si>
  <si>
    <t>skola@soselh.sk</t>
  </si>
  <si>
    <t>Stredná odborná škola drevárska</t>
  </si>
  <si>
    <t>Lúčna 1055, 093 01 Vranov nad Topľou</t>
  </si>
  <si>
    <t>Vranov nad Topľou</t>
  </si>
  <si>
    <t>Mgr. Marián Smolák</t>
  </si>
  <si>
    <t>riaditel@sosdrev-vt.psk.sk</t>
  </si>
  <si>
    <t>sekretariat@sosdrev-vt.psk.sk</t>
  </si>
  <si>
    <t>Marcel Mihalčin, Ing., učiteľ odborných predmetov</t>
  </si>
  <si>
    <t>mihalcinmarcel@gmail.com</t>
  </si>
  <si>
    <t>Revúca</t>
  </si>
  <si>
    <t>Ing. Dáša Korimová, riaditeľ</t>
  </si>
  <si>
    <t>spravca@sosra.sk</t>
  </si>
  <si>
    <t>riaditel@sosrevuca.edupage.org</t>
  </si>
  <si>
    <t>Sečovce</t>
  </si>
  <si>
    <t>neoficiálne ano</t>
  </si>
  <si>
    <t>IKT (IST), avšak problém s podporou zapojenia do NetAcad</t>
  </si>
  <si>
    <t>PaedDr. Michaela Štundová MBA</t>
  </si>
  <si>
    <t>sekretariat@gdusecovce.sk</t>
  </si>
  <si>
    <t>Jaroslav Ihnacík, Ing., PhD., zástupca pre OZ</t>
  </si>
  <si>
    <t>jaroslav.ihnacik@gdusecovce.sk</t>
  </si>
  <si>
    <t>Pavel Novotný</t>
  </si>
  <si>
    <t>pavel.novotny@gdusecovce.sk</t>
  </si>
  <si>
    <t xml:space="preserve">Gymnázium Šrobárova </t>
  </si>
  <si>
    <t>Šrobárova 1, 042 23 Košice</t>
  </si>
  <si>
    <t>4*top</t>
  </si>
  <si>
    <t>Mgr. PaedDr. Zlatica Frankovičová</t>
  </si>
  <si>
    <t>frankovicova@srobarka.sk</t>
  </si>
  <si>
    <t>riaditel@srobarka.sk</t>
  </si>
  <si>
    <t>RNDr. Dagmar Klímová
Mgr. Emília Šolcová</t>
  </si>
  <si>
    <t>zastupca@srobarka.sk</t>
  </si>
  <si>
    <t>Komenského 5, 085 42 Bardejov</t>
  </si>
  <si>
    <t xml:space="preserve">Ing. Jaroslav Bujda                                    </t>
  </si>
  <si>
    <t>bujda@spsbj.sk</t>
  </si>
  <si>
    <t>Peter Oláh</t>
  </si>
  <si>
    <t>olah@spsbj.sk</t>
  </si>
  <si>
    <t>Ing. Ľubomír Králik</t>
  </si>
  <si>
    <t>riaditel@soseza.sk</t>
  </si>
  <si>
    <t>Igor Steindl, Ing. na pozícii učiteľa odborných predmetov</t>
  </si>
  <si>
    <t>ucitelapi@gmail.com</t>
  </si>
  <si>
    <t>Stredná priemyselná škola informačných technológií</t>
  </si>
  <si>
    <t>Nábrežná 1325, 024 01 Kysucké Nové Mesto</t>
  </si>
  <si>
    <t>Kysucké Nové Mesto</t>
  </si>
  <si>
    <t>Ing. Milan Válek</t>
  </si>
  <si>
    <t>valek@spsknm.sk</t>
  </si>
  <si>
    <t>skola@spsknm.sk</t>
  </si>
  <si>
    <t>Miroslav Padyšák</t>
  </si>
  <si>
    <t>padysak@spsknm.sk</t>
  </si>
  <si>
    <t>Stredná priemyselná škola elektrotechnická Košice</t>
  </si>
  <si>
    <t>Komenského 44, 040 01 Košice</t>
  </si>
  <si>
    <t>Ing. Štefan Krištín</t>
  </si>
  <si>
    <t>kristin@spseke.sk</t>
  </si>
  <si>
    <t>Michal Copko</t>
  </si>
  <si>
    <t>copko@spseke.sk</t>
  </si>
  <si>
    <t>Skalica</t>
  </si>
  <si>
    <t>Mgr. Tomáš Mikula, riaditeľ školy</t>
  </si>
  <si>
    <t>tomas.mikula@viahumana.sk</t>
  </si>
  <si>
    <t>viahumana@viahumana.sk</t>
  </si>
  <si>
    <t xml:space="preserve">Partizánska 1059/23, Snina </t>
  </si>
  <si>
    <t>Snina</t>
  </si>
  <si>
    <t>technické lýceum aj s IT</t>
  </si>
  <si>
    <t>PaedDr. Alena Romanová, poverená vedením</t>
  </si>
  <si>
    <t>romanova @spssnina.edu.sk </t>
  </si>
  <si>
    <t>spssnina@spssnina.edu.sk</t>
  </si>
  <si>
    <t>Ing. Mirko Semjon, správca IT</t>
  </si>
  <si>
    <t>m.semjon@gmail.com</t>
  </si>
  <si>
    <t>Fiľakovo</t>
  </si>
  <si>
    <t>Mgr. Juraj Péter, riaditeľ školy</t>
  </si>
  <si>
    <t>juraj.peter@gymfilakovo.sk</t>
  </si>
  <si>
    <t>Plzenská 1, 080 47 Prešov</t>
  </si>
  <si>
    <t>8*top, sk 25ikt</t>
  </si>
  <si>
    <t>Martin Broda</t>
  </si>
  <si>
    <t>broda@spse-po.sk</t>
  </si>
  <si>
    <t>spse@spse-po.sk</t>
  </si>
  <si>
    <t>Martin Vujčík
Martin Šechný</t>
  </si>
  <si>
    <t>vujcik@spse-po.sk
sechny@spse-po.sk</t>
  </si>
  <si>
    <t>ano sk39</t>
  </si>
  <si>
    <t>3*top nie sk.25ikt  ale odbor 39 tis</t>
  </si>
  <si>
    <t>Ing. Ľudovít Šimun</t>
  </si>
  <si>
    <t>sps@spstt.sk</t>
  </si>
  <si>
    <t>Mgr. Erik Ondrejička, učiteľ odborných predmetov</t>
  </si>
  <si>
    <t>ondrejicka@gmail.com</t>
  </si>
  <si>
    <t>Dunajská Streda</t>
  </si>
  <si>
    <t>Ing. Angelika Vajdaová</t>
  </si>
  <si>
    <t>info@sosds.sk</t>
  </si>
  <si>
    <t>Mgr. Peter Takács, zástupca riaditeľa</t>
  </si>
  <si>
    <t>takacs@sosds.sk</t>
  </si>
  <si>
    <t>Levice</t>
  </si>
  <si>
    <t>Soňa Michníková</t>
  </si>
  <si>
    <t>sospodamfiteatrom@gmail.com</t>
  </si>
  <si>
    <t>PaedDr. Žaneta Juríková</t>
  </si>
  <si>
    <t>Zaneta.Jurikova@sosts-levice.sk</t>
  </si>
  <si>
    <t>Bc. Tuček Daniel</t>
  </si>
  <si>
    <t>tucek@dt-net.sk</t>
  </si>
  <si>
    <t>Stará Turá</t>
  </si>
  <si>
    <t>Milan Duroška</t>
  </si>
  <si>
    <t>milan.duroska@sosstaratura.sk</t>
  </si>
  <si>
    <t>info@sosstaratura.sk</t>
  </si>
  <si>
    <t>Nitra</t>
  </si>
  <si>
    <t>nová it škola</t>
  </si>
  <si>
    <t>Mgr. Radoslav Rusňák</t>
  </si>
  <si>
    <t>gcm@gcm.sk</t>
  </si>
  <si>
    <t>Trenčín</t>
  </si>
  <si>
    <t>PhDr. PaedDr. Marcela - Katarína Pjatková, PhD</t>
  </si>
  <si>
    <t>riaditeltn@sgfuturum.sk</t>
  </si>
  <si>
    <t>skola@sgfuturum.sk</t>
  </si>
  <si>
    <t>Mgr. Roman Tunys</t>
  </si>
  <si>
    <t>rtunys@sgfuturum.sk</t>
  </si>
  <si>
    <t>Bc. Ing. Jarmila Turoňová, riaditeľka školy</t>
  </si>
  <si>
    <t>turonova@gymza.sk</t>
  </si>
  <si>
    <t>gymnazium@gymza.sk</t>
  </si>
  <si>
    <t>Hotelová akadémia Ľudovíta Wintera</t>
  </si>
  <si>
    <t xml:space="preserve">Stromová 34, Piešťany </t>
  </si>
  <si>
    <t>ŠIOV</t>
  </si>
  <si>
    <t>Špecifické</t>
  </si>
  <si>
    <t>C1</t>
  </si>
  <si>
    <t>Obchodná akadémia</t>
  </si>
  <si>
    <t>Bolečkova 2, Nitra</t>
  </si>
  <si>
    <t>Sibírska 1, Trnava</t>
  </si>
  <si>
    <t>Športová 1326, Kysucké Nové Mesto</t>
  </si>
  <si>
    <t>Športovcov 341/2, Považská Bystrica</t>
  </si>
  <si>
    <t>Stredná priemyselná škola stavebná Emila Belluša</t>
  </si>
  <si>
    <t>Staničná 4, Trenčín</t>
  </si>
  <si>
    <t>VLOOK</t>
  </si>
  <si>
    <t>Súkromná stredná odborná škola DSA</t>
  </si>
  <si>
    <t xml:space="preserve">Koniarekova 17, Trnava </t>
  </si>
  <si>
    <t>Súkromná stredná odborná škola polytechnická DSA</t>
  </si>
  <si>
    <t>Novozámocká 220, Nitra</t>
  </si>
  <si>
    <t>Pod Bánošom 80, Banská Bystrica</t>
  </si>
  <si>
    <t>Stredná odborná škola lesnícka</t>
  </si>
  <si>
    <t>Akademická 16, Banská Štiavnica</t>
  </si>
  <si>
    <t>Banská Štiavnica</t>
  </si>
  <si>
    <t>Poštová 9, Košice - Staré Mesto</t>
  </si>
  <si>
    <t>DitEdu</t>
  </si>
  <si>
    <t>C2</t>
  </si>
  <si>
    <t>Gymnázium Jozefa Lettricha</t>
  </si>
  <si>
    <t>Jozefa Lettricha 2, Martin</t>
  </si>
  <si>
    <t>ŽSK</t>
  </si>
  <si>
    <t>Gymnázium J.G.T.</t>
  </si>
  <si>
    <t>J.G.Tajovského 25, Banská Bystrica</t>
  </si>
  <si>
    <t xml:space="preserve">Evanjelické gymnázium J. A. Komenského
</t>
  </si>
  <si>
    <t>Škultétyho 10, Košice - Staré Mesto</t>
  </si>
  <si>
    <t>Varšavská cesta 1, Žilina</t>
  </si>
  <si>
    <t>Golianova 68</t>
  </si>
  <si>
    <t>Gymnázium J.Hollého</t>
  </si>
  <si>
    <t>Na hlinách 30, Trnava</t>
  </si>
  <si>
    <t xml:space="preserve">Stredná priemyselná škola elektrotechnická Hálova </t>
  </si>
  <si>
    <t>Hálova 16, 851 01 Bratislava</t>
  </si>
  <si>
    <t>Bratislava</t>
  </si>
  <si>
    <t>BSK vybrané</t>
  </si>
  <si>
    <t>BSK</t>
  </si>
  <si>
    <t>vylúčená A1</t>
  </si>
  <si>
    <t>5*top, ambícia IT vyplýva zo záujmu o max.zapojenie, CCNA a Cybersec = záujem v plnom rozsahu s certifikáciou</t>
  </si>
  <si>
    <t>zrušiť1</t>
  </si>
  <si>
    <t>zrušiť15</t>
  </si>
  <si>
    <t>zrušiť3</t>
  </si>
  <si>
    <t>Ing. Iveta Šafránková</t>
  </si>
  <si>
    <t>iveta.safrankova@spsehalova.sk</t>
  </si>
  <si>
    <t>Ing. Daniela Hívešová, PhD.</t>
  </si>
  <si>
    <t>daniela.hivesova@spsehalova.sk</t>
  </si>
  <si>
    <t>Cirkevná stredná odborná škola elektrotechnická P.G.Frassatiho Bratislava</t>
  </si>
  <si>
    <t>Vazovova 12, 811 07 Bratislava</t>
  </si>
  <si>
    <t>vylúčená B1</t>
  </si>
  <si>
    <t>CCNA majú ambíciu ako riadny predmet</t>
  </si>
  <si>
    <t>zrušiť4</t>
  </si>
  <si>
    <t>zrušiť2</t>
  </si>
  <si>
    <t>Ing. Mgr. Roumiana Mintcheva Karaivanova, riaditeľka školy</t>
  </si>
  <si>
    <t>rumiana@centrum.sk</t>
  </si>
  <si>
    <t>csose@csose.sk</t>
  </si>
  <si>
    <t>Rudolf Michaláč</t>
  </si>
  <si>
    <t>rudolf.michalac@csose.sk</t>
  </si>
  <si>
    <t>Hlinícka 1, 83152 Bratislava</t>
  </si>
  <si>
    <t>blízke</t>
  </si>
  <si>
    <t>vylúčená A3</t>
  </si>
  <si>
    <t>ambícia "IT škola"</t>
  </si>
  <si>
    <t>zrušiť12</t>
  </si>
  <si>
    <t>zrušiť0</t>
  </si>
  <si>
    <t>zrušiť8</t>
  </si>
  <si>
    <t>PaedDr. Ján Sadloň</t>
  </si>
  <si>
    <t>sositba@sositba.sk</t>
  </si>
  <si>
    <t>Mgr. Marek Ivan, majster O.V.</t>
  </si>
  <si>
    <t>ivan1@sositba.sk
ivan@sositba.sk</t>
  </si>
  <si>
    <t>Stredná priemyselná škola elektrotechnická Zochova</t>
  </si>
  <si>
    <t>Zochova 9, 811 09 Bratislava</t>
  </si>
  <si>
    <t>3*top, CCNA = záujem v plnom rozsahu s certifikáciou - doplnil som vybavenie LAB z vlastnej vôle - dohodneme podporu zo strany BSK ak bude treba</t>
  </si>
  <si>
    <t>zrušiť6</t>
  </si>
  <si>
    <t>zrušiť10</t>
  </si>
  <si>
    <t>zrušiť5</t>
  </si>
  <si>
    <t>Ing. Marián Beniak, PhD.</t>
  </si>
  <si>
    <t>beniak@zochova.sk</t>
  </si>
  <si>
    <t>Ing, Daniela Vannayová, zástupkyňa</t>
  </si>
  <si>
    <t>vannayova@zochova.sk</t>
  </si>
  <si>
    <t>Štefan Balogh, externý učiteľ UI</t>
  </si>
  <si>
    <t>stefan.balogh@stuba.sk</t>
  </si>
  <si>
    <t>Stredná priemyselná škola elektrotechnická Karola Adlera</t>
  </si>
  <si>
    <t>Karola Adlera 5, 841 02 Bratislava</t>
  </si>
  <si>
    <t>vylúčená A2</t>
  </si>
  <si>
    <t>4*top, ambícia IT vyplýva zo záujmu o max.zapojenie, CCNA a Cybersec = záujem v plnom rozsahu s certifikáciou</t>
  </si>
  <si>
    <t>zrušiť9</t>
  </si>
  <si>
    <t>Ing. Daniel Adamko, PhD.</t>
  </si>
  <si>
    <t>daniel.adamko@adlerka.sk</t>
  </si>
  <si>
    <t>Súkromná stredná odborná škola automobilová Duálna akadémia</t>
  </si>
  <si>
    <t>Jána Jonáša 5, Bratislava</t>
  </si>
  <si>
    <t>BSK vybrané (nová)</t>
  </si>
  <si>
    <t>??</t>
  </si>
  <si>
    <t>vylúčená B2</t>
  </si>
  <si>
    <t>nedodali, doplnil som (rezervácia)</t>
  </si>
  <si>
    <t>Milan Ráchela</t>
  </si>
  <si>
    <t>skola@dualnaakademia.sk</t>
  </si>
  <si>
    <t>nie je</t>
  </si>
  <si>
    <t>100000041</t>
  </si>
  <si>
    <t>Gymnázium Grösslingová</t>
  </si>
  <si>
    <t>Grösslingová 18, 811 09 Bratislava</t>
  </si>
  <si>
    <t>vylúčená B3</t>
  </si>
  <si>
    <t>ktovie, či majú stavebnice, pretože my obstarávame len komponenty UI k existujúcej stavebnici</t>
  </si>
  <si>
    <t>Mgr. Viera Babišová</t>
  </si>
  <si>
    <t>viera.babisova@gamca.sk</t>
  </si>
  <si>
    <t>riaditelstvo@gamca.sk</t>
  </si>
  <si>
    <t>Marek Farkaš</t>
  </si>
  <si>
    <t>marek.farkas@gamca.sk</t>
  </si>
  <si>
    <t>100000855</t>
  </si>
  <si>
    <t>710228295</t>
  </si>
  <si>
    <t>Spojená škola Svätej Rodiny - Gymnázium</t>
  </si>
  <si>
    <t>Gercenova 10, 851 01 Bratislava</t>
  </si>
  <si>
    <t>ktovie, či majú stavebnicu, pretože my obstarávame len komponenty UI k existujúcej stavebnici</t>
  </si>
  <si>
    <t>Ing. Helena Jánošíková</t>
  </si>
  <si>
    <t>riaditel@svr.sk</t>
  </si>
  <si>
    <t>skolasvr@gmail.com</t>
  </si>
  <si>
    <t>Mgr. Ján Pašuth - ŠDK</t>
  </si>
  <si>
    <t>jan.pasuth@svr.sk</t>
  </si>
  <si>
    <t>FEI TUKE  - centrum školenia inštruktorov / podporné centrum</t>
  </si>
  <si>
    <t>Podpora akad.</t>
  </si>
  <si>
    <t>peter.fecilak@tuke.sk</t>
  </si>
  <si>
    <t>Ing. Katarína Feciľaková, PhD.</t>
  </si>
  <si>
    <t>katarina.fecilakova@cnl.sk</t>
  </si>
  <si>
    <t>PrírF UPJŠ  - centrum školenia inštruktorov / podporné centrum pre vybrané aktivity - kyberbezpečnosť a kvantové IT</t>
  </si>
  <si>
    <t>podpora QIT</t>
  </si>
  <si>
    <t>FIIT STU  - centrum školenia inštruktorov</t>
  </si>
  <si>
    <t>BSK obstarávanie len LAB A a B (zo spoluúčasti)</t>
  </si>
  <si>
    <t>vylúčená D</t>
  </si>
  <si>
    <t>neskoro a ktovie čo mysleli</t>
  </si>
  <si>
    <t>FRI UNIZA  - centrum školenia inštruktorov</t>
  </si>
  <si>
    <t>pavel.segec@fri.uniza.sk</t>
  </si>
  <si>
    <t>Akadémií SPOLU V PROJEKTE:</t>
  </si>
  <si>
    <t>61</t>
  </si>
  <si>
    <t>(mimo BSK)</t>
  </si>
  <si>
    <t>ŠKôL SPOLU V PROJEKTE:</t>
  </si>
  <si>
    <t>MAX:</t>
  </si>
  <si>
    <t>max. 6,0</t>
  </si>
  <si>
    <t>SUM:</t>
  </si>
  <si>
    <t>TOP v %</t>
  </si>
  <si>
    <t>TOP v %ikt</t>
  </si>
  <si>
    <t>MAX ALL SŠ:</t>
  </si>
  <si>
    <t>ALL nad 2/3</t>
  </si>
  <si>
    <t>IKT nad 1/2</t>
  </si>
  <si>
    <t>ZRUŠENÉVZDELÁVANIE PRE BSK:</t>
  </si>
  <si>
    <t>Školy prizvané do národného projektu v kategóriách:</t>
  </si>
  <si>
    <t>akadémie mimo BSK</t>
  </si>
  <si>
    <t>ostatné prizvané mimo BSK</t>
  </si>
  <si>
    <t>=</t>
  </si>
  <si>
    <r>
      <rPr>
        <b/>
        <u/>
        <sz val="11"/>
        <color theme="9"/>
        <rFont val="Aptos Narrow"/>
        <family val="2"/>
      </rPr>
      <t>Kategória A</t>
    </r>
    <r>
      <rPr>
        <b/>
        <sz val="11"/>
        <color theme="9"/>
        <rFont val="Aptos Narrow"/>
        <family val="2"/>
      </rPr>
      <t xml:space="preserve">: </t>
    </r>
  </si>
  <si>
    <t xml:space="preserve">SOŠ (výhradne) s tradične najkvalitnejším odborným vzdelávaním a prípravou veľkého počtu žiakov v skupine odborov 25 IKT, s dostatočným počtom odborne špecializovaných pedagógov a s príležitosťami pre kvalitné technické vybavenie. Pre školy kategorizované ako A1  projekt prináša najmä (1) časovú úsporu pedagógom, ktorí sú súčasne aj správcami technického vybavenie odborných laboratórií školy, vďaka plánovaniu a automatizácii vzdelávania s využitím online virtuálneho alebo hybridného vzdelávania v cloude, tento čas môžu venovať vzdelávaniu a nadaným žiakom, </t>
  </si>
  <si>
    <t xml:space="preserve">(2) školy nemusia obstarávať a prostredníctvom pedagógov vo voľnom čase administrovať serverové a licenčné vybavenie, (3) zručnosti žiakov v práci s počítačom/notebookom sa rozširujú o prácu v cloude a so vzdialenými výkonnými počítačmi, (4) škola dostáva k dispozícii online dostupné= virtuálne modelové vybavenie CSIRTu (Computer Security Incident Response Team) resp. SOCu (Security Operations Center) pre exkurzie, praktické vzdelávanie a prax žiakov, (5) pre odborné vzdelávanie a prípravu je k dispozícii vyhradené cloudové prostredie pre prácu so strojovým učením, trénovanie jazykových modelov </t>
  </si>
  <si>
    <t>s AI asistentom pre podporu učenia žiakov zapojených škôl.</t>
  </si>
  <si>
    <t>Podkat. A1</t>
  </si>
  <si>
    <r>
      <rPr>
        <b/>
        <sz val="11"/>
        <color theme="1"/>
        <rFont val="Aptos Narrow"/>
        <family val="2"/>
      </rPr>
      <t>TOP SOŠ - NetAcad akadémie, sú tradičnou oporou svojho regiónu v IKT odbornom vzdelávaní a príprave</t>
    </r>
    <r>
      <rPr>
        <sz val="11"/>
        <color theme="1"/>
        <rFont val="Aptos Narrow"/>
        <family val="2"/>
      </rPr>
      <t>, dlhodobo a preto kvalitne sa orientujú sk.25 IKT odborov, sú kompetentné vo všetkých kľúčových oblastiach IKT (v zmysle projektu), inovatívne a vysoko kvalitné s viac navzájom odborne zastupiteľnými pedagógomi odborných predmetov, veľké (min. 2/3 z max.počtu 827 žiakov, min. 50% sa vzdeláva v odboroch sk. 25 IKT), potenciálne centrálne krajské (campusové) školy, podporovené krajom, zapájajú sa do projektu pre jeho maximálne využitie a môžu dokonca poskytnúť</t>
    </r>
  </si>
  <si>
    <t>do projektu aj certifikovaného IKT inžiniera-pedagóga, vyhovujú 4 a viac kvalitatívnym kritériám, niektoré sú centrami excelentnosti, spravidla vedia poskytnúť pedagógov pre viaceré oblasti odborných konzultácií. T.j. prostredníctvom NP rozvoja NetAcad sa pokročilé kompetencie pedagógov týchto škôl môžu šíriť v prospech rozvoja a udržania iných škôl a to nielen v regióne, ale i celoslovensky.</t>
  </si>
  <si>
    <t>Pre školy kategorizované ako A2 (čo platí i pre významnejšie a väčšie školy kategorizované ako A3) okrem vyššie uvedených benefitov projekt prináša širšiu paletu vypracovaných praktických úloh nad rámec základu programu NetAcad, z oblasti kľúčových technológií (najmä kybernetická bezpečnosť, umelá inteligencia a dátová veda), ktoré by absolventi škôl mali spoznať pre odchodom do praxe, alebo pred štúdiom na univerzite. Úlohy sú dostupné nielen zo školského prostredia, ale i z domova pre účely prípravy žiaka na projektové vzdelávanie.</t>
  </si>
  <si>
    <t>Podkat. A2</t>
  </si>
  <si>
    <r>
      <rPr>
        <b/>
        <sz val="11"/>
        <color theme="1"/>
        <rFont val="Aptos Narrow"/>
        <family val="2"/>
      </rPr>
      <t>Kvalitné alebo rastúce SOŠ okresného/mestského významu - NetAcad akadémie, vyžadujúce podporu v inováciách</t>
    </r>
    <r>
      <rPr>
        <sz val="11"/>
        <color theme="1"/>
        <rFont val="Aptos Narrow"/>
        <family val="2"/>
      </rPr>
      <t xml:space="preserve"> - tradične vzdelávajú a pripravujú v sk.25 IKT odborov, sú kompetentné vo všetkých kľúčových oblastiach IKT (v zmysle projektu), inovatívne a vysoko kvalitné s dostatočným počtom pedagógov odborných predmetov, stredne veľké (min. 1/2 z max.počtu 827 žiakov, min. 33% sa vzdeláva v odboroch sk. 25 IKT), vyhovujú min. 4 kvalitatívnym kritériám</t>
    </r>
  </si>
  <si>
    <t xml:space="preserve">Pre školy v kategórii A3 hlavným prínosom projektu je podpora pedagóga odborných predmetov v odbornom vzdelávaní a príprave žiakov a časové úspory vyplývajúce s možnosti plánovania a "automatizácie" konfigurácie laboratórnych overených praktických úloh. Tieto školy majú často nedostatok pedagógov, pedagógov v preddôchodkovom veku alebo rozvoj vyžadujúcich nových-mladých pedagógov. Tieto školy privítajú možnosť invovať svoje odborné vzdelávanie a prípravu s výraznou podporou ekosystému NetAcad v oblasti IKT (príkladom je nápor na zmeny vo vzdelávaní v kybernetickej bezpečnosti </t>
  </si>
  <si>
    <t xml:space="preserve">alebo v umelej inteligencii - obe tieto oblasti nemôže budúci IT špecialista počas vzdelávania vynechať). Projekt týmto školám prinesie (1) "vedenie" pedagóga pri vzdelávaní na praktických úlohách prostredníctvom plánovania a automatizácie konfigurácie virtuálneho alebo hybridného laboratórneho prostredia a prepojenia praktických úloh s digitálnym vzdelávacím obsahom,  (2) škola i v prípade pedagóga ktorý sám nové technológie priebežne spoznáva, si bude môcť "skonsolidovať" vzdelávanie prostredníctvom odborne a didakticky spracovaných predmetov v oblasti kľúčových technológií (kybernetická bezpečnosť, </t>
  </si>
  <si>
    <t>umelá inteligencia, dátová veda), (3) sám pedagóg sa bude s novými technológiami a postupmi oboznamovať  a prenášať ich prostrednícvom vzdelávania na žiakov (learning by teaching), (4) technické novinky budú do zapojených škôl prichádzať prostredníctvom spolupráce v existujúcom ekosystéme NetAcad - zo spolupráce skúsenejších pedagógov iných škôl, alebo ako výstup z realizovaného projektu či zadania zo súťaže, a to nielen vo forme "novinky", ale i vo forme vypracovaného praktického virtuálneho alebo hybridného vzdelávania v cloudovom prostredí.</t>
  </si>
  <si>
    <t>Podkat. A3</t>
  </si>
  <si>
    <r>
      <rPr>
        <b/>
        <sz val="11"/>
        <color theme="1"/>
        <rFont val="Aptos Narrow"/>
        <family val="2"/>
      </rPr>
      <t>SOŠ vyžadujúce silnú IKT podporu</t>
    </r>
    <r>
      <rPr>
        <sz val="11"/>
        <color theme="1"/>
        <rFont val="Aptos Narrow"/>
        <family val="2"/>
      </rPr>
      <t xml:space="preserve"> pre dosahovanie kvalitného vzdelávania špecialistov IKT - </t>
    </r>
    <r>
      <rPr>
        <b/>
        <sz val="11"/>
        <color theme="1"/>
        <rFont val="Aptos Narrow"/>
        <family val="2"/>
      </rPr>
      <t>NetAcad akadémie, vzdelávajú buď v sk.25 IKT odborov, alebo v príbuzných skupinách IT zameraných odborov</t>
    </r>
    <r>
      <rPr>
        <sz val="11"/>
        <color theme="1"/>
        <rFont val="Aptos Narrow"/>
        <family val="2"/>
      </rPr>
      <t xml:space="preserve"> ako napr. sk.26 elektrotechnika, špecificky "Mechanik počítačových sietí", alebo v sk.39 "technické a informatické služby", ide zväčša o menšie školy, prípadne stredne veľké s širším spektrom odborov z iných skupín, s nedostatkom v počte a kvalifikácii pedagógov odborných predmetov zameraných na IKT/IT - tieto školy privítajú "odborné smerovanie" a podporu zo strany ekosystému </t>
    </r>
  </si>
  <si>
    <t>NetAcad ako aj cvičné prostredie zjednodušujúce jeho administráciu a poskytujúce podporu pedagógovi i žiakovi. Práve kategória A3 má výrazné rezervy pre prípravu špecialistov IKT, ktorých podporou je možné udržať, skvalitniť a možno i rozšíriť tieto SOŠ.</t>
  </si>
  <si>
    <r>
      <rPr>
        <b/>
        <u/>
        <sz val="11"/>
        <color theme="7" tint="-0.249977111117893"/>
        <rFont val="Aptos Narrow"/>
        <family val="2"/>
      </rPr>
      <t>Kategória B</t>
    </r>
    <r>
      <rPr>
        <b/>
        <sz val="11"/>
        <color theme="7" tint="-0.249977111117893"/>
        <rFont val="Aptos Narrow"/>
        <family val="2"/>
      </rPr>
      <t>:</t>
    </r>
    <r>
      <rPr>
        <sz val="11"/>
        <color theme="8" tint="-0.249977111117893"/>
        <rFont val="Aptos Narrow"/>
        <family val="2"/>
      </rPr>
      <t xml:space="preserve"> </t>
    </r>
  </si>
  <si>
    <t>sú školy zapojené do programu NetAcad, avšak vzdelávajúce v iných, zvyčajne technických odboroch, do ktorých potrebujú prenášať IKT kompetencie - takto tiež prispievajú k odbornému vzdelávaniu a príprave IKT špecialistov (v iných sektoroch ekonomiky)</t>
  </si>
  <si>
    <t>Podkat. B1</t>
  </si>
  <si>
    <r>
      <rPr>
        <b/>
        <sz val="11"/>
        <color theme="1"/>
        <rFont val="Aptos Narrow"/>
        <family val="2"/>
      </rPr>
      <t>SOŠ zamerané na získavanie IKT podpory</t>
    </r>
    <r>
      <rPr>
        <sz val="11"/>
        <color theme="1"/>
        <rFont val="Aptos Narrow"/>
        <family val="2"/>
      </rPr>
      <t xml:space="preserve"> - </t>
    </r>
    <r>
      <rPr>
        <b/>
        <sz val="11"/>
        <color theme="1"/>
        <rFont val="Aptos Narrow"/>
        <family val="2"/>
      </rPr>
      <t>NetAcad akadémie, vzdelávajú mimo sk.25 IKT odborov - v iných technických odboroch</t>
    </r>
    <r>
      <rPr>
        <sz val="11"/>
        <color theme="1"/>
        <rFont val="Aptos Narrow"/>
        <family val="2"/>
      </rPr>
      <t>, v ktorých program NetAcad (prednostne komunikácie) a jeho súčasti  v pripravovanom rozvoji - najmä kybernetická bezpečnosť alebo dátová veda, dá sa predpokladať, že s výnimkou pedagóga-inštruktora na NetAcad akadémiu väčšina ich pedagógov odborných predmetov sú zameraní a primárne znalí iných oblastí ako IKT. Avšak kombinácia IKT s inou oblasťou vytvára silnú IKT kompetenciu v iných technických sektoroch hospodárstva.</t>
    </r>
  </si>
  <si>
    <t>Ďalšie kategórie škôl budú program a vybavenie NetAcad využívať najmä doplnkovo k svojim hlavným odborným oblastiam, výberom z ponuky vzdelávacích obsahoch a praktických úloh - napríklad ako úvod a rozšírenie vedomostí o kybernetickej bezpečnosti, umelej inteligencii a spracovaní dát v oblasti dopravy, energetiky, v strojárstve a automatizácii, vo výstavbe, služieb, v obranných aktivitách, pri bežnom používaní v domácnostiach a pri vzdelávaní (po dohode s Asociáciou stredných priemyselných škôl).</t>
  </si>
  <si>
    <t>Podkat. B2</t>
  </si>
  <si>
    <r>
      <t xml:space="preserve">SOŠ - pre ktoré </t>
    </r>
    <r>
      <rPr>
        <b/>
        <sz val="11"/>
        <color theme="1"/>
        <rFont val="Aptos Narrow"/>
        <family val="2"/>
      </rPr>
      <t>NetAcad akadémia je doplnkovým vzdelávaním alebo krúžkom</t>
    </r>
    <r>
      <rPr>
        <sz val="11"/>
        <color theme="1"/>
        <rFont val="Aptos Narrow"/>
        <family val="2"/>
      </rPr>
      <t xml:space="preserve"> - avšak nakoľko vzdelávajú vybraných žiakov v IKT, tak pripravujú IKT špecialistov, i keď pre iné sektory hospodárstva</t>
    </r>
  </si>
  <si>
    <t>Podkat. B3</t>
  </si>
  <si>
    <r>
      <t xml:space="preserve">Gymnáziá - pre ktoré </t>
    </r>
    <r>
      <rPr>
        <b/>
        <sz val="11"/>
        <color theme="1"/>
        <rFont val="Aptos Narrow"/>
        <family val="2"/>
      </rPr>
      <t>NetAcad akadémia je doplnkovým vzdelávaním alebo krúžkom</t>
    </r>
    <r>
      <rPr>
        <sz val="11"/>
        <color theme="1"/>
        <rFont val="Aptos Narrow"/>
        <family val="2"/>
      </rPr>
      <t xml:space="preserve"> - nakoľko však vybraní žiaci sú vzdelaní v IKT, tak budú pokračovať na univerzite a budú mať IKT background bez ohľadu na to, v akom sektore hospodárstva budú pôsobiť</t>
    </r>
  </si>
  <si>
    <r>
      <rPr>
        <b/>
        <u/>
        <sz val="11"/>
        <color theme="8" tint="-0.249977111117893"/>
        <rFont val="Aptos Narrow"/>
        <family val="2"/>
      </rPr>
      <t>Kategória C</t>
    </r>
    <r>
      <rPr>
        <b/>
        <sz val="11"/>
        <color theme="1"/>
        <rFont val="Aptos Narrow"/>
        <family val="2"/>
      </rPr>
      <t>:</t>
    </r>
    <r>
      <rPr>
        <sz val="11"/>
        <color theme="1"/>
        <rFont val="Aptos Narrow"/>
        <family val="2"/>
      </rPr>
      <t xml:space="preserve"> </t>
    </r>
  </si>
  <si>
    <t>Nie NetAcad akadémie - projekt podporí úsilie škôl, ktoré nie sú do programu NetAcad zapojené, ani nemajú príslušné laboratórne vybavenie, tieto môžu využívať spracovaný vzdelávací obsah a praktické vzdelávanie prostredníctvom cloudu výberovo - pre popularizáciu a úvod do problematiky, a tiež pre podporu nadaného žiaka pedagógom, ktorý sa sám potrebuje v IKT vzdelať, pričom tieto školy nemajú potrebné vlastné vybavenie (okrem základnej výpočtovej techniky, resp. mobilných telefónov):</t>
  </si>
  <si>
    <t>Podkat. C1</t>
  </si>
  <si>
    <t>SOŠ, ktoré nie sú zapojené do programu NetAcad, avšak využijú zapojenie do NP rozvoja NetAcad pre rozšírenie IKT kompetencií svojich žiakov vo vybraných oblastiach - predpokladáme silnejší záujem o oblasti kybernetickej bezpečnosti a umelej inteligencie praktickým - na základe odporúčania ŠIOV.spôsobom smerujúcim až po vytvorenie (naprogramovanie) jednoduchej funkčnej aplikácie</t>
  </si>
  <si>
    <t>Podkat. C2</t>
  </si>
  <si>
    <t>Gymnáziá, ktoré nie sú zapojené do programu NetAcad, avšak pre kompetenčný rozvoj svojich žiakov vyžadujú IKT podporu najmä v oblastiach s prudkým rozvojom - predpokladáme "hravejší prístup" pre spoznanie princípov technológií a postupov, najmä v oblastiach umelej inteligencie a dátovej vedy (napr. simulácie procesov atp.) - výsledkom budú absolventi škôl, ktorí môžu využívať IKT v iných oblastiach (ako napr. medicína, výskum atp.)</t>
  </si>
  <si>
    <t>Kategória D:</t>
  </si>
  <si>
    <t>Univerzity - centrá školenia inštruktorov a podporné centrum programu NetAcad. Z toho FIIT Stu nemôže obstarávať vybavenie ani sa nesleduje počet žiakov a výstupy, môže však školiť (poskytovať služby).</t>
  </si>
  <si>
    <t>Kvantifikácia jednotlivých kategórií škôl v NP rozvoj NetAcad:</t>
  </si>
  <si>
    <t>Súčet z Záujem?</t>
  </si>
  <si>
    <t>Súčet z Poč. žiakov ODHAD25 všetci</t>
  </si>
  <si>
    <t>Súčet z Poč. žiakov ODHAD25 ikt</t>
  </si>
  <si>
    <t>Súčet z Poč. žiakov ODHAD25 digi.zručnosti</t>
  </si>
  <si>
    <t>Súčet z Poč. žiakov ODHAD25 talentovaní</t>
  </si>
  <si>
    <t>B1 (vš)</t>
  </si>
  <si>
    <t>Vylúčené školy z BSK- oranžový podklad</t>
  </si>
  <si>
    <t>vylúčené akadémie:</t>
  </si>
  <si>
    <t>vylúčené ostatné:</t>
  </si>
  <si>
    <r>
      <t xml:space="preserve">Pri konzervatívnom uvažovaní predpokladáme návratnosť hodnoty certifikačných kurzov </t>
    </r>
    <r>
      <rPr>
        <b/>
        <sz val="11"/>
        <color theme="1"/>
        <rFont val="Calibri"/>
        <family val="2"/>
      </rPr>
      <t>63,25</t>
    </r>
    <r>
      <rPr>
        <b/>
        <sz val="11"/>
        <color theme="1"/>
        <rFont val="Calibri"/>
        <family val="2"/>
        <charset val="238"/>
      </rPr>
      <t xml:space="preserve"> mil. EUR za 10 rokov udržateľnosti po ukončení národného projektu</t>
    </r>
    <r>
      <rPr>
        <sz val="11"/>
        <color theme="1"/>
        <rFont val="Calibri"/>
        <family val="2"/>
        <charset val="238"/>
      </rPr>
      <t xml:space="preserve"> - okrem samotného vzdelávania vo viacerých IKT predmetov.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</si>
</sst>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 &quot;€&quot;;[Red]\-#,##0\ &quot;€&quot;"/>
    <numFmt numFmtId="165" formatCode="#,##0.00\ &quot;€&quot;;[Red]\-#,##0.00\ &quot;€&quot;"/>
    <numFmt numFmtId="166" formatCode="_-* #,##0\ &quot;€&quot;_-;\-* #,##0\ &quot;€&quot;_-;_-* &quot;-&quot;\ &quot;€&quot;_-;_-@_-"/>
    <numFmt numFmtId="167" formatCode="_-* #,##0.00\ &quot;€&quot;_-;\-* #,##0.00\ &quot;€&quot;_-;_-* &quot;-&quot;??\ &quot;€&quot;_-;_-@_-"/>
    <numFmt numFmtId="168" formatCode="_-* #,##0.00\ _€_-;\-* #,##0.00\ _€_-;_-* &quot;-&quot;??\ _€_-;_-@_-"/>
    <numFmt numFmtId="169" formatCode="_-* #,##0\ _€_-;\-* #,##0\ _€_-;_-* &quot;-&quot;??\ _€_-;_-@_-"/>
    <numFmt numFmtId="170" formatCode="0.0%"/>
    <numFmt numFmtId="171" formatCode="#,##0_ ;\-#,##0;\-;@"/>
    <numFmt numFmtId="172" formatCode="0.00;\-0.00;\-;@"/>
    <numFmt numFmtId="173" formatCode="#,##0\ &quot;€&quot;"/>
    <numFmt numFmtId="174" formatCode="#,##0.00\ &quot;€&quot;"/>
    <numFmt numFmtId="175" formatCode="#,##0.0\ &quot;€&quot;"/>
    <numFmt numFmtId="176" formatCode="#,##0.0000\ &quot;€&quot;"/>
    <numFmt numFmtId="177" formatCode="0.00000"/>
    <numFmt numFmtId="178" formatCode="#0"/>
    <numFmt numFmtId="179" formatCode="_-* #,##0.00\ &quot;€&quot;_-;\-* #,##0.00\ &quot;€&quot;_-;_-* &quot;-&quot;\ &quot;€&quot;_-;_-@_-"/>
    <numFmt numFmtId="180" formatCode="0.000000000000000000000%"/>
    <numFmt numFmtId="181" formatCode="#,##0.000000000"/>
    <numFmt numFmtId="182" formatCode="0.0000000000"/>
    <numFmt numFmtId="183" formatCode="#,##0.0"/>
  </numFmts>
  <fonts count="168" x14ac:knownFonts="1">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10"/>
      <color indexed="18"/>
      <name val="Arial"/>
      <family val="2"/>
      <charset val="238"/>
    </font>
    <font>
      <sz val="11"/>
      <color theme="1"/>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sz val="9"/>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b/>
      <sz val="11"/>
      <color theme="0"/>
      <name val="Calibri Light"/>
      <family val="1"/>
      <charset val="2"/>
      <scheme val="major"/>
    </font>
    <font>
      <b/>
      <sz val="10"/>
      <color theme="0"/>
      <name val="Calibri"/>
      <family val="2"/>
      <scheme val="minor"/>
    </font>
    <font>
      <sz val="10"/>
      <color theme="1"/>
      <name val="Calibri"/>
      <family val="2"/>
      <scheme val="minor"/>
    </font>
    <font>
      <sz val="11"/>
      <color theme="1"/>
      <name val="Calibri"/>
      <family val="2"/>
      <scheme val="minor"/>
    </font>
    <font>
      <b/>
      <u/>
      <sz val="11"/>
      <color theme="5"/>
      <name val="Calibri"/>
      <family val="2"/>
      <scheme val="minor"/>
    </font>
    <font>
      <sz val="9"/>
      <color indexed="81"/>
      <name val="Segoe UI"/>
      <family val="2"/>
    </font>
    <font>
      <b/>
      <sz val="9"/>
      <color indexed="81"/>
      <name val="Segoe UI"/>
      <family val="2"/>
    </font>
    <font>
      <b/>
      <u/>
      <sz val="11"/>
      <color theme="5"/>
      <name val="Calibri"/>
      <family val="2"/>
      <charset val="238"/>
      <scheme val="minor"/>
    </font>
    <font>
      <b/>
      <sz val="18"/>
      <color theme="1"/>
      <name val="Calibri"/>
      <family val="2"/>
      <charset val="238"/>
    </font>
    <font>
      <sz val="18"/>
      <color theme="1"/>
      <name val="Calibri"/>
      <family val="2"/>
      <charset val="238"/>
      <scheme val="minor"/>
    </font>
    <font>
      <b/>
      <sz val="10"/>
      <name val="Calibri"/>
      <family val="2"/>
      <scheme val="minor"/>
    </font>
    <font>
      <sz val="11"/>
      <color rgb="FF000000"/>
      <name val="Calibri Light"/>
      <family val="2"/>
      <scheme val="major"/>
    </font>
    <font>
      <b/>
      <sz val="11"/>
      <color theme="1"/>
      <name val="Calibri"/>
      <family val="2"/>
      <scheme val="minor"/>
    </font>
    <font>
      <b/>
      <sz val="9"/>
      <color rgb="FF000000"/>
      <name val="Segoe UI"/>
      <family val="2"/>
      <charset val="1"/>
    </font>
    <font>
      <sz val="9"/>
      <color rgb="FF000000"/>
      <name val="Segoe UI"/>
      <family val="2"/>
      <charset val="1"/>
    </font>
    <font>
      <b/>
      <sz val="11"/>
      <color rgb="FF000000"/>
      <name val="Calibri"/>
      <family val="2"/>
      <scheme val="minor"/>
    </font>
    <font>
      <i/>
      <sz val="11"/>
      <color theme="1"/>
      <name val="Calibri"/>
      <family val="2"/>
      <scheme val="minor"/>
    </font>
    <font>
      <b/>
      <i/>
      <sz val="11"/>
      <color theme="1"/>
      <name val="Calibri"/>
      <family val="2"/>
      <scheme val="minor"/>
    </font>
    <font>
      <sz val="11"/>
      <name val="Aptos Narrow"/>
      <family val="2"/>
      <charset val="238"/>
    </font>
    <font>
      <sz val="11"/>
      <name val="Aptos Narrow"/>
      <family val="2"/>
    </font>
    <font>
      <sz val="11"/>
      <name val="Calibri"/>
      <family val="2"/>
      <scheme val="minor"/>
    </font>
    <font>
      <sz val="11"/>
      <color rgb="FFC00000"/>
      <name val="Calibri"/>
      <family val="2"/>
      <scheme val="minor"/>
    </font>
    <font>
      <sz val="11"/>
      <color rgb="FFC00000"/>
      <name val="Calibri"/>
      <family val="2"/>
      <charset val="238"/>
      <scheme val="minor"/>
    </font>
    <font>
      <sz val="10"/>
      <color rgb="FFFF0000"/>
      <name val="Calibri Light"/>
      <family val="2"/>
      <charset val="238"/>
      <scheme val="major"/>
    </font>
    <font>
      <sz val="10"/>
      <name val="Calibri Light"/>
      <family val="2"/>
      <charset val="238"/>
      <scheme val="major"/>
    </font>
    <font>
      <sz val="10"/>
      <name val="Calibri Light"/>
      <family val="2"/>
      <charset val="238"/>
    </font>
    <font>
      <sz val="10"/>
      <name val="Calibri Light"/>
      <family val="2"/>
    </font>
    <font>
      <sz val="10"/>
      <color rgb="FF000000"/>
      <name val="Calibri Light"/>
      <family val="2"/>
      <charset val="238"/>
    </font>
    <font>
      <sz val="10"/>
      <color rgb="FF000000"/>
      <name val="Calibri Light"/>
      <family val="2"/>
    </font>
    <font>
      <sz val="11"/>
      <color rgb="FF000000"/>
      <name val="Calibri Light"/>
      <family val="2"/>
    </font>
    <font>
      <b/>
      <sz val="11"/>
      <name val="Calibri"/>
      <family val="2"/>
      <scheme val="minor"/>
    </font>
    <font>
      <sz val="11"/>
      <color theme="3" tint="0.249977111117893"/>
      <name val="Calibri"/>
      <family val="2"/>
      <scheme val="minor"/>
    </font>
    <font>
      <sz val="11"/>
      <color theme="9" tint="-0.249977111117893"/>
      <name val="Calibri"/>
      <family val="2"/>
      <scheme val="minor"/>
    </font>
    <font>
      <sz val="11"/>
      <color theme="9" tint="-0.249977111117893"/>
      <name val="Calibri"/>
      <family val="2"/>
      <charset val="238"/>
      <scheme val="minor"/>
    </font>
    <font>
      <b/>
      <sz val="9"/>
      <color rgb="FF000000"/>
      <name val="Segoe UI"/>
      <family val="2"/>
      <charset val="238"/>
    </font>
    <font>
      <sz val="9"/>
      <color rgb="FF000000"/>
      <name val="Segoe UI"/>
      <family val="2"/>
      <charset val="238"/>
    </font>
    <font>
      <b/>
      <sz val="9"/>
      <color indexed="81"/>
      <name val="Segoe UI"/>
      <family val="2"/>
      <charset val="238"/>
    </font>
    <font>
      <sz val="9"/>
      <color indexed="81"/>
      <name val="Segoe UI"/>
      <family val="2"/>
      <charset val="238"/>
    </font>
    <font>
      <b/>
      <sz val="11"/>
      <color theme="1"/>
      <name val="Calibri"/>
      <family val="2"/>
      <charset val="238"/>
    </font>
    <font>
      <u/>
      <sz val="11"/>
      <color theme="10"/>
      <name val="Calibri"/>
      <family val="2"/>
      <charset val="238"/>
    </font>
    <font>
      <u/>
      <sz val="11"/>
      <color theme="10"/>
      <name val="Calibri"/>
      <family val="2"/>
    </font>
    <font>
      <sz val="11"/>
      <color theme="1"/>
      <name val="Calibri"/>
      <family val="2"/>
    </font>
    <font>
      <sz val="8"/>
      <color theme="1"/>
      <name val="Calibri"/>
      <family val="2"/>
      <charset val="238"/>
    </font>
    <font>
      <sz val="11"/>
      <color theme="9" tint="-0.499984740745262"/>
      <name val="Calibri"/>
      <family val="2"/>
      <charset val="238"/>
      <scheme val="minor"/>
    </font>
    <font>
      <sz val="11"/>
      <color theme="1"/>
      <name val="Aptos Narrow"/>
      <family val="2"/>
    </font>
    <font>
      <sz val="11"/>
      <color rgb="FF000000"/>
      <name val="Calibri"/>
      <family val="2"/>
      <charset val="238"/>
      <scheme val="minor"/>
    </font>
    <font>
      <b/>
      <sz val="9"/>
      <color theme="1"/>
      <name val="Calibri"/>
      <family val="2"/>
      <charset val="238"/>
    </font>
    <font>
      <b/>
      <sz val="9"/>
      <color rgb="FF0070C0"/>
      <name val="Calibri"/>
      <family val="2"/>
      <charset val="238"/>
    </font>
    <font>
      <sz val="8"/>
      <color theme="1"/>
      <name val="Calibri"/>
      <family val="2"/>
    </font>
    <font>
      <sz val="8"/>
      <color rgb="FF0070C0"/>
      <name val="Calibri"/>
      <family val="2"/>
      <charset val="238"/>
    </font>
    <font>
      <b/>
      <sz val="8"/>
      <color theme="1"/>
      <name val="Calibri"/>
      <family val="2"/>
      <charset val="238"/>
    </font>
    <font>
      <sz val="9"/>
      <color rgb="FF0070C0"/>
      <name val="Calibri"/>
      <family val="2"/>
      <charset val="238"/>
    </font>
    <font>
      <sz val="11"/>
      <color rgb="FF0070C0"/>
      <name val="Calibri"/>
      <family val="2"/>
      <charset val="238"/>
    </font>
    <font>
      <b/>
      <sz val="11"/>
      <color rgb="FF0070C0"/>
      <name val="Calibri"/>
      <family val="2"/>
      <charset val="238"/>
    </font>
    <font>
      <b/>
      <u/>
      <sz val="11"/>
      <color rgb="FF00B050"/>
      <name val="Calibri"/>
      <family val="2"/>
      <charset val="238"/>
    </font>
    <font>
      <u/>
      <sz val="11"/>
      <color rgb="FF00B050"/>
      <name val="Calibri"/>
      <family val="2"/>
      <charset val="238"/>
    </font>
    <font>
      <sz val="11"/>
      <color rgb="FFFF0000"/>
      <name val="Calibri"/>
      <family val="2"/>
      <charset val="238"/>
    </font>
    <font>
      <b/>
      <sz val="11"/>
      <color rgb="FFFF0000"/>
      <name val="Calibri"/>
      <family val="2"/>
      <charset val="238"/>
    </font>
    <font>
      <b/>
      <sz val="11"/>
      <color rgb="FF00B050"/>
      <name val="Calibri"/>
      <family val="2"/>
      <charset val="238"/>
    </font>
    <font>
      <sz val="11"/>
      <color rgb="FF00B050"/>
      <name val="Calibri"/>
      <family val="2"/>
      <charset val="238"/>
    </font>
    <font>
      <sz val="11"/>
      <color rgb="FF333333"/>
      <name val="Aptos Narrow"/>
      <family val="2"/>
    </font>
    <font>
      <sz val="11"/>
      <color rgb="FFFF0000"/>
      <name val="Aptos Narrow"/>
      <family val="2"/>
    </font>
    <font>
      <sz val="11"/>
      <color rgb="FFC00000"/>
      <name val="Aptos Narrow"/>
      <family val="2"/>
    </font>
    <font>
      <i/>
      <sz val="11"/>
      <color theme="1"/>
      <name val="Calibri"/>
      <family val="2"/>
      <charset val="238"/>
    </font>
    <font>
      <b/>
      <sz val="11"/>
      <color theme="1"/>
      <name val="Aptos Narrow"/>
      <family val="2"/>
    </font>
    <font>
      <b/>
      <sz val="11"/>
      <name val="Aptos Narrow"/>
      <family val="2"/>
    </font>
    <font>
      <sz val="11"/>
      <color theme="7" tint="-0.249977111117893"/>
      <name val="Aptos Narrow"/>
      <family val="2"/>
    </font>
    <font>
      <sz val="11"/>
      <color rgb="FF0070C0"/>
      <name val="Aptos Narrow"/>
      <family val="2"/>
    </font>
    <font>
      <u/>
      <sz val="11"/>
      <color theme="10"/>
      <name val="Aptos Narrow"/>
      <family val="2"/>
    </font>
    <font>
      <u/>
      <sz val="11"/>
      <color theme="10"/>
      <name val="Calibri"/>
      <family val="2"/>
      <scheme val="minor"/>
    </font>
    <font>
      <sz val="11"/>
      <color rgb="FFEE0000"/>
      <name val="Aptos Narrow"/>
      <family val="2"/>
    </font>
    <font>
      <b/>
      <sz val="11"/>
      <color rgb="FFEE0000"/>
      <name val="Aptos Narrow"/>
      <family val="2"/>
    </font>
    <font>
      <b/>
      <sz val="11"/>
      <color rgb="FFC00000"/>
      <name val="Aptos Narrow"/>
      <family val="2"/>
    </font>
    <font>
      <sz val="11"/>
      <color rgb="FF1C1C1C"/>
      <name val="Aptos Narrow"/>
      <family val="2"/>
    </font>
    <font>
      <sz val="11"/>
      <color rgb="FF000000"/>
      <name val="Calibri"/>
      <family val="2"/>
      <scheme val="minor"/>
    </font>
    <font>
      <sz val="11"/>
      <color rgb="FF333333"/>
      <name val="Calibri"/>
      <family val="2"/>
      <scheme val="minor"/>
    </font>
    <font>
      <sz val="11"/>
      <color rgb="FF000000"/>
      <name val="Aptos Narrow"/>
      <family val="2"/>
    </font>
    <font>
      <b/>
      <sz val="11"/>
      <color rgb="FF00B050"/>
      <name val="Aptos Narrow"/>
      <family val="2"/>
    </font>
    <font>
      <u/>
      <sz val="11"/>
      <color rgb="FFFF0000"/>
      <name val="Aptos Narrow"/>
      <family val="2"/>
    </font>
    <font>
      <sz val="11"/>
      <color rgb="FFFF0000"/>
      <name val="Calibri"/>
      <family val="2"/>
      <scheme val="minor"/>
    </font>
    <font>
      <b/>
      <sz val="11"/>
      <color theme="7" tint="-0.249977111117893"/>
      <name val="Aptos Narrow"/>
      <family val="2"/>
    </font>
    <font>
      <b/>
      <sz val="11"/>
      <color rgb="FF0070C0"/>
      <name val="Aptos Narrow"/>
      <family val="2"/>
    </font>
    <font>
      <b/>
      <sz val="11"/>
      <color theme="3" tint="0.249977111117893"/>
      <name val="Aptos Narrow"/>
      <family val="2"/>
    </font>
    <font>
      <b/>
      <sz val="11"/>
      <color rgb="FFFF0000"/>
      <name val="Aptos Narrow"/>
      <family val="2"/>
    </font>
    <font>
      <b/>
      <u/>
      <sz val="11"/>
      <color theme="1"/>
      <name val="Aptos Narrow"/>
      <family val="2"/>
    </font>
    <font>
      <b/>
      <sz val="11"/>
      <color theme="9"/>
      <name val="Aptos Narrow"/>
      <family val="2"/>
    </font>
    <font>
      <b/>
      <u/>
      <sz val="11"/>
      <color theme="9"/>
      <name val="Aptos Narrow"/>
      <family val="2"/>
    </font>
    <font>
      <b/>
      <u/>
      <sz val="11"/>
      <color theme="7" tint="-0.249977111117893"/>
      <name val="Aptos Narrow"/>
      <family val="2"/>
    </font>
    <font>
      <sz val="11"/>
      <color theme="8" tint="-0.249977111117893"/>
      <name val="Aptos Narrow"/>
      <family val="2"/>
    </font>
    <font>
      <b/>
      <u/>
      <sz val="11"/>
      <color theme="8" tint="-0.249977111117893"/>
      <name val="Aptos Narrow"/>
      <family val="2"/>
    </font>
    <font>
      <b/>
      <u/>
      <sz val="11"/>
      <color theme="5" tint="-0.499984740745262"/>
      <name val="Calibri"/>
      <family val="2"/>
      <scheme val="minor"/>
    </font>
    <font>
      <u/>
      <sz val="11"/>
      <color theme="1"/>
      <name val="Aptos Narrow"/>
      <family val="2"/>
    </font>
    <font>
      <b/>
      <sz val="11"/>
      <color theme="1"/>
      <name val="Calibri"/>
      <family val="2"/>
    </font>
  </fonts>
  <fills count="65">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39997558519241921"/>
        <bgColor indexed="64"/>
      </patternFill>
    </fill>
    <fill>
      <patternFill patternType="solid">
        <fgColor rgb="FFCAEDFB"/>
        <bgColor indexed="64"/>
      </patternFill>
    </fill>
    <fill>
      <patternFill patternType="solid">
        <fgColor rgb="FFCAEDFB"/>
        <bgColor rgb="FF000000"/>
      </patternFill>
    </fill>
    <fill>
      <patternFill patternType="solid">
        <fgColor rgb="FFFBE2D5"/>
        <bgColor rgb="FF000000"/>
      </patternFill>
    </fill>
    <fill>
      <patternFill patternType="solid">
        <fgColor rgb="FFDAF2D0"/>
        <bgColor rgb="FF000000"/>
      </patternFill>
    </fill>
    <fill>
      <patternFill patternType="solid">
        <fgColor rgb="FFFFFF00"/>
        <bgColor rgb="FF000000"/>
      </patternFill>
    </fill>
    <fill>
      <patternFill patternType="solid">
        <fgColor rgb="FFFFF2CC"/>
        <bgColor rgb="FF000000"/>
      </patternFill>
    </fill>
    <fill>
      <patternFill patternType="solid">
        <fgColor rgb="FF92D050"/>
        <bgColor indexed="64"/>
      </patternFill>
    </fill>
    <fill>
      <patternFill patternType="solid">
        <fgColor rgb="FFD5D9E2"/>
      </patternFill>
    </fill>
    <fill>
      <patternFill patternType="solid">
        <fgColor rgb="FFF9F9F9"/>
      </patternFill>
    </fill>
    <fill>
      <patternFill patternType="solid">
        <fgColor rgb="FFFFFFFF"/>
      </patternFill>
    </fill>
    <fill>
      <patternFill patternType="solid">
        <fgColor rgb="FFE7F2E6"/>
      </patternFill>
    </fill>
    <fill>
      <patternFill patternType="solid">
        <fgColor theme="0"/>
        <bgColor theme="0"/>
      </patternFill>
    </fill>
    <fill>
      <patternFill patternType="solid">
        <fgColor theme="0" tint="-4.9989318521683403E-2"/>
        <bgColor theme="0"/>
      </patternFill>
    </fill>
    <fill>
      <patternFill patternType="solid">
        <fgColor theme="7" tint="0.79998168889431442"/>
        <bgColor theme="0"/>
      </patternFill>
    </fill>
    <fill>
      <patternFill patternType="solid">
        <fgColor rgb="FFFFFF00"/>
        <bgColor theme="0"/>
      </patternFill>
    </fill>
    <fill>
      <patternFill patternType="solid">
        <fgColor theme="9" tint="0.79998168889431442"/>
        <bgColor theme="0"/>
      </patternFill>
    </fill>
    <fill>
      <patternFill patternType="solid">
        <fgColor theme="8" tint="0.79998168889431442"/>
        <bgColor theme="0"/>
      </patternFill>
    </fill>
    <fill>
      <patternFill patternType="solid">
        <fgColor theme="5" tint="0.79998168889431442"/>
        <bgColor theme="0"/>
      </patternFill>
    </fill>
    <fill>
      <patternFill patternType="solid">
        <fgColor rgb="FFFFFFFF"/>
        <bgColor rgb="FFFFFFFF"/>
      </patternFill>
    </fill>
    <fill>
      <patternFill patternType="solid">
        <fgColor rgb="FFFFFF00"/>
        <bgColor rgb="FFFFFFFF"/>
      </patternFill>
    </fill>
    <fill>
      <patternFill patternType="solid">
        <fgColor theme="6" tint="0.59999389629810485"/>
        <bgColor theme="0"/>
      </patternFill>
    </fill>
    <fill>
      <patternFill patternType="solid">
        <fgColor theme="2" tint="-4.9989318521683403E-2"/>
        <bgColor theme="0"/>
      </patternFill>
    </fill>
    <fill>
      <patternFill patternType="solid">
        <fgColor theme="9" tint="0.39997558519241921"/>
        <bgColor theme="0"/>
      </patternFill>
    </fill>
    <fill>
      <patternFill patternType="solid">
        <fgColor rgb="FF9EB4B6"/>
        <bgColor theme="0"/>
      </patternFill>
    </fill>
    <fill>
      <patternFill patternType="solid">
        <fgColor theme="7" tint="0.39997558519241921"/>
        <bgColor theme="0"/>
      </patternFill>
    </fill>
    <fill>
      <patternFill patternType="solid">
        <fgColor rgb="FF00B0F0"/>
        <bgColor theme="0"/>
      </patternFill>
    </fill>
    <fill>
      <patternFill patternType="solid">
        <fgColor theme="8" tint="0.39997558519241921"/>
        <bgColor theme="0"/>
      </patternFill>
    </fill>
  </fills>
  <borders count="189">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indexed="64"/>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1" tint="0.499984740745262"/>
      </left>
      <right/>
      <top/>
      <bottom/>
      <diagonal/>
    </border>
    <border>
      <left/>
      <right/>
      <top style="thin">
        <color rgb="FF7F7F7F"/>
      </top>
      <bottom style="thin">
        <color rgb="FF7F7F7F"/>
      </bottom>
      <diagonal/>
    </border>
    <border>
      <left style="medium">
        <color indexed="64"/>
      </left>
      <right style="thin">
        <color indexed="64"/>
      </right>
      <top style="thin">
        <color rgb="FF7F7F7F"/>
      </top>
      <bottom style="medium">
        <color indexed="64"/>
      </bottom>
      <diagonal/>
    </border>
    <border>
      <left style="thin">
        <color indexed="64"/>
      </left>
      <right style="thin">
        <color indexed="64"/>
      </right>
      <top style="thin">
        <color rgb="FF7F7F7F"/>
      </top>
      <bottom style="medium">
        <color indexed="64"/>
      </bottom>
      <diagonal/>
    </border>
    <border>
      <left style="thin">
        <color indexed="64"/>
      </left>
      <right style="medium">
        <color indexed="64"/>
      </right>
      <top style="thin">
        <color rgb="FF7F7F7F"/>
      </top>
      <bottom style="medium">
        <color indexed="64"/>
      </bottom>
      <diagonal/>
    </border>
    <border>
      <left style="thin">
        <color theme="0" tint="-0.24994659260841701"/>
      </left>
      <right/>
      <top/>
      <bottom/>
      <diagonal/>
    </border>
    <border>
      <left/>
      <right style="thin">
        <color theme="0" tint="-0.24994659260841701"/>
      </right>
      <top/>
      <bottom/>
      <diagonal/>
    </border>
    <border>
      <left style="thin">
        <color rgb="FFA6A6A6"/>
      </left>
      <right style="thin">
        <color rgb="FFA6A6A6"/>
      </right>
      <top style="thin">
        <color rgb="FFA6A6A6"/>
      </top>
      <bottom style="thin">
        <color rgb="FFA6A6A6"/>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style="thin">
        <color rgb="FF959595"/>
      </left>
      <right/>
      <top/>
      <bottom/>
      <diagonal/>
    </border>
    <border>
      <left style="thin">
        <color rgb="FF959595"/>
      </left>
      <right/>
      <top/>
      <bottom style="thin">
        <color rgb="FF959595"/>
      </bottom>
      <diagonal/>
    </border>
    <border>
      <left style="thin">
        <color indexed="64"/>
      </left>
      <right/>
      <top style="medium">
        <color indexed="64"/>
      </top>
      <bottom/>
      <diagonal/>
    </border>
    <border>
      <left/>
      <right/>
      <top/>
      <bottom style="thin">
        <color rgb="FF959595"/>
      </bottom>
      <diagonal/>
    </border>
    <border>
      <left style="thin">
        <color rgb="FF959595"/>
      </left>
      <right style="thin">
        <color rgb="FF959595"/>
      </right>
      <top style="thin">
        <color rgb="FF959595"/>
      </top>
      <bottom style="thin">
        <color rgb="FF959595"/>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45B0E1"/>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45B0E1"/>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45B0E1"/>
      </top>
      <bottom style="thin">
        <color rgb="FF45B0E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s>
  <cellStyleXfs count="21">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8" fontId="2" fillId="0" borderId="0" applyFont="0" applyFill="0" applyBorder="0" applyAlignment="0" applyProtection="0"/>
    <xf numFmtId="0" fontId="45" fillId="0" borderId="0" applyNumberFormat="0" applyFill="0" applyBorder="0" applyAlignment="0" applyProtection="0"/>
    <xf numFmtId="167" fontId="2" fillId="0" borderId="0" applyFont="0" applyFill="0" applyBorder="0" applyAlignment="0" applyProtection="0"/>
    <xf numFmtId="0" fontId="61" fillId="0" borderId="0"/>
    <xf numFmtId="0" fontId="65" fillId="0" borderId="0" applyNumberFormat="0" applyFill="0" applyBorder="0" applyAlignment="0" applyProtection="0">
      <alignment vertical="top"/>
      <protection locked="0"/>
    </xf>
    <xf numFmtId="0" fontId="2" fillId="0" borderId="0"/>
    <xf numFmtId="167" fontId="2" fillId="0" borderId="0" applyFont="0" applyFill="0" applyBorder="0" applyAlignment="0" applyProtection="0"/>
    <xf numFmtId="167" fontId="2" fillId="0" borderId="0" applyFont="0" applyFill="0" applyBorder="0" applyAlignment="0" applyProtection="0"/>
    <xf numFmtId="0" fontId="14" fillId="0" borderId="0"/>
    <xf numFmtId="0" fontId="114" fillId="0" borderId="0" applyNumberFormat="0" applyFill="0" applyBorder="0" applyAlignment="0" applyProtection="0"/>
    <xf numFmtId="0" fontId="78" fillId="0" borderId="0"/>
    <xf numFmtId="0" fontId="115" fillId="0" borderId="0" applyNumberFormat="0" applyFill="0" applyBorder="0" applyAlignment="0" applyProtection="0">
      <alignment vertical="top"/>
      <protection locked="0"/>
    </xf>
    <xf numFmtId="0" fontId="116" fillId="0" borderId="0"/>
    <xf numFmtId="0" fontId="115" fillId="0" borderId="0" applyNumberFormat="0" applyFill="0" applyBorder="0" applyAlignment="0" applyProtection="0"/>
    <xf numFmtId="0" fontId="144" fillId="0" borderId="0" applyNumberFormat="0" applyFill="0" applyBorder="0" applyAlignment="0" applyProtection="0"/>
    <xf numFmtId="0" fontId="2" fillId="0" borderId="0"/>
  </cellStyleXfs>
  <cellXfs count="1458">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0" borderId="0" xfId="0" applyAlignment="1">
      <alignment horizontal="left" vertical="top" wrapText="1"/>
    </xf>
    <xf numFmtId="0" fontId="0" fillId="6" borderId="0" xfId="0" applyFill="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Alignment="1">
      <alignment horizontal="center" vertical="top" wrapText="1"/>
    </xf>
    <xf numFmtId="0" fontId="0" fillId="6" borderId="18" xfId="0" applyFill="1" applyBorder="1" applyAlignment="1">
      <alignment horizontal="left" vertical="top" wrapText="1"/>
    </xf>
    <xf numFmtId="0" fontId="0" fillId="7" borderId="0" xfId="0" applyFill="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5"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6"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4" fontId="7" fillId="4" borderId="41" xfId="2" applyNumberFormat="1" applyBorder="1" applyAlignment="1">
      <alignment horizontal="right" vertical="top" wrapText="1"/>
    </xf>
    <xf numFmtId="4" fontId="7" fillId="4" borderId="44" xfId="2" applyNumberFormat="1" applyBorder="1" applyAlignment="1">
      <alignment horizontal="right" vertical="top" wrapText="1"/>
    </xf>
    <xf numFmtId="0" fontId="14" fillId="0" borderId="0" xfId="0" applyFont="1"/>
    <xf numFmtId="0" fontId="0" fillId="6" borderId="6" xfId="0" applyFill="1" applyBorder="1" applyAlignment="1">
      <alignment horizontal="left" vertical="top" wrapText="1"/>
    </xf>
    <xf numFmtId="0" fontId="9" fillId="7" borderId="64"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5" xfId="2" applyNumberFormat="1" applyBorder="1" applyAlignment="1">
      <alignment horizontal="right" vertical="top" wrapText="1"/>
    </xf>
    <xf numFmtId="4" fontId="7" fillId="4" borderId="66" xfId="2" applyNumberFormat="1" applyBorder="1" applyAlignment="1">
      <alignment horizontal="right" vertical="top" wrapText="1"/>
    </xf>
    <xf numFmtId="4" fontId="7" fillId="4" borderId="67" xfId="2" applyNumberFormat="1" applyBorder="1" applyAlignment="1">
      <alignment horizontal="right" vertical="top" wrapText="1"/>
    </xf>
    <xf numFmtId="4" fontId="7" fillId="4" borderId="68" xfId="2" applyNumberFormat="1" applyBorder="1" applyAlignment="1">
      <alignment horizontal="right" vertical="top" wrapText="1"/>
    </xf>
    <xf numFmtId="4" fontId="7" fillId="4" borderId="70" xfId="2" applyNumberFormat="1" applyBorder="1" applyAlignment="1">
      <alignment horizontal="right" vertical="top" wrapText="1"/>
    </xf>
    <xf numFmtId="0" fontId="0" fillId="0" borderId="69" xfId="0" applyBorder="1" applyAlignment="1">
      <alignment horizontal="left" vertical="top" wrapText="1"/>
    </xf>
    <xf numFmtId="0" fontId="10" fillId="6" borderId="34"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1" xfId="2" applyNumberFormat="1" applyBorder="1" applyAlignment="1">
      <alignment horizontal="right" vertical="top" wrapText="1"/>
    </xf>
    <xf numFmtId="4" fontId="7" fillId="4" borderId="72" xfId="2" applyNumberFormat="1" applyBorder="1" applyAlignment="1">
      <alignment horizontal="right" vertical="top" wrapText="1"/>
    </xf>
    <xf numFmtId="4" fontId="7" fillId="4" borderId="73"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4" xfId="1" applyBorder="1" applyAlignment="1">
      <alignment horizontal="right" vertical="top" wrapText="1"/>
    </xf>
    <xf numFmtId="4" fontId="7" fillId="4" borderId="35" xfId="2" applyNumberFormat="1" applyBorder="1" applyAlignment="1">
      <alignment horizontal="lef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4" fontId="7" fillId="4" borderId="77" xfId="2" applyNumberFormat="1" applyBorder="1" applyAlignment="1">
      <alignment horizontal="right" vertical="top" wrapText="1"/>
    </xf>
    <xf numFmtId="0" fontId="0" fillId="0" borderId="0" xfId="0" applyAlignment="1">
      <alignment wrapText="1"/>
    </xf>
    <xf numFmtId="0" fontId="9" fillId="0" borderId="0" xfId="0" applyFont="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4"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6" xfId="2" applyNumberFormat="1" applyBorder="1" applyAlignment="1">
      <alignment horizontal="right" vertical="top" wrapText="1"/>
    </xf>
    <xf numFmtId="3" fontId="7" fillId="4" borderId="67"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26" fillId="0" borderId="0" xfId="0" applyFont="1" applyAlignment="1">
      <alignment horizontal="center"/>
    </xf>
    <xf numFmtId="0" fontId="27" fillId="0" borderId="0" xfId="0" applyFont="1"/>
    <xf numFmtId="49" fontId="27" fillId="0" borderId="0" xfId="0" applyNumberFormat="1" applyFont="1"/>
    <xf numFmtId="3" fontId="7" fillId="4" borderId="67" xfId="2" applyNumberFormat="1" applyBorder="1"/>
    <xf numFmtId="0" fontId="25" fillId="0" borderId="0" xfId="0" applyFont="1" applyAlignment="1">
      <alignment horizontal="center"/>
    </xf>
    <xf numFmtId="0" fontId="27" fillId="0" borderId="0" xfId="0" applyFont="1" applyAlignment="1">
      <alignment horizontal="center"/>
    </xf>
    <xf numFmtId="0" fontId="26" fillId="0" borderId="0" xfId="0" applyFont="1"/>
    <xf numFmtId="0" fontId="26" fillId="0" borderId="0" xfId="0" applyFont="1" applyAlignment="1">
      <alignment wrapText="1"/>
    </xf>
    <xf numFmtId="0" fontId="25" fillId="0" borderId="0" xfId="0" applyFont="1"/>
    <xf numFmtId="0" fontId="9" fillId="7" borderId="64" xfId="0" applyFont="1" applyFill="1" applyBorder="1" applyAlignment="1">
      <alignment horizontal="center" vertical="top" wrapText="1"/>
    </xf>
    <xf numFmtId="3" fontId="7" fillId="4" borderId="35" xfId="2" applyNumberFormat="1" applyBorder="1"/>
    <xf numFmtId="3" fontId="7" fillId="4" borderId="82" xfId="2" applyNumberFormat="1" applyBorder="1"/>
    <xf numFmtId="0" fontId="0" fillId="6" borderId="83" xfId="0" applyFill="1" applyBorder="1" applyAlignment="1">
      <alignment horizontal="center" vertical="top" wrapText="1"/>
    </xf>
    <xf numFmtId="3" fontId="7" fillId="4" borderId="76" xfId="2" applyNumberFormat="1" applyBorder="1" applyAlignment="1">
      <alignment horizontal="right"/>
    </xf>
    <xf numFmtId="3" fontId="7" fillId="4" borderId="77" xfId="2" applyNumberFormat="1" applyBorder="1" applyAlignment="1">
      <alignment horizontal="right"/>
    </xf>
    <xf numFmtId="3" fontId="7" fillId="4" borderId="64" xfId="2" applyNumberFormat="1" applyBorder="1"/>
    <xf numFmtId="3" fontId="7" fillId="4" borderId="30" xfId="2" applyNumberFormat="1" applyBorder="1"/>
    <xf numFmtId="3" fontId="7" fillId="4" borderId="84" xfId="2" applyNumberFormat="1" applyBorder="1"/>
    <xf numFmtId="0" fontId="24" fillId="0" borderId="14" xfId="0" applyFont="1" applyBorder="1"/>
    <xf numFmtId="0" fontId="24" fillId="0" borderId="23" xfId="0" applyFont="1" applyBorder="1"/>
    <xf numFmtId="0" fontId="26" fillId="0" borderId="24" xfId="0" applyFont="1" applyBorder="1"/>
    <xf numFmtId="0" fontId="8" fillId="0" borderId="0" xfId="0" applyFont="1"/>
    <xf numFmtId="0" fontId="0" fillId="0" borderId="37" xfId="0" applyBorder="1" applyAlignment="1">
      <alignment horizontal="left"/>
    </xf>
    <xf numFmtId="0" fontId="0" fillId="0" borderId="38" xfId="0" applyBorder="1" applyAlignment="1">
      <alignment horizontal="left"/>
    </xf>
    <xf numFmtId="0" fontId="0" fillId="6" borderId="81" xfId="0" applyFill="1" applyBorder="1" applyAlignment="1">
      <alignment horizontal="center" vertical="top" wrapText="1"/>
    </xf>
    <xf numFmtId="0" fontId="0" fillId="6" borderId="55" xfId="0" applyFill="1" applyBorder="1" applyAlignment="1">
      <alignment horizontal="center" vertical="top" wrapText="1"/>
    </xf>
    <xf numFmtId="0" fontId="0" fillId="6" borderId="56" xfId="0" applyFill="1" applyBorder="1" applyAlignment="1">
      <alignment horizontal="center" vertical="top" wrapText="1"/>
    </xf>
    <xf numFmtId="3" fontId="7" fillId="4" borderId="87" xfId="2" applyNumberFormat="1" applyBorder="1"/>
    <xf numFmtId="3" fontId="7" fillId="4" borderId="72" xfId="2" applyNumberFormat="1" applyBorder="1"/>
    <xf numFmtId="3" fontId="7" fillId="4" borderId="42" xfId="2" applyNumberFormat="1" applyBorder="1"/>
    <xf numFmtId="3" fontId="7" fillId="4" borderId="45" xfId="2" applyNumberFormat="1" applyBorder="1"/>
    <xf numFmtId="3" fontId="7" fillId="4" borderId="88" xfId="2" applyNumberFormat="1" applyBorder="1"/>
    <xf numFmtId="3" fontId="7" fillId="4" borderId="89" xfId="2" applyNumberFormat="1" applyBorder="1" applyAlignment="1">
      <alignment horizontal="right" vertical="top" wrapText="1"/>
    </xf>
    <xf numFmtId="3" fontId="7" fillId="4" borderId="50" xfId="2" applyNumberFormat="1" applyBorder="1" applyAlignment="1">
      <alignment horizontal="right" vertical="top" wrapText="1"/>
    </xf>
    <xf numFmtId="3" fontId="7" fillId="4" borderId="46" xfId="2" applyNumberFormat="1" applyBorder="1" applyAlignment="1">
      <alignment vertical="top" wrapText="1"/>
    </xf>
    <xf numFmtId="3" fontId="7" fillId="4" borderId="43" xfId="2" applyNumberFormat="1" applyBorder="1" applyAlignment="1">
      <alignment vertical="top" wrapText="1"/>
    </xf>
    <xf numFmtId="3" fontId="7" fillId="4" borderId="90" xfId="2" applyNumberFormat="1" applyBorder="1" applyAlignment="1">
      <alignment vertical="top" wrapText="1"/>
    </xf>
    <xf numFmtId="3" fontId="7" fillId="4" borderId="16" xfId="2" applyNumberFormat="1" applyAlignment="1">
      <alignment vertical="top" wrapText="1"/>
    </xf>
    <xf numFmtId="0" fontId="31" fillId="0" borderId="0" xfId="0" applyFont="1"/>
    <xf numFmtId="4" fontId="7" fillId="4" borderId="48" xfId="2" applyNumberFormat="1" applyBorder="1" applyAlignment="1">
      <alignment horizontal="right" vertical="top" wrapText="1"/>
    </xf>
    <xf numFmtId="4" fontId="0" fillId="0" borderId="0" xfId="0" applyNumberFormat="1" applyAlignment="1">
      <alignment horizontal="left" vertical="top" wrapText="1"/>
    </xf>
    <xf numFmtId="0" fontId="2" fillId="6" borderId="53" xfId="0" applyFont="1" applyFill="1" applyBorder="1" applyAlignment="1">
      <alignment horizontal="center" vertical="top" wrapText="1"/>
    </xf>
    <xf numFmtId="0" fontId="2" fillId="6" borderId="81"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0" borderId="37" xfId="0" applyFont="1" applyBorder="1" applyAlignment="1">
      <alignment horizontal="left"/>
    </xf>
    <xf numFmtId="3" fontId="7" fillId="4" borderId="92" xfId="2" applyNumberFormat="1" applyBorder="1"/>
    <xf numFmtId="3" fontId="7" fillId="4" borderId="16" xfId="2" applyNumberFormat="1"/>
    <xf numFmtId="4" fontId="7" fillId="4" borderId="93"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5" xfId="2" applyNumberFormat="1" applyBorder="1" applyAlignment="1">
      <alignment horizontal="righ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6" xfId="0" applyBorder="1"/>
    <xf numFmtId="0" fontId="0" fillId="0" borderId="5" xfId="0" applyBorder="1"/>
    <xf numFmtId="0" fontId="0" fillId="0" borderId="60" xfId="0" applyBorder="1" applyAlignment="1">
      <alignment horizontal="center" vertical="center"/>
    </xf>
    <xf numFmtId="0" fontId="0" fillId="0" borderId="13" xfId="0" applyBorder="1"/>
    <xf numFmtId="4" fontId="7" fillId="4" borderId="108" xfId="2" applyNumberFormat="1" applyBorder="1" applyAlignment="1">
      <alignment horizontal="right" vertical="top" wrapText="1"/>
    </xf>
    <xf numFmtId="4" fontId="7" fillId="4" borderId="107" xfId="2" applyNumberFormat="1" applyBorder="1" applyAlignment="1">
      <alignment horizontal="right" vertical="top" wrapText="1"/>
    </xf>
    <xf numFmtId="2" fontId="31"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2" fillId="0" borderId="28" xfId="0" applyFont="1" applyBorder="1" applyAlignment="1">
      <alignment horizontal="left" vertical="center" wrapText="1"/>
    </xf>
    <xf numFmtId="4" fontId="34" fillId="4" borderId="108" xfId="2" applyNumberFormat="1" applyFont="1" applyBorder="1" applyAlignment="1">
      <alignment horizontal="left" vertical="center" wrapText="1"/>
    </xf>
    <xf numFmtId="4" fontId="7" fillId="13" borderId="107" xfId="2" applyNumberFormat="1" applyFill="1" applyBorder="1" applyAlignment="1">
      <alignment horizontal="right" vertical="center" wrapText="1"/>
    </xf>
    <xf numFmtId="170" fontId="33" fillId="13" borderId="107" xfId="4" applyNumberFormat="1" applyFont="1" applyFill="1" applyBorder="1" applyAlignment="1">
      <alignment horizontal="right" vertical="center" wrapText="1"/>
    </xf>
    <xf numFmtId="3" fontId="33" fillId="13" borderId="107" xfId="4" applyNumberFormat="1" applyFont="1" applyFill="1" applyBorder="1" applyAlignment="1">
      <alignment horizontal="right" vertical="center" wrapText="1"/>
    </xf>
    <xf numFmtId="0" fontId="35" fillId="0" borderId="0" xfId="0" applyFont="1" applyAlignment="1">
      <alignment horizontal="right" vertical="center"/>
    </xf>
    <xf numFmtId="4" fontId="36" fillId="9" borderId="107" xfId="2" applyNumberFormat="1" applyFont="1" applyFill="1" applyBorder="1" applyAlignment="1">
      <alignment horizontal="right" vertical="center" wrapText="1"/>
    </xf>
    <xf numFmtId="170" fontId="37" fillId="9" borderId="107" xfId="4" applyNumberFormat="1" applyFont="1" applyFill="1" applyBorder="1" applyAlignment="1">
      <alignment horizontal="right" vertical="center" wrapText="1"/>
    </xf>
    <xf numFmtId="0" fontId="38" fillId="0" borderId="0" xfId="0" applyFont="1" applyAlignment="1">
      <alignment vertical="center"/>
    </xf>
    <xf numFmtId="3" fontId="37" fillId="9" borderId="107" xfId="4" applyNumberFormat="1" applyFont="1" applyFill="1" applyBorder="1" applyAlignment="1">
      <alignment horizontal="right" vertical="center" wrapText="1"/>
    </xf>
    <xf numFmtId="1" fontId="39" fillId="3" borderId="5" xfId="1" applyNumberFormat="1" applyFont="1" applyBorder="1" applyAlignment="1">
      <alignment horizontal="right" vertical="top" wrapText="1"/>
    </xf>
    <xf numFmtId="0" fontId="28" fillId="0" borderId="0" xfId="0" applyFont="1"/>
    <xf numFmtId="0" fontId="9" fillId="0" borderId="0" xfId="0" applyFont="1" applyAlignment="1">
      <alignment horizontal="center" vertical="top" wrapText="1"/>
    </xf>
    <xf numFmtId="3" fontId="7" fillId="0" borderId="0" xfId="2" applyNumberFormat="1" applyFill="1" applyBorder="1"/>
    <xf numFmtId="0" fontId="8" fillId="0" borderId="56" xfId="0" applyFont="1" applyBorder="1"/>
    <xf numFmtId="0" fontId="8" fillId="0" borderId="110" xfId="0" applyFont="1" applyBorder="1"/>
    <xf numFmtId="0" fontId="0" fillId="0" borderId="111" xfId="0" applyBorder="1" applyAlignment="1">
      <alignment horizontal="left"/>
    </xf>
    <xf numFmtId="0" fontId="9" fillId="7" borderId="30" xfId="0" applyFont="1" applyFill="1" applyBorder="1" applyAlignment="1">
      <alignment horizontal="center" vertical="top" wrapText="1"/>
    </xf>
    <xf numFmtId="0" fontId="0" fillId="0" borderId="6" xfId="0" applyBorder="1" applyAlignment="1">
      <alignment horizontal="right"/>
    </xf>
    <xf numFmtId="0" fontId="28" fillId="0" borderId="6" xfId="0" applyFont="1" applyBorder="1"/>
    <xf numFmtId="0" fontId="30" fillId="0" borderId="24" xfId="0" applyFont="1" applyBorder="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2" fontId="0" fillId="0" borderId="20" xfId="0" applyNumberFormat="1" applyBorder="1" applyAlignment="1">
      <alignment wrapText="1"/>
    </xf>
    <xf numFmtId="2" fontId="0" fillId="0" borderId="114" xfId="0" applyNumberFormat="1" applyBorder="1" applyAlignment="1">
      <alignment wrapText="1"/>
    </xf>
    <xf numFmtId="2" fontId="0" fillId="0" borderId="20" xfId="0" applyNumberFormat="1" applyBorder="1"/>
    <xf numFmtId="2" fontId="0" fillId="0" borderId="114" xfId="0" applyNumberFormat="1" applyBorder="1"/>
    <xf numFmtId="9" fontId="8" fillId="10" borderId="19" xfId="4" applyFont="1" applyFill="1" applyBorder="1" applyAlignment="1">
      <alignment wrapText="1"/>
    </xf>
    <xf numFmtId="9" fontId="8" fillId="10" borderId="113" xfId="4" applyFont="1" applyFill="1" applyBorder="1" applyAlignment="1">
      <alignment wrapText="1"/>
    </xf>
    <xf numFmtId="9" fontId="8" fillId="10" borderId="19" xfId="4" applyFont="1" applyFill="1" applyBorder="1"/>
    <xf numFmtId="9" fontId="8" fillId="10" borderId="113"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2" xfId="0" applyFont="1" applyFill="1" applyBorder="1" applyAlignment="1">
      <alignment horizontal="right"/>
    </xf>
    <xf numFmtId="0" fontId="8" fillId="10" borderId="106" xfId="0" applyFont="1" applyFill="1" applyBorder="1" applyAlignment="1">
      <alignment horizontal="right"/>
    </xf>
    <xf numFmtId="4" fontId="0" fillId="0" borderId="0" xfId="0" applyNumberFormat="1" applyAlignment="1">
      <alignment wrapText="1"/>
    </xf>
    <xf numFmtId="2" fontId="0" fillId="0" borderId="0" xfId="0" applyNumberFormat="1" applyAlignment="1">
      <alignment wrapText="1"/>
    </xf>
    <xf numFmtId="0" fontId="8" fillId="0" borderId="0" xfId="0" applyFont="1" applyAlignment="1">
      <alignment horizontal="center" vertical="center" wrapText="1"/>
    </xf>
    <xf numFmtId="0" fontId="8" fillId="0" borderId="0" xfId="0" applyFont="1" applyAlignment="1">
      <alignment horizontal="right" wrapText="1"/>
    </xf>
    <xf numFmtId="4" fontId="8" fillId="0" borderId="0" xfId="0" applyNumberFormat="1" applyFont="1" applyAlignment="1">
      <alignment wrapText="1"/>
    </xf>
    <xf numFmtId="9" fontId="8" fillId="17" borderId="20" xfId="4" applyFont="1" applyFill="1" applyBorder="1" applyAlignment="1">
      <alignment wrapText="1"/>
    </xf>
    <xf numFmtId="2" fontId="0" fillId="0" borderId="0" xfId="0" applyNumberFormat="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3" xfId="4" applyFont="1" applyFill="1" applyBorder="1" applyAlignment="1">
      <alignment wrapText="1"/>
    </xf>
    <xf numFmtId="9" fontId="8" fillId="17" borderId="114" xfId="4" applyFont="1" applyFill="1" applyBorder="1" applyAlignment="1">
      <alignment wrapText="1"/>
    </xf>
    <xf numFmtId="9" fontId="8" fillId="17" borderId="106" xfId="4" applyFont="1" applyFill="1" applyBorder="1" applyAlignment="1">
      <alignment wrapText="1"/>
    </xf>
    <xf numFmtId="0" fontId="0" fillId="15" borderId="55" xfId="0" applyFill="1" applyBorder="1"/>
    <xf numFmtId="0" fontId="0" fillId="15" borderId="22" xfId="0" applyFill="1" applyBorder="1"/>
    <xf numFmtId="0" fontId="0" fillId="15" borderId="80" xfId="0" applyFill="1" applyBorder="1"/>
    <xf numFmtId="0" fontId="0" fillId="15" borderId="104" xfId="0" applyFill="1" applyBorder="1"/>
    <xf numFmtId="0" fontId="0" fillId="0" borderId="0" xfId="0" applyAlignment="1">
      <alignment horizontal="center"/>
    </xf>
    <xf numFmtId="0" fontId="8" fillId="17" borderId="0" xfId="0" applyFont="1" applyFill="1"/>
    <xf numFmtId="0" fontId="8" fillId="17" borderId="0" xfId="0" applyFont="1" applyFill="1" applyAlignment="1">
      <alignment horizontal="left"/>
    </xf>
    <xf numFmtId="0" fontId="8" fillId="0" borderId="64" xfId="0" applyFont="1" applyBorder="1" applyAlignment="1">
      <alignment horizontal="center" vertical="center" wrapText="1"/>
    </xf>
    <xf numFmtId="0" fontId="29" fillId="0" borderId="123" xfId="0" applyFont="1" applyBorder="1" applyAlignment="1">
      <alignment horizontal="center" wrapText="1"/>
    </xf>
    <xf numFmtId="0" fontId="29" fillId="0" borderId="125" xfId="0" applyFont="1" applyBorder="1" applyAlignment="1">
      <alignment wrapText="1"/>
    </xf>
    <xf numFmtId="0" fontId="8" fillId="0" borderId="0" xfId="0" applyFont="1" applyAlignment="1">
      <alignment horizontal="center"/>
    </xf>
    <xf numFmtId="0" fontId="8" fillId="0" borderId="0" xfId="0" applyFont="1" applyAlignment="1">
      <alignment vertical="center"/>
    </xf>
    <xf numFmtId="0" fontId="8" fillId="0" borderId="126" xfId="0" applyFont="1" applyBorder="1" applyAlignment="1">
      <alignment horizontal="center" vertical="center" wrapText="1"/>
    </xf>
    <xf numFmtId="0" fontId="8" fillId="0" borderId="0" xfId="0" applyFont="1" applyAlignment="1">
      <alignment horizontal="center" vertical="center"/>
    </xf>
    <xf numFmtId="0" fontId="8" fillId="0" borderId="120" xfId="0" applyFont="1" applyBorder="1" applyAlignment="1">
      <alignment horizontal="center" vertical="center" wrapText="1"/>
    </xf>
    <xf numFmtId="0" fontId="0" fillId="0" borderId="0" xfId="0" applyAlignment="1">
      <alignment horizontal="left"/>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0" fillId="15" borderId="103" xfId="0" applyFill="1" applyBorder="1"/>
    <xf numFmtId="0" fontId="0" fillId="15" borderId="104" xfId="0" applyFill="1" applyBorder="1" applyAlignment="1">
      <alignment horizontal="center"/>
    </xf>
    <xf numFmtId="0" fontId="0" fillId="15" borderId="22" xfId="0" applyFill="1" applyBorder="1" applyAlignment="1">
      <alignment horizontal="center"/>
    </xf>
    <xf numFmtId="0" fontId="0" fillId="15" borderId="103" xfId="0" applyFill="1" applyBorder="1" applyAlignment="1">
      <alignment horizontal="center"/>
    </xf>
    <xf numFmtId="0" fontId="29" fillId="0" borderId="122" xfId="0" applyFont="1" applyBorder="1" applyAlignment="1">
      <alignment horizontal="center" wrapText="1"/>
    </xf>
    <xf numFmtId="0" fontId="0" fillId="15" borderId="114" xfId="0" applyFill="1" applyBorder="1" applyAlignment="1">
      <alignment horizontal="center"/>
    </xf>
    <xf numFmtId="0" fontId="30" fillId="9" borderId="64" xfId="0" applyFont="1" applyFill="1" applyBorder="1" applyAlignment="1">
      <alignment horizontal="left" vertical="top"/>
    </xf>
    <xf numFmtId="0" fontId="0" fillId="15" borderId="126" xfId="0" applyFill="1" applyBorder="1"/>
    <xf numFmtId="0" fontId="0" fillId="15" borderId="120" xfId="0" applyFill="1" applyBorder="1" applyAlignment="1">
      <alignment horizontal="left"/>
    </xf>
    <xf numFmtId="0" fontId="0" fillId="15" borderId="120" xfId="0" applyFill="1" applyBorder="1" applyAlignment="1">
      <alignment horizontal="center"/>
    </xf>
    <xf numFmtId="0" fontId="0" fillId="15" borderId="121" xfId="0" applyFill="1" applyBorder="1"/>
    <xf numFmtId="0" fontId="29" fillId="0" borderId="124" xfId="0" applyFont="1" applyBorder="1" applyAlignment="1">
      <alignment wrapText="1"/>
    </xf>
    <xf numFmtId="0" fontId="0" fillId="15" borderId="113" xfId="0" applyFill="1" applyBorder="1" applyAlignment="1">
      <alignment horizontal="center"/>
    </xf>
    <xf numFmtId="0" fontId="0" fillId="15" borderId="115" xfId="0" applyFill="1" applyBorder="1" applyAlignment="1">
      <alignment horizontal="center"/>
    </xf>
    <xf numFmtId="0" fontId="0" fillId="15" borderId="115" xfId="0" applyFill="1" applyBorder="1"/>
    <xf numFmtId="0" fontId="29" fillId="0" borderId="29" xfId="0" applyFont="1" applyBorder="1" applyAlignment="1">
      <alignment horizontal="center" wrapText="1"/>
    </xf>
    <xf numFmtId="0" fontId="0" fillId="15" borderId="126" xfId="0" applyFill="1" applyBorder="1" applyAlignment="1">
      <alignment horizontal="center"/>
    </xf>
    <xf numFmtId="0" fontId="44" fillId="0" borderId="0" xfId="0" applyFont="1"/>
    <xf numFmtId="0" fontId="8" fillId="9" borderId="127" xfId="0" applyFont="1" applyFill="1" applyBorder="1"/>
    <xf numFmtId="0" fontId="8" fillId="9" borderId="123" xfId="0" applyFont="1" applyFill="1" applyBorder="1"/>
    <xf numFmtId="0" fontId="8" fillId="9" borderId="125" xfId="0" applyFont="1" applyFill="1" applyBorder="1"/>
    <xf numFmtId="0" fontId="0" fillId="23" borderId="104" xfId="0" applyFill="1" applyBorder="1"/>
    <xf numFmtId="0" fontId="0" fillId="23" borderId="22" xfId="0" applyFill="1" applyBorder="1"/>
    <xf numFmtId="0" fontId="29" fillId="15" borderId="22" xfId="0" applyFont="1" applyFill="1" applyBorder="1"/>
    <xf numFmtId="0" fontId="8" fillId="0" borderId="55"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3" fillId="5" borderId="40" xfId="3" applyNumberFormat="1" applyFont="1" applyBorder="1" applyAlignment="1" applyProtection="1">
      <alignment horizontal="right" vertical="top" wrapText="1"/>
      <protection locked="0"/>
    </xf>
    <xf numFmtId="4" fontId="13" fillId="5" borderId="17" xfId="3" applyNumberFormat="1" applyFont="1" applyAlignment="1" applyProtection="1">
      <alignment horizontal="right" vertical="top" wrapText="1"/>
      <protection locked="0"/>
    </xf>
    <xf numFmtId="4" fontId="13" fillId="5" borderId="94" xfId="3" applyNumberFormat="1" applyFont="1" applyBorder="1" applyAlignment="1" applyProtection="1">
      <alignment horizontal="right" vertical="top" wrapText="1"/>
      <protection locked="0"/>
    </xf>
    <xf numFmtId="4" fontId="13" fillId="5" borderId="91" xfId="3" applyNumberFormat="1" applyFont="1" applyBorder="1" applyAlignment="1" applyProtection="1">
      <alignment horizontal="right" vertical="top" wrapText="1"/>
      <protection locked="0"/>
    </xf>
    <xf numFmtId="0" fontId="0" fillId="16" borderId="0" xfId="0" applyFill="1" applyAlignment="1">
      <alignment horizontal="left" vertical="top" wrapText="1"/>
    </xf>
    <xf numFmtId="0" fontId="29" fillId="0" borderId="0" xfId="0" applyFont="1" applyAlignment="1">
      <alignment horizontal="left" vertical="top" wrapText="1"/>
    </xf>
    <xf numFmtId="0" fontId="9" fillId="16" borderId="0" xfId="0" applyFont="1" applyFill="1" applyAlignment="1">
      <alignment horizontal="left" vertical="top" wrapText="1"/>
    </xf>
    <xf numFmtId="0" fontId="9" fillId="16" borderId="15" xfId="0" applyFont="1" applyFill="1" applyBorder="1" applyAlignment="1">
      <alignment horizontal="left" vertical="top" wrapText="1"/>
    </xf>
    <xf numFmtId="0" fontId="9" fillId="16" borderId="26" xfId="0" applyFont="1" applyFill="1" applyBorder="1" applyAlignment="1">
      <alignment horizontal="left" vertical="top" wrapText="1"/>
    </xf>
    <xf numFmtId="0" fontId="9" fillId="16" borderId="5" xfId="0" applyFont="1" applyFill="1" applyBorder="1" applyAlignment="1">
      <alignment horizontal="left" vertical="top" wrapText="1"/>
    </xf>
    <xf numFmtId="0" fontId="9" fillId="16" borderId="0" xfId="0" applyFont="1" applyFill="1" applyAlignment="1">
      <alignment horizontal="center" vertical="top" wrapText="1"/>
    </xf>
    <xf numFmtId="0" fontId="9" fillId="16" borderId="27" xfId="0" applyFont="1" applyFill="1" applyBorder="1" applyAlignment="1">
      <alignment horizontal="center" vertical="top" wrapText="1"/>
    </xf>
    <xf numFmtId="0" fontId="12" fillId="0" borderId="0" xfId="0" applyFont="1" applyAlignment="1">
      <alignment horizontal="left" vertical="top" wrapText="1"/>
    </xf>
    <xf numFmtId="0" fontId="0" fillId="0" borderId="13" xfId="0" applyBorder="1" applyAlignment="1">
      <alignment horizontal="left" vertical="top" wrapText="1"/>
    </xf>
    <xf numFmtId="171" fontId="0" fillId="0" borderId="14" xfId="5" applyNumberFormat="1" applyFont="1" applyBorder="1" applyAlignment="1" applyProtection="1">
      <alignment horizontal="center" vertical="center" wrapText="1"/>
    </xf>
    <xf numFmtId="171" fontId="0" fillId="0" borderId="23" xfId="5" applyNumberFormat="1" applyFont="1" applyBorder="1" applyAlignment="1" applyProtection="1">
      <alignment horizontal="center" vertical="center" wrapText="1"/>
    </xf>
    <xf numFmtId="171" fontId="0" fillId="0" borderId="13" xfId="5" applyNumberFormat="1" applyFont="1" applyBorder="1" applyAlignment="1" applyProtection="1">
      <alignment horizontal="center" vertical="center" wrapText="1"/>
    </xf>
    <xf numFmtId="171" fontId="13" fillId="5" borderId="78" xfId="5" applyNumberFormat="1" applyFont="1" applyFill="1" applyBorder="1" applyAlignment="1" applyProtection="1">
      <alignment horizontal="center" vertical="center" wrapText="1"/>
    </xf>
    <xf numFmtId="171" fontId="13" fillId="5" borderId="51" xfId="5" applyNumberFormat="1" applyFont="1" applyFill="1" applyBorder="1" applyAlignment="1" applyProtection="1">
      <alignment horizontal="center" vertical="center" wrapText="1"/>
    </xf>
    <xf numFmtId="171" fontId="42" fillId="18" borderId="51" xfId="5" applyNumberFormat="1" applyFont="1" applyFill="1" applyBorder="1" applyAlignment="1" applyProtection="1">
      <alignment horizontal="center" vertical="center" wrapText="1"/>
    </xf>
    <xf numFmtId="9" fontId="29" fillId="0" borderId="0" xfId="4" applyFont="1" applyAlignment="1" applyProtection="1">
      <alignment horizontal="left" vertical="top" wrapText="1"/>
    </xf>
    <xf numFmtId="171" fontId="0" fillId="0" borderId="24" xfId="5" applyNumberFormat="1" applyFont="1" applyBorder="1" applyAlignment="1" applyProtection="1">
      <alignment horizontal="center" vertical="center" wrapText="1"/>
    </xf>
    <xf numFmtId="171" fontId="0" fillId="0" borderId="0" xfId="5" applyNumberFormat="1" applyFont="1" applyBorder="1" applyAlignment="1" applyProtection="1">
      <alignment horizontal="center" vertical="center" wrapText="1"/>
    </xf>
    <xf numFmtId="171" fontId="0" fillId="0" borderId="6" xfId="5" applyNumberFormat="1" applyFont="1" applyBorder="1" applyAlignment="1" applyProtection="1">
      <alignment horizontal="center" vertical="center" wrapText="1"/>
    </xf>
    <xf numFmtId="171" fontId="42" fillId="18" borderId="17" xfId="5" applyNumberFormat="1" applyFont="1" applyFill="1" applyBorder="1" applyAlignment="1" applyProtection="1">
      <alignment horizontal="center" vertical="center" wrapText="1"/>
    </xf>
    <xf numFmtId="0" fontId="0" fillId="0" borderId="5" xfId="0" applyBorder="1" applyAlignment="1">
      <alignment horizontal="left" vertical="top" wrapText="1"/>
    </xf>
    <xf numFmtId="171" fontId="0" fillId="0" borderId="15" xfId="5" applyNumberFormat="1" applyFont="1" applyBorder="1" applyAlignment="1" applyProtection="1">
      <alignment horizontal="center" vertical="center" wrapText="1"/>
    </xf>
    <xf numFmtId="171" fontId="0" fillId="0" borderId="26" xfId="5" applyNumberFormat="1" applyFont="1" applyBorder="1" applyAlignment="1" applyProtection="1">
      <alignment horizontal="center" vertical="center" wrapText="1"/>
    </xf>
    <xf numFmtId="171" fontId="0" fillId="0" borderId="5" xfId="5" applyNumberFormat="1" applyFont="1" applyBorder="1" applyAlignment="1" applyProtection="1">
      <alignment horizontal="center" vertical="center" wrapText="1"/>
    </xf>
    <xf numFmtId="171" fontId="42" fillId="18" borderId="52" xfId="5" applyNumberFormat="1" applyFont="1" applyFill="1" applyBorder="1" applyAlignment="1" applyProtection="1">
      <alignment horizontal="center" vertical="center" wrapText="1"/>
    </xf>
    <xf numFmtId="172" fontId="0" fillId="0" borderId="14" xfId="0" applyNumberFormat="1" applyBorder="1" applyAlignment="1">
      <alignment horizontal="center" vertical="center" wrapText="1"/>
    </xf>
    <xf numFmtId="172" fontId="0" fillId="0" borderId="23" xfId="0" applyNumberFormat="1" applyBorder="1" applyAlignment="1">
      <alignment horizontal="center" vertical="center" wrapText="1"/>
    </xf>
    <xf numFmtId="172" fontId="0" fillId="0" borderId="13" xfId="0" applyNumberFormat="1" applyBorder="1" applyAlignment="1">
      <alignment horizontal="center" vertical="center" wrapText="1"/>
    </xf>
    <xf numFmtId="172" fontId="42" fillId="18" borderId="51" xfId="3" applyNumberFormat="1" applyFont="1" applyFill="1" applyBorder="1" applyAlignment="1" applyProtection="1">
      <alignment horizontal="center" vertical="center" wrapText="1"/>
    </xf>
    <xf numFmtId="172" fontId="0" fillId="0" borderId="24" xfId="0" applyNumberFormat="1" applyBorder="1" applyAlignment="1">
      <alignment horizontal="center" vertical="center" wrapText="1"/>
    </xf>
    <xf numFmtId="172" fontId="0" fillId="0" borderId="0" xfId="0" applyNumberFormat="1" applyAlignment="1">
      <alignment horizontal="center" vertical="center" wrapText="1"/>
    </xf>
    <xf numFmtId="172" fontId="0" fillId="0" borderId="6" xfId="0" applyNumberFormat="1" applyBorder="1" applyAlignment="1">
      <alignment horizontal="center" vertical="center" wrapText="1"/>
    </xf>
    <xf numFmtId="172" fontId="42" fillId="18" borderId="17" xfId="3" applyNumberFormat="1" applyFont="1" applyFill="1" applyAlignment="1" applyProtection="1">
      <alignment horizontal="center" vertical="center" wrapText="1"/>
    </xf>
    <xf numFmtId="172" fontId="0" fillId="0" borderId="15" xfId="0" applyNumberFormat="1" applyBorder="1" applyAlignment="1">
      <alignment horizontal="center" vertical="center" wrapText="1"/>
    </xf>
    <xf numFmtId="172" fontId="0" fillId="0" borderId="26" xfId="0" applyNumberFormat="1" applyBorder="1" applyAlignment="1">
      <alignment horizontal="center" vertical="center" wrapText="1"/>
    </xf>
    <xf numFmtId="172" fontId="0" fillId="0" borderId="5" xfId="0" applyNumberFormat="1" applyBorder="1" applyAlignment="1">
      <alignment horizontal="center" vertical="center" wrapText="1"/>
    </xf>
    <xf numFmtId="172" fontId="42" fillId="18" borderId="52" xfId="3" applyNumberFormat="1" applyFont="1" applyFill="1" applyBorder="1" applyAlignment="1" applyProtection="1">
      <alignment horizontal="center" vertical="center" wrapText="1"/>
    </xf>
    <xf numFmtId="9" fontId="29" fillId="0" borderId="18" xfId="0" applyNumberFormat="1" applyFont="1" applyBorder="1" applyAlignment="1">
      <alignment horizontal="left" vertical="top" wrapText="1"/>
    </xf>
    <xf numFmtId="0" fontId="0" fillId="0" borderId="18" xfId="0" applyBorder="1" applyAlignment="1">
      <alignment horizontal="left" vertical="top" wrapText="1"/>
    </xf>
    <xf numFmtId="0" fontId="29" fillId="0" borderId="21" xfId="0" applyFont="1" applyBorder="1" applyAlignment="1">
      <alignment horizontal="left" vertical="top" wrapText="1"/>
    </xf>
    <xf numFmtId="0" fontId="0" fillId="0" borderId="21" xfId="0" applyBorder="1" applyAlignment="1">
      <alignment horizontal="left" vertical="top"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0" fillId="14" borderId="29" xfId="0" applyFont="1" applyFill="1" applyBorder="1" applyAlignment="1">
      <alignment horizontal="left" vertical="top" wrapText="1"/>
    </xf>
    <xf numFmtId="0" fontId="13" fillId="14" borderId="119" xfId="3" applyFont="1" applyFill="1" applyBorder="1" applyAlignment="1" applyProtection="1">
      <alignment horizontal="right" vertical="top" wrapText="1"/>
    </xf>
    <xf numFmtId="0" fontId="42" fillId="14" borderId="119" xfId="3" applyFont="1" applyFill="1" applyBorder="1" applyAlignment="1" applyProtection="1">
      <alignment horizontal="right" vertical="top" wrapText="1"/>
    </xf>
    <xf numFmtId="0" fontId="0" fillId="7" borderId="6" xfId="0" applyFill="1" applyBorder="1" applyAlignment="1">
      <alignment horizontal="left" vertical="top" wrapText="1"/>
    </xf>
    <xf numFmtId="171" fontId="43" fillId="18" borderId="24" xfId="5" applyNumberFormat="1" applyFont="1" applyFill="1" applyBorder="1" applyAlignment="1" applyProtection="1">
      <alignment horizontal="center" vertical="center" wrapText="1"/>
    </xf>
    <xf numFmtId="171" fontId="43" fillId="18" borderId="0" xfId="5" applyNumberFormat="1" applyFont="1" applyFill="1" applyBorder="1" applyAlignment="1" applyProtection="1">
      <alignment horizontal="center" vertical="center" wrapText="1"/>
    </xf>
    <xf numFmtId="171" fontId="43" fillId="18" borderId="6" xfId="5" applyNumberFormat="1" applyFont="1" applyFill="1" applyBorder="1" applyAlignment="1" applyProtection="1">
      <alignment horizontal="center" vertical="center" wrapText="1"/>
    </xf>
    <xf numFmtId="171" fontId="42" fillId="21" borderId="117" xfId="5" applyNumberFormat="1" applyFont="1" applyFill="1" applyBorder="1" applyAlignment="1" applyProtection="1">
      <alignment horizontal="center" vertical="center" wrapText="1"/>
    </xf>
    <xf numFmtId="171" fontId="42" fillId="21" borderId="118" xfId="5" applyNumberFormat="1" applyFont="1" applyFill="1" applyBorder="1" applyAlignment="1" applyProtection="1">
      <alignment horizontal="center" vertical="center" wrapText="1"/>
    </xf>
    <xf numFmtId="171" fontId="42" fillId="18" borderId="118" xfId="5" applyNumberFormat="1" applyFont="1" applyFill="1" applyBorder="1" applyAlignment="1" applyProtection="1">
      <alignment horizontal="center" vertical="center" wrapText="1"/>
    </xf>
    <xf numFmtId="9" fontId="29" fillId="0" borderId="24" xfId="0" applyNumberFormat="1" applyFont="1" applyBorder="1" applyAlignment="1">
      <alignment horizontal="left" vertical="top" wrapText="1"/>
    </xf>
    <xf numFmtId="171" fontId="42" fillId="21" borderId="40" xfId="5" applyNumberFormat="1" applyFont="1" applyFill="1" applyBorder="1" applyAlignment="1" applyProtection="1">
      <alignment horizontal="center" vertical="center" wrapText="1"/>
    </xf>
    <xf numFmtId="171" fontId="42" fillId="21" borderId="17" xfId="5" applyNumberFormat="1" applyFont="1" applyFill="1" applyBorder="1" applyAlignment="1" applyProtection="1">
      <alignment horizontal="center" vertical="center" wrapText="1"/>
    </xf>
    <xf numFmtId="0" fontId="0" fillId="7" borderId="5" xfId="0" applyFill="1" applyBorder="1" applyAlignment="1">
      <alignment horizontal="left" vertical="top" wrapText="1"/>
    </xf>
    <xf numFmtId="171" fontId="43" fillId="18" borderId="15" xfId="5" applyNumberFormat="1" applyFont="1" applyFill="1" applyBorder="1" applyAlignment="1" applyProtection="1">
      <alignment horizontal="center" vertical="center" wrapText="1"/>
    </xf>
    <xf numFmtId="171" fontId="43" fillId="18" borderId="26" xfId="5" applyNumberFormat="1" applyFont="1" applyFill="1" applyBorder="1" applyAlignment="1" applyProtection="1">
      <alignment horizontal="center" vertical="center" wrapText="1"/>
    </xf>
    <xf numFmtId="171" fontId="43" fillId="18" borderId="5" xfId="5" applyNumberFormat="1" applyFont="1" applyFill="1" applyBorder="1" applyAlignment="1" applyProtection="1">
      <alignment horizontal="center" vertical="center" wrapText="1"/>
    </xf>
    <xf numFmtId="171" fontId="42" fillId="21" borderId="79" xfId="5" applyNumberFormat="1" applyFont="1" applyFill="1" applyBorder="1" applyAlignment="1" applyProtection="1">
      <alignment horizontal="center" vertical="center" wrapText="1"/>
    </xf>
    <xf numFmtId="171" fontId="42" fillId="21" borderId="52" xfId="5" applyNumberFormat="1" applyFont="1" applyFill="1" applyBorder="1" applyAlignment="1" applyProtection="1">
      <alignment horizontal="center" vertical="center" wrapText="1"/>
    </xf>
    <xf numFmtId="171" fontId="42" fillId="21" borderId="78" xfId="5" applyNumberFormat="1" applyFont="1" applyFill="1" applyBorder="1" applyAlignment="1" applyProtection="1">
      <alignment horizontal="center" vertical="center" wrapText="1"/>
    </xf>
    <xf numFmtId="171" fontId="42" fillId="21" borderId="51" xfId="5" applyNumberFormat="1" applyFont="1" applyFill="1" applyBorder="1" applyAlignment="1" applyProtection="1">
      <alignment horizontal="center" vertical="center" wrapText="1"/>
    </xf>
    <xf numFmtId="172" fontId="42" fillId="21" borderId="78" xfId="5" applyNumberFormat="1" applyFont="1" applyFill="1" applyBorder="1" applyAlignment="1" applyProtection="1">
      <alignment horizontal="center" vertical="center" wrapText="1"/>
    </xf>
    <xf numFmtId="172" fontId="42" fillId="21" borderId="51" xfId="5" applyNumberFormat="1" applyFont="1" applyFill="1" applyBorder="1" applyAlignment="1" applyProtection="1">
      <alignment horizontal="center" vertical="center" wrapText="1"/>
    </xf>
    <xf numFmtId="172" fontId="42" fillId="18" borderId="51" xfId="5" applyNumberFormat="1" applyFont="1" applyFill="1" applyBorder="1" applyAlignment="1" applyProtection="1">
      <alignment horizontal="center" vertical="center" wrapText="1"/>
    </xf>
    <xf numFmtId="172" fontId="42" fillId="21" borderId="40" xfId="5" applyNumberFormat="1" applyFont="1" applyFill="1" applyBorder="1" applyAlignment="1" applyProtection="1">
      <alignment horizontal="center" vertical="center" wrapText="1"/>
    </xf>
    <xf numFmtId="172" fontId="42" fillId="21" borderId="17" xfId="5" applyNumberFormat="1" applyFont="1" applyFill="1" applyBorder="1" applyAlignment="1" applyProtection="1">
      <alignment horizontal="center" vertical="center" wrapText="1"/>
    </xf>
    <xf numFmtId="172" fontId="42" fillId="18" borderId="17" xfId="5" applyNumberFormat="1" applyFont="1" applyFill="1" applyBorder="1" applyAlignment="1" applyProtection="1">
      <alignment horizontal="center" vertical="center" wrapText="1"/>
    </xf>
    <xf numFmtId="172" fontId="42" fillId="21" borderId="79" xfId="5" applyNumberFormat="1" applyFont="1" applyFill="1" applyBorder="1" applyAlignment="1" applyProtection="1">
      <alignment horizontal="center" vertical="center" wrapText="1"/>
    </xf>
    <xf numFmtId="172" fontId="42" fillId="21" borderId="52" xfId="5" applyNumberFormat="1" applyFont="1" applyFill="1" applyBorder="1" applyAlignment="1" applyProtection="1">
      <alignment horizontal="center" vertical="center" wrapText="1"/>
    </xf>
    <xf numFmtId="172" fontId="42" fillId="18" borderId="52" xfId="5" applyNumberFormat="1" applyFont="1" applyFill="1" applyBorder="1" applyAlignment="1" applyProtection="1">
      <alignment horizontal="center"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xf>
    <xf numFmtId="3" fontId="7" fillId="4" borderId="74" xfId="2" applyNumberFormat="1" applyBorder="1" applyAlignment="1">
      <alignment horizontal="right"/>
    </xf>
    <xf numFmtId="3" fontId="7" fillId="4" borderId="35" xfId="2" applyNumberFormat="1" applyBorder="1" applyProtection="1">
      <protection locked="0"/>
    </xf>
    <xf numFmtId="3" fontId="7" fillId="4" borderId="72" xfId="2" applyNumberFormat="1" applyBorder="1" applyProtection="1">
      <protection locked="0"/>
    </xf>
    <xf numFmtId="0" fontId="5" fillId="24" borderId="4" xfId="0" applyFont="1" applyFill="1" applyBorder="1" applyAlignment="1">
      <alignment horizontal="left" vertical="top" wrapText="1"/>
    </xf>
    <xf numFmtId="0" fontId="5" fillId="24" borderId="5" xfId="0" applyFont="1" applyFill="1" applyBorder="1" applyAlignment="1">
      <alignment horizontal="justify" vertical="top" wrapText="1"/>
    </xf>
    <xf numFmtId="0" fontId="5" fillId="24" borderId="5" xfId="0" applyFont="1" applyFill="1" applyBorder="1" applyAlignment="1">
      <alignment horizontal="center" vertical="top" wrapText="1"/>
    </xf>
    <xf numFmtId="0" fontId="5" fillId="24" borderId="6" xfId="0" applyFont="1" applyFill="1" applyBorder="1" applyAlignment="1">
      <alignment horizontal="justify" vertical="top" wrapText="1"/>
    </xf>
    <xf numFmtId="0" fontId="5" fillId="24" borderId="24" xfId="0" applyFont="1" applyFill="1" applyBorder="1" applyAlignment="1">
      <alignment horizontal="left" vertical="top" wrapText="1"/>
    </xf>
    <xf numFmtId="0" fontId="5" fillId="24" borderId="64" xfId="0" applyFont="1" applyFill="1" applyBorder="1" applyAlignment="1">
      <alignment horizontal="justify" vertical="top" wrapText="1"/>
    </xf>
    <xf numFmtId="0" fontId="5" fillId="24" borderId="6" xfId="0" applyFont="1" applyFill="1" applyBorder="1" applyAlignment="1">
      <alignment horizontal="center" vertical="top" wrapText="1"/>
    </xf>
    <xf numFmtId="0" fontId="5" fillId="24" borderId="64" xfId="0" applyFont="1" applyFill="1" applyBorder="1" applyAlignment="1">
      <alignment horizontal="left" vertical="top" wrapText="1"/>
    </xf>
    <xf numFmtId="0" fontId="5" fillId="24" borderId="64" xfId="0" applyFont="1" applyFill="1" applyBorder="1" applyAlignment="1">
      <alignment horizontal="center" vertical="top" wrapText="1"/>
    </xf>
    <xf numFmtId="0" fontId="41" fillId="0" borderId="0" xfId="0" applyFont="1"/>
    <xf numFmtId="0" fontId="48" fillId="20" borderId="60" xfId="0" applyFont="1" applyFill="1" applyBorder="1" applyAlignment="1">
      <alignment horizontal="center" vertical="center"/>
    </xf>
    <xf numFmtId="0" fontId="48" fillId="20" borderId="59" xfId="0" applyFont="1" applyFill="1" applyBorder="1" applyAlignment="1">
      <alignment horizontal="center" vertical="center"/>
    </xf>
    <xf numFmtId="0" fontId="43" fillId="20" borderId="109" xfId="0" applyFont="1" applyFill="1" applyBorder="1"/>
    <xf numFmtId="0" fontId="43" fillId="20" borderId="55" xfId="0" applyFont="1" applyFill="1" applyBorder="1"/>
    <xf numFmtId="0" fontId="43" fillId="20" borderId="22" xfId="0" applyFont="1" applyFill="1" applyBorder="1"/>
    <xf numFmtId="0" fontId="43" fillId="20" borderId="103" xfId="0" applyFont="1" applyFill="1" applyBorder="1"/>
    <xf numFmtId="0" fontId="43" fillId="20" borderId="80" xfId="0" applyFont="1" applyFill="1" applyBorder="1"/>
    <xf numFmtId="0" fontId="43" fillId="20" borderId="106" xfId="0" applyFont="1" applyFill="1" applyBorder="1"/>
    <xf numFmtId="0" fontId="43" fillId="20" borderId="105" xfId="0" applyFont="1" applyFill="1" applyBorder="1"/>
    <xf numFmtId="4" fontId="50" fillId="22" borderId="49" xfId="2" applyNumberFormat="1" applyFont="1" applyFill="1" applyBorder="1" applyAlignment="1">
      <alignment horizontal="right" vertical="top" wrapText="1"/>
    </xf>
    <xf numFmtId="4" fontId="50" fillId="22" borderId="41" xfId="2" applyNumberFormat="1" applyFont="1" applyFill="1" applyBorder="1" applyAlignment="1">
      <alignment horizontal="right" vertical="top" wrapText="1"/>
    </xf>
    <xf numFmtId="4" fontId="50" fillId="22" borderId="50" xfId="2" applyNumberFormat="1" applyFont="1" applyFill="1" applyBorder="1" applyAlignment="1">
      <alignment horizontal="right" vertical="top" wrapText="1"/>
    </xf>
    <xf numFmtId="4" fontId="50" fillId="22" borderId="96" xfId="2" applyNumberFormat="1" applyFont="1" applyFill="1" applyBorder="1" applyAlignment="1">
      <alignment horizontal="right" vertical="top" wrapText="1"/>
    </xf>
    <xf numFmtId="4" fontId="50" fillId="22" borderId="89" xfId="2" applyNumberFormat="1" applyFont="1" applyFill="1" applyBorder="1" applyAlignment="1">
      <alignment horizontal="right" vertical="top" wrapText="1"/>
    </xf>
    <xf numFmtId="4" fontId="50" fillId="22" borderId="99" xfId="2" applyNumberFormat="1" applyFont="1" applyFill="1" applyBorder="1" applyAlignment="1">
      <alignment horizontal="right" vertical="top" wrapText="1"/>
    </xf>
    <xf numFmtId="4" fontId="50" fillId="22" borderId="97" xfId="2" applyNumberFormat="1" applyFont="1" applyFill="1" applyBorder="1" applyAlignment="1">
      <alignment horizontal="right" vertical="top" wrapText="1"/>
    </xf>
    <xf numFmtId="4" fontId="50" fillId="22" borderId="45" xfId="2" applyNumberFormat="1" applyFont="1" applyFill="1" applyBorder="1" applyAlignment="1">
      <alignment horizontal="right" vertical="top" wrapText="1"/>
    </xf>
    <xf numFmtId="4" fontId="50" fillId="22" borderId="44" xfId="2" applyNumberFormat="1" applyFont="1" applyFill="1" applyBorder="1" applyAlignment="1">
      <alignment horizontal="right" vertical="top" wrapText="1"/>
    </xf>
    <xf numFmtId="4" fontId="49" fillId="22" borderId="26" xfId="1" applyNumberFormat="1" applyFont="1" applyFill="1" applyBorder="1" applyAlignment="1">
      <alignment horizontal="right" vertical="top" wrapText="1"/>
    </xf>
    <xf numFmtId="4" fontId="50" fillId="22" borderId="43" xfId="2" applyNumberFormat="1" applyFont="1" applyFill="1" applyBorder="1" applyAlignment="1">
      <alignment horizontal="right" vertical="top" wrapText="1"/>
    </xf>
    <xf numFmtId="4" fontId="50" fillId="22" borderId="98" xfId="2" applyNumberFormat="1" applyFont="1" applyFill="1" applyBorder="1" applyAlignment="1">
      <alignment horizontal="right" vertical="top" wrapText="1"/>
    </xf>
    <xf numFmtId="4" fontId="50" fillId="22" borderId="42" xfId="2" applyNumberFormat="1" applyFont="1" applyFill="1" applyBorder="1" applyAlignment="1">
      <alignment horizontal="right" vertical="top" wrapText="1"/>
    </xf>
    <xf numFmtId="169" fontId="50" fillId="22" borderId="100" xfId="5" applyNumberFormat="1" applyFont="1" applyFill="1" applyBorder="1" applyAlignment="1">
      <alignment horizontal="right" vertical="top" wrapText="1"/>
    </xf>
    <xf numFmtId="169" fontId="50" fillId="22" borderId="101" xfId="5" applyNumberFormat="1" applyFont="1" applyFill="1" applyBorder="1" applyAlignment="1">
      <alignment horizontal="right" vertical="top" wrapText="1"/>
    </xf>
    <xf numFmtId="169" fontId="50" fillId="22" borderId="102" xfId="5" applyNumberFormat="1" applyFont="1" applyFill="1" applyBorder="1" applyAlignment="1">
      <alignment horizontal="right" vertical="top" wrapText="1"/>
    </xf>
    <xf numFmtId="169" fontId="50" fillId="22" borderId="46" xfId="5" applyNumberFormat="1" applyFont="1" applyFill="1" applyBorder="1" applyAlignment="1">
      <alignment horizontal="right" vertical="top" wrapText="1"/>
    </xf>
    <xf numFmtId="169" fontId="50" fillId="22" borderId="47" xfId="5" applyNumberFormat="1" applyFont="1" applyFill="1" applyBorder="1" applyAlignment="1">
      <alignment horizontal="right" vertical="top" wrapText="1"/>
    </xf>
    <xf numFmtId="0" fontId="0" fillId="16" borderId="0" xfId="0" applyFill="1" applyAlignment="1">
      <alignment horizontal="center" vertical="top" wrapText="1"/>
    </xf>
    <xf numFmtId="0" fontId="0" fillId="16" borderId="6" xfId="0" applyFill="1" applyBorder="1" applyAlignment="1">
      <alignment horizontal="center" vertical="top" wrapText="1"/>
    </xf>
    <xf numFmtId="0" fontId="0" fillId="16" borderId="24" xfId="0" applyFill="1" applyBorder="1" applyAlignment="1">
      <alignment horizontal="center" vertical="top" wrapText="1"/>
    </xf>
    <xf numFmtId="3" fontId="0" fillId="0" borderId="0" xfId="0" applyNumberFormat="1"/>
    <xf numFmtId="0" fontId="54" fillId="0" borderId="0" xfId="0" applyFont="1"/>
    <xf numFmtId="164" fontId="0" fillId="0" borderId="0" xfId="0" applyNumberFormat="1"/>
    <xf numFmtId="0" fontId="54" fillId="0" borderId="130" xfId="0" applyFont="1" applyBorder="1"/>
    <xf numFmtId="0" fontId="57" fillId="25" borderId="130" xfId="0" applyFont="1" applyFill="1" applyBorder="1" applyAlignment="1">
      <alignment horizontal="left" vertical="center"/>
    </xf>
    <xf numFmtId="0" fontId="59" fillId="0" borderId="0" xfId="0" applyFont="1"/>
    <xf numFmtId="0" fontId="54" fillId="22" borderId="130" xfId="0" applyFont="1" applyFill="1" applyBorder="1"/>
    <xf numFmtId="14" fontId="54" fillId="22" borderId="130" xfId="0" applyNumberFormat="1" applyFont="1" applyFill="1" applyBorder="1"/>
    <xf numFmtId="0" fontId="54" fillId="0" borderId="0" xfId="0" applyFont="1" applyAlignment="1">
      <alignment horizontal="right"/>
    </xf>
    <xf numFmtId="0" fontId="62" fillId="0" borderId="0" xfId="8" applyFont="1" applyAlignment="1">
      <alignment vertical="center"/>
    </xf>
    <xf numFmtId="2" fontId="62" fillId="0" borderId="0" xfId="8" applyNumberFormat="1" applyFont="1" applyAlignment="1">
      <alignment horizontal="right" vertical="center"/>
    </xf>
    <xf numFmtId="2" fontId="62" fillId="0" borderId="0" xfId="8" applyNumberFormat="1" applyFont="1" applyAlignment="1">
      <alignment horizontal="center" vertical="center"/>
    </xf>
    <xf numFmtId="0" fontId="62" fillId="0" borderId="0" xfId="8" applyFont="1" applyAlignment="1">
      <alignment horizontal="center" vertical="center"/>
    </xf>
    <xf numFmtId="0" fontId="62" fillId="0" borderId="0" xfId="8" applyFont="1" applyAlignment="1">
      <alignment horizontal="left" vertical="center"/>
    </xf>
    <xf numFmtId="0" fontId="63" fillId="0" borderId="131" xfId="8" applyFont="1" applyBorder="1" applyAlignment="1">
      <alignment horizontal="left" vertical="center"/>
    </xf>
    <xf numFmtId="0" fontId="63" fillId="0" borderId="131" xfId="8" applyFont="1" applyBorder="1" applyAlignment="1">
      <alignment horizontal="left" vertical="center" wrapText="1"/>
    </xf>
    <xf numFmtId="2" fontId="63" fillId="0" borderId="131" xfId="8" applyNumberFormat="1" applyFont="1" applyBorder="1" applyAlignment="1">
      <alignment horizontal="right" vertical="center" wrapText="1"/>
    </xf>
    <xf numFmtId="2" fontId="63" fillId="0" borderId="131" xfId="8" applyNumberFormat="1" applyFont="1" applyBorder="1" applyAlignment="1">
      <alignment horizontal="center" vertical="center" wrapText="1"/>
    </xf>
    <xf numFmtId="0" fontId="63" fillId="0" borderId="131" xfId="8" applyFont="1" applyBorder="1" applyAlignment="1">
      <alignment horizontal="center" vertical="center" wrapText="1"/>
    </xf>
    <xf numFmtId="0" fontId="64" fillId="27" borderId="131" xfId="8" applyFont="1" applyFill="1" applyBorder="1" applyAlignment="1">
      <alignment horizontal="center" vertical="center" wrapText="1"/>
    </xf>
    <xf numFmtId="0" fontId="63" fillId="0" borderId="131" xfId="8" applyFont="1" applyBorder="1" applyAlignment="1">
      <alignment vertical="center"/>
    </xf>
    <xf numFmtId="0" fontId="63" fillId="26" borderId="131" xfId="8" applyFont="1" applyFill="1" applyBorder="1" applyAlignment="1">
      <alignment vertical="center"/>
    </xf>
    <xf numFmtId="0" fontId="63" fillId="0" borderId="131" xfId="8" applyFont="1" applyBorder="1" applyAlignment="1">
      <alignment vertical="center" wrapText="1"/>
    </xf>
    <xf numFmtId="0" fontId="62" fillId="0" borderId="131" xfId="8" applyFont="1" applyBorder="1" applyAlignment="1">
      <alignment vertical="center"/>
    </xf>
    <xf numFmtId="0" fontId="62" fillId="26" borderId="131" xfId="8" applyFont="1" applyFill="1" applyBorder="1" applyAlignment="1">
      <alignment vertical="center"/>
    </xf>
    <xf numFmtId="0" fontId="62" fillId="0" borderId="131" xfId="8" applyFont="1" applyBorder="1" applyAlignment="1">
      <alignment horizontal="left" vertical="center" wrapText="1"/>
    </xf>
    <xf numFmtId="0" fontId="66" fillId="0" borderId="131" xfId="8" applyFont="1" applyBorder="1" applyAlignment="1">
      <alignment horizontal="left" vertical="center" wrapText="1"/>
    </xf>
    <xf numFmtId="0" fontId="67" fillId="0" borderId="131" xfId="8" applyFont="1" applyBorder="1" applyAlignment="1">
      <alignment horizontal="center" vertical="center" wrapText="1"/>
    </xf>
    <xf numFmtId="0" fontId="63" fillId="26" borderId="131" xfId="8" applyFont="1" applyFill="1" applyBorder="1" applyAlignment="1">
      <alignment horizontal="left" vertical="center" wrapText="1"/>
    </xf>
    <xf numFmtId="0" fontId="62" fillId="0" borderId="131" xfId="8" applyFont="1" applyBorder="1" applyAlignment="1">
      <alignment horizontal="left" vertical="center"/>
    </xf>
    <xf numFmtId="0" fontId="62" fillId="0" borderId="132" xfId="8" applyFont="1" applyBorder="1" applyAlignment="1">
      <alignment vertical="center"/>
    </xf>
    <xf numFmtId="0" fontId="63" fillId="0" borderId="132" xfId="8" applyFont="1" applyBorder="1" applyAlignment="1">
      <alignment vertical="center" wrapText="1"/>
    </xf>
    <xf numFmtId="0" fontId="63" fillId="0" borderId="0" xfId="8" applyFont="1" applyAlignment="1">
      <alignment vertical="center"/>
    </xf>
    <xf numFmtId="0" fontId="63" fillId="0" borderId="133" xfId="8" applyFont="1" applyBorder="1" applyAlignment="1">
      <alignment vertical="center" wrapText="1"/>
    </xf>
    <xf numFmtId="0" fontId="63" fillId="0" borderId="134" xfId="8" applyFont="1" applyBorder="1" applyAlignment="1">
      <alignment vertical="center" wrapText="1"/>
    </xf>
    <xf numFmtId="0" fontId="64" fillId="0" borderId="131" xfId="8" applyFont="1" applyBorder="1" applyAlignment="1">
      <alignment horizontal="center" vertical="center" wrapText="1"/>
    </xf>
    <xf numFmtId="0" fontId="63" fillId="0" borderId="135" xfId="8" applyFont="1" applyBorder="1" applyAlignment="1">
      <alignment vertical="center" wrapText="1"/>
    </xf>
    <xf numFmtId="0" fontId="63" fillId="0" borderId="136" xfId="8" applyFont="1" applyBorder="1" applyAlignment="1">
      <alignment vertical="center" wrapText="1"/>
    </xf>
    <xf numFmtId="0" fontId="69" fillId="0" borderId="0" xfId="8" applyFont="1" applyAlignment="1">
      <alignment horizontal="center" vertical="center"/>
    </xf>
    <xf numFmtId="0" fontId="64" fillId="26" borderId="131" xfId="8" applyFont="1" applyFill="1" applyBorder="1" applyAlignment="1">
      <alignment horizontal="center" vertical="center"/>
    </xf>
    <xf numFmtId="0" fontId="64" fillId="26" borderId="131" xfId="8" applyFont="1" applyFill="1" applyBorder="1" applyAlignment="1">
      <alignment horizontal="center" vertical="center" wrapText="1"/>
    </xf>
    <xf numFmtId="0" fontId="64" fillId="28" borderId="131" xfId="8" applyFont="1" applyFill="1" applyBorder="1" applyAlignment="1">
      <alignment horizontal="center" vertical="center" wrapText="1"/>
    </xf>
    <xf numFmtId="0" fontId="64" fillId="22" borderId="131" xfId="8" applyFont="1" applyFill="1" applyBorder="1" applyAlignment="1">
      <alignment horizontal="center" vertical="center" wrapText="1"/>
    </xf>
    <xf numFmtId="49" fontId="64" fillId="22" borderId="131" xfId="8" applyNumberFormat="1" applyFont="1" applyFill="1" applyBorder="1" applyAlignment="1">
      <alignment horizontal="center" vertical="center" wrapText="1"/>
    </xf>
    <xf numFmtId="0" fontId="64" fillId="29" borderId="131" xfId="8" applyFont="1" applyFill="1" applyBorder="1" applyAlignment="1">
      <alignment horizontal="center" vertical="center" wrapText="1"/>
    </xf>
    <xf numFmtId="0" fontId="62" fillId="0" borderId="0" xfId="8" applyFont="1" applyAlignment="1">
      <alignment vertical="center" wrapText="1"/>
    </xf>
    <xf numFmtId="0" fontId="61" fillId="0" borderId="0" xfId="8"/>
    <xf numFmtId="0" fontId="61" fillId="0" borderId="0" xfId="8" applyAlignment="1">
      <alignment wrapText="1"/>
    </xf>
    <xf numFmtId="0" fontId="62" fillId="0" borderId="0" xfId="8" applyFont="1"/>
    <xf numFmtId="1" fontId="62" fillId="22" borderId="130" xfId="8" applyNumberFormat="1" applyFont="1" applyFill="1" applyBorder="1"/>
    <xf numFmtId="0" fontId="62" fillId="22" borderId="130" xfId="8" applyFont="1" applyFill="1" applyBorder="1"/>
    <xf numFmtId="0" fontId="62" fillId="26" borderId="130" xfId="8" applyFont="1" applyFill="1" applyBorder="1"/>
    <xf numFmtId="174" fontId="62" fillId="26" borderId="130" xfId="8" applyNumberFormat="1" applyFont="1" applyFill="1" applyBorder="1"/>
    <xf numFmtId="174" fontId="62" fillId="22" borderId="130" xfId="8" applyNumberFormat="1" applyFont="1" applyFill="1" applyBorder="1"/>
    <xf numFmtId="0" fontId="61" fillId="0" borderId="130" xfId="8" applyBorder="1"/>
    <xf numFmtId="0" fontId="61" fillId="22" borderId="130" xfId="8" applyFill="1" applyBorder="1"/>
    <xf numFmtId="0" fontId="61" fillId="22" borderId="130" xfId="8" applyFill="1" applyBorder="1" applyAlignment="1">
      <alignment horizontal="center"/>
    </xf>
    <xf numFmtId="0" fontId="61" fillId="22" borderId="130" xfId="8" applyFill="1" applyBorder="1" applyAlignment="1">
      <alignment horizontal="left"/>
    </xf>
    <xf numFmtId="0" fontId="72" fillId="26" borderId="130" xfId="8" applyFont="1" applyFill="1" applyBorder="1" applyAlignment="1">
      <alignment vertical="top"/>
    </xf>
    <xf numFmtId="0" fontId="72" fillId="26" borderId="130" xfId="8" applyFont="1" applyFill="1" applyBorder="1" applyAlignment="1">
      <alignment horizontal="center" vertical="top"/>
    </xf>
    <xf numFmtId="0" fontId="72" fillId="26" borderId="130" xfId="8" applyFont="1" applyFill="1" applyBorder="1" applyAlignment="1">
      <alignment vertical="top" wrapText="1"/>
    </xf>
    <xf numFmtId="0" fontId="62" fillId="26" borderId="130" xfId="8" applyFont="1" applyFill="1" applyBorder="1" applyAlignment="1">
      <alignment wrapText="1"/>
    </xf>
    <xf numFmtId="1" fontId="61" fillId="22" borderId="130" xfId="8" applyNumberFormat="1" applyFill="1" applyBorder="1"/>
    <xf numFmtId="0" fontId="61" fillId="26" borderId="130" xfId="8" applyFill="1" applyBorder="1"/>
    <xf numFmtId="0" fontId="61" fillId="6" borderId="130" xfId="8" applyFill="1" applyBorder="1"/>
    <xf numFmtId="14" fontId="61" fillId="26" borderId="130" xfId="8" applyNumberFormat="1" applyFill="1" applyBorder="1"/>
    <xf numFmtId="1" fontId="61" fillId="0" borderId="0" xfId="8" applyNumberFormat="1"/>
    <xf numFmtId="0" fontId="71" fillId="30" borderId="130" xfId="8" applyFont="1" applyFill="1" applyBorder="1" applyAlignment="1">
      <alignment wrapText="1"/>
    </xf>
    <xf numFmtId="10" fontId="62" fillId="26" borderId="130" xfId="8" applyNumberFormat="1" applyFont="1" applyFill="1" applyBorder="1"/>
    <xf numFmtId="0" fontId="62" fillId="22" borderId="131" xfId="10" applyFont="1" applyFill="1" applyBorder="1" applyAlignment="1" applyProtection="1">
      <alignment vertical="center" wrapText="1"/>
      <protection locked="0"/>
    </xf>
    <xf numFmtId="10" fontId="54" fillId="22" borderId="131" xfId="0" applyNumberFormat="1" applyFont="1" applyFill="1" applyBorder="1"/>
    <xf numFmtId="0" fontId="54" fillId="15" borderId="131" xfId="0" applyFont="1" applyFill="1" applyBorder="1"/>
    <xf numFmtId="1" fontId="54" fillId="22" borderId="131" xfId="0" applyNumberFormat="1" applyFont="1" applyFill="1" applyBorder="1"/>
    <xf numFmtId="0" fontId="54" fillId="31" borderId="130" xfId="0" applyFont="1" applyFill="1" applyBorder="1" applyAlignment="1">
      <alignment vertical="center"/>
    </xf>
    <xf numFmtId="0" fontId="55" fillId="12" borderId="28" xfId="0" applyFont="1" applyFill="1" applyBorder="1" applyAlignment="1">
      <alignment horizontal="left" vertical="center"/>
    </xf>
    <xf numFmtId="0" fontId="55" fillId="12" borderId="130" xfId="0" applyFont="1" applyFill="1" applyBorder="1" applyAlignment="1">
      <alignment horizontal="left" vertical="center"/>
    </xf>
    <xf numFmtId="0" fontId="55" fillId="12" borderId="130" xfId="0" applyFont="1" applyFill="1" applyBorder="1" applyAlignment="1">
      <alignment horizontal="center" vertical="center"/>
    </xf>
    <xf numFmtId="167" fontId="56" fillId="18" borderId="130" xfId="7" applyFont="1" applyFill="1" applyBorder="1" applyAlignment="1" applyProtection="1">
      <alignment horizontal="center" vertical="center" wrapText="1"/>
    </xf>
    <xf numFmtId="1" fontId="59" fillId="31" borderId="0" xfId="0" applyNumberFormat="1" applyFont="1" applyFill="1"/>
    <xf numFmtId="1" fontId="59" fillId="6" borderId="0" xfId="0" applyNumberFormat="1" applyFont="1" applyFill="1"/>
    <xf numFmtId="166" fontId="59" fillId="31" borderId="0" xfId="0" applyNumberFormat="1" applyFont="1" applyFill="1"/>
    <xf numFmtId="167" fontId="59" fillId="0" borderId="0" xfId="0" applyNumberFormat="1" applyFont="1"/>
    <xf numFmtId="171" fontId="0" fillId="0" borderId="14" xfId="0" applyNumberFormat="1" applyBorder="1" applyAlignment="1">
      <alignment horizontal="center" vertical="center" wrapText="1"/>
    </xf>
    <xf numFmtId="171" fontId="0" fillId="0" borderId="23" xfId="0" applyNumberFormat="1" applyBorder="1" applyAlignment="1">
      <alignment horizontal="center" vertical="center" wrapText="1"/>
    </xf>
    <xf numFmtId="171" fontId="0" fillId="0" borderId="24" xfId="0" applyNumberFormat="1" applyBorder="1" applyAlignment="1">
      <alignment horizontal="center" vertical="center" wrapText="1"/>
    </xf>
    <xf numFmtId="171" fontId="0" fillId="0" borderId="0" xfId="0" applyNumberFormat="1" applyAlignment="1">
      <alignment horizontal="center" vertical="center" wrapText="1"/>
    </xf>
    <xf numFmtId="171" fontId="0" fillId="0" borderId="15" xfId="0" applyNumberFormat="1" applyBorder="1" applyAlignment="1">
      <alignment horizontal="center" vertical="center" wrapText="1"/>
    </xf>
    <xf numFmtId="171" fontId="0" fillId="0" borderId="26" xfId="0" applyNumberFormat="1" applyBorder="1" applyAlignment="1">
      <alignment horizontal="center" vertical="center" wrapText="1"/>
    </xf>
    <xf numFmtId="3" fontId="7" fillId="4" borderId="66" xfId="2" applyNumberFormat="1" applyBorder="1" applyAlignment="1">
      <alignment vertical="top" wrapText="1"/>
    </xf>
    <xf numFmtId="3" fontId="7" fillId="4" borderId="67" xfId="2" applyNumberFormat="1" applyBorder="1" applyAlignment="1">
      <alignment vertical="top" wrapText="1"/>
    </xf>
    <xf numFmtId="0" fontId="8" fillId="0" borderId="130" xfId="0" applyFont="1" applyBorder="1" applyAlignment="1">
      <alignment horizontal="center" vertical="center"/>
    </xf>
    <xf numFmtId="0" fontId="8" fillId="17" borderId="130" xfId="0" applyFont="1" applyFill="1" applyBorder="1"/>
    <xf numFmtId="166" fontId="8" fillId="17" borderId="130" xfId="5" applyNumberFormat="1" applyFont="1" applyFill="1" applyBorder="1" applyProtection="1"/>
    <xf numFmtId="0" fontId="8" fillId="0" borderId="130" xfId="0" applyFont="1" applyBorder="1"/>
    <xf numFmtId="0" fontId="8" fillId="20" borderId="130" xfId="0" applyFont="1" applyFill="1" applyBorder="1"/>
    <xf numFmtId="166" fontId="43" fillId="20" borderId="130" xfId="5" applyNumberFormat="1" applyFont="1" applyFill="1" applyBorder="1" applyProtection="1"/>
    <xf numFmtId="0" fontId="8" fillId="19" borderId="130" xfId="0" applyFont="1" applyFill="1" applyBorder="1"/>
    <xf numFmtId="0" fontId="0" fillId="19" borderId="130" xfId="0" applyFill="1" applyBorder="1"/>
    <xf numFmtId="166" fontId="47" fillId="20" borderId="130" xfId="5" applyNumberFormat="1" applyFont="1" applyFill="1" applyBorder="1" applyProtection="1"/>
    <xf numFmtId="166" fontId="46" fillId="17" borderId="130" xfId="5" applyNumberFormat="1" applyFont="1" applyFill="1" applyBorder="1" applyProtection="1"/>
    <xf numFmtId="166" fontId="29" fillId="0" borderId="130" xfId="5" applyNumberFormat="1" applyFont="1" applyFill="1" applyBorder="1" applyProtection="1"/>
    <xf numFmtId="166" fontId="47" fillId="0" borderId="130" xfId="5" applyNumberFormat="1" applyFont="1" applyFill="1" applyBorder="1" applyProtection="1"/>
    <xf numFmtId="0" fontId="0" fillId="0" borderId="130" xfId="0" applyBorder="1"/>
    <xf numFmtId="166" fontId="0" fillId="0" borderId="130" xfId="0" applyNumberFormat="1" applyBorder="1"/>
    <xf numFmtId="0" fontId="0" fillId="6" borderId="130" xfId="0" applyFill="1" applyBorder="1" applyAlignment="1">
      <alignment horizontal="center" vertical="top" wrapText="1"/>
    </xf>
    <xf numFmtId="0" fontId="30" fillId="17" borderId="130" xfId="0" applyFont="1" applyFill="1" applyBorder="1" applyAlignment="1">
      <alignment vertical="center"/>
    </xf>
    <xf numFmtId="169" fontId="29" fillId="0" borderId="130" xfId="5" applyNumberFormat="1" applyFont="1" applyFill="1" applyBorder="1" applyProtection="1"/>
    <xf numFmtId="169" fontId="47" fillId="0" borderId="130" xfId="5" applyNumberFormat="1" applyFont="1" applyFill="1" applyBorder="1" applyProtection="1"/>
    <xf numFmtId="166" fontId="47" fillId="18" borderId="130" xfId="5" applyNumberFormat="1" applyFont="1" applyFill="1" applyBorder="1" applyProtection="1"/>
    <xf numFmtId="166" fontId="47" fillId="18" borderId="130" xfId="5" applyNumberFormat="1" applyFont="1" applyFill="1" applyBorder="1" applyAlignment="1" applyProtection="1">
      <alignment horizontal="left"/>
    </xf>
    <xf numFmtId="166" fontId="47" fillId="26" borderId="130" xfId="5" applyNumberFormat="1" applyFont="1" applyFill="1" applyBorder="1" applyProtection="1"/>
    <xf numFmtId="166" fontId="47" fillId="26" borderId="130" xfId="5" applyNumberFormat="1" applyFont="1" applyFill="1" applyBorder="1" applyAlignment="1" applyProtection="1">
      <alignment horizontal="center"/>
    </xf>
    <xf numFmtId="166" fontId="47" fillId="24" borderId="130" xfId="5" applyNumberFormat="1" applyFont="1" applyFill="1" applyBorder="1" applyAlignment="1" applyProtection="1">
      <alignment horizontal="left"/>
    </xf>
    <xf numFmtId="166" fontId="47" fillId="24" borderId="130" xfId="5" applyNumberFormat="1" applyFont="1" applyFill="1" applyBorder="1" applyProtection="1"/>
    <xf numFmtId="0" fontId="57" fillId="25" borderId="139" xfId="0" applyFont="1" applyFill="1" applyBorder="1" applyAlignment="1">
      <alignment horizontal="center" wrapText="1"/>
    </xf>
    <xf numFmtId="0" fontId="57" fillId="25" borderId="130" xfId="0" applyFont="1" applyFill="1" applyBorder="1" applyAlignment="1">
      <alignment vertical="center" wrapText="1"/>
    </xf>
    <xf numFmtId="0" fontId="57" fillId="25" borderId="130" xfId="0" applyFont="1" applyFill="1" applyBorder="1" applyAlignment="1">
      <alignment horizontal="center" wrapText="1"/>
    </xf>
    <xf numFmtId="0" fontId="54" fillId="0" borderId="0" xfId="0" applyFont="1" applyAlignment="1">
      <alignment wrapText="1"/>
    </xf>
    <xf numFmtId="0" fontId="63" fillId="22" borderId="131" xfId="8" applyFont="1" applyFill="1" applyBorder="1" applyAlignment="1">
      <alignment horizontal="left" vertical="center" wrapText="1"/>
    </xf>
    <xf numFmtId="0" fontId="71" fillId="26" borderId="130" xfId="8" applyFont="1" applyFill="1" applyBorder="1" applyAlignment="1">
      <alignment horizontal="center" vertical="center"/>
    </xf>
    <xf numFmtId="1" fontId="54" fillId="22" borderId="130" xfId="0" applyNumberFormat="1" applyFont="1" applyFill="1" applyBorder="1"/>
    <xf numFmtId="166" fontId="54" fillId="22" borderId="130" xfId="0" applyNumberFormat="1" applyFont="1" applyFill="1" applyBorder="1" applyAlignment="1">
      <alignment horizontal="center"/>
    </xf>
    <xf numFmtId="166" fontId="54" fillId="22" borderId="130" xfId="0" applyNumberFormat="1" applyFont="1" applyFill="1" applyBorder="1"/>
    <xf numFmtId="1" fontId="55" fillId="32" borderId="130" xfId="0" applyNumberFormat="1" applyFont="1" applyFill="1" applyBorder="1" applyAlignment="1">
      <alignment horizontal="center" vertical="center"/>
    </xf>
    <xf numFmtId="173" fontId="55" fillId="32" borderId="130" xfId="0" applyNumberFormat="1" applyFont="1" applyFill="1" applyBorder="1" applyAlignment="1">
      <alignment horizontal="center" vertical="center"/>
    </xf>
    <xf numFmtId="2" fontId="55" fillId="32" borderId="130" xfId="0" applyNumberFormat="1" applyFont="1" applyFill="1" applyBorder="1" applyAlignment="1">
      <alignment horizontal="center" vertical="center"/>
    </xf>
    <xf numFmtId="0" fontId="55" fillId="32" borderId="130" xfId="0" applyFont="1" applyFill="1" applyBorder="1" applyAlignment="1">
      <alignment vertical="center" wrapText="1"/>
    </xf>
    <xf numFmtId="0" fontId="55" fillId="32" borderId="130" xfId="0" applyFont="1" applyFill="1" applyBorder="1" applyAlignment="1">
      <alignment horizontal="center" vertical="center" wrapText="1"/>
    </xf>
    <xf numFmtId="173" fontId="54" fillId="22" borderId="130" xfId="0" applyNumberFormat="1" applyFont="1" applyFill="1" applyBorder="1"/>
    <xf numFmtId="10" fontId="55" fillId="32" borderId="130" xfId="0" applyNumberFormat="1" applyFont="1" applyFill="1" applyBorder="1" applyAlignment="1">
      <alignment horizontal="center" vertical="center"/>
    </xf>
    <xf numFmtId="0" fontId="62" fillId="0" borderId="0" xfId="8" applyFont="1" applyAlignment="1">
      <alignment wrapText="1"/>
    </xf>
    <xf numFmtId="0" fontId="64" fillId="30" borderId="130" xfId="8" applyFont="1" applyFill="1" applyBorder="1" applyAlignment="1">
      <alignment vertical="center" wrapText="1"/>
    </xf>
    <xf numFmtId="0" fontId="64" fillId="30" borderId="130" xfId="8" applyFont="1" applyFill="1" applyBorder="1" applyAlignment="1">
      <alignment horizontal="center" vertical="center" wrapText="1"/>
    </xf>
    <xf numFmtId="0" fontId="0" fillId="0" borderId="8" xfId="0" applyBorder="1" applyAlignment="1">
      <alignment horizontal="center" vertical="top" wrapText="1"/>
    </xf>
    <xf numFmtId="0" fontId="0" fillId="0" borderId="74" xfId="0" applyBorder="1" applyAlignment="1">
      <alignment horizontal="center" vertical="top" wrapText="1"/>
    </xf>
    <xf numFmtId="0" fontId="0" fillId="0" borderId="9" xfId="0" applyBorder="1" applyAlignment="1">
      <alignment horizontal="center" vertical="top" wrapText="1"/>
    </xf>
    <xf numFmtId="1" fontId="60" fillId="22" borderId="130" xfId="0" applyNumberFormat="1" applyFont="1" applyFill="1" applyBorder="1" applyAlignment="1">
      <alignment horizontal="center" vertical="center"/>
    </xf>
    <xf numFmtId="173" fontId="60" fillId="22" borderId="130" xfId="0" applyNumberFormat="1" applyFont="1" applyFill="1" applyBorder="1" applyAlignment="1">
      <alignment horizontal="right" vertical="center"/>
    </xf>
    <xf numFmtId="0" fontId="57" fillId="25" borderId="139" xfId="0" applyFont="1" applyFill="1" applyBorder="1" applyAlignment="1">
      <alignment horizontal="center" vertical="center" wrapText="1"/>
    </xf>
    <xf numFmtId="0" fontId="57" fillId="25" borderId="139" xfId="0" applyFont="1" applyFill="1" applyBorder="1" applyAlignment="1">
      <alignment horizontal="left" vertical="center" wrapText="1"/>
    </xf>
    <xf numFmtId="173" fontId="62" fillId="22" borderId="131" xfId="10" applyNumberFormat="1" applyFont="1" applyFill="1" applyBorder="1" applyAlignment="1">
      <alignment vertical="center" wrapText="1"/>
    </xf>
    <xf numFmtId="1" fontId="59" fillId="0" borderId="0" xfId="0" applyNumberFormat="1" applyFont="1"/>
    <xf numFmtId="173" fontId="54" fillId="22" borderId="130" xfId="0" applyNumberFormat="1" applyFont="1" applyFill="1" applyBorder="1" applyAlignment="1">
      <alignment horizontal="center" vertical="center"/>
    </xf>
    <xf numFmtId="166" fontId="60" fillId="22" borderId="130" xfId="0" applyNumberFormat="1" applyFont="1" applyFill="1" applyBorder="1" applyAlignment="1">
      <alignment horizontal="center" vertical="center"/>
    </xf>
    <xf numFmtId="173" fontId="62" fillId="22" borderId="131" xfId="10" applyNumberFormat="1" applyFont="1" applyFill="1" applyBorder="1" applyAlignment="1" applyProtection="1">
      <alignment vertical="center" wrapText="1"/>
      <protection locked="0"/>
    </xf>
    <xf numFmtId="166" fontId="54" fillId="0" borderId="0" xfId="0" applyNumberFormat="1" applyFont="1"/>
    <xf numFmtId="1" fontId="62" fillId="26" borderId="130" xfId="8" applyNumberFormat="1" applyFont="1" applyFill="1" applyBorder="1"/>
    <xf numFmtId="1" fontId="69" fillId="22" borderId="0" xfId="8" applyNumberFormat="1" applyFont="1" applyFill="1"/>
    <xf numFmtId="0" fontId="77" fillId="0" borderId="0" xfId="0" applyFont="1" applyAlignment="1">
      <alignment wrapText="1"/>
    </xf>
    <xf numFmtId="0" fontId="76" fillId="33" borderId="135" xfId="0" applyFont="1" applyFill="1" applyBorder="1" applyAlignment="1">
      <alignment horizontal="center" vertical="center" wrapText="1"/>
    </xf>
    <xf numFmtId="0" fontId="76" fillId="33" borderId="135" xfId="0" applyFont="1" applyFill="1" applyBorder="1" applyAlignment="1">
      <alignment wrapText="1"/>
    </xf>
    <xf numFmtId="0" fontId="77" fillId="10" borderId="135" xfId="0" applyFont="1" applyFill="1" applyBorder="1"/>
    <xf numFmtId="166" fontId="77" fillId="22" borderId="135" xfId="0" applyNumberFormat="1" applyFont="1" applyFill="1" applyBorder="1"/>
    <xf numFmtId="9" fontId="77" fillId="22" borderId="135" xfId="0" applyNumberFormat="1" applyFont="1" applyFill="1" applyBorder="1"/>
    <xf numFmtId="173" fontId="77" fillId="22" borderId="135" xfId="0" applyNumberFormat="1" applyFont="1" applyFill="1" applyBorder="1"/>
    <xf numFmtId="0" fontId="77" fillId="0" borderId="0" xfId="0" applyFont="1"/>
    <xf numFmtId="173" fontId="77" fillId="10" borderId="135" xfId="0" applyNumberFormat="1" applyFont="1" applyFill="1" applyBorder="1" applyAlignment="1">
      <alignment vertical="center"/>
    </xf>
    <xf numFmtId="166" fontId="77" fillId="0" borderId="135" xfId="0" applyNumberFormat="1" applyFont="1" applyBorder="1"/>
    <xf numFmtId="0" fontId="77" fillId="0" borderId="135" xfId="0" applyFont="1" applyBorder="1"/>
    <xf numFmtId="0" fontId="78" fillId="15" borderId="22" xfId="0" applyFont="1" applyFill="1" applyBorder="1"/>
    <xf numFmtId="0" fontId="79" fillId="19" borderId="104" xfId="6" applyFont="1" applyFill="1" applyBorder="1" applyAlignment="1">
      <alignment vertical="center"/>
    </xf>
    <xf numFmtId="0" fontId="79" fillId="19" borderId="22" xfId="6" applyFont="1" applyFill="1" applyBorder="1" applyAlignment="1">
      <alignment vertical="center"/>
    </xf>
    <xf numFmtId="0" fontId="8" fillId="9" borderId="124" xfId="0" applyFont="1" applyFill="1" applyBorder="1"/>
    <xf numFmtId="0" fontId="0" fillId="34" borderId="104" xfId="0" applyFill="1" applyBorder="1"/>
    <xf numFmtId="0" fontId="0" fillId="6" borderId="104" xfId="0" applyFill="1" applyBorder="1"/>
    <xf numFmtId="0" fontId="0" fillId="6" borderId="22" xfId="0" applyFill="1" applyBorder="1"/>
    <xf numFmtId="0" fontId="0" fillId="35" borderId="22" xfId="0" applyFill="1" applyBorder="1"/>
    <xf numFmtId="0" fontId="0" fillId="30" borderId="22" xfId="0" applyFill="1" applyBorder="1"/>
    <xf numFmtId="0" fontId="0" fillId="36" borderId="22" xfId="0" applyFill="1" applyBorder="1"/>
    <xf numFmtId="0" fontId="0" fillId="34" borderId="22" xfId="0" applyFill="1" applyBorder="1"/>
    <xf numFmtId="0" fontId="57" fillId="25" borderId="130" xfId="0" applyFont="1" applyFill="1" applyBorder="1" applyAlignment="1">
      <alignment vertical="center"/>
    </xf>
    <xf numFmtId="0" fontId="63" fillId="26" borderId="131" xfId="8" applyFont="1" applyFill="1" applyBorder="1" applyAlignment="1">
      <alignment vertical="center" wrapText="1"/>
    </xf>
    <xf numFmtId="0" fontId="63" fillId="26" borderId="131" xfId="9" applyFont="1" applyFill="1" applyBorder="1" applyAlignment="1" applyProtection="1">
      <alignment horizontal="left" vertical="center" wrapText="1"/>
    </xf>
    <xf numFmtId="0" fontId="62" fillId="26" borderId="131" xfId="8" applyFont="1" applyFill="1" applyBorder="1" applyAlignment="1">
      <alignment horizontal="left" vertical="center" wrapText="1"/>
    </xf>
    <xf numFmtId="0" fontId="68" fillId="26" borderId="131" xfId="8" applyFont="1" applyFill="1" applyBorder="1" applyAlignment="1">
      <alignment vertical="center" wrapText="1"/>
    </xf>
    <xf numFmtId="0" fontId="60" fillId="26" borderId="131" xfId="8" applyFont="1" applyFill="1" applyBorder="1" applyAlignment="1">
      <alignment vertical="center"/>
    </xf>
    <xf numFmtId="0" fontId="62" fillId="26" borderId="131" xfId="8" applyFont="1" applyFill="1" applyBorder="1" applyAlignment="1">
      <alignment horizontal="left" vertical="center"/>
    </xf>
    <xf numFmtId="0" fontId="62" fillId="26" borderId="131" xfId="8" applyFont="1" applyFill="1" applyBorder="1" applyAlignment="1">
      <alignment vertical="center" wrapText="1"/>
    </xf>
    <xf numFmtId="0" fontId="0" fillId="26" borderId="130" xfId="0" applyFill="1" applyBorder="1"/>
    <xf numFmtId="171" fontId="13" fillId="26" borderId="78" xfId="5" applyNumberFormat="1" applyFont="1" applyFill="1" applyBorder="1" applyAlignment="1" applyProtection="1">
      <alignment horizontal="center" vertical="center" wrapText="1"/>
    </xf>
    <xf numFmtId="171" fontId="13" fillId="26" borderId="51" xfId="5" applyNumberFormat="1" applyFont="1" applyFill="1" applyBorder="1" applyAlignment="1" applyProtection="1">
      <alignment horizontal="center" vertical="center" wrapText="1"/>
    </xf>
    <xf numFmtId="171" fontId="13" fillId="26" borderId="40" xfId="5" applyNumberFormat="1" applyFont="1" applyFill="1" applyBorder="1" applyAlignment="1" applyProtection="1">
      <alignment horizontal="center" vertical="center" wrapText="1"/>
    </xf>
    <xf numFmtId="171" fontId="13" fillId="26" borderId="17" xfId="5" applyNumberFormat="1" applyFont="1" applyFill="1" applyBorder="1" applyAlignment="1" applyProtection="1">
      <alignment horizontal="center" vertical="center" wrapText="1"/>
    </xf>
    <xf numFmtId="171" fontId="13" fillId="26" borderId="79" xfId="5" applyNumberFormat="1" applyFont="1" applyFill="1" applyBorder="1" applyAlignment="1" applyProtection="1">
      <alignment horizontal="center" vertical="center" wrapText="1"/>
    </xf>
    <xf numFmtId="171" fontId="13" fillId="26" borderId="52" xfId="5" applyNumberFormat="1" applyFont="1" applyFill="1" applyBorder="1" applyAlignment="1" applyProtection="1">
      <alignment horizontal="center" vertical="center" wrapText="1"/>
    </xf>
    <xf numFmtId="172" fontId="13" fillId="26" borderId="78" xfId="3" applyNumberFormat="1" applyFont="1" applyFill="1" applyBorder="1" applyAlignment="1" applyProtection="1">
      <alignment horizontal="center" vertical="center" wrapText="1"/>
    </xf>
    <xf numFmtId="172" fontId="13" fillId="26" borderId="51" xfId="3" applyNumberFormat="1" applyFont="1" applyFill="1" applyBorder="1" applyAlignment="1" applyProtection="1">
      <alignment horizontal="center" vertical="center" wrapText="1"/>
    </xf>
    <xf numFmtId="172" fontId="13" fillId="26" borderId="40" xfId="3" applyNumberFormat="1" applyFont="1" applyFill="1" applyBorder="1" applyAlignment="1" applyProtection="1">
      <alignment horizontal="center" vertical="center" wrapText="1"/>
    </xf>
    <xf numFmtId="172" fontId="13" fillId="26" borderId="17" xfId="3" applyNumberFormat="1" applyFont="1" applyFill="1" applyAlignment="1" applyProtection="1">
      <alignment horizontal="center" vertical="center" wrapText="1"/>
    </xf>
    <xf numFmtId="172" fontId="13" fillId="26" borderId="79" xfId="3" applyNumberFormat="1" applyFont="1" applyFill="1" applyBorder="1" applyAlignment="1" applyProtection="1">
      <alignment horizontal="center" vertical="center" wrapText="1"/>
    </xf>
    <xf numFmtId="172" fontId="13" fillId="26" borderId="52" xfId="3" applyNumberFormat="1" applyFont="1" applyFill="1" applyBorder="1" applyAlignment="1" applyProtection="1">
      <alignment horizontal="center" vertical="center" wrapText="1"/>
    </xf>
    <xf numFmtId="0" fontId="54" fillId="26" borderId="130" xfId="0" applyFont="1" applyFill="1" applyBorder="1"/>
    <xf numFmtId="10" fontId="54" fillId="26" borderId="130" xfId="0" applyNumberFormat="1" applyFont="1" applyFill="1" applyBorder="1"/>
    <xf numFmtId="9" fontId="54" fillId="26" borderId="130" xfId="0" applyNumberFormat="1" applyFont="1" applyFill="1" applyBorder="1"/>
    <xf numFmtId="173" fontId="62" fillId="26" borderId="131" xfId="10" applyNumberFormat="1" applyFont="1" applyFill="1" applyBorder="1" applyAlignment="1" applyProtection="1">
      <alignment horizontal="center" vertical="center"/>
      <protection locked="0"/>
    </xf>
    <xf numFmtId="1" fontId="54" fillId="26" borderId="130" xfId="0" applyNumberFormat="1" applyFont="1" applyFill="1" applyBorder="1"/>
    <xf numFmtId="1" fontId="62" fillId="26" borderId="131" xfId="10" applyNumberFormat="1" applyFont="1" applyFill="1" applyBorder="1" applyAlignment="1" applyProtection="1">
      <alignment horizontal="center" vertical="center" wrapText="1"/>
      <protection locked="0"/>
    </xf>
    <xf numFmtId="0" fontId="62" fillId="26" borderId="131" xfId="10" applyFont="1" applyFill="1" applyBorder="1" applyAlignment="1" applyProtection="1">
      <alignment vertical="center" wrapText="1"/>
      <protection locked="0"/>
    </xf>
    <xf numFmtId="0" fontId="54" fillId="26" borderId="130" xfId="0" applyFont="1" applyFill="1" applyBorder="1" applyAlignment="1">
      <alignment vertical="center"/>
    </xf>
    <xf numFmtId="0" fontId="54" fillId="26" borderId="130" xfId="3" applyFont="1" applyFill="1" applyBorder="1" applyAlignment="1">
      <alignment horizontal="center"/>
    </xf>
    <xf numFmtId="0" fontId="54" fillId="26" borderId="140" xfId="0" applyFont="1" applyFill="1" applyBorder="1" applyAlignment="1">
      <alignment horizontal="left" vertical="center"/>
    </xf>
    <xf numFmtId="0" fontId="54" fillId="26" borderId="130" xfId="0" applyFont="1" applyFill="1" applyBorder="1" applyAlignment="1">
      <alignment horizontal="left" vertical="center"/>
    </xf>
    <xf numFmtId="0" fontId="54" fillId="26" borderId="130" xfId="0" applyFont="1" applyFill="1" applyBorder="1" applyAlignment="1">
      <alignment horizontal="center" vertical="center"/>
    </xf>
    <xf numFmtId="165" fontId="54" fillId="26" borderId="130" xfId="7" applyNumberFormat="1" applyFont="1" applyFill="1" applyBorder="1" applyAlignment="1">
      <alignment horizontal="center" vertical="center"/>
    </xf>
    <xf numFmtId="0" fontId="54" fillId="26" borderId="141" xfId="0" applyFont="1" applyFill="1" applyBorder="1" applyAlignment="1">
      <alignment horizontal="left" vertical="center"/>
    </xf>
    <xf numFmtId="167" fontId="54" fillId="26" borderId="130" xfId="7" applyFont="1" applyFill="1" applyBorder="1" applyAlignment="1">
      <alignment horizontal="center" vertical="center"/>
    </xf>
    <xf numFmtId="167" fontId="54" fillId="26" borderId="130" xfId="7" applyFont="1" applyFill="1" applyBorder="1" applyAlignment="1">
      <alignment horizontal="left" vertical="center"/>
    </xf>
    <xf numFmtId="3" fontId="7" fillId="26" borderId="24" xfId="2" applyNumberFormat="1" applyFill="1" applyBorder="1" applyAlignment="1">
      <alignment horizontal="right" vertical="top" wrapText="1"/>
    </xf>
    <xf numFmtId="3" fontId="7" fillId="26" borderId="15" xfId="2" applyNumberFormat="1" applyFill="1" applyBorder="1" applyAlignment="1">
      <alignment horizontal="right" vertical="top" wrapText="1"/>
    </xf>
    <xf numFmtId="3" fontId="7" fillId="26" borderId="14" xfId="2" applyNumberFormat="1" applyFill="1" applyBorder="1" applyAlignment="1">
      <alignment vertical="top" wrapText="1"/>
    </xf>
    <xf numFmtId="3" fontId="7" fillId="26" borderId="24" xfId="2" applyNumberFormat="1" applyFill="1" applyBorder="1" applyAlignment="1">
      <alignment vertical="top" wrapText="1"/>
    </xf>
    <xf numFmtId="3" fontId="7" fillId="26" borderId="15" xfId="2" applyNumberFormat="1" applyFill="1" applyBorder="1" applyAlignment="1">
      <alignment vertical="top" wrapText="1"/>
    </xf>
    <xf numFmtId="0" fontId="0" fillId="22" borderId="22" xfId="0" applyFill="1" applyBorder="1" applyAlignment="1">
      <alignment horizontal="center" vertical="top" wrapText="1"/>
    </xf>
    <xf numFmtId="0" fontId="19" fillId="0" borderId="23" xfId="0" applyFont="1" applyBorder="1" applyAlignment="1">
      <alignment vertical="center" wrapText="1"/>
    </xf>
    <xf numFmtId="0" fontId="19" fillId="0" borderId="0" xfId="0" applyFont="1" applyAlignment="1">
      <alignment vertical="center" wrapText="1"/>
    </xf>
    <xf numFmtId="3" fontId="13" fillId="9" borderId="78" xfId="3" applyNumberFormat="1" applyFont="1" applyFill="1" applyBorder="1" applyAlignment="1">
      <alignment vertical="top" wrapText="1"/>
    </xf>
    <xf numFmtId="3" fontId="13" fillId="9" borderId="40" xfId="3" applyNumberFormat="1" applyFont="1" applyFill="1" applyBorder="1" applyAlignment="1">
      <alignment vertical="top" wrapText="1"/>
    </xf>
    <xf numFmtId="3" fontId="13" fillId="9" borderId="79" xfId="3" applyNumberFormat="1" applyFont="1" applyFill="1" applyBorder="1" applyAlignment="1">
      <alignment vertical="top" wrapText="1"/>
    </xf>
    <xf numFmtId="3" fontId="13" fillId="26" borderId="78" xfId="3" applyNumberFormat="1" applyFont="1" applyFill="1" applyBorder="1" applyAlignment="1">
      <alignment vertical="top" wrapText="1"/>
    </xf>
    <xf numFmtId="3" fontId="13" fillId="26" borderId="40" xfId="3" applyNumberFormat="1" applyFont="1" applyFill="1" applyBorder="1" applyAlignment="1">
      <alignment vertical="top" wrapText="1"/>
    </xf>
    <xf numFmtId="3" fontId="13" fillId="26" borderId="78" xfId="3" applyNumberFormat="1" applyFont="1" applyFill="1" applyBorder="1" applyAlignment="1">
      <alignment horizontal="right" vertical="top" wrapText="1"/>
    </xf>
    <xf numFmtId="3" fontId="13" fillId="26" borderId="40" xfId="3" applyNumberFormat="1" applyFont="1" applyFill="1" applyBorder="1" applyAlignment="1">
      <alignment horizontal="right" vertical="top" wrapText="1"/>
    </xf>
    <xf numFmtId="3" fontId="13" fillId="26" borderId="79" xfId="3" applyNumberFormat="1" applyFont="1" applyFill="1" applyBorder="1" applyAlignment="1">
      <alignment horizontal="right" vertical="top" wrapText="1"/>
    </xf>
    <xf numFmtId="3" fontId="13" fillId="26" borderId="79" xfId="3" applyNumberFormat="1" applyFont="1" applyFill="1" applyBorder="1" applyAlignment="1">
      <alignment vertical="top" wrapText="1"/>
    </xf>
    <xf numFmtId="3" fontId="13" fillId="9" borderId="142" xfId="3" applyNumberFormat="1" applyFont="1" applyFill="1" applyBorder="1" applyAlignment="1">
      <alignment horizontal="right" vertical="top" wrapText="1"/>
    </xf>
    <xf numFmtId="3" fontId="13" fillId="9" borderId="117" xfId="3" applyNumberFormat="1" applyFont="1" applyFill="1" applyBorder="1" applyAlignment="1">
      <alignment horizontal="right" vertical="top" wrapText="1"/>
    </xf>
    <xf numFmtId="3" fontId="13" fillId="9" borderId="40" xfId="3" applyNumberFormat="1" applyFont="1" applyFill="1" applyBorder="1" applyAlignment="1">
      <alignment horizontal="right" vertical="top" wrapText="1"/>
    </xf>
    <xf numFmtId="3" fontId="13" fillId="9" borderId="78" xfId="3" applyNumberFormat="1" applyFont="1" applyFill="1" applyBorder="1" applyAlignment="1">
      <alignment horizontal="right" vertical="top" wrapText="1"/>
    </xf>
    <xf numFmtId="3" fontId="13" fillId="9" borderId="94" xfId="3" applyNumberFormat="1" applyFont="1" applyFill="1" applyBorder="1" applyAlignment="1">
      <alignment horizontal="right" vertical="top" wrapText="1"/>
    </xf>
    <xf numFmtId="0" fontId="9" fillId="17" borderId="6" xfId="0" applyFont="1" applyFill="1" applyBorder="1" applyAlignment="1">
      <alignment horizontal="center" vertical="top" wrapText="1"/>
    </xf>
    <xf numFmtId="0" fontId="9" fillId="37" borderId="6" xfId="0" applyFont="1" applyFill="1" applyBorder="1" applyAlignment="1">
      <alignment horizontal="center" vertical="top" wrapText="1"/>
    </xf>
    <xf numFmtId="2" fontId="3" fillId="26" borderId="74" xfId="1" applyNumberFormat="1" applyFont="1" applyFill="1" applyBorder="1" applyAlignment="1">
      <alignment vertical="top" wrapText="1"/>
    </xf>
    <xf numFmtId="2" fontId="3" fillId="26" borderId="64" xfId="1" applyNumberFormat="1" applyFont="1" applyFill="1" applyBorder="1" applyAlignment="1">
      <alignment vertical="top" wrapText="1"/>
    </xf>
    <xf numFmtId="2" fontId="3" fillId="26" borderId="6" xfId="1" applyNumberFormat="1" applyFont="1" applyFill="1" applyBorder="1" applyAlignment="1">
      <alignment vertical="top" wrapText="1"/>
    </xf>
    <xf numFmtId="0" fontId="3" fillId="26" borderId="30" xfId="3" applyFont="1" applyFill="1" applyBorder="1" applyAlignment="1">
      <alignment vertical="top"/>
    </xf>
    <xf numFmtId="0" fontId="0" fillId="0" borderId="22" xfId="0" applyBorder="1"/>
    <xf numFmtId="0" fontId="82" fillId="19" borderId="22" xfId="6" applyFont="1" applyFill="1" applyBorder="1" applyAlignment="1">
      <alignment vertical="center"/>
    </xf>
    <xf numFmtId="175" fontId="62" fillId="26" borderId="131" xfId="10" applyNumberFormat="1" applyFont="1" applyFill="1" applyBorder="1" applyAlignment="1" applyProtection="1">
      <alignment horizontal="center" vertical="center"/>
      <protection locked="0"/>
    </xf>
    <xf numFmtId="175" fontId="62" fillId="26" borderId="131" xfId="10" applyNumberFormat="1" applyFont="1" applyFill="1" applyBorder="1" applyAlignment="1" applyProtection="1">
      <alignment horizontal="center" vertical="center" wrapText="1"/>
      <protection locked="0"/>
    </xf>
    <xf numFmtId="0" fontId="59" fillId="0" borderId="0" xfId="0" applyFont="1" applyAlignment="1">
      <alignment horizontal="center" vertical="center"/>
    </xf>
    <xf numFmtId="175" fontId="62" fillId="22" borderId="131" xfId="10" applyNumberFormat="1" applyFont="1" applyFill="1" applyBorder="1" applyAlignment="1" applyProtection="1">
      <alignment horizontal="center" vertical="center"/>
      <protection locked="0"/>
    </xf>
    <xf numFmtId="9" fontId="54" fillId="0" borderId="130" xfId="0" applyNumberFormat="1" applyFont="1" applyBorder="1"/>
    <xf numFmtId="1" fontId="54" fillId="0" borderId="130" xfId="0" applyNumberFormat="1" applyFont="1" applyBorder="1"/>
    <xf numFmtId="166" fontId="54" fillId="0" borderId="130" xfId="0" applyNumberFormat="1" applyFont="1" applyBorder="1" applyAlignment="1">
      <alignment horizontal="center"/>
    </xf>
    <xf numFmtId="0" fontId="61" fillId="30" borderId="130" xfId="8" applyFill="1" applyBorder="1" applyAlignment="1">
      <alignment horizontal="center" vertical="center"/>
    </xf>
    <xf numFmtId="0" fontId="72" fillId="30" borderId="130" xfId="8" applyFont="1" applyFill="1" applyBorder="1" applyAlignment="1">
      <alignment horizontal="left" vertical="center" wrapText="1"/>
    </xf>
    <xf numFmtId="0" fontId="72" fillId="13" borderId="130" xfId="8" applyFont="1" applyFill="1" applyBorder="1" applyAlignment="1">
      <alignment horizontal="center" vertical="center"/>
    </xf>
    <xf numFmtId="0" fontId="73" fillId="26" borderId="130" xfId="8" applyFont="1" applyFill="1" applyBorder="1" applyAlignment="1">
      <alignment horizontal="center" vertical="center"/>
    </xf>
    <xf numFmtId="0" fontId="73" fillId="22" borderId="130" xfId="8" applyFont="1" applyFill="1" applyBorder="1" applyAlignment="1">
      <alignment horizontal="center" vertical="center"/>
    </xf>
    <xf numFmtId="0" fontId="61" fillId="22" borderId="0" xfId="8" applyFill="1"/>
    <xf numFmtId="0" fontId="61" fillId="30" borderId="0" xfId="8" applyFill="1"/>
    <xf numFmtId="0" fontId="61" fillId="30" borderId="130" xfId="8" applyFill="1" applyBorder="1" applyAlignment="1">
      <alignment horizontal="center" vertical="top"/>
    </xf>
    <xf numFmtId="0" fontId="72" fillId="30" borderId="130" xfId="8" applyFont="1" applyFill="1" applyBorder="1" applyAlignment="1">
      <alignment vertical="top" wrapText="1"/>
    </xf>
    <xf numFmtId="0" fontId="71" fillId="22" borderId="64" xfId="8" applyFont="1" applyFill="1" applyBorder="1"/>
    <xf numFmtId="0" fontId="71" fillId="22" borderId="0" xfId="8" applyFont="1" applyFill="1"/>
    <xf numFmtId="0" fontId="61" fillId="30" borderId="147" xfId="8" applyFill="1" applyBorder="1" applyAlignment="1">
      <alignment horizontal="center" vertical="center"/>
    </xf>
    <xf numFmtId="0" fontId="72" fillId="13" borderId="130" xfId="8" applyFont="1" applyFill="1" applyBorder="1" applyAlignment="1">
      <alignment horizontal="left" vertical="top" wrapText="1"/>
    </xf>
    <xf numFmtId="0" fontId="62" fillId="0" borderId="0" xfId="0" applyFont="1" applyAlignment="1">
      <alignment horizontal="left" vertical="top" wrapText="1"/>
    </xf>
    <xf numFmtId="0" fontId="71" fillId="30" borderId="143" xfId="8" applyFont="1" applyFill="1" applyBorder="1" applyAlignment="1">
      <alignment horizontal="left" vertical="top" wrapText="1"/>
    </xf>
    <xf numFmtId="0" fontId="71" fillId="30" borderId="139" xfId="8" applyFont="1" applyFill="1" applyBorder="1" applyAlignment="1">
      <alignment horizontal="left" vertical="top" wrapText="1"/>
    </xf>
    <xf numFmtId="0" fontId="71" fillId="30" borderId="143" xfId="8" applyFont="1" applyFill="1" applyBorder="1" applyAlignment="1">
      <alignment vertical="top" wrapText="1"/>
    </xf>
    <xf numFmtId="0" fontId="71" fillId="30" borderId="144" xfId="8" applyFont="1" applyFill="1" applyBorder="1" applyAlignment="1">
      <alignment vertical="top" wrapText="1"/>
    </xf>
    <xf numFmtId="0" fontId="71" fillId="0" borderId="0" xfId="8" applyFont="1"/>
    <xf numFmtId="9" fontId="77" fillId="15" borderId="135" xfId="0" applyNumberFormat="1" applyFont="1" applyFill="1" applyBorder="1"/>
    <xf numFmtId="2" fontId="54" fillId="26" borderId="130" xfId="0" applyNumberFormat="1" applyFont="1" applyFill="1" applyBorder="1"/>
    <xf numFmtId="173" fontId="62" fillId="26" borderId="131" xfId="10" applyNumberFormat="1" applyFont="1" applyFill="1" applyBorder="1" applyAlignment="1" applyProtection="1">
      <alignment horizontal="left" vertical="center"/>
      <protection locked="0"/>
    </xf>
    <xf numFmtId="10" fontId="59" fillId="31" borderId="0" xfId="0" applyNumberFormat="1" applyFont="1" applyFill="1"/>
    <xf numFmtId="166" fontId="77" fillId="15" borderId="135" xfId="0" applyNumberFormat="1" applyFont="1" applyFill="1" applyBorder="1"/>
    <xf numFmtId="173" fontId="85" fillId="0" borderId="135" xfId="0" applyNumberFormat="1" applyFont="1" applyBorder="1"/>
    <xf numFmtId="0" fontId="62" fillId="0" borderId="0" xfId="10" applyFont="1" applyAlignment="1" applyProtection="1">
      <alignment vertical="center" wrapText="1"/>
      <protection locked="0"/>
    </xf>
    <xf numFmtId="0" fontId="86" fillId="0" borderId="0" xfId="0" applyFont="1"/>
    <xf numFmtId="0" fontId="86" fillId="0" borderId="0" xfId="0" applyFont="1" applyAlignment="1">
      <alignment vertical="center"/>
    </xf>
    <xf numFmtId="0" fontId="86" fillId="0" borderId="0" xfId="0" applyFont="1" applyAlignment="1">
      <alignment horizontal="left" vertical="center"/>
    </xf>
    <xf numFmtId="0" fontId="86" fillId="0" borderId="0" xfId="0" applyFont="1" applyAlignment="1">
      <alignment horizontal="right" vertical="center" wrapText="1"/>
    </xf>
    <xf numFmtId="0" fontId="86" fillId="0" borderId="0" xfId="0" applyFont="1" applyAlignment="1">
      <alignment horizontal="right" wrapText="1"/>
    </xf>
    <xf numFmtId="0" fontId="59" fillId="31" borderId="0" xfId="0" applyFont="1" applyFill="1" applyAlignment="1">
      <alignment wrapText="1"/>
    </xf>
    <xf numFmtId="0" fontId="59" fillId="31" borderId="148" xfId="0" applyFont="1" applyFill="1" applyBorder="1" applyAlignment="1">
      <alignment wrapText="1"/>
    </xf>
    <xf numFmtId="0" fontId="59" fillId="26" borderId="0" xfId="0" applyFont="1" applyFill="1" applyAlignment="1">
      <alignment vertical="center"/>
    </xf>
    <xf numFmtId="10" fontId="59" fillId="26" borderId="148" xfId="0" applyNumberFormat="1" applyFont="1" applyFill="1" applyBorder="1" applyAlignment="1">
      <alignment vertical="center"/>
    </xf>
    <xf numFmtId="2" fontId="60" fillId="22" borderId="130" xfId="0" applyNumberFormat="1" applyFont="1" applyFill="1" applyBorder="1" applyAlignment="1">
      <alignment horizontal="center" vertical="center"/>
    </xf>
    <xf numFmtId="2" fontId="62" fillId="22" borderId="130" xfId="8" applyNumberFormat="1" applyFont="1" applyFill="1" applyBorder="1"/>
    <xf numFmtId="173" fontId="62" fillId="22" borderId="131" xfId="10" applyNumberFormat="1" applyFont="1" applyFill="1" applyBorder="1" applyAlignment="1" applyProtection="1">
      <alignment horizontal="left" vertical="center"/>
      <protection locked="0"/>
    </xf>
    <xf numFmtId="0" fontId="87" fillId="0" borderId="0" xfId="0" applyFont="1"/>
    <xf numFmtId="0" fontId="63" fillId="23" borderId="131" xfId="8" applyFont="1" applyFill="1" applyBorder="1" applyAlignment="1">
      <alignment horizontal="center" vertical="center" wrapText="1"/>
    </xf>
    <xf numFmtId="2" fontId="63" fillId="23" borderId="131" xfId="8" applyNumberFormat="1" applyFont="1" applyFill="1" applyBorder="1" applyAlignment="1">
      <alignment horizontal="center" vertical="center" wrapText="1"/>
    </xf>
    <xf numFmtId="2" fontId="63" fillId="23" borderId="131" xfId="8" applyNumberFormat="1" applyFont="1" applyFill="1" applyBorder="1" applyAlignment="1">
      <alignment horizontal="right" vertical="center" wrapText="1"/>
    </xf>
    <xf numFmtId="0" fontId="90" fillId="0" borderId="0" xfId="0" applyFont="1"/>
    <xf numFmtId="173" fontId="77" fillId="10" borderId="135" xfId="0" applyNumberFormat="1" applyFont="1" applyFill="1" applyBorder="1" applyAlignment="1">
      <alignment horizontal="center" vertical="center"/>
    </xf>
    <xf numFmtId="173" fontId="77" fillId="10" borderId="151" xfId="0" applyNumberFormat="1" applyFont="1" applyFill="1" applyBorder="1" applyAlignment="1">
      <alignment horizontal="center" vertical="center"/>
    </xf>
    <xf numFmtId="0" fontId="62" fillId="0" borderId="131" xfId="8" applyFont="1" applyBorder="1" applyAlignment="1">
      <alignment horizontal="center" vertical="center"/>
    </xf>
    <xf numFmtId="0" fontId="63" fillId="0" borderId="131" xfId="8" applyFont="1" applyBorder="1" applyAlignment="1">
      <alignment horizontal="center" vertical="center"/>
    </xf>
    <xf numFmtId="0" fontId="0" fillId="6" borderId="5" xfId="0" applyFill="1" applyBorder="1" applyAlignment="1">
      <alignment horizontal="left" vertical="top" wrapText="1"/>
    </xf>
    <xf numFmtId="4" fontId="7" fillId="4" borderId="161" xfId="2" applyNumberFormat="1" applyBorder="1" applyAlignment="1">
      <alignment horizontal="right" vertical="top" wrapText="1"/>
    </xf>
    <xf numFmtId="0" fontId="0" fillId="6" borderId="26" xfId="0" applyFill="1" applyBorder="1" applyAlignment="1">
      <alignment horizontal="left" vertical="top" wrapText="1"/>
    </xf>
    <xf numFmtId="0" fontId="9" fillId="7" borderId="29" xfId="0" applyFont="1" applyFill="1" applyBorder="1" applyAlignment="1">
      <alignment horizontal="left" vertical="top" wrapText="1"/>
    </xf>
    <xf numFmtId="0" fontId="0" fillId="6" borderId="14" xfId="0" applyFill="1" applyBorder="1" applyAlignment="1">
      <alignment horizontal="left" vertical="top" wrapText="1"/>
    </xf>
    <xf numFmtId="0" fontId="0" fillId="6" borderId="13" xfId="0" applyFill="1" applyBorder="1" applyAlignment="1">
      <alignment horizontal="left" vertical="top" wrapText="1"/>
    </xf>
    <xf numFmtId="0" fontId="0" fillId="6" borderId="15" xfId="0" applyFill="1" applyBorder="1" applyAlignment="1">
      <alignment horizontal="left" vertical="top" wrapText="1"/>
    </xf>
    <xf numFmtId="4" fontId="50" fillId="22" borderId="162" xfId="2" applyNumberFormat="1" applyFont="1" applyFill="1" applyBorder="1" applyAlignment="1">
      <alignment horizontal="right" vertical="top" wrapText="1"/>
    </xf>
    <xf numFmtId="4" fontId="50" fillId="22" borderId="163" xfId="2" applyNumberFormat="1" applyFont="1" applyFill="1" applyBorder="1" applyAlignment="1">
      <alignment horizontal="right" vertical="top" wrapText="1"/>
    </xf>
    <xf numFmtId="4" fontId="50" fillId="22" borderId="164" xfId="2" applyNumberFormat="1" applyFont="1" applyFill="1" applyBorder="1" applyAlignment="1">
      <alignment horizontal="right" vertical="top" wrapText="1"/>
    </xf>
    <xf numFmtId="0" fontId="9" fillId="7" borderId="28" xfId="0" applyFont="1" applyFill="1" applyBorder="1" applyAlignment="1">
      <alignment horizontal="left" vertical="top" wrapText="1"/>
    </xf>
    <xf numFmtId="0" fontId="76" fillId="33" borderId="136" xfId="0" applyFont="1" applyFill="1" applyBorder="1" applyAlignment="1">
      <alignment horizontal="center" wrapText="1"/>
    </xf>
    <xf numFmtId="0" fontId="54" fillId="31" borderId="0" xfId="0" applyFont="1" applyFill="1"/>
    <xf numFmtId="0" fontId="77" fillId="10" borderId="136" xfId="0" applyFont="1" applyFill="1" applyBorder="1"/>
    <xf numFmtId="173" fontId="77" fillId="10" borderId="135" xfId="0" applyNumberFormat="1" applyFont="1" applyFill="1" applyBorder="1" applyAlignment="1">
      <alignment horizontal="left" vertical="center"/>
    </xf>
    <xf numFmtId="173" fontId="63" fillId="22" borderId="131" xfId="10" applyNumberFormat="1" applyFont="1" applyFill="1" applyBorder="1" applyAlignment="1">
      <alignment vertical="center" wrapText="1"/>
    </xf>
    <xf numFmtId="173" fontId="63" fillId="22" borderId="131" xfId="10" applyNumberFormat="1" applyFont="1" applyFill="1" applyBorder="1" applyAlignment="1" applyProtection="1">
      <alignment vertical="center" wrapText="1"/>
      <protection locked="0"/>
    </xf>
    <xf numFmtId="49" fontId="87" fillId="0" borderId="0" xfId="0" applyNumberFormat="1" applyFont="1" applyAlignment="1">
      <alignment vertical="center"/>
    </xf>
    <xf numFmtId="0" fontId="87" fillId="0" borderId="0" xfId="0" applyFont="1" applyAlignment="1">
      <alignment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applyAlignment="1">
      <alignment horizontal="center" vertical="center"/>
    </xf>
    <xf numFmtId="49" fontId="0" fillId="0" borderId="0" xfId="0" applyNumberFormat="1" applyAlignment="1">
      <alignment horizontal="right" vertical="center"/>
    </xf>
    <xf numFmtId="174" fontId="91" fillId="0" borderId="0" xfId="0" applyNumberFormat="1" applyFont="1" applyAlignment="1">
      <alignment horizontal="right" vertical="center"/>
    </xf>
    <xf numFmtId="3" fontId="91" fillId="0" borderId="0" xfId="0" applyNumberFormat="1" applyFont="1" applyAlignment="1">
      <alignment horizontal="left" vertical="center"/>
    </xf>
    <xf numFmtId="3" fontId="91" fillId="0" borderId="0" xfId="0" applyNumberFormat="1" applyFont="1" applyAlignment="1">
      <alignment horizontal="center" vertical="center"/>
    </xf>
    <xf numFmtId="4" fontId="91" fillId="0" borderId="0" xfId="0" applyNumberFormat="1" applyFont="1" applyAlignment="1">
      <alignment horizontal="left" vertical="center"/>
    </xf>
    <xf numFmtId="0" fontId="91" fillId="0" borderId="0" xfId="0" applyFont="1" applyAlignment="1">
      <alignment vertical="center"/>
    </xf>
    <xf numFmtId="49" fontId="0" fillId="0" borderId="0" xfId="0" applyNumberFormat="1" applyAlignment="1">
      <alignment horizontal="center" vertical="center"/>
    </xf>
    <xf numFmtId="0" fontId="91" fillId="23" borderId="0" xfId="0" applyFont="1" applyFill="1" applyAlignment="1">
      <alignment vertical="center"/>
    </xf>
    <xf numFmtId="3" fontId="91" fillId="23" borderId="0" xfId="0" applyNumberFormat="1" applyFont="1" applyFill="1" applyAlignment="1">
      <alignment horizontal="center" vertical="center"/>
    </xf>
    <xf numFmtId="4" fontId="92" fillId="23" borderId="0" xfId="0" applyNumberFormat="1" applyFont="1" applyFill="1" applyAlignment="1">
      <alignment horizontal="center" vertical="center"/>
    </xf>
    <xf numFmtId="173" fontId="91" fillId="0" borderId="0" xfId="0" applyNumberFormat="1" applyFont="1" applyAlignment="1">
      <alignment horizontal="left" vertical="center"/>
    </xf>
    <xf numFmtId="49" fontId="87" fillId="38" borderId="0" xfId="0" applyNumberFormat="1" applyFont="1" applyFill="1" applyAlignment="1">
      <alignment horizontal="center" vertical="center"/>
    </xf>
    <xf numFmtId="0" fontId="87" fillId="38" borderId="0" xfId="0" applyFont="1" applyFill="1" applyAlignment="1">
      <alignment vertical="center"/>
    </xf>
    <xf numFmtId="174" fontId="87" fillId="38" borderId="0" xfId="0" applyNumberFormat="1" applyFont="1" applyFill="1" applyAlignment="1">
      <alignment horizontal="center" vertical="center"/>
    </xf>
    <xf numFmtId="3" fontId="87" fillId="38" borderId="0" xfId="0" applyNumberFormat="1" applyFont="1" applyFill="1" applyAlignment="1">
      <alignment horizontal="center" vertical="center"/>
    </xf>
    <xf numFmtId="4" fontId="87" fillId="38" borderId="0" xfId="0" applyNumberFormat="1" applyFont="1" applyFill="1" applyAlignment="1">
      <alignment horizontal="center" vertical="center"/>
    </xf>
    <xf numFmtId="0" fontId="93" fillId="8" borderId="0" xfId="0" applyFont="1" applyFill="1" applyAlignment="1">
      <alignment horizontal="center" vertical="center"/>
    </xf>
    <xf numFmtId="0" fontId="94" fillId="0" borderId="0" xfId="0" applyFont="1" applyAlignment="1">
      <alignment vertical="center"/>
    </xf>
    <xf numFmtId="0" fontId="95" fillId="0" borderId="0" xfId="0" applyFont="1" applyAlignment="1">
      <alignment vertical="center"/>
    </xf>
    <xf numFmtId="174" fontId="95" fillId="0" borderId="0" xfId="0" applyNumberFormat="1" applyFont="1" applyAlignment="1">
      <alignment horizontal="center" vertical="center"/>
    </xf>
    <xf numFmtId="3" fontId="95" fillId="0" borderId="0" xfId="0" applyNumberFormat="1" applyFont="1" applyAlignment="1">
      <alignment horizontal="center" vertical="center"/>
    </xf>
    <xf numFmtId="4" fontId="95" fillId="0" borderId="0" xfId="0" applyNumberFormat="1" applyFont="1" applyAlignment="1">
      <alignment horizontal="center" vertical="center"/>
    </xf>
    <xf numFmtId="0" fontId="93" fillId="0" borderId="0" xfId="0" applyFont="1" applyAlignment="1">
      <alignment horizontal="center" vertical="center"/>
    </xf>
    <xf numFmtId="0" fontId="0" fillId="9" borderId="0" xfId="0" applyFill="1" applyAlignment="1">
      <alignment vertical="center"/>
    </xf>
    <xf numFmtId="0" fontId="0" fillId="26" borderId="0" xfId="0" applyFill="1" applyAlignment="1">
      <alignment vertical="center"/>
    </xf>
    <xf numFmtId="0" fontId="95" fillId="9" borderId="0" xfId="0" applyFont="1" applyFill="1" applyAlignment="1">
      <alignment vertical="center"/>
    </xf>
    <xf numFmtId="0" fontId="94" fillId="39" borderId="0" xfId="0" applyFont="1" applyFill="1" applyAlignment="1">
      <alignment vertical="center"/>
    </xf>
    <xf numFmtId="4" fontId="95" fillId="26" borderId="0" xfId="0" applyNumberFormat="1" applyFont="1" applyFill="1" applyAlignment="1">
      <alignment horizontal="center" vertical="center"/>
    </xf>
    <xf numFmtId="0" fontId="0" fillId="11" borderId="0" xfId="0" applyFill="1" applyAlignment="1">
      <alignment vertical="center"/>
    </xf>
    <xf numFmtId="0" fontId="95" fillId="11" borderId="0" xfId="0" applyFont="1" applyFill="1" applyAlignment="1">
      <alignment vertical="center"/>
    </xf>
    <xf numFmtId="0" fontId="96" fillId="11" borderId="0" xfId="0" applyFont="1" applyFill="1" applyAlignment="1">
      <alignment vertical="center"/>
    </xf>
    <xf numFmtId="0" fontId="94" fillId="40" borderId="0" xfId="0" applyFont="1" applyFill="1" applyAlignment="1">
      <alignment vertical="center"/>
    </xf>
    <xf numFmtId="4" fontId="95" fillId="11" borderId="0" xfId="0" applyNumberFormat="1" applyFont="1" applyFill="1" applyAlignment="1">
      <alignment horizontal="center" vertical="center"/>
    </xf>
    <xf numFmtId="0" fontId="0" fillId="27" borderId="0" xfId="0" applyFill="1" applyAlignment="1">
      <alignment vertical="center"/>
    </xf>
    <xf numFmtId="0" fontId="95" fillId="27" borderId="0" xfId="0" applyFont="1" applyFill="1" applyAlignment="1">
      <alignment vertical="center"/>
    </xf>
    <xf numFmtId="0" fontId="94" fillId="41" borderId="0" xfId="0" applyFont="1" applyFill="1" applyAlignment="1">
      <alignment vertical="center"/>
    </xf>
    <xf numFmtId="4" fontId="95" fillId="27" borderId="0" xfId="0" applyNumberFormat="1" applyFont="1" applyFill="1" applyAlignment="1">
      <alignment horizontal="center" vertical="center"/>
    </xf>
    <xf numFmtId="0" fontId="0" fillId="34" borderId="0" xfId="0" applyFill="1" applyAlignment="1">
      <alignment vertical="center"/>
    </xf>
    <xf numFmtId="0" fontId="95" fillId="34" borderId="0" xfId="0" applyFont="1" applyFill="1" applyAlignment="1">
      <alignment vertical="center"/>
    </xf>
    <xf numFmtId="0" fontId="94" fillId="42" borderId="0" xfId="0" applyFont="1" applyFill="1" applyAlignment="1">
      <alignment vertical="center"/>
    </xf>
    <xf numFmtId="4" fontId="95" fillId="34" borderId="0" xfId="0" applyNumberFormat="1" applyFont="1" applyFill="1" applyAlignment="1">
      <alignment horizontal="center" vertical="center"/>
    </xf>
    <xf numFmtId="0" fontId="4" fillId="0" borderId="0" xfId="0" applyFont="1" applyAlignment="1">
      <alignment vertical="center"/>
    </xf>
    <xf numFmtId="0" fontId="95" fillId="26" borderId="0" xfId="0" applyFont="1" applyFill="1" applyAlignment="1">
      <alignment vertical="center"/>
    </xf>
    <xf numFmtId="0" fontId="97" fillId="0" borderId="0" xfId="0" applyFont="1" applyAlignment="1">
      <alignment vertical="center"/>
    </xf>
    <xf numFmtId="0" fontId="0" fillId="23" borderId="0" xfId="0" applyFill="1" applyAlignment="1">
      <alignment vertical="center"/>
    </xf>
    <xf numFmtId="174" fontId="95" fillId="23" borderId="0" xfId="0" applyNumberFormat="1" applyFont="1" applyFill="1" applyAlignment="1">
      <alignment horizontal="center" vertical="center"/>
    </xf>
    <xf numFmtId="4" fontId="87" fillId="0" borderId="0" xfId="0" applyNumberFormat="1" applyFont="1" applyAlignment="1">
      <alignment horizontal="center" vertical="center"/>
    </xf>
    <xf numFmtId="176" fontId="0" fillId="0" borderId="0" xfId="0" applyNumberFormat="1" applyAlignment="1">
      <alignment horizontal="center" vertical="center"/>
    </xf>
    <xf numFmtId="0" fontId="99" fillId="26" borderId="131" xfId="8" applyFont="1" applyFill="1" applyBorder="1" applyAlignment="1">
      <alignment horizontal="left" vertical="center" wrapText="1"/>
    </xf>
    <xf numFmtId="0" fontId="100" fillId="43" borderId="167" xfId="0" applyFont="1" applyFill="1" applyBorder="1" applyAlignment="1">
      <alignment horizontal="left" vertical="center" wrapText="1"/>
    </xf>
    <xf numFmtId="0" fontId="101" fillId="43" borderId="167" xfId="0" applyFont="1" applyFill="1" applyBorder="1" applyAlignment="1">
      <alignment horizontal="left" vertical="center" wrapText="1"/>
    </xf>
    <xf numFmtId="0" fontId="102" fillId="43" borderId="167" xfId="0" applyFont="1" applyFill="1" applyBorder="1" applyAlignment="1">
      <alignment horizontal="left" vertical="center" wrapText="1"/>
    </xf>
    <xf numFmtId="0" fontId="102" fillId="43" borderId="167" xfId="0" applyFont="1" applyFill="1" applyBorder="1" applyAlignment="1">
      <alignment horizontal="left" wrapText="1"/>
    </xf>
    <xf numFmtId="0" fontId="100" fillId="43" borderId="167" xfId="0" applyFont="1" applyFill="1" applyBorder="1" applyAlignment="1">
      <alignment vertical="center" wrapText="1"/>
    </xf>
    <xf numFmtId="0" fontId="101" fillId="43" borderId="167" xfId="0" applyFont="1" applyFill="1" applyBorder="1" applyAlignment="1">
      <alignment vertical="center" wrapText="1"/>
    </xf>
    <xf numFmtId="0" fontId="103" fillId="43" borderId="167" xfId="0" applyFont="1" applyFill="1" applyBorder="1" applyAlignment="1">
      <alignment horizontal="left" vertical="center" wrapText="1"/>
    </xf>
    <xf numFmtId="0" fontId="103" fillId="43" borderId="167" xfId="0" applyFont="1" applyFill="1" applyBorder="1" applyAlignment="1">
      <alignment vertical="center" wrapText="1"/>
    </xf>
    <xf numFmtId="0" fontId="103" fillId="43" borderId="167" xfId="0" applyFont="1" applyFill="1" applyBorder="1" applyAlignment="1">
      <alignment vertical="center"/>
    </xf>
    <xf numFmtId="0" fontId="104" fillId="43" borderId="168" xfId="0" applyFont="1" applyFill="1" applyBorder="1" applyAlignment="1">
      <alignment horizontal="center" vertical="center"/>
    </xf>
    <xf numFmtId="0" fontId="104" fillId="43" borderId="169" xfId="0" applyFont="1" applyFill="1" applyBorder="1" applyAlignment="1">
      <alignment horizontal="center" vertical="center"/>
    </xf>
    <xf numFmtId="14" fontId="54" fillId="0" borderId="130" xfId="0" applyNumberFormat="1" applyFont="1" applyBorder="1"/>
    <xf numFmtId="177" fontId="54" fillId="0" borderId="0" xfId="0" applyNumberFormat="1" applyFont="1"/>
    <xf numFmtId="3" fontId="54" fillId="0" borderId="0" xfId="0" applyNumberFormat="1" applyFont="1"/>
    <xf numFmtId="49" fontId="0" fillId="22" borderId="0" xfId="0" applyNumberFormat="1" applyFill="1" applyAlignment="1">
      <alignment horizontal="center" vertical="center"/>
    </xf>
    <xf numFmtId="174" fontId="4" fillId="0" borderId="0" xfId="0" applyNumberFormat="1" applyFont="1" applyAlignment="1">
      <alignment horizontal="center" vertical="center"/>
    </xf>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4" fontId="0" fillId="26" borderId="0" xfId="0" applyNumberFormat="1" applyFill="1" applyAlignment="1">
      <alignment horizontal="center" vertical="center"/>
    </xf>
    <xf numFmtId="4" fontId="0" fillId="11" borderId="0" xfId="0" applyNumberFormat="1" applyFill="1" applyAlignment="1">
      <alignment horizontal="center" vertical="center"/>
    </xf>
    <xf numFmtId="4" fontId="0" fillId="27" borderId="0" xfId="0" applyNumberFormat="1" applyFill="1" applyAlignment="1">
      <alignment horizontal="center" vertical="center"/>
    </xf>
    <xf numFmtId="4" fontId="0" fillId="34" borderId="0" xfId="0" applyNumberFormat="1" applyFill="1" applyAlignment="1">
      <alignment horizontal="center" vertical="center"/>
    </xf>
    <xf numFmtId="0" fontId="4" fillId="34" borderId="0" xfId="0" applyFont="1" applyFill="1" applyAlignment="1">
      <alignment vertical="center"/>
    </xf>
    <xf numFmtId="4" fontId="4" fillId="34" borderId="0" xfId="0" applyNumberFormat="1" applyFont="1" applyFill="1" applyAlignment="1">
      <alignment horizontal="center" vertical="center"/>
    </xf>
    <xf numFmtId="3" fontId="4" fillId="23" borderId="0" xfId="0" applyNumberFormat="1" applyFont="1" applyFill="1" applyAlignment="1">
      <alignment horizontal="center" vertical="center"/>
    </xf>
    <xf numFmtId="0" fontId="106" fillId="11" borderId="0" xfId="0" applyFont="1" applyFill="1" applyAlignment="1">
      <alignment vertical="center"/>
    </xf>
    <xf numFmtId="0" fontId="4" fillId="26" borderId="0" xfId="0" applyFont="1" applyFill="1" applyAlignment="1">
      <alignment vertical="center"/>
    </xf>
    <xf numFmtId="49" fontId="4" fillId="0" borderId="0" xfId="0" applyNumberFormat="1" applyFont="1" applyAlignment="1">
      <alignment horizontal="center" vertical="center"/>
    </xf>
    <xf numFmtId="49" fontId="4" fillId="22" borderId="0" xfId="0" applyNumberFormat="1" applyFont="1" applyFill="1" applyAlignment="1">
      <alignment horizontal="center" vertical="center"/>
    </xf>
    <xf numFmtId="0" fontId="107" fillId="0" borderId="0" xfId="0" applyFont="1" applyAlignment="1">
      <alignment vertical="center"/>
    </xf>
    <xf numFmtId="0" fontId="108" fillId="0" borderId="0" xfId="0" applyFont="1" applyAlignment="1">
      <alignment vertical="center"/>
    </xf>
    <xf numFmtId="174" fontId="0" fillId="23" borderId="0" xfId="0" applyNumberFormat="1" applyFill="1" applyAlignment="1">
      <alignment horizontal="center" vertical="center"/>
    </xf>
    <xf numFmtId="4" fontId="0" fillId="23" borderId="0" xfId="0" applyNumberFormat="1" applyFill="1" applyAlignment="1">
      <alignment horizontal="center" vertical="center"/>
    </xf>
    <xf numFmtId="4" fontId="4" fillId="11" borderId="0" xfId="0" applyNumberFormat="1" applyFont="1" applyFill="1" applyAlignment="1">
      <alignment horizontal="center" vertical="center"/>
    </xf>
    <xf numFmtId="0" fontId="4" fillId="11" borderId="0" xfId="0" applyFont="1" applyFill="1" applyAlignment="1">
      <alignment vertical="center"/>
    </xf>
    <xf numFmtId="4" fontId="4" fillId="26" borderId="0" xfId="0" applyNumberFormat="1" applyFont="1" applyFill="1" applyAlignment="1">
      <alignment horizontal="center" vertical="center"/>
    </xf>
    <xf numFmtId="4" fontId="4" fillId="27" borderId="0" xfId="0" applyNumberFormat="1" applyFont="1" applyFill="1" applyAlignment="1">
      <alignment horizontal="center" vertical="center"/>
    </xf>
    <xf numFmtId="0" fontId="4" fillId="27" borderId="0" xfId="0" applyFont="1" applyFill="1" applyAlignment="1">
      <alignment vertical="center"/>
    </xf>
    <xf numFmtId="0" fontId="87" fillId="9" borderId="0" xfId="0" applyFont="1" applyFill="1" applyAlignment="1">
      <alignment vertical="center"/>
    </xf>
    <xf numFmtId="0" fontId="105" fillId="9" borderId="0" xfId="0" applyFont="1" applyFill="1" applyAlignment="1">
      <alignment vertical="center"/>
    </xf>
    <xf numFmtId="174" fontId="87" fillId="9" borderId="0" xfId="0" applyNumberFormat="1" applyFont="1" applyFill="1" applyAlignment="1">
      <alignment horizontal="center" vertical="center"/>
    </xf>
    <xf numFmtId="3" fontId="87" fillId="9" borderId="0" xfId="0" applyNumberFormat="1" applyFont="1" applyFill="1" applyAlignment="1">
      <alignment horizontal="center" vertical="center"/>
    </xf>
    <xf numFmtId="4" fontId="87" fillId="9" borderId="0" xfId="0" applyNumberFormat="1" applyFont="1" applyFill="1" applyAlignment="1">
      <alignment horizontal="center" vertical="center"/>
    </xf>
    <xf numFmtId="49" fontId="87" fillId="9" borderId="0" xfId="0" applyNumberFormat="1" applyFont="1" applyFill="1" applyAlignment="1">
      <alignment horizontal="center" vertical="center"/>
    </xf>
    <xf numFmtId="0" fontId="45" fillId="0" borderId="0" xfId="6"/>
    <xf numFmtId="167" fontId="54" fillId="26" borderId="130" xfId="7" applyFont="1" applyFill="1" applyBorder="1" applyAlignment="1">
      <alignment horizontal="left" vertical="center" wrapText="1"/>
    </xf>
    <xf numFmtId="0" fontId="54" fillId="34" borderId="0" xfId="0" applyFont="1" applyFill="1"/>
    <xf numFmtId="0" fontId="54" fillId="44" borderId="0" xfId="0" applyFont="1" applyFill="1"/>
    <xf numFmtId="0" fontId="78" fillId="0" borderId="0" xfId="15"/>
    <xf numFmtId="4" fontId="7" fillId="4" borderId="82" xfId="2" applyNumberFormat="1" applyBorder="1"/>
    <xf numFmtId="174" fontId="55" fillId="32" borderId="130" xfId="0" applyNumberFormat="1" applyFont="1" applyFill="1" applyBorder="1" applyAlignment="1">
      <alignment horizontal="center" vertical="center"/>
    </xf>
    <xf numFmtId="179" fontId="59" fillId="31" borderId="0" xfId="0" applyNumberFormat="1" applyFont="1" applyFill="1"/>
    <xf numFmtId="0" fontId="116" fillId="0" borderId="0" xfId="17"/>
    <xf numFmtId="0" fontId="117" fillId="46" borderId="171" xfId="17" applyFont="1" applyFill="1" applyBorder="1" applyAlignment="1">
      <alignment horizontal="left" vertical="top" wrapText="1"/>
    </xf>
    <xf numFmtId="3" fontId="116" fillId="0" borderId="0" xfId="17" applyNumberFormat="1"/>
    <xf numFmtId="174" fontId="116" fillId="0" borderId="0" xfId="17" applyNumberFormat="1"/>
    <xf numFmtId="0" fontId="116" fillId="0" borderId="0" xfId="17" applyAlignment="1">
      <alignment horizontal="left"/>
    </xf>
    <xf numFmtId="0" fontId="14" fillId="0" borderId="0" xfId="17" applyFont="1"/>
    <xf numFmtId="4" fontId="0" fillId="0" borderId="0" xfId="0" applyNumberFormat="1" applyAlignment="1">
      <alignment vertical="center"/>
    </xf>
    <xf numFmtId="174" fontId="118" fillId="0" borderId="0" xfId="0" applyNumberFormat="1" applyFont="1" applyAlignment="1">
      <alignment horizontal="center" vertical="center"/>
    </xf>
    <xf numFmtId="3" fontId="118" fillId="0" borderId="0" xfId="0" applyNumberFormat="1" applyFont="1" applyAlignment="1">
      <alignment horizontal="center" vertical="center"/>
    </xf>
    <xf numFmtId="173" fontId="54" fillId="0" borderId="0" xfId="0" applyNumberFormat="1" applyFont="1"/>
    <xf numFmtId="10" fontId="54" fillId="0" borderId="0" xfId="0" applyNumberFormat="1" applyFont="1"/>
    <xf numFmtId="180" fontId="54" fillId="0" borderId="0" xfId="0" applyNumberFormat="1" applyFont="1"/>
    <xf numFmtId="4" fontId="54" fillId="0" borderId="0" xfId="0" applyNumberFormat="1" applyFont="1"/>
    <xf numFmtId="0" fontId="119" fillId="0" borderId="0" xfId="0" applyFont="1" applyAlignment="1">
      <alignment vertical="center"/>
    </xf>
    <xf numFmtId="0" fontId="78" fillId="0" borderId="0" xfId="0" applyFont="1" applyAlignment="1">
      <alignment vertical="center"/>
    </xf>
    <xf numFmtId="174" fontId="78" fillId="0" borderId="0" xfId="0" applyNumberFormat="1" applyFont="1" applyAlignment="1">
      <alignment horizontal="center" vertical="center"/>
    </xf>
    <xf numFmtId="3" fontId="78" fillId="0" borderId="0" xfId="0" applyNumberFormat="1" applyFont="1" applyAlignment="1">
      <alignment horizontal="center" vertical="center"/>
    </xf>
    <xf numFmtId="49" fontId="97" fillId="34" borderId="0" xfId="0" applyNumberFormat="1" applyFont="1" applyFill="1" applyAlignment="1">
      <alignment horizontal="center" vertical="center"/>
    </xf>
    <xf numFmtId="0" fontId="97" fillId="34" borderId="0" xfId="0" applyFont="1" applyFill="1" applyAlignment="1">
      <alignment vertical="center"/>
    </xf>
    <xf numFmtId="174" fontId="97" fillId="34" borderId="0" xfId="0" applyNumberFormat="1" applyFont="1" applyFill="1" applyAlignment="1">
      <alignment horizontal="center" vertical="center"/>
    </xf>
    <xf numFmtId="3" fontId="97" fillId="34" borderId="0" xfId="0" applyNumberFormat="1" applyFont="1" applyFill="1" applyAlignment="1">
      <alignment horizontal="center" vertical="center"/>
    </xf>
    <xf numFmtId="173" fontId="0" fillId="23" borderId="0" xfId="0" applyNumberFormat="1" applyFill="1" applyAlignment="1">
      <alignment vertical="center"/>
    </xf>
    <xf numFmtId="49" fontId="95" fillId="23" borderId="0" xfId="0" applyNumberFormat="1" applyFont="1" applyFill="1" applyAlignment="1">
      <alignment horizontal="left" vertical="center"/>
    </xf>
    <xf numFmtId="0" fontId="120" fillId="23" borderId="0" xfId="0" applyFont="1" applyFill="1" applyAlignment="1">
      <alignment vertical="center"/>
    </xf>
    <xf numFmtId="4" fontId="87" fillId="26" borderId="0" xfId="0" applyNumberFormat="1" applyFont="1" applyFill="1" applyAlignment="1">
      <alignment horizontal="center" vertical="center"/>
    </xf>
    <xf numFmtId="4" fontId="97" fillId="34" borderId="0" xfId="0" applyNumberFormat="1" applyFont="1" applyFill="1" applyAlignment="1">
      <alignment horizontal="center" vertical="center"/>
    </xf>
    <xf numFmtId="4" fontId="118" fillId="0" borderId="0" xfId="0" applyNumberFormat="1" applyFont="1" applyAlignment="1">
      <alignment horizontal="center" vertical="center"/>
    </xf>
    <xf numFmtId="4" fontId="41" fillId="0" borderId="0" xfId="0" applyNumberFormat="1" applyFont="1" applyAlignment="1">
      <alignment horizontal="center" vertical="center"/>
    </xf>
    <xf numFmtId="0" fontId="97" fillId="15" borderId="0" xfId="0" applyFont="1" applyFill="1" applyAlignment="1">
      <alignment vertical="center"/>
    </xf>
    <xf numFmtId="174" fontId="97" fillId="15" borderId="0" xfId="0" applyNumberFormat="1" applyFont="1" applyFill="1" applyAlignment="1">
      <alignment horizontal="center" vertical="center"/>
    </xf>
    <xf numFmtId="3" fontId="97" fillId="15" borderId="0" xfId="0" applyNumberFormat="1" applyFont="1" applyFill="1" applyAlignment="1">
      <alignment horizontal="center" vertical="center"/>
    </xf>
    <xf numFmtId="174" fontId="96" fillId="34" borderId="0" xfId="0" applyNumberFormat="1" applyFont="1" applyFill="1" applyAlignment="1">
      <alignment horizontal="center" vertical="center"/>
    </xf>
    <xf numFmtId="181" fontId="0" fillId="0" borderId="0" xfId="0" applyNumberFormat="1" applyAlignment="1">
      <alignment horizontal="center" vertical="center"/>
    </xf>
    <xf numFmtId="182" fontId="27" fillId="0" borderId="0" xfId="0" applyNumberFormat="1" applyFont="1"/>
    <xf numFmtId="4" fontId="27" fillId="0" borderId="0" xfId="0" applyNumberFormat="1" applyFont="1"/>
    <xf numFmtId="0" fontId="117" fillId="46" borderId="170" xfId="17" applyFont="1" applyFill="1" applyBorder="1" applyAlignment="1">
      <alignment horizontal="left" vertical="top" wrapText="1"/>
    </xf>
    <xf numFmtId="0" fontId="54" fillId="26" borderId="130" xfId="0" applyFont="1" applyFill="1" applyBorder="1" applyAlignment="1">
      <alignment vertical="center" wrapText="1"/>
    </xf>
    <xf numFmtId="0" fontId="113" fillId="34" borderId="0" xfId="17" applyFont="1" applyFill="1"/>
    <xf numFmtId="0" fontId="116" fillId="34" borderId="0" xfId="17" applyFill="1"/>
    <xf numFmtId="0" fontId="116" fillId="0" borderId="0" xfId="17" applyAlignment="1">
      <alignment horizontal="center"/>
    </xf>
    <xf numFmtId="0" fontId="14" fillId="23" borderId="0" xfId="17" applyFont="1" applyFill="1"/>
    <xf numFmtId="0" fontId="113" fillId="0" borderId="0" xfId="17" applyFont="1"/>
    <xf numFmtId="0" fontId="113" fillId="0" borderId="0" xfId="17" applyFont="1" applyAlignment="1">
      <alignment horizontal="center"/>
    </xf>
    <xf numFmtId="0" fontId="116" fillId="23" borderId="0" xfId="17" applyFill="1"/>
    <xf numFmtId="0" fontId="113" fillId="23" borderId="60" xfId="17" applyFont="1" applyFill="1" applyBorder="1" applyAlignment="1">
      <alignment horizontal="center"/>
    </xf>
    <xf numFmtId="0" fontId="113" fillId="0" borderId="112" xfId="17" applyFont="1" applyBorder="1"/>
    <xf numFmtId="0" fontId="116" fillId="0" borderId="18" xfId="17" applyBorder="1"/>
    <xf numFmtId="0" fontId="116" fillId="0" borderId="106" xfId="17" applyBorder="1"/>
    <xf numFmtId="0" fontId="14" fillId="0" borderId="22" xfId="17" applyFont="1" applyBorder="1"/>
    <xf numFmtId="3" fontId="116" fillId="0" borderId="0" xfId="17" applyNumberFormat="1" applyAlignment="1">
      <alignment horizontal="center"/>
    </xf>
    <xf numFmtId="170" fontId="116" fillId="0" borderId="0" xfId="17" applyNumberFormat="1" applyAlignment="1">
      <alignment horizontal="center"/>
    </xf>
    <xf numFmtId="3" fontId="116" fillId="0" borderId="55" xfId="17" applyNumberFormat="1" applyBorder="1" applyAlignment="1">
      <alignment horizontal="center"/>
    </xf>
    <xf numFmtId="3" fontId="113" fillId="0" borderId="55" xfId="17" applyNumberFormat="1" applyFont="1" applyBorder="1" applyAlignment="1">
      <alignment horizontal="center"/>
    </xf>
    <xf numFmtId="0" fontId="116" fillId="0" borderId="113" xfId="17" applyBorder="1"/>
    <xf numFmtId="0" fontId="116" fillId="0" borderId="21" xfId="17" applyBorder="1"/>
    <xf numFmtId="0" fontId="116" fillId="0" borderId="114" xfId="17" applyBorder="1"/>
    <xf numFmtId="173" fontId="116" fillId="0" borderId="0" xfId="17" applyNumberFormat="1" applyAlignment="1">
      <alignment horizontal="center"/>
    </xf>
    <xf numFmtId="173" fontId="116" fillId="0" borderId="22" xfId="17" applyNumberFormat="1" applyBorder="1" applyAlignment="1">
      <alignment horizontal="center"/>
    </xf>
    <xf numFmtId="173" fontId="113" fillId="0" borderId="22" xfId="17" applyNumberFormat="1" applyFont="1" applyBorder="1" applyAlignment="1">
      <alignment horizontal="center"/>
    </xf>
    <xf numFmtId="3" fontId="116" fillId="0" borderId="22" xfId="17" applyNumberFormat="1" applyBorder="1" applyAlignment="1">
      <alignment horizontal="center"/>
    </xf>
    <xf numFmtId="3" fontId="113" fillId="0" borderId="22" xfId="17" applyNumberFormat="1" applyFont="1" applyBorder="1" applyAlignment="1">
      <alignment horizontal="center"/>
    </xf>
    <xf numFmtId="0" fontId="116" fillId="0" borderId="25" xfId="17" applyBorder="1"/>
    <xf numFmtId="0" fontId="116" fillId="0" borderId="26" xfId="17" applyBorder="1"/>
    <xf numFmtId="0" fontId="116" fillId="0" borderId="27" xfId="17" applyBorder="1"/>
    <xf numFmtId="0" fontId="14" fillId="0" borderId="60" xfId="17" applyFont="1" applyBorder="1"/>
    <xf numFmtId="173" fontId="116" fillId="0" borderId="60" xfId="17" applyNumberFormat="1" applyBorder="1" applyAlignment="1">
      <alignment horizontal="center"/>
    </xf>
    <xf numFmtId="173" fontId="113" fillId="0" borderId="60" xfId="17" applyNumberFormat="1" applyFont="1" applyBorder="1" applyAlignment="1">
      <alignment horizontal="center"/>
    </xf>
    <xf numFmtId="0" fontId="116" fillId="0" borderId="174" xfId="17" applyBorder="1"/>
    <xf numFmtId="0" fontId="116" fillId="0" borderId="23" xfId="17" applyBorder="1"/>
    <xf numFmtId="0" fontId="113" fillId="0" borderId="34" xfId="17" applyFont="1" applyBorder="1" applyAlignment="1">
      <alignment horizontal="center"/>
    </xf>
    <xf numFmtId="0" fontId="113" fillId="0" borderId="55" xfId="17" applyFont="1" applyBorder="1"/>
    <xf numFmtId="3" fontId="113" fillId="0" borderId="0" xfId="17" applyNumberFormat="1" applyFont="1" applyAlignment="1">
      <alignment horizontal="center"/>
    </xf>
    <xf numFmtId="3" fontId="113" fillId="23" borderId="55" xfId="17" applyNumberFormat="1" applyFont="1" applyFill="1" applyBorder="1" applyAlignment="1">
      <alignment horizontal="center"/>
    </xf>
    <xf numFmtId="3" fontId="113" fillId="34" borderId="55" xfId="17" applyNumberFormat="1" applyFont="1" applyFill="1" applyBorder="1" applyAlignment="1">
      <alignment horizontal="center"/>
    </xf>
    <xf numFmtId="0" fontId="113" fillId="0" borderId="22" xfId="17" applyFont="1" applyBorder="1"/>
    <xf numFmtId="173" fontId="113" fillId="0" borderId="0" xfId="17" applyNumberFormat="1" applyFont="1" applyAlignment="1">
      <alignment horizontal="center"/>
    </xf>
    <xf numFmtId="173" fontId="113" fillId="23" borderId="22" xfId="17" applyNumberFormat="1" applyFont="1" applyFill="1" applyBorder="1"/>
    <xf numFmtId="173" fontId="113" fillId="34" borderId="22" xfId="17" applyNumberFormat="1" applyFont="1" applyFill="1" applyBorder="1"/>
    <xf numFmtId="0" fontId="14" fillId="34" borderId="0" xfId="17" applyFont="1" applyFill="1"/>
    <xf numFmtId="0" fontId="116" fillId="34" borderId="0" xfId="17" applyFill="1" applyAlignment="1">
      <alignment horizontal="center"/>
    </xf>
    <xf numFmtId="0" fontId="122" fillId="13" borderId="0" xfId="17" applyFont="1" applyFill="1" applyAlignment="1">
      <alignment horizontal="left" vertical="top"/>
    </xf>
    <xf numFmtId="0" fontId="123" fillId="45" borderId="170" xfId="17" applyFont="1" applyFill="1" applyBorder="1" applyAlignment="1">
      <alignment horizontal="left" vertical="top" wrapText="1"/>
    </xf>
    <xf numFmtId="0" fontId="124" fillId="45" borderId="170" xfId="17" applyFont="1" applyFill="1" applyBorder="1" applyAlignment="1">
      <alignment horizontal="left" vertical="top" wrapText="1"/>
    </xf>
    <xf numFmtId="0" fontId="125" fillId="45" borderId="170" xfId="17" applyFont="1" applyFill="1" applyBorder="1" applyAlignment="1">
      <alignment horizontal="left" vertical="top" wrapText="1"/>
    </xf>
    <xf numFmtId="0" fontId="123" fillId="45" borderId="171" xfId="17" applyFont="1" applyFill="1" applyBorder="1" applyAlignment="1">
      <alignment horizontal="left" vertical="top" wrapText="1"/>
    </xf>
    <xf numFmtId="0" fontId="123" fillId="45" borderId="176" xfId="17" applyFont="1" applyFill="1" applyBorder="1" applyAlignment="1">
      <alignment horizontal="left" vertical="top" wrapText="1"/>
    </xf>
    <xf numFmtId="0" fontId="124" fillId="13" borderId="171" xfId="17" applyFont="1" applyFill="1" applyBorder="1" applyAlignment="1">
      <alignment horizontal="left" vertical="top" wrapText="1"/>
    </xf>
    <xf numFmtId="0" fontId="124" fillId="13" borderId="176" xfId="17" applyFont="1" applyFill="1" applyBorder="1" applyAlignment="1">
      <alignment horizontal="left" vertical="top" wrapText="1"/>
    </xf>
    <xf numFmtId="0" fontId="123" fillId="46" borderId="170" xfId="17" applyFont="1" applyFill="1" applyBorder="1" applyAlignment="1">
      <alignment horizontal="left" vertical="top" wrapText="1"/>
    </xf>
    <xf numFmtId="0" fontId="124" fillId="46" borderId="170" xfId="17" applyFont="1" applyFill="1" applyBorder="1" applyAlignment="1">
      <alignment horizontal="left" vertical="top" wrapText="1"/>
    </xf>
    <xf numFmtId="0" fontId="123" fillId="46" borderId="171" xfId="17" applyFont="1" applyFill="1" applyBorder="1" applyAlignment="1">
      <alignment horizontal="left" vertical="top" wrapText="1"/>
    </xf>
    <xf numFmtId="14" fontId="123" fillId="46" borderId="171" xfId="17" applyNumberFormat="1" applyFont="1" applyFill="1" applyBorder="1" applyAlignment="1">
      <alignment horizontal="left" vertical="top" wrapText="1"/>
    </xf>
    <xf numFmtId="178" fontId="123" fillId="47" borderId="171" xfId="17" applyNumberFormat="1" applyFont="1" applyFill="1" applyBorder="1" applyAlignment="1">
      <alignment horizontal="right" vertical="top" wrapText="1"/>
    </xf>
    <xf numFmtId="178" fontId="123" fillId="47" borderId="176" xfId="17" applyNumberFormat="1" applyFont="1" applyFill="1" applyBorder="1" applyAlignment="1">
      <alignment horizontal="right" vertical="top" wrapText="1"/>
    </xf>
    <xf numFmtId="178" fontId="124" fillId="47" borderId="171" xfId="17" applyNumberFormat="1" applyFont="1" applyFill="1" applyBorder="1" applyAlignment="1">
      <alignment horizontal="right" vertical="top" wrapText="1"/>
    </xf>
    <xf numFmtId="178" fontId="124" fillId="47" borderId="176" xfId="17" applyNumberFormat="1" applyFont="1" applyFill="1" applyBorder="1" applyAlignment="1">
      <alignment horizontal="right" vertical="top" wrapText="1"/>
    </xf>
    <xf numFmtId="0" fontId="123" fillId="48" borderId="171" xfId="17" applyFont="1" applyFill="1" applyBorder="1" applyAlignment="1">
      <alignment horizontal="left" vertical="top" wrapText="1"/>
    </xf>
    <xf numFmtId="178" fontId="123" fillId="48" borderId="171" xfId="17" applyNumberFormat="1" applyFont="1" applyFill="1" applyBorder="1" applyAlignment="1">
      <alignment horizontal="right" vertical="top" wrapText="1"/>
    </xf>
    <xf numFmtId="178" fontId="123" fillId="48" borderId="176" xfId="17" applyNumberFormat="1" applyFont="1" applyFill="1" applyBorder="1" applyAlignment="1">
      <alignment horizontal="right" vertical="top" wrapText="1"/>
    </xf>
    <xf numFmtId="178" fontId="124" fillId="48" borderId="171" xfId="17" applyNumberFormat="1" applyFont="1" applyFill="1" applyBorder="1" applyAlignment="1">
      <alignment horizontal="right" vertical="top" wrapText="1"/>
    </xf>
    <xf numFmtId="178" fontId="124" fillId="48" borderId="176" xfId="17" applyNumberFormat="1" applyFont="1" applyFill="1" applyBorder="1" applyAlignment="1">
      <alignment horizontal="right" vertical="top" wrapText="1"/>
    </xf>
    <xf numFmtId="0" fontId="124" fillId="46" borderId="173" xfId="17" applyFont="1" applyFill="1" applyBorder="1" applyAlignment="1">
      <alignment horizontal="left" vertical="top" wrapText="1"/>
    </xf>
    <xf numFmtId="0" fontId="124" fillId="46" borderId="171" xfId="17" applyFont="1" applyFill="1" applyBorder="1" applyAlignment="1">
      <alignment horizontal="left" vertical="top" wrapText="1"/>
    </xf>
    <xf numFmtId="0" fontId="127" fillId="0" borderId="0" xfId="17" applyFont="1"/>
    <xf numFmtId="178" fontId="113" fillId="0" borderId="0" xfId="17" applyNumberFormat="1" applyFont="1"/>
    <xf numFmtId="178" fontId="128" fillId="0" borderId="0" xfId="17" applyNumberFormat="1" applyFont="1"/>
    <xf numFmtId="170" fontId="127" fillId="13" borderId="0" xfId="17" applyNumberFormat="1" applyFont="1" applyFill="1"/>
    <xf numFmtId="0" fontId="14" fillId="13" borderId="0" xfId="17" applyFont="1" applyFill="1"/>
    <xf numFmtId="0" fontId="127" fillId="13" borderId="0" xfId="17" applyFont="1" applyFill="1"/>
    <xf numFmtId="0" fontId="113" fillId="13" borderId="0" xfId="17" applyFont="1" applyFill="1"/>
    <xf numFmtId="174" fontId="113" fillId="13" borderId="0" xfId="17" applyNumberFormat="1" applyFont="1" applyFill="1"/>
    <xf numFmtId="174" fontId="14" fillId="0" borderId="0" xfId="17" applyNumberFormat="1" applyFont="1"/>
    <xf numFmtId="174" fontId="113" fillId="0" borderId="0" xfId="17" applyNumberFormat="1" applyFont="1"/>
    <xf numFmtId="174" fontId="113" fillId="44" borderId="0" xfId="17" applyNumberFormat="1" applyFont="1" applyFill="1"/>
    <xf numFmtId="170" fontId="116" fillId="0" borderId="0" xfId="17" applyNumberFormat="1"/>
    <xf numFmtId="0" fontId="113" fillId="0" borderId="0" xfId="17" applyFont="1" applyAlignment="1">
      <alignment vertical="top"/>
    </xf>
    <xf numFmtId="0" fontId="116" fillId="0" borderId="0" xfId="17" applyAlignment="1">
      <alignment vertical="top"/>
    </xf>
    <xf numFmtId="4" fontId="116" fillId="0" borderId="0" xfId="17" applyNumberFormat="1" applyAlignment="1">
      <alignment vertical="top"/>
    </xf>
    <xf numFmtId="4" fontId="116" fillId="0" borderId="0" xfId="17" applyNumberFormat="1" applyAlignment="1">
      <alignment horizontal="center" vertical="top"/>
    </xf>
    <xf numFmtId="174" fontId="116" fillId="0" borderId="0" xfId="17" applyNumberFormat="1" applyAlignment="1">
      <alignment vertical="top"/>
    </xf>
    <xf numFmtId="0" fontId="129" fillId="0" borderId="0" xfId="17" applyFont="1" applyAlignment="1">
      <alignment vertical="top"/>
    </xf>
    <xf numFmtId="0" fontId="130" fillId="0" borderId="0" xfId="17" applyFont="1" applyAlignment="1">
      <alignment vertical="top"/>
    </xf>
    <xf numFmtId="4" fontId="131" fillId="0" borderId="0" xfId="17" applyNumberFormat="1" applyFont="1" applyAlignment="1">
      <alignment vertical="top"/>
    </xf>
    <xf numFmtId="0" fontId="14" fillId="0" borderId="0" xfId="17" applyFont="1" applyAlignment="1">
      <alignment vertical="top"/>
    </xf>
    <xf numFmtId="0" fontId="113" fillId="13" borderId="0" xfId="17" applyFont="1" applyFill="1" applyAlignment="1">
      <alignment vertical="top"/>
    </xf>
    <xf numFmtId="4" fontId="132" fillId="13" borderId="0" xfId="17" applyNumberFormat="1" applyFont="1" applyFill="1" applyAlignment="1">
      <alignment vertical="top"/>
    </xf>
    <xf numFmtId="4" fontId="113" fillId="13" borderId="0" xfId="17" applyNumberFormat="1" applyFont="1" applyFill="1" applyAlignment="1">
      <alignment horizontal="center" vertical="top"/>
    </xf>
    <xf numFmtId="0" fontId="113" fillId="44" borderId="0" xfId="17" applyFont="1" applyFill="1" applyAlignment="1">
      <alignment vertical="top" wrapText="1"/>
    </xf>
    <xf numFmtId="174" fontId="113" fillId="44" borderId="0" xfId="17" applyNumberFormat="1" applyFont="1" applyFill="1" applyAlignment="1">
      <alignment vertical="top" wrapText="1"/>
    </xf>
    <xf numFmtId="0" fontId="116" fillId="0" borderId="0" xfId="17" applyAlignment="1">
      <alignment horizontal="left" vertical="top"/>
    </xf>
    <xf numFmtId="0" fontId="116" fillId="13" borderId="0" xfId="17" applyFill="1" applyAlignment="1">
      <alignment vertical="top"/>
    </xf>
    <xf numFmtId="0" fontId="14" fillId="44" borderId="0" xfId="17" applyFont="1" applyFill="1" applyAlignment="1">
      <alignment vertical="top"/>
    </xf>
    <xf numFmtId="4" fontId="131" fillId="44" borderId="0" xfId="17" applyNumberFormat="1" applyFont="1" applyFill="1" applyAlignment="1">
      <alignment vertical="top"/>
    </xf>
    <xf numFmtId="4" fontId="116" fillId="44" borderId="0" xfId="17" applyNumberFormat="1" applyFill="1" applyAlignment="1">
      <alignment horizontal="center" vertical="top"/>
    </xf>
    <xf numFmtId="4" fontId="116" fillId="44" borderId="0" xfId="17" applyNumberFormat="1" applyFill="1" applyAlignment="1">
      <alignment vertical="top"/>
    </xf>
    <xf numFmtId="3" fontId="113" fillId="0" borderId="0" xfId="17" applyNumberFormat="1" applyFont="1" applyAlignment="1">
      <alignment vertical="top"/>
    </xf>
    <xf numFmtId="174" fontId="113" fillId="0" borderId="0" xfId="17" applyNumberFormat="1" applyFont="1" applyAlignment="1">
      <alignment vertical="top"/>
    </xf>
    <xf numFmtId="0" fontId="133" fillId="0" borderId="0" xfId="17" applyFont="1" applyAlignment="1">
      <alignment vertical="top"/>
    </xf>
    <xf numFmtId="0" fontId="134" fillId="0" borderId="0" xfId="17" applyFont="1" applyAlignment="1">
      <alignment vertical="top"/>
    </xf>
    <xf numFmtId="49" fontId="119" fillId="0" borderId="177" xfId="15" applyNumberFormat="1" applyFont="1" applyBorder="1" applyAlignment="1">
      <alignment horizontal="center" vertical="top"/>
    </xf>
    <xf numFmtId="0" fontId="119" fillId="0" borderId="177" xfId="15" applyFont="1" applyBorder="1" applyAlignment="1">
      <alignment vertical="top"/>
    </xf>
    <xf numFmtId="3" fontId="119" fillId="0" borderId="178" xfId="15" applyNumberFormat="1" applyFont="1" applyBorder="1" applyAlignment="1">
      <alignment vertical="top"/>
    </xf>
    <xf numFmtId="0" fontId="119" fillId="44" borderId="177" xfId="15" applyFont="1" applyFill="1" applyBorder="1" applyAlignment="1">
      <alignment horizontal="center" vertical="top"/>
    </xf>
    <xf numFmtId="0" fontId="119" fillId="0" borderId="177" xfId="15" applyFont="1" applyBorder="1" applyAlignment="1">
      <alignment horizontal="center" vertical="top"/>
    </xf>
    <xf numFmtId="49" fontId="135" fillId="0" borderId="177" xfId="15" applyNumberFormat="1" applyFont="1" applyBorder="1" applyAlignment="1">
      <alignment horizontal="center" vertical="top"/>
    </xf>
    <xf numFmtId="3" fontId="136" fillId="0" borderId="178" xfId="15" applyNumberFormat="1" applyFont="1" applyBorder="1" applyAlignment="1">
      <alignment vertical="top"/>
    </xf>
    <xf numFmtId="0" fontId="137" fillId="34" borderId="177" xfId="15" applyFont="1" applyFill="1" applyBorder="1" applyAlignment="1">
      <alignment horizontal="center" vertical="top"/>
    </xf>
    <xf numFmtId="0" fontId="138" fillId="0" borderId="0" xfId="17" applyFont="1" applyAlignment="1">
      <alignment vertical="top"/>
    </xf>
    <xf numFmtId="4" fontId="7" fillId="4" borderId="87" xfId="2" applyNumberFormat="1" applyBorder="1" applyProtection="1">
      <protection locked="0"/>
    </xf>
    <xf numFmtId="0" fontId="87" fillId="0" borderId="22" xfId="17" applyFont="1" applyBorder="1" applyAlignment="1">
      <alignment horizontal="left" vertical="top"/>
    </xf>
    <xf numFmtId="4" fontId="87" fillId="0" borderId="22" xfId="17" applyNumberFormat="1" applyFont="1" applyBorder="1" applyAlignment="1">
      <alignment horizontal="center" vertical="top"/>
    </xf>
    <xf numFmtId="4" fontId="87" fillId="0" borderId="22" xfId="17" applyNumberFormat="1" applyFont="1" applyBorder="1" applyAlignment="1">
      <alignment horizontal="left" vertical="top"/>
    </xf>
    <xf numFmtId="0" fontId="115" fillId="0" borderId="0" xfId="18" applyAlignment="1" applyProtection="1">
      <alignment horizontal="left"/>
    </xf>
    <xf numFmtId="4" fontId="116" fillId="0" borderId="0" xfId="17" applyNumberFormat="1" applyAlignment="1">
      <alignment horizontal="center"/>
    </xf>
    <xf numFmtId="4" fontId="113" fillId="28" borderId="0" xfId="17" applyNumberFormat="1" applyFont="1" applyFill="1" applyAlignment="1">
      <alignment horizontal="center"/>
    </xf>
    <xf numFmtId="0" fontId="14" fillId="0" borderId="0" xfId="17" applyFont="1" applyAlignment="1">
      <alignment horizontal="left"/>
    </xf>
    <xf numFmtId="0" fontId="115" fillId="0" borderId="0" xfId="18" applyAlignment="1" applyProtection="1"/>
    <xf numFmtId="4" fontId="116" fillId="28" borderId="0" xfId="17" applyNumberFormat="1" applyFill="1" applyAlignment="1">
      <alignment horizontal="center"/>
    </xf>
    <xf numFmtId="0" fontId="115" fillId="0" borderId="0" xfId="18" applyAlignment="1"/>
    <xf numFmtId="0" fontId="115" fillId="0" borderId="0" xfId="18" applyAlignment="1">
      <alignment horizontal="left"/>
    </xf>
    <xf numFmtId="0" fontId="115" fillId="0" borderId="0" xfId="18"/>
    <xf numFmtId="0" fontId="116" fillId="28" borderId="0" xfId="17" applyFill="1" applyAlignment="1">
      <alignment horizontal="center"/>
    </xf>
    <xf numFmtId="4" fontId="8" fillId="28" borderId="0" xfId="17" applyNumberFormat="1" applyFont="1" applyFill="1" applyAlignment="1">
      <alignment horizontal="center"/>
    </xf>
    <xf numFmtId="0" fontId="115" fillId="0" borderId="0" xfId="16" applyAlignment="1" applyProtection="1"/>
    <xf numFmtId="4" fontId="78" fillId="0" borderId="0" xfId="15" applyNumberFormat="1" applyAlignment="1">
      <alignment horizontal="center"/>
    </xf>
    <xf numFmtId="4" fontId="8" fillId="28" borderId="0" xfId="15" applyNumberFormat="1" applyFont="1" applyFill="1" applyAlignment="1">
      <alignment horizontal="center"/>
    </xf>
    <xf numFmtId="0" fontId="29" fillId="0" borderId="0" xfId="15" applyFont="1"/>
    <xf numFmtId="4" fontId="78" fillId="0" borderId="0" xfId="15" applyNumberFormat="1"/>
    <xf numFmtId="0" fontId="78" fillId="0" borderId="0" xfId="15" applyAlignment="1">
      <alignment horizontal="center"/>
    </xf>
    <xf numFmtId="49" fontId="139" fillId="49" borderId="0" xfId="15" applyNumberFormat="1" applyFont="1" applyFill="1" applyAlignment="1">
      <alignment horizontal="left" vertical="top"/>
    </xf>
    <xf numFmtId="49" fontId="119" fillId="49" borderId="0" xfId="15" applyNumberFormat="1" applyFont="1" applyFill="1" applyAlignment="1">
      <alignment horizontal="center" vertical="top"/>
    </xf>
    <xf numFmtId="0" fontId="119" fillId="49" borderId="0" xfId="15" applyFont="1" applyFill="1" applyAlignment="1">
      <alignment vertical="top"/>
    </xf>
    <xf numFmtId="3" fontId="119" fillId="49" borderId="0" xfId="15" applyNumberFormat="1" applyFont="1" applyFill="1" applyAlignment="1">
      <alignment vertical="top"/>
    </xf>
    <xf numFmtId="183" fontId="119" fillId="49" borderId="0" xfId="15" applyNumberFormat="1" applyFont="1" applyFill="1" applyAlignment="1">
      <alignment vertical="top"/>
    </xf>
    <xf numFmtId="9" fontId="119" fillId="49" borderId="0" xfId="15" applyNumberFormat="1" applyFont="1" applyFill="1" applyAlignment="1">
      <alignment vertical="top"/>
    </xf>
    <xf numFmtId="0" fontId="119" fillId="49" borderId="0" xfId="15" applyFont="1" applyFill="1" applyAlignment="1">
      <alignment horizontal="center" vertical="top"/>
    </xf>
    <xf numFmtId="4" fontId="119" fillId="49" borderId="0" xfId="15" applyNumberFormat="1" applyFont="1" applyFill="1" applyAlignment="1">
      <alignment horizontal="center" vertical="top"/>
    </xf>
    <xf numFmtId="1" fontId="94" fillId="49" borderId="0" xfId="15" applyNumberFormat="1" applyFont="1" applyFill="1" applyAlignment="1">
      <alignment horizontal="center" vertical="top"/>
    </xf>
    <xf numFmtId="49" fontId="139" fillId="50" borderId="179" xfId="15" applyNumberFormat="1" applyFont="1" applyFill="1" applyBorder="1" applyAlignment="1">
      <alignment horizontal="center" vertical="top"/>
    </xf>
    <xf numFmtId="0" fontId="139" fillId="50" borderId="179" xfId="15" applyFont="1" applyFill="1" applyBorder="1" applyAlignment="1">
      <alignment vertical="top"/>
    </xf>
    <xf numFmtId="0" fontId="139" fillId="49" borderId="179" xfId="15" applyFont="1" applyFill="1" applyBorder="1" applyAlignment="1">
      <alignment horizontal="center" vertical="top"/>
    </xf>
    <xf numFmtId="3" fontId="139" fillId="50" borderId="179" xfId="15" applyNumberFormat="1" applyFont="1" applyFill="1" applyBorder="1" applyAlignment="1">
      <alignment vertical="top"/>
    </xf>
    <xf numFmtId="3" fontId="139" fillId="51" borderId="179" xfId="15" applyNumberFormat="1" applyFont="1" applyFill="1" applyBorder="1" applyAlignment="1">
      <alignment vertical="top"/>
    </xf>
    <xf numFmtId="183" fontId="139" fillId="51" borderId="179" xfId="15" applyNumberFormat="1" applyFont="1" applyFill="1" applyBorder="1" applyAlignment="1">
      <alignment vertical="top"/>
    </xf>
    <xf numFmtId="0" fontId="139" fillId="51" borderId="179" xfId="15" applyFont="1" applyFill="1" applyBorder="1" applyAlignment="1">
      <alignment vertical="top"/>
    </xf>
    <xf numFmtId="0" fontId="139" fillId="51" borderId="179" xfId="15" applyFont="1" applyFill="1" applyBorder="1" applyAlignment="1">
      <alignment vertical="top" wrapText="1"/>
    </xf>
    <xf numFmtId="9" fontId="139" fillId="50" borderId="179" xfId="15" applyNumberFormat="1" applyFont="1" applyFill="1" applyBorder="1" applyAlignment="1">
      <alignment vertical="top"/>
    </xf>
    <xf numFmtId="0" fontId="139" fillId="51" borderId="179" xfId="15" applyFont="1" applyFill="1" applyBorder="1" applyAlignment="1">
      <alignment horizontal="center" vertical="top"/>
    </xf>
    <xf numFmtId="4" fontId="139" fillId="11" borderId="179" xfId="15" applyNumberFormat="1" applyFont="1" applyFill="1" applyBorder="1" applyAlignment="1">
      <alignment horizontal="center" vertical="top" wrapText="1"/>
    </xf>
    <xf numFmtId="0" fontId="139" fillId="52" borderId="179" xfId="15" applyFont="1" applyFill="1" applyBorder="1" applyAlignment="1">
      <alignment vertical="top"/>
    </xf>
    <xf numFmtId="0" fontId="139" fillId="26" borderId="179" xfId="15" applyFont="1" applyFill="1" applyBorder="1" applyAlignment="1">
      <alignment vertical="top"/>
    </xf>
    <xf numFmtId="0" fontId="119" fillId="51" borderId="179" xfId="15" applyFont="1" applyFill="1" applyBorder="1" applyAlignment="1">
      <alignment vertical="top"/>
    </xf>
    <xf numFmtId="0" fontId="119" fillId="52" borderId="179" xfId="15" applyFont="1" applyFill="1" applyBorder="1" applyAlignment="1">
      <alignment vertical="top"/>
    </xf>
    <xf numFmtId="1" fontId="140" fillId="50" borderId="0" xfId="15" applyNumberFormat="1" applyFont="1" applyFill="1" applyAlignment="1">
      <alignment horizontal="center" vertical="top"/>
    </xf>
    <xf numFmtId="49" fontId="119" fillId="49" borderId="178" xfId="15" applyNumberFormat="1" applyFont="1" applyFill="1" applyBorder="1" applyAlignment="1">
      <alignment horizontal="center" vertical="top"/>
    </xf>
    <xf numFmtId="0" fontId="119" fillId="49" borderId="178" xfId="15" applyFont="1" applyFill="1" applyBorder="1" applyAlignment="1">
      <alignment vertical="top"/>
    </xf>
    <xf numFmtId="0" fontId="119" fillId="49" borderId="178" xfId="15" applyFont="1" applyFill="1" applyBorder="1" applyAlignment="1">
      <alignment horizontal="center" vertical="top"/>
    </xf>
    <xf numFmtId="3" fontId="119" fillId="27" borderId="178" xfId="15" applyNumberFormat="1" applyFont="1" applyFill="1" applyBorder="1" applyAlignment="1">
      <alignment vertical="top"/>
    </xf>
    <xf numFmtId="183" fontId="119" fillId="53" borderId="178" xfId="15" applyNumberFormat="1" applyFont="1" applyFill="1" applyBorder="1" applyAlignment="1">
      <alignment horizontal="center" vertical="top"/>
    </xf>
    <xf numFmtId="0" fontId="119" fillId="49" borderId="180" xfId="15" applyFont="1" applyFill="1" applyBorder="1" applyAlignment="1">
      <alignment horizontal="center" vertical="top"/>
    </xf>
    <xf numFmtId="3" fontId="119" fillId="49" borderId="178" xfId="15" applyNumberFormat="1" applyFont="1" applyFill="1" applyBorder="1" applyAlignment="1">
      <alignment vertical="top"/>
    </xf>
    <xf numFmtId="9" fontId="119" fillId="49" borderId="178" xfId="15" applyNumberFormat="1" applyFont="1" applyFill="1" applyBorder="1" applyAlignment="1">
      <alignment vertical="top"/>
    </xf>
    <xf numFmtId="4" fontId="119" fillId="0" borderId="178" xfId="15" applyNumberFormat="1" applyFont="1" applyBorder="1" applyAlignment="1">
      <alignment horizontal="center" vertical="top"/>
    </xf>
    <xf numFmtId="0" fontId="119" fillId="53" borderId="178" xfId="15" applyFont="1" applyFill="1" applyBorder="1" applyAlignment="1">
      <alignment horizontal="center" vertical="top"/>
    </xf>
    <xf numFmtId="0" fontId="119" fillId="0" borderId="178" xfId="15" applyFont="1" applyBorder="1" applyAlignment="1">
      <alignment horizontal="left" vertical="top"/>
    </xf>
    <xf numFmtId="3" fontId="141" fillId="49" borderId="178" xfId="15" applyNumberFormat="1" applyFont="1" applyFill="1" applyBorder="1" applyAlignment="1">
      <alignment vertical="top"/>
    </xf>
    <xf numFmtId="3" fontId="142" fillId="49" borderId="178" xfId="15" applyNumberFormat="1" applyFont="1" applyFill="1" applyBorder="1" applyAlignment="1">
      <alignment vertical="top"/>
    </xf>
    <xf numFmtId="0" fontId="143" fillId="49" borderId="178" xfId="15" applyFont="1" applyFill="1" applyBorder="1" applyAlignment="1">
      <alignment vertical="top"/>
    </xf>
    <xf numFmtId="0" fontId="143" fillId="49" borderId="181" xfId="15" applyFont="1" applyFill="1" applyBorder="1" applyAlignment="1">
      <alignment vertical="top"/>
    </xf>
    <xf numFmtId="1" fontId="94" fillId="49" borderId="22" xfId="15" applyNumberFormat="1" applyFont="1" applyFill="1" applyBorder="1" applyAlignment="1">
      <alignment horizontal="center" vertical="top"/>
    </xf>
    <xf numFmtId="49" fontId="119" fillId="49" borderId="177" xfId="15" applyNumberFormat="1" applyFont="1" applyFill="1" applyBorder="1" applyAlignment="1">
      <alignment horizontal="center" vertical="top"/>
    </xf>
    <xf numFmtId="0" fontId="119" fillId="49" borderId="177" xfId="15" applyFont="1" applyFill="1" applyBorder="1" applyAlignment="1">
      <alignment vertical="top"/>
    </xf>
    <xf numFmtId="0" fontId="119" fillId="49" borderId="177" xfId="15" applyFont="1" applyFill="1" applyBorder="1" applyAlignment="1">
      <alignment horizontal="center" vertical="top"/>
    </xf>
    <xf numFmtId="183" fontId="119" fillId="53" borderId="177" xfId="15" applyNumberFormat="1" applyFont="1" applyFill="1" applyBorder="1" applyAlignment="1">
      <alignment horizontal="center" vertical="top"/>
    </xf>
    <xf numFmtId="0" fontId="119" fillId="53" borderId="177" xfId="15" applyFont="1" applyFill="1" applyBorder="1" applyAlignment="1">
      <alignment horizontal="center" vertical="top"/>
    </xf>
    <xf numFmtId="9" fontId="119" fillId="53" borderId="178" xfId="15" applyNumberFormat="1" applyFont="1" applyFill="1" applyBorder="1" applyAlignment="1">
      <alignment vertical="top"/>
    </xf>
    <xf numFmtId="0" fontId="119" fillId="49" borderId="182" xfId="15" applyFont="1" applyFill="1" applyBorder="1" applyAlignment="1">
      <alignment horizontal="center" vertical="top"/>
    </xf>
    <xf numFmtId="0" fontId="119" fillId="53" borderId="182" xfId="15" applyFont="1" applyFill="1" applyBorder="1" applyAlignment="1">
      <alignment horizontal="center" vertical="top"/>
    </xf>
    <xf numFmtId="0" fontId="119" fillId="0" borderId="182" xfId="15" applyFont="1" applyBorder="1" applyAlignment="1">
      <alignment horizontal="left" vertical="top"/>
    </xf>
    <xf numFmtId="0" fontId="119" fillId="49" borderId="182" xfId="15" applyFont="1" applyFill="1" applyBorder="1" applyAlignment="1">
      <alignment vertical="top"/>
    </xf>
    <xf numFmtId="0" fontId="143" fillId="49" borderId="177" xfId="15" applyFont="1" applyFill="1" applyBorder="1" applyAlignment="1">
      <alignment vertical="top"/>
    </xf>
    <xf numFmtId="0" fontId="143" fillId="49" borderId="183" xfId="15" applyFont="1" applyFill="1" applyBorder="1" applyAlignment="1">
      <alignment vertical="top"/>
    </xf>
    <xf numFmtId="0" fontId="119" fillId="19" borderId="177" xfId="15" applyFont="1" applyFill="1" applyBorder="1" applyAlignment="1">
      <alignment horizontal="center" vertical="top"/>
    </xf>
    <xf numFmtId="4" fontId="119" fillId="27" borderId="178" xfId="15" applyNumberFormat="1" applyFont="1" applyFill="1" applyBorder="1" applyAlignment="1">
      <alignment horizontal="center" vertical="top"/>
    </xf>
    <xf numFmtId="3" fontId="119" fillId="52" borderId="178" xfId="15" applyNumberFormat="1" applyFont="1" applyFill="1" applyBorder="1" applyAlignment="1">
      <alignment vertical="top"/>
    </xf>
    <xf numFmtId="183" fontId="119" fillId="49" borderId="177" xfId="15" applyNumberFormat="1" applyFont="1" applyFill="1" applyBorder="1" applyAlignment="1">
      <alignment horizontal="center" vertical="top"/>
    </xf>
    <xf numFmtId="0" fontId="144" fillId="49" borderId="177" xfId="19" applyFill="1" applyBorder="1" applyAlignment="1">
      <alignment vertical="top"/>
    </xf>
    <xf numFmtId="0" fontId="119" fillId="49" borderId="183" xfId="15" applyFont="1" applyFill="1" applyBorder="1" applyAlignment="1">
      <alignment vertical="top"/>
    </xf>
    <xf numFmtId="49" fontId="119" fillId="0" borderId="0" xfId="15" applyNumberFormat="1" applyFont="1" applyAlignment="1">
      <alignment horizontal="center" vertical="top"/>
    </xf>
    <xf numFmtId="3" fontId="119" fillId="49" borderId="177" xfId="15" applyNumberFormat="1" applyFont="1" applyFill="1" applyBorder="1" applyAlignment="1">
      <alignment vertical="top"/>
    </xf>
    <xf numFmtId="9" fontId="119" fillId="49" borderId="177" xfId="15" applyNumberFormat="1" applyFont="1" applyFill="1" applyBorder="1" applyAlignment="1">
      <alignment vertical="top"/>
    </xf>
    <xf numFmtId="0" fontId="119" fillId="54" borderId="177" xfId="15" applyFont="1" applyFill="1" applyBorder="1" applyAlignment="1">
      <alignment horizontal="center" vertical="top"/>
    </xf>
    <xf numFmtId="0" fontId="119" fillId="0" borderId="177" xfId="15" applyFont="1" applyBorder="1" applyAlignment="1">
      <alignment horizontal="left" vertical="top"/>
    </xf>
    <xf numFmtId="3" fontId="94" fillId="55" borderId="178" xfId="15" applyNumberFormat="1" applyFont="1" applyFill="1" applyBorder="1" applyAlignment="1">
      <alignment vertical="top"/>
    </xf>
    <xf numFmtId="3" fontId="136" fillId="55" borderId="178" xfId="15" applyNumberFormat="1" applyFont="1" applyFill="1" applyBorder="1" applyAlignment="1">
      <alignment vertical="top"/>
    </xf>
    <xf numFmtId="3" fontId="142" fillId="52" borderId="178" xfId="15" applyNumberFormat="1" applyFont="1" applyFill="1" applyBorder="1" applyAlignment="1">
      <alignment vertical="top"/>
    </xf>
    <xf numFmtId="3" fontId="119" fillId="34" borderId="178" xfId="15" applyNumberFormat="1" applyFont="1" applyFill="1" applyBorder="1" applyAlignment="1">
      <alignment vertical="top"/>
    </xf>
    <xf numFmtId="9" fontId="119" fillId="53" borderId="177" xfId="15" applyNumberFormat="1" applyFont="1" applyFill="1" applyBorder="1" applyAlignment="1">
      <alignment vertical="top"/>
    </xf>
    <xf numFmtId="0" fontId="119" fillId="49" borderId="177" xfId="15" applyFont="1" applyFill="1" applyBorder="1" applyAlignment="1">
      <alignment vertical="top" wrapText="1"/>
    </xf>
    <xf numFmtId="0" fontId="143" fillId="49" borderId="183" xfId="15" applyFont="1" applyFill="1" applyBorder="1" applyAlignment="1">
      <alignment vertical="top" wrapText="1"/>
    </xf>
    <xf numFmtId="3" fontId="119" fillId="0" borderId="177" xfId="15" applyNumberFormat="1" applyFont="1" applyBorder="1" applyAlignment="1">
      <alignment vertical="top"/>
    </xf>
    <xf numFmtId="3" fontId="119" fillId="15" borderId="177" xfId="15" applyNumberFormat="1" applyFont="1" applyFill="1" applyBorder="1" applyAlignment="1">
      <alignment vertical="top"/>
    </xf>
    <xf numFmtId="3" fontId="136" fillId="49" borderId="178" xfId="15" applyNumberFormat="1" applyFont="1" applyFill="1" applyBorder="1" applyAlignment="1">
      <alignment vertical="top"/>
    </xf>
    <xf numFmtId="0" fontId="136" fillId="49" borderId="177" xfId="15" applyFont="1" applyFill="1" applyBorder="1" applyAlignment="1">
      <alignment horizontal="center" vertical="top"/>
    </xf>
    <xf numFmtId="0" fontId="136" fillId="0" borderId="177" xfId="15" applyFont="1" applyBorder="1" applyAlignment="1">
      <alignment horizontal="left" vertical="top"/>
    </xf>
    <xf numFmtId="3" fontId="145" fillId="55" borderId="178" xfId="15" applyNumberFormat="1" applyFont="1" applyFill="1" applyBorder="1" applyAlignment="1">
      <alignment vertical="top"/>
    </xf>
    <xf numFmtId="3" fontId="142" fillId="0" borderId="178" xfId="15" applyNumberFormat="1" applyFont="1" applyBorder="1" applyAlignment="1">
      <alignment vertical="top"/>
    </xf>
    <xf numFmtId="3" fontId="145" fillId="0" borderId="178" xfId="15" applyNumberFormat="1" applyFont="1" applyBorder="1" applyAlignment="1">
      <alignment vertical="top"/>
    </xf>
    <xf numFmtId="0" fontId="119" fillId="0" borderId="184" xfId="15" applyFont="1" applyBorder="1" applyAlignment="1">
      <alignment vertical="top"/>
    </xf>
    <xf numFmtId="183" fontId="119" fillId="0" borderId="177" xfId="15" applyNumberFormat="1" applyFont="1" applyBorder="1" applyAlignment="1">
      <alignment horizontal="center" vertical="top"/>
    </xf>
    <xf numFmtId="0" fontId="146" fillId="0" borderId="177" xfId="15" applyFont="1" applyBorder="1" applyAlignment="1">
      <alignment horizontal="left" vertical="top"/>
    </xf>
    <xf numFmtId="3" fontId="145" fillId="49" borderId="178" xfId="15" applyNumberFormat="1" applyFont="1" applyFill="1" applyBorder="1" applyAlignment="1">
      <alignment vertical="top"/>
    </xf>
    <xf numFmtId="0" fontId="143" fillId="0" borderId="177" xfId="15" applyFont="1" applyBorder="1" applyAlignment="1">
      <alignment vertical="top"/>
    </xf>
    <xf numFmtId="0" fontId="144" fillId="0" borderId="183" xfId="19" applyFill="1" applyBorder="1" applyAlignment="1">
      <alignment vertical="top"/>
    </xf>
    <xf numFmtId="1" fontId="94" fillId="0" borderId="22" xfId="15" applyNumberFormat="1" applyFont="1" applyBorder="1" applyAlignment="1">
      <alignment horizontal="center" vertical="top"/>
    </xf>
    <xf numFmtId="49" fontId="119" fillId="34" borderId="177" xfId="15" applyNumberFormat="1" applyFont="1" applyFill="1" applyBorder="1" applyAlignment="1">
      <alignment horizontal="center" vertical="top"/>
    </xf>
    <xf numFmtId="0" fontId="119" fillId="34" borderId="177" xfId="15" applyFont="1" applyFill="1" applyBorder="1" applyAlignment="1">
      <alignment vertical="top"/>
    </xf>
    <xf numFmtId="0" fontId="119" fillId="52" borderId="178" xfId="15" applyFont="1" applyFill="1" applyBorder="1" applyAlignment="1">
      <alignment vertical="top"/>
    </xf>
    <xf numFmtId="0" fontId="119" fillId="34" borderId="177" xfId="15" applyFont="1" applyFill="1" applyBorder="1" applyAlignment="1">
      <alignment horizontal="center" vertical="top"/>
    </xf>
    <xf numFmtId="3" fontId="119" fillId="34" borderId="177" xfId="15" applyNumberFormat="1" applyFont="1" applyFill="1" applyBorder="1" applyAlignment="1">
      <alignment vertical="top"/>
    </xf>
    <xf numFmtId="183" fontId="119" fillId="34" borderId="177" xfId="15" applyNumberFormat="1" applyFont="1" applyFill="1" applyBorder="1" applyAlignment="1">
      <alignment horizontal="center" vertical="top"/>
    </xf>
    <xf numFmtId="9" fontId="119" fillId="34" borderId="177" xfId="15" applyNumberFormat="1" applyFont="1" applyFill="1" applyBorder="1" applyAlignment="1">
      <alignment vertical="top"/>
    </xf>
    <xf numFmtId="9" fontId="119" fillId="52" borderId="178" xfId="15" applyNumberFormat="1" applyFont="1" applyFill="1" applyBorder="1" applyAlignment="1">
      <alignment vertical="top"/>
    </xf>
    <xf numFmtId="0" fontId="119" fillId="52" borderId="182" xfId="15" applyFont="1" applyFill="1" applyBorder="1" applyAlignment="1">
      <alignment horizontal="center" vertical="top"/>
    </xf>
    <xf numFmtId="4" fontId="147" fillId="0" borderId="182" xfId="15" applyNumberFormat="1" applyFont="1" applyBorder="1" applyAlignment="1">
      <alignment horizontal="center" vertical="top"/>
    </xf>
    <xf numFmtId="0" fontId="119" fillId="34" borderId="177" xfId="15" applyFont="1" applyFill="1" applyBorder="1" applyAlignment="1">
      <alignment horizontal="left" vertical="top"/>
    </xf>
    <xf numFmtId="3" fontId="141" fillId="52" borderId="178" xfId="15" applyNumberFormat="1" applyFont="1" applyFill="1" applyBorder="1" applyAlignment="1">
      <alignment vertical="top"/>
    </xf>
    <xf numFmtId="0" fontId="119" fillId="52" borderId="182" xfId="15" applyFont="1" applyFill="1" applyBorder="1" applyAlignment="1">
      <alignment vertical="top"/>
    </xf>
    <xf numFmtId="0" fontId="144" fillId="34" borderId="177" xfId="19" applyFill="1" applyBorder="1" applyAlignment="1">
      <alignment vertical="top"/>
    </xf>
    <xf numFmtId="0" fontId="143" fillId="34" borderId="177" xfId="15" applyFont="1" applyFill="1" applyBorder="1" applyAlignment="1">
      <alignment vertical="top"/>
    </xf>
    <xf numFmtId="0" fontId="143" fillId="34" borderId="183" xfId="15" applyFont="1" applyFill="1" applyBorder="1" applyAlignment="1">
      <alignment vertical="top"/>
    </xf>
    <xf numFmtId="1" fontId="94" fillId="52" borderId="22" xfId="15" applyNumberFormat="1" applyFont="1" applyFill="1" applyBorder="1" applyAlignment="1">
      <alignment horizontal="center" vertical="top"/>
    </xf>
    <xf numFmtId="0" fontId="78" fillId="34" borderId="0" xfId="15" applyFill="1"/>
    <xf numFmtId="49" fontId="119" fillId="52" borderId="177" xfId="15" applyNumberFormat="1" applyFont="1" applyFill="1" applyBorder="1" applyAlignment="1">
      <alignment horizontal="center" vertical="top"/>
    </xf>
    <xf numFmtId="0" fontId="119" fillId="52" borderId="177" xfId="15" applyFont="1" applyFill="1" applyBorder="1" applyAlignment="1">
      <alignment vertical="top"/>
    </xf>
    <xf numFmtId="0" fontId="119" fillId="52" borderId="177" xfId="15" applyFont="1" applyFill="1" applyBorder="1" applyAlignment="1">
      <alignment horizontal="center" vertical="top"/>
    </xf>
    <xf numFmtId="183" fontId="119" fillId="52" borderId="177" xfId="15" applyNumberFormat="1" applyFont="1" applyFill="1" applyBorder="1" applyAlignment="1">
      <alignment horizontal="center" vertical="top"/>
    </xf>
    <xf numFmtId="3" fontId="119" fillId="52" borderId="177" xfId="15" applyNumberFormat="1" applyFont="1" applyFill="1" applyBorder="1" applyAlignment="1">
      <alignment vertical="top"/>
    </xf>
    <xf numFmtId="9" fontId="119" fillId="52" borderId="177" xfId="15" applyNumberFormat="1" applyFont="1" applyFill="1" applyBorder="1" applyAlignment="1">
      <alignment vertical="top"/>
    </xf>
    <xf numFmtId="4" fontId="147" fillId="0" borderId="178" xfId="15" applyNumberFormat="1" applyFont="1" applyBorder="1" applyAlignment="1">
      <alignment horizontal="center" vertical="top"/>
    </xf>
    <xf numFmtId="3" fontId="145" fillId="52" borderId="178" xfId="15" applyNumberFormat="1" applyFont="1" applyFill="1" applyBorder="1" applyAlignment="1">
      <alignment vertical="top"/>
    </xf>
    <xf numFmtId="0" fontId="144" fillId="34" borderId="183" xfId="19" applyFill="1" applyBorder="1" applyAlignment="1">
      <alignment vertical="top"/>
    </xf>
    <xf numFmtId="1" fontId="95" fillId="34" borderId="22" xfId="19" applyNumberFormat="1" applyFont="1" applyFill="1" applyBorder="1" applyAlignment="1">
      <alignment horizontal="center" vertical="top"/>
    </xf>
    <xf numFmtId="3" fontId="119" fillId="27" borderId="182" xfId="15" applyNumberFormat="1" applyFont="1" applyFill="1" applyBorder="1" applyAlignment="1">
      <alignment vertical="top"/>
    </xf>
    <xf numFmtId="9" fontId="119" fillId="0" borderId="177" xfId="15" applyNumberFormat="1" applyFont="1" applyBorder="1" applyAlignment="1">
      <alignment vertical="top"/>
    </xf>
    <xf numFmtId="0" fontId="143" fillId="49" borderId="177" xfId="15" applyFont="1" applyFill="1" applyBorder="1" applyAlignment="1">
      <alignment horizontal="left" vertical="top" wrapText="1"/>
    </xf>
    <xf numFmtId="0" fontId="148" fillId="49" borderId="177" xfId="15" applyFont="1" applyFill="1" applyBorder="1" applyAlignment="1">
      <alignment vertical="top"/>
    </xf>
    <xf numFmtId="0" fontId="143" fillId="49" borderId="183" xfId="15" applyFont="1" applyFill="1" applyBorder="1" applyAlignment="1">
      <alignment horizontal="left" vertical="top" wrapText="1"/>
    </xf>
    <xf numFmtId="1" fontId="94" fillId="49" borderId="22" xfId="15" applyNumberFormat="1" applyFont="1" applyFill="1" applyBorder="1" applyAlignment="1">
      <alignment horizontal="center" vertical="top" wrapText="1"/>
    </xf>
    <xf numFmtId="0" fontId="149" fillId="56" borderId="177" xfId="20" applyFont="1" applyFill="1" applyBorder="1" applyAlignment="1">
      <alignment horizontal="center" vertical="top"/>
    </xf>
    <xf numFmtId="3" fontId="119" fillId="15" borderId="178" xfId="15" applyNumberFormat="1" applyFont="1" applyFill="1" applyBorder="1" applyAlignment="1">
      <alignment vertical="top"/>
    </xf>
    <xf numFmtId="0" fontId="144" fillId="49" borderId="178" xfId="19" applyFill="1" applyBorder="1" applyAlignment="1">
      <alignment vertical="top"/>
    </xf>
    <xf numFmtId="0" fontId="144" fillId="0" borderId="177" xfId="19" applyFill="1" applyBorder="1" applyAlignment="1">
      <alignment vertical="top"/>
    </xf>
    <xf numFmtId="0" fontId="143" fillId="0" borderId="183" xfId="15" applyFont="1" applyBorder="1" applyAlignment="1">
      <alignment vertical="top"/>
    </xf>
    <xf numFmtId="0" fontId="119" fillId="27" borderId="177" xfId="15" applyFont="1" applyFill="1" applyBorder="1" applyAlignment="1">
      <alignment horizontal="center" vertical="top"/>
    </xf>
    <xf numFmtId="0" fontId="144" fillId="52" borderId="177" xfId="19" applyFill="1" applyBorder="1" applyAlignment="1">
      <alignment vertical="top"/>
    </xf>
    <xf numFmtId="0" fontId="143" fillId="52" borderId="177" xfId="15" applyFont="1" applyFill="1" applyBorder="1" applyAlignment="1">
      <alignment vertical="top"/>
    </xf>
    <xf numFmtId="0" fontId="143" fillId="52" borderId="183" xfId="15" applyFont="1" applyFill="1" applyBorder="1" applyAlignment="1">
      <alignment vertical="top"/>
    </xf>
    <xf numFmtId="0" fontId="144" fillId="51" borderId="177" xfId="19" applyFill="1" applyBorder="1" applyAlignment="1">
      <alignment vertical="top"/>
    </xf>
    <xf numFmtId="0" fontId="143" fillId="51" borderId="177" xfId="15" applyFont="1" applyFill="1" applyBorder="1" applyAlignment="1">
      <alignment vertical="top"/>
    </xf>
    <xf numFmtId="49" fontId="135" fillId="34" borderId="177" xfId="15" applyNumberFormat="1" applyFont="1" applyFill="1" applyBorder="1" applyAlignment="1">
      <alignment horizontal="center" vertical="top"/>
    </xf>
    <xf numFmtId="0" fontId="150" fillId="34" borderId="177" xfId="20" applyFont="1" applyFill="1" applyBorder="1" applyAlignment="1">
      <alignment horizontal="center" vertical="top"/>
    </xf>
    <xf numFmtId="0" fontId="119" fillId="52" borderId="177" xfId="15" applyFont="1" applyFill="1" applyBorder="1" applyAlignment="1">
      <alignment vertical="top" wrapText="1"/>
    </xf>
    <xf numFmtId="0" fontId="143" fillId="52" borderId="177" xfId="15" applyFont="1" applyFill="1" applyBorder="1" applyAlignment="1">
      <alignment vertical="top" wrapText="1"/>
    </xf>
    <xf numFmtId="0" fontId="144" fillId="52" borderId="183" xfId="19" applyFill="1" applyBorder="1" applyAlignment="1">
      <alignment vertical="top"/>
    </xf>
    <xf numFmtId="0" fontId="143" fillId="49" borderId="177" xfId="15" applyFont="1" applyFill="1" applyBorder="1" applyAlignment="1">
      <alignment vertical="top" wrapText="1"/>
    </xf>
    <xf numFmtId="0" fontId="119" fillId="49" borderId="185" xfId="15" applyFont="1" applyFill="1" applyBorder="1" applyAlignment="1">
      <alignment horizontal="center" vertical="top"/>
    </xf>
    <xf numFmtId="0" fontId="119" fillId="49" borderId="185" xfId="15" applyFont="1" applyFill="1" applyBorder="1" applyAlignment="1">
      <alignment vertical="top"/>
    </xf>
    <xf numFmtId="0" fontId="143" fillId="49" borderId="186" xfId="15" applyFont="1" applyFill="1" applyBorder="1" applyAlignment="1">
      <alignment vertical="top"/>
    </xf>
    <xf numFmtId="0" fontId="143" fillId="49" borderId="187" xfId="15" applyFont="1" applyFill="1" applyBorder="1" applyAlignment="1">
      <alignment vertical="top"/>
    </xf>
    <xf numFmtId="0" fontId="119" fillId="52" borderId="0" xfId="15" applyFont="1" applyFill="1" applyAlignment="1">
      <alignment horizontal="center" vertical="top"/>
    </xf>
    <xf numFmtId="0" fontId="119" fillId="52" borderId="0" xfId="15" applyFont="1" applyFill="1" applyAlignment="1">
      <alignment vertical="top"/>
    </xf>
    <xf numFmtId="0" fontId="143" fillId="34" borderId="176" xfId="15" applyFont="1" applyFill="1" applyBorder="1" applyAlignment="1">
      <alignment vertical="top"/>
    </xf>
    <xf numFmtId="0" fontId="143" fillId="52" borderId="176" xfId="15" applyFont="1" applyFill="1" applyBorder="1" applyAlignment="1">
      <alignment vertical="top"/>
    </xf>
    <xf numFmtId="0" fontId="143" fillId="52" borderId="171" xfId="15" applyFont="1" applyFill="1" applyBorder="1" applyAlignment="1">
      <alignment vertical="top"/>
    </xf>
    <xf numFmtId="0" fontId="146" fillId="34" borderId="177" xfId="15" applyFont="1" applyFill="1" applyBorder="1" applyAlignment="1">
      <alignment horizontal="left" vertical="top"/>
    </xf>
    <xf numFmtId="1" fontId="94" fillId="34" borderId="22" xfId="15" applyNumberFormat="1" applyFont="1" applyFill="1" applyBorder="1" applyAlignment="1">
      <alignment horizontal="center" vertical="top"/>
    </xf>
    <xf numFmtId="0" fontId="143" fillId="0" borderId="177" xfId="15" applyFont="1" applyBorder="1" applyAlignment="1">
      <alignment horizontal="left" vertical="top" wrapText="1"/>
    </xf>
    <xf numFmtId="0" fontId="143" fillId="0" borderId="183" xfId="15" applyFont="1" applyBorder="1" applyAlignment="1">
      <alignment horizontal="left" vertical="top" wrapText="1"/>
    </xf>
    <xf numFmtId="1" fontId="94" fillId="0" borderId="22" xfId="15" applyNumberFormat="1" applyFont="1" applyBorder="1" applyAlignment="1">
      <alignment horizontal="center" vertical="top" wrapText="1"/>
    </xf>
    <xf numFmtId="3" fontId="136" fillId="52" borderId="178" xfId="15" applyNumberFormat="1" applyFont="1" applyFill="1" applyBorder="1" applyAlignment="1">
      <alignment vertical="top"/>
    </xf>
    <xf numFmtId="0" fontId="149" fillId="57" borderId="177" xfId="20" applyFont="1" applyFill="1" applyBorder="1" applyAlignment="1">
      <alignment horizontal="center" vertical="top"/>
    </xf>
    <xf numFmtId="0" fontId="119" fillId="34" borderId="177" xfId="15" applyFont="1" applyFill="1" applyBorder="1" applyAlignment="1">
      <alignment vertical="top" wrapText="1"/>
    </xf>
    <xf numFmtId="0" fontId="144" fillId="34" borderId="183" xfId="19" applyFill="1" applyBorder="1" applyAlignment="1">
      <alignment vertical="top" wrapText="1"/>
    </xf>
    <xf numFmtId="183" fontId="119" fillId="27" borderId="177" xfId="15" applyNumberFormat="1" applyFont="1" applyFill="1" applyBorder="1" applyAlignment="1">
      <alignment horizontal="center" vertical="top"/>
    </xf>
    <xf numFmtId="9" fontId="119" fillId="27" borderId="177" xfId="15" applyNumberFormat="1" applyFont="1" applyFill="1" applyBorder="1" applyAlignment="1">
      <alignment vertical="top"/>
    </xf>
    <xf numFmtId="3" fontId="94" fillId="0" borderId="178" xfId="15" applyNumberFormat="1" applyFont="1" applyBorder="1" applyAlignment="1">
      <alignment vertical="top"/>
    </xf>
    <xf numFmtId="0" fontId="119" fillId="0" borderId="177" xfId="15" applyFont="1" applyBorder="1" applyAlignment="1">
      <alignment vertical="top" wrapText="1"/>
    </xf>
    <xf numFmtId="0" fontId="143" fillId="0" borderId="177" xfId="15" applyFont="1" applyBorder="1" applyAlignment="1">
      <alignment vertical="top" wrapText="1"/>
    </xf>
    <xf numFmtId="0" fontId="143" fillId="0" borderId="183" xfId="15" applyFont="1" applyBorder="1" applyAlignment="1">
      <alignment vertical="top" wrapText="1"/>
    </xf>
    <xf numFmtId="3" fontId="119" fillId="27" borderId="177" xfId="15" applyNumberFormat="1" applyFont="1" applyFill="1" applyBorder="1" applyAlignment="1">
      <alignment vertical="top"/>
    </xf>
    <xf numFmtId="0" fontId="143" fillId="0" borderId="182" xfId="15" applyFont="1" applyBorder="1" applyAlignment="1">
      <alignment vertical="top"/>
    </xf>
    <xf numFmtId="0" fontId="143" fillId="0" borderId="188" xfId="15" applyFont="1" applyBorder="1" applyAlignment="1">
      <alignment vertical="top"/>
    </xf>
    <xf numFmtId="0" fontId="151" fillId="34" borderId="177" xfId="15" applyFont="1" applyFill="1" applyBorder="1" applyAlignment="1">
      <alignment vertical="top"/>
    </xf>
    <xf numFmtId="4" fontId="152" fillId="34" borderId="178" xfId="15" applyNumberFormat="1" applyFont="1" applyFill="1" applyBorder="1" applyAlignment="1">
      <alignment horizontal="center" vertical="top"/>
    </xf>
    <xf numFmtId="3" fontId="94" fillId="34" borderId="178" xfId="15" applyNumberFormat="1" applyFont="1" applyFill="1" applyBorder="1" applyAlignment="1">
      <alignment vertical="top"/>
    </xf>
    <xf numFmtId="0" fontId="143" fillId="34" borderId="177" xfId="15" applyFont="1" applyFill="1" applyBorder="1" applyAlignment="1">
      <alignment vertical="top" wrapText="1"/>
    </xf>
    <xf numFmtId="0" fontId="144" fillId="34" borderId="177" xfId="19" applyFill="1" applyBorder="1" applyAlignment="1">
      <alignment vertical="top" wrapText="1"/>
    </xf>
    <xf numFmtId="0" fontId="143" fillId="34" borderId="183" xfId="15" applyFont="1" applyFill="1" applyBorder="1" applyAlignment="1">
      <alignment vertical="top" wrapText="1"/>
    </xf>
    <xf numFmtId="1" fontId="94" fillId="34" borderId="22" xfId="15" applyNumberFormat="1" applyFont="1" applyFill="1" applyBorder="1" applyAlignment="1">
      <alignment horizontal="center" vertical="top" wrapText="1"/>
    </xf>
    <xf numFmtId="4" fontId="147" fillId="34" borderId="178" xfId="15" applyNumberFormat="1" applyFont="1" applyFill="1" applyBorder="1" applyAlignment="1">
      <alignment horizontal="center" vertical="top"/>
    </xf>
    <xf numFmtId="0" fontId="143" fillId="52" borderId="177" xfId="15" applyFont="1" applyFill="1" applyBorder="1" applyAlignment="1">
      <alignment horizontal="left" vertical="top" wrapText="1"/>
    </xf>
    <xf numFmtId="0" fontId="143" fillId="52" borderId="183" xfId="15" applyFont="1" applyFill="1" applyBorder="1" applyAlignment="1">
      <alignment horizontal="left" vertical="top" wrapText="1"/>
    </xf>
    <xf numFmtId="1" fontId="94" fillId="52" borderId="22" xfId="15" applyNumberFormat="1" applyFont="1" applyFill="1" applyBorder="1" applyAlignment="1">
      <alignment horizontal="center" vertical="top" wrapText="1"/>
    </xf>
    <xf numFmtId="49" fontId="119" fillId="26" borderId="177" xfId="15" applyNumberFormat="1" applyFont="1" applyFill="1" applyBorder="1" applyAlignment="1">
      <alignment horizontal="center" vertical="top"/>
    </xf>
    <xf numFmtId="49" fontId="119" fillId="51" borderId="177" xfId="15" applyNumberFormat="1" applyFont="1" applyFill="1" applyBorder="1" applyAlignment="1">
      <alignment horizontal="center" vertical="top"/>
    </xf>
    <xf numFmtId="0" fontId="119" fillId="51" borderId="177" xfId="15" applyFont="1" applyFill="1" applyBorder="1" applyAlignment="1">
      <alignment vertical="top"/>
    </xf>
    <xf numFmtId="0" fontId="119" fillId="51" borderId="178" xfId="15" applyFont="1" applyFill="1" applyBorder="1" applyAlignment="1">
      <alignment vertical="top"/>
    </xf>
    <xf numFmtId="0" fontId="119" fillId="26" borderId="177" xfId="15" applyFont="1" applyFill="1" applyBorder="1" applyAlignment="1">
      <alignment horizontal="center" vertical="top"/>
    </xf>
    <xf numFmtId="3" fontId="119" fillId="26" borderId="178" xfId="15" applyNumberFormat="1" applyFont="1" applyFill="1" applyBorder="1" applyAlignment="1">
      <alignment vertical="top"/>
    </xf>
    <xf numFmtId="183" fontId="119" fillId="26" borderId="177" xfId="15" applyNumberFormat="1" applyFont="1" applyFill="1" applyBorder="1" applyAlignment="1">
      <alignment horizontal="center" vertical="top"/>
    </xf>
    <xf numFmtId="3" fontId="119" fillId="26" borderId="177" xfId="15" applyNumberFormat="1" applyFont="1" applyFill="1" applyBorder="1" applyAlignment="1">
      <alignment vertical="top"/>
    </xf>
    <xf numFmtId="3" fontId="119" fillId="51" borderId="178" xfId="15" applyNumberFormat="1" applyFont="1" applyFill="1" applyBorder="1" applyAlignment="1">
      <alignment vertical="top"/>
    </xf>
    <xf numFmtId="9" fontId="119" fillId="26" borderId="177" xfId="15" applyNumberFormat="1" applyFont="1" applyFill="1" applyBorder="1" applyAlignment="1">
      <alignment vertical="top"/>
    </xf>
    <xf numFmtId="9" fontId="119" fillId="51" borderId="178" xfId="15" applyNumberFormat="1" applyFont="1" applyFill="1" applyBorder="1" applyAlignment="1">
      <alignment vertical="top"/>
    </xf>
    <xf numFmtId="4" fontId="119" fillId="26" borderId="177" xfId="15" applyNumberFormat="1" applyFont="1" applyFill="1" applyBorder="1" applyAlignment="1">
      <alignment horizontal="center" vertical="top"/>
    </xf>
    <xf numFmtId="0" fontId="119" fillId="26" borderId="177" xfId="15" applyFont="1" applyFill="1" applyBorder="1" applyAlignment="1">
      <alignment horizontal="left" vertical="top"/>
    </xf>
    <xf numFmtId="3" fontId="141" fillId="51" borderId="178" xfId="15" applyNumberFormat="1" applyFont="1" applyFill="1" applyBorder="1" applyAlignment="1">
      <alignment vertical="top"/>
    </xf>
    <xf numFmtId="3" fontId="142" fillId="51" borderId="178" xfId="15" applyNumberFormat="1" applyFont="1" applyFill="1" applyBorder="1" applyAlignment="1">
      <alignment vertical="top"/>
    </xf>
    <xf numFmtId="0" fontId="119" fillId="26" borderId="177" xfId="15" applyFont="1" applyFill="1" applyBorder="1" applyAlignment="1">
      <alignment vertical="top"/>
    </xf>
    <xf numFmtId="0" fontId="143" fillId="26" borderId="177" xfId="15" applyFont="1" applyFill="1" applyBorder="1" applyAlignment="1">
      <alignment vertical="top"/>
    </xf>
    <xf numFmtId="0" fontId="143" fillId="26" borderId="183" xfId="15" applyFont="1" applyFill="1" applyBorder="1" applyAlignment="1">
      <alignment vertical="top"/>
    </xf>
    <xf numFmtId="1" fontId="94" fillId="26" borderId="22" xfId="15" applyNumberFormat="1" applyFont="1" applyFill="1" applyBorder="1" applyAlignment="1">
      <alignment horizontal="center" vertical="top"/>
    </xf>
    <xf numFmtId="0" fontId="78" fillId="26" borderId="0" xfId="15" applyFill="1"/>
    <xf numFmtId="49" fontId="119" fillId="31" borderId="177" xfId="15" applyNumberFormat="1" applyFont="1" applyFill="1" applyBorder="1" applyAlignment="1">
      <alignment horizontal="center" vertical="top"/>
    </xf>
    <xf numFmtId="49" fontId="119" fillId="58" borderId="177" xfId="15" applyNumberFormat="1" applyFont="1" applyFill="1" applyBorder="1" applyAlignment="1">
      <alignment horizontal="center" vertical="top"/>
    </xf>
    <xf numFmtId="0" fontId="119" fillId="58" borderId="177" xfId="15" applyFont="1" applyFill="1" applyBorder="1" applyAlignment="1">
      <alignment vertical="top"/>
    </xf>
    <xf numFmtId="0" fontId="119" fillId="58" borderId="177" xfId="15" applyFont="1" applyFill="1" applyBorder="1" applyAlignment="1">
      <alignment vertical="top" wrapText="1"/>
    </xf>
    <xf numFmtId="0" fontId="119" fillId="58" borderId="178" xfId="15" applyFont="1" applyFill="1" applyBorder="1" applyAlignment="1">
      <alignment vertical="top"/>
    </xf>
    <xf numFmtId="0" fontId="119" fillId="31" borderId="177" xfId="15" applyFont="1" applyFill="1" applyBorder="1" applyAlignment="1">
      <alignment horizontal="center" vertical="top"/>
    </xf>
    <xf numFmtId="3" fontId="119" fillId="31" borderId="178" xfId="15" applyNumberFormat="1" applyFont="1" applyFill="1" applyBorder="1" applyAlignment="1">
      <alignment vertical="top"/>
    </xf>
    <xf numFmtId="183" fontId="119" fillId="31" borderId="177" xfId="15" applyNumberFormat="1" applyFont="1" applyFill="1" applyBorder="1" applyAlignment="1">
      <alignment horizontal="center" vertical="top"/>
    </xf>
    <xf numFmtId="3" fontId="119" fillId="31" borderId="177" xfId="15" applyNumberFormat="1" applyFont="1" applyFill="1" applyBorder="1" applyAlignment="1">
      <alignment vertical="top"/>
    </xf>
    <xf numFmtId="3" fontId="119" fillId="58" borderId="178" xfId="15" applyNumberFormat="1" applyFont="1" applyFill="1" applyBorder="1" applyAlignment="1">
      <alignment vertical="top"/>
    </xf>
    <xf numFmtId="9" fontId="119" fillId="31" borderId="177" xfId="15" applyNumberFormat="1" applyFont="1" applyFill="1" applyBorder="1" applyAlignment="1">
      <alignment vertical="top"/>
    </xf>
    <xf numFmtId="9" fontId="119" fillId="58" borderId="178" xfId="15" applyNumberFormat="1" applyFont="1" applyFill="1" applyBorder="1" applyAlignment="1">
      <alignment vertical="top"/>
    </xf>
    <xf numFmtId="4" fontId="119" fillId="31" borderId="177" xfId="15" applyNumberFormat="1" applyFont="1" applyFill="1" applyBorder="1" applyAlignment="1">
      <alignment horizontal="center" vertical="top"/>
    </xf>
    <xf numFmtId="0" fontId="119" fillId="31" borderId="177" xfId="15" applyFont="1" applyFill="1" applyBorder="1" applyAlignment="1">
      <alignment horizontal="left" vertical="top"/>
    </xf>
    <xf numFmtId="3" fontId="141" fillId="58" borderId="178" xfId="15" applyNumberFormat="1" applyFont="1" applyFill="1" applyBorder="1" applyAlignment="1">
      <alignment vertical="top"/>
    </xf>
    <xf numFmtId="3" fontId="142" fillId="58" borderId="178" xfId="15" applyNumberFormat="1" applyFont="1" applyFill="1" applyBorder="1" applyAlignment="1">
      <alignment vertical="top"/>
    </xf>
    <xf numFmtId="0" fontId="119" fillId="31" borderId="177" xfId="15" applyFont="1" applyFill="1" applyBorder="1" applyAlignment="1">
      <alignment vertical="top"/>
    </xf>
    <xf numFmtId="0" fontId="143" fillId="31" borderId="177" xfId="15" applyFont="1" applyFill="1" applyBorder="1" applyAlignment="1">
      <alignment vertical="top"/>
    </xf>
    <xf numFmtId="0" fontId="143" fillId="31" borderId="183" xfId="15" applyFont="1" applyFill="1" applyBorder="1" applyAlignment="1">
      <alignment vertical="top"/>
    </xf>
    <xf numFmtId="1" fontId="94" fillId="31" borderId="22" xfId="15" applyNumberFormat="1" applyFont="1" applyFill="1" applyBorder="1" applyAlignment="1">
      <alignment horizontal="center" vertical="top"/>
    </xf>
    <xf numFmtId="0" fontId="78" fillId="31" borderId="0" xfId="15" applyFill="1"/>
    <xf numFmtId="49" fontId="136" fillId="11" borderId="177" xfId="15" applyNumberFormat="1" applyFont="1" applyFill="1" applyBorder="1" applyAlignment="1">
      <alignment horizontal="center" vertical="top"/>
    </xf>
    <xf numFmtId="0" fontId="136" fillId="11" borderId="177" xfId="15" applyFont="1" applyFill="1" applyBorder="1" applyAlignment="1">
      <alignment vertical="top"/>
    </xf>
    <xf numFmtId="0" fontId="136" fillId="11" borderId="178" xfId="15" applyFont="1" applyFill="1" applyBorder="1" applyAlignment="1">
      <alignment vertical="top"/>
    </xf>
    <xf numFmtId="0" fontId="136" fillId="11" borderId="177" xfId="15" applyFont="1" applyFill="1" applyBorder="1" applyAlignment="1">
      <alignment horizontal="center" vertical="top"/>
    </xf>
    <xf numFmtId="3" fontId="136" fillId="11" borderId="178" xfId="15" applyNumberFormat="1" applyFont="1" applyFill="1" applyBorder="1" applyAlignment="1">
      <alignment vertical="top"/>
    </xf>
    <xf numFmtId="3" fontId="136" fillId="27" borderId="178" xfId="15" applyNumberFormat="1" applyFont="1" applyFill="1" applyBorder="1" applyAlignment="1">
      <alignment vertical="top"/>
    </xf>
    <xf numFmtId="183" fontId="136" fillId="11" borderId="177" xfId="15" applyNumberFormat="1" applyFont="1" applyFill="1" applyBorder="1" applyAlignment="1">
      <alignment horizontal="center" vertical="top"/>
    </xf>
    <xf numFmtId="0" fontId="136" fillId="27" borderId="177" xfId="15" applyFont="1" applyFill="1" applyBorder="1" applyAlignment="1">
      <alignment horizontal="center" vertical="top"/>
    </xf>
    <xf numFmtId="3" fontId="136" fillId="11" borderId="177" xfId="15" applyNumberFormat="1" applyFont="1" applyFill="1" applyBorder="1" applyAlignment="1">
      <alignment vertical="top"/>
    </xf>
    <xf numFmtId="9" fontId="136" fillId="27" borderId="177" xfId="15" applyNumberFormat="1" applyFont="1" applyFill="1" applyBorder="1" applyAlignment="1">
      <alignment vertical="top"/>
    </xf>
    <xf numFmtId="9" fontId="136" fillId="11" borderId="178" xfId="15" applyNumberFormat="1" applyFont="1" applyFill="1" applyBorder="1" applyAlignment="1">
      <alignment vertical="top"/>
    </xf>
    <xf numFmtId="4" fontId="136" fillId="11" borderId="177" xfId="15" applyNumberFormat="1" applyFont="1" applyFill="1" applyBorder="1" applyAlignment="1">
      <alignment horizontal="center" vertical="top"/>
    </xf>
    <xf numFmtId="0" fontId="136" fillId="11" borderId="177" xfId="15" applyFont="1" applyFill="1" applyBorder="1" applyAlignment="1">
      <alignment horizontal="left" vertical="top"/>
    </xf>
    <xf numFmtId="3" fontId="94" fillId="11" borderId="178" xfId="15" applyNumberFormat="1" applyFont="1" applyFill="1" applyBorder="1" applyAlignment="1">
      <alignment vertical="top"/>
    </xf>
    <xf numFmtId="0" fontId="153" fillId="11" borderId="177" xfId="15" applyFont="1" applyFill="1" applyBorder="1" applyAlignment="1">
      <alignment vertical="top"/>
    </xf>
    <xf numFmtId="0" fontId="153" fillId="11" borderId="183" xfId="15" applyFont="1" applyFill="1" applyBorder="1" applyAlignment="1">
      <alignment vertical="top"/>
    </xf>
    <xf numFmtId="1" fontId="136" fillId="11" borderId="22" xfId="15" applyNumberFormat="1" applyFont="1" applyFill="1" applyBorder="1" applyAlignment="1">
      <alignment horizontal="center" vertical="top"/>
    </xf>
    <xf numFmtId="0" fontId="154" fillId="11" borderId="0" xfId="15" applyFont="1" applyFill="1"/>
    <xf numFmtId="9" fontId="136" fillId="11" borderId="177" xfId="15" applyNumberFormat="1" applyFont="1" applyFill="1" applyBorder="1" applyAlignment="1">
      <alignment vertical="top"/>
    </xf>
    <xf numFmtId="0" fontId="153" fillId="11" borderId="183" xfId="15" applyFont="1" applyFill="1" applyBorder="1" applyAlignment="1">
      <alignment vertical="top" wrapText="1"/>
    </xf>
    <xf numFmtId="9" fontId="136" fillId="27" borderId="178" xfId="15" applyNumberFormat="1" applyFont="1" applyFill="1" applyBorder="1" applyAlignment="1">
      <alignment vertical="top"/>
    </xf>
    <xf numFmtId="183" fontId="136" fillId="27" borderId="177" xfId="15" applyNumberFormat="1" applyFont="1" applyFill="1" applyBorder="1" applyAlignment="1">
      <alignment horizontal="center" vertical="top"/>
    </xf>
    <xf numFmtId="4" fontId="119" fillId="0" borderId="177" xfId="15" applyNumberFormat="1" applyFont="1" applyBorder="1" applyAlignment="1">
      <alignment horizontal="center" vertical="top"/>
    </xf>
    <xf numFmtId="3" fontId="94" fillId="49" borderId="178" xfId="15" applyNumberFormat="1" applyFont="1" applyFill="1" applyBorder="1" applyAlignment="1">
      <alignment vertical="top"/>
    </xf>
    <xf numFmtId="0" fontId="144" fillId="0" borderId="177" xfId="19" applyBorder="1" applyAlignment="1">
      <alignment vertical="top"/>
    </xf>
    <xf numFmtId="0" fontId="144" fillId="0" borderId="183" xfId="19" applyBorder="1" applyAlignment="1">
      <alignment vertical="top"/>
    </xf>
    <xf numFmtId="49" fontId="136" fillId="55" borderId="177" xfId="15" applyNumberFormat="1" applyFont="1" applyFill="1" applyBorder="1" applyAlignment="1">
      <alignment horizontal="center" vertical="top"/>
    </xf>
    <xf numFmtId="0" fontId="136" fillId="55" borderId="177" xfId="15" applyFont="1" applyFill="1" applyBorder="1" applyAlignment="1">
      <alignment vertical="top"/>
    </xf>
    <xf numFmtId="0" fontId="136" fillId="55" borderId="178" xfId="15" applyFont="1" applyFill="1" applyBorder="1" applyAlignment="1">
      <alignment vertical="top"/>
    </xf>
    <xf numFmtId="9" fontId="136" fillId="55" borderId="178" xfId="15" applyNumberFormat="1" applyFont="1" applyFill="1" applyBorder="1" applyAlignment="1">
      <alignment vertical="top"/>
    </xf>
    <xf numFmtId="49" fontId="139" fillId="49" borderId="0" xfId="15" applyNumberFormat="1" applyFont="1" applyFill="1" applyAlignment="1">
      <alignment horizontal="center" vertical="top"/>
    </xf>
    <xf numFmtId="0" fontId="139" fillId="49" borderId="0" xfId="15" applyFont="1" applyFill="1" applyAlignment="1">
      <alignment vertical="top"/>
    </xf>
    <xf numFmtId="0" fontId="139" fillId="49" borderId="0" xfId="15" applyFont="1" applyFill="1" applyAlignment="1">
      <alignment horizontal="center" vertical="top"/>
    </xf>
    <xf numFmtId="9" fontId="119" fillId="49" borderId="0" xfId="15" applyNumberFormat="1" applyFont="1" applyFill="1" applyAlignment="1">
      <alignment horizontal="center" vertical="top"/>
    </xf>
    <xf numFmtId="3" fontId="155" fillId="49" borderId="0" xfId="15" applyNumberFormat="1" applyFont="1" applyFill="1" applyAlignment="1">
      <alignment vertical="top"/>
    </xf>
    <xf numFmtId="3" fontId="156" fillId="49" borderId="0" xfId="15" applyNumberFormat="1" applyFont="1" applyFill="1" applyAlignment="1">
      <alignment vertical="top"/>
    </xf>
    <xf numFmtId="3" fontId="157" fillId="49" borderId="0" xfId="15" applyNumberFormat="1" applyFont="1" applyFill="1" applyAlignment="1">
      <alignment vertical="top"/>
    </xf>
    <xf numFmtId="1" fontId="140" fillId="49" borderId="0" xfId="15" applyNumberFormat="1" applyFont="1" applyFill="1" applyAlignment="1">
      <alignment horizontal="center" vertical="top"/>
    </xf>
    <xf numFmtId="3" fontId="142" fillId="49" borderId="0" xfId="15" applyNumberFormat="1" applyFont="1" applyFill="1" applyAlignment="1">
      <alignment horizontal="center" vertical="top"/>
    </xf>
    <xf numFmtId="0" fontId="158" fillId="49" borderId="0" xfId="15" applyFont="1" applyFill="1" applyAlignment="1">
      <alignment vertical="top"/>
    </xf>
    <xf numFmtId="49" fontId="159" fillId="49" borderId="0" xfId="15" applyNumberFormat="1" applyFont="1" applyFill="1" applyAlignment="1">
      <alignment horizontal="left" vertical="top"/>
    </xf>
    <xf numFmtId="3" fontId="119" fillId="49" borderId="0" xfId="15" applyNumberFormat="1" applyFont="1" applyFill="1" applyAlignment="1">
      <alignment horizontal="center" vertical="top"/>
    </xf>
    <xf numFmtId="3" fontId="139" fillId="59" borderId="22" xfId="15" applyNumberFormat="1" applyFont="1" applyFill="1" applyBorder="1" applyAlignment="1">
      <alignment horizontal="center" vertical="top"/>
    </xf>
    <xf numFmtId="3" fontId="139" fillId="59" borderId="115" xfId="15" applyNumberFormat="1" applyFont="1" applyFill="1" applyBorder="1" applyAlignment="1">
      <alignment horizontal="center" vertical="top"/>
    </xf>
    <xf numFmtId="3" fontId="139" fillId="59" borderId="103" xfId="15" applyNumberFormat="1" applyFont="1" applyFill="1" applyBorder="1" applyAlignment="1">
      <alignment horizontal="center" vertical="top"/>
    </xf>
    <xf numFmtId="0" fontId="119" fillId="49" borderId="0" xfId="15" quotePrefix="1" applyFont="1" applyFill="1" applyAlignment="1">
      <alignment horizontal="center" vertical="top"/>
    </xf>
    <xf numFmtId="9" fontId="142" fillId="49" borderId="0" xfId="15" applyNumberFormat="1" applyFont="1" applyFill="1" applyAlignment="1">
      <alignment horizontal="center" vertical="top"/>
    </xf>
    <xf numFmtId="0" fontId="136" fillId="49" borderId="0" xfId="15" applyFont="1" applyFill="1" applyAlignment="1">
      <alignment vertical="top"/>
    </xf>
    <xf numFmtId="49" fontId="160" fillId="49" borderId="0" xfId="15" applyNumberFormat="1" applyFont="1" applyFill="1" applyAlignment="1">
      <alignment horizontal="left" vertical="top"/>
    </xf>
    <xf numFmtId="3" fontId="139" fillId="53" borderId="22" xfId="15" applyNumberFormat="1" applyFont="1" applyFill="1" applyBorder="1" applyAlignment="1">
      <alignment horizontal="center" vertical="top"/>
    </xf>
    <xf numFmtId="49" fontId="119" fillId="49" borderId="0" xfId="15" applyNumberFormat="1" applyFont="1" applyFill="1" applyAlignment="1">
      <alignment horizontal="left" vertical="top"/>
    </xf>
    <xf numFmtId="49" fontId="139" fillId="60" borderId="0" xfId="15" applyNumberFormat="1" applyFont="1" applyFill="1" applyAlignment="1">
      <alignment horizontal="center" vertical="top"/>
    </xf>
    <xf numFmtId="3" fontId="119" fillId="49" borderId="22" xfId="15" applyNumberFormat="1" applyFont="1" applyFill="1" applyBorder="1" applyAlignment="1">
      <alignment horizontal="center" vertical="top"/>
    </xf>
    <xf numFmtId="49" fontId="139" fillId="61" borderId="0" xfId="15" applyNumberFormat="1" applyFont="1" applyFill="1" applyAlignment="1">
      <alignment horizontal="center" vertical="top"/>
    </xf>
    <xf numFmtId="49" fontId="155" fillId="49" borderId="0" xfId="15" applyNumberFormat="1" applyFont="1" applyFill="1" applyAlignment="1">
      <alignment horizontal="left" vertical="top"/>
    </xf>
    <xf numFmtId="3" fontId="139" fillId="51" borderId="22" xfId="15" applyNumberFormat="1" applyFont="1" applyFill="1" applyBorder="1" applyAlignment="1">
      <alignment horizontal="center" vertical="top"/>
    </xf>
    <xf numFmtId="49" fontId="139" fillId="62" borderId="0" xfId="15" applyNumberFormat="1" applyFont="1" applyFill="1" applyAlignment="1">
      <alignment horizontal="center" vertical="top"/>
    </xf>
    <xf numFmtId="49" fontId="139" fillId="63" borderId="0" xfId="15" applyNumberFormat="1" applyFont="1" applyFill="1" applyAlignment="1">
      <alignment horizontal="center" vertical="top"/>
    </xf>
    <xf numFmtId="3" fontId="139" fillId="54" borderId="22" xfId="15" applyNumberFormat="1" applyFont="1" applyFill="1" applyBorder="1" applyAlignment="1">
      <alignment horizontal="center" vertical="top"/>
    </xf>
    <xf numFmtId="49" fontId="139" fillId="64" borderId="0" xfId="15" applyNumberFormat="1" applyFont="1" applyFill="1" applyAlignment="1">
      <alignment horizontal="center" vertical="top"/>
    </xf>
    <xf numFmtId="0" fontId="165" fillId="0" borderId="0" xfId="15" applyFont="1"/>
    <xf numFmtId="3" fontId="139" fillId="55" borderId="22" xfId="15" applyNumberFormat="1" applyFont="1" applyFill="1" applyBorder="1" applyAlignment="1">
      <alignment horizontal="center" vertical="top"/>
    </xf>
    <xf numFmtId="0" fontId="2" fillId="0" borderId="0" xfId="20"/>
    <xf numFmtId="49" fontId="166" fillId="49" borderId="0" xfId="15" applyNumberFormat="1" applyFont="1" applyFill="1" applyAlignment="1">
      <alignment horizontal="left" vertical="top"/>
    </xf>
    <xf numFmtId="4" fontId="116" fillId="0" borderId="0" xfId="17" applyNumberFormat="1"/>
    <xf numFmtId="0" fontId="2" fillId="0" borderId="0" xfId="20" applyAlignment="1">
      <alignment horizontal="left"/>
    </xf>
    <xf numFmtId="3" fontId="2" fillId="0" borderId="0" xfId="20" applyNumberFormat="1"/>
    <xf numFmtId="0" fontId="2" fillId="11" borderId="0" xfId="20" applyFill="1"/>
    <xf numFmtId="0" fontId="2" fillId="11" borderId="0" xfId="20" applyFill="1" applyAlignment="1">
      <alignment horizontal="left"/>
    </xf>
    <xf numFmtId="0" fontId="2" fillId="11" borderId="0" xfId="20" applyFill="1" applyAlignment="1">
      <alignment horizontal="right"/>
    </xf>
    <xf numFmtId="49" fontId="78" fillId="0" borderId="0" xfId="15" applyNumberFormat="1"/>
    <xf numFmtId="183" fontId="78" fillId="0" borderId="0" xfId="15" applyNumberFormat="1"/>
    <xf numFmtId="9" fontId="78" fillId="0" borderId="0" xfId="15" applyNumberFormat="1"/>
    <xf numFmtId="1" fontId="95" fillId="0" borderId="0" xfId="15" applyNumberFormat="1" applyFont="1" applyAlignment="1">
      <alignment horizontal="center"/>
    </xf>
    <xf numFmtId="0" fontId="19" fillId="9" borderId="156" xfId="0" applyFont="1" applyFill="1" applyBorder="1" applyAlignment="1">
      <alignment horizontal="center" vertical="center" wrapText="1"/>
    </xf>
    <xf numFmtId="0" fontId="19" fillId="9" borderId="157" xfId="0" applyFont="1" applyFill="1" applyBorder="1" applyAlignment="1">
      <alignment horizontal="center" vertical="center" wrapText="1"/>
    </xf>
    <xf numFmtId="0" fontId="19" fillId="9" borderId="158" xfId="0" applyFont="1" applyFill="1" applyBorder="1" applyAlignment="1">
      <alignment horizontal="center" vertical="center" wrapText="1"/>
    </xf>
    <xf numFmtId="0" fontId="19" fillId="9" borderId="159" xfId="0" applyFont="1" applyFill="1" applyBorder="1" applyAlignment="1">
      <alignment horizontal="center" vertical="center" wrapText="1"/>
    </xf>
    <xf numFmtId="0" fontId="20" fillId="26" borderId="51" xfId="3" applyFont="1" applyFill="1" applyBorder="1" applyAlignment="1">
      <alignment horizontal="center" vertical="center" wrapText="1"/>
    </xf>
    <xf numFmtId="0" fontId="20" fillId="26" borderId="52" xfId="3" applyFont="1" applyFill="1" applyBorder="1" applyAlignment="1">
      <alignment horizontal="center" vertical="center" wrapText="1"/>
    </xf>
    <xf numFmtId="0" fontId="22" fillId="3" borderId="62" xfId="1" applyFont="1" applyBorder="1" applyAlignment="1">
      <alignment horizontal="center" vertical="center" wrapText="1"/>
    </xf>
    <xf numFmtId="0" fontId="22" fillId="3" borderId="63" xfId="1" applyFont="1" applyBorder="1" applyAlignment="1">
      <alignment horizontal="center" vertical="center" wrapText="1"/>
    </xf>
    <xf numFmtId="0" fontId="15" fillId="8" borderId="57" xfId="0" applyFont="1" applyFill="1" applyBorder="1" applyAlignment="1">
      <alignment horizontal="right" vertical="center" wrapText="1"/>
    </xf>
    <xf numFmtId="0" fontId="15" fillId="8" borderId="33" xfId="0" applyFont="1" applyFill="1" applyBorder="1" applyAlignment="1">
      <alignment horizontal="right" vertical="center" wrapText="1"/>
    </xf>
    <xf numFmtId="0" fontId="17" fillId="15" borderId="22" xfId="0" applyFont="1" applyFill="1" applyBorder="1" applyAlignment="1">
      <alignment horizontal="left" vertical="center" wrapText="1"/>
    </xf>
    <xf numFmtId="0" fontId="17" fillId="15" borderId="37" xfId="0" applyFont="1" applyFill="1" applyBorder="1" applyAlignment="1">
      <alignment horizontal="left" vertical="center" wrapText="1"/>
    </xf>
    <xf numFmtId="0" fontId="15" fillId="8" borderId="58" xfId="0" applyFont="1" applyFill="1" applyBorder="1" applyAlignment="1">
      <alignment horizontal="right" vertical="center" wrapText="1"/>
    </xf>
    <xf numFmtId="0" fontId="15" fillId="8" borderId="59" xfId="0" applyFont="1" applyFill="1" applyBorder="1" applyAlignment="1">
      <alignment horizontal="right" vertical="center" wrapText="1"/>
    </xf>
    <xf numFmtId="0" fontId="45" fillId="15" borderId="60" xfId="6" applyFill="1" applyBorder="1" applyAlignment="1">
      <alignment horizontal="left" vertical="center"/>
    </xf>
    <xf numFmtId="0" fontId="17" fillId="15" borderId="60" xfId="0" applyFont="1" applyFill="1" applyBorder="1" applyAlignment="1">
      <alignment horizontal="left" vertical="center"/>
    </xf>
    <xf numFmtId="0" fontId="17" fillId="15" borderId="61" xfId="0" applyFont="1" applyFill="1" applyBorder="1" applyAlignment="1">
      <alignment horizontal="left" vertical="center"/>
    </xf>
    <xf numFmtId="0" fontId="18" fillId="0" borderId="0" xfId="0" applyFont="1" applyAlignment="1">
      <alignment horizontal="center"/>
    </xf>
    <xf numFmtId="0" fontId="19" fillId="8" borderId="14"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21" fillId="4" borderId="50" xfId="2" applyFont="1" applyBorder="1" applyAlignment="1">
      <alignment horizontal="center" vertical="center" wrapText="1"/>
    </xf>
    <xf numFmtId="0" fontId="21" fillId="4" borderId="43" xfId="2" applyFont="1" applyBorder="1" applyAlignment="1">
      <alignment horizontal="center" vertical="center" wrapText="1"/>
    </xf>
    <xf numFmtId="0" fontId="15" fillId="15" borderId="22" xfId="0" applyFont="1" applyFill="1" applyBorder="1" applyAlignment="1">
      <alignment horizontal="left" vertical="center" wrapText="1"/>
    </xf>
    <xf numFmtId="0" fontId="15" fillId="15" borderId="37" xfId="0" applyFont="1" applyFill="1" applyBorder="1" applyAlignment="1">
      <alignment horizontal="left" vertical="center" wrapText="1"/>
    </xf>
    <xf numFmtId="0" fontId="45" fillId="15" borderId="22" xfId="6" applyFill="1" applyBorder="1" applyAlignment="1">
      <alignment horizontal="left" vertical="center" wrapText="1"/>
    </xf>
    <xf numFmtId="49" fontId="15" fillId="15" borderId="22" xfId="0" applyNumberFormat="1" applyFont="1" applyFill="1" applyBorder="1" applyAlignment="1">
      <alignment horizontal="left" vertical="center" wrapText="1"/>
    </xf>
    <xf numFmtId="49" fontId="15" fillId="15" borderId="37" xfId="0" applyNumberFormat="1" applyFont="1" applyFill="1" applyBorder="1" applyAlignment="1">
      <alignment horizontal="left" vertical="center" wrapText="1"/>
    </xf>
    <xf numFmtId="0" fontId="83" fillId="0" borderId="0" xfId="0" applyFont="1" applyAlignment="1">
      <alignment horizontal="center" wrapText="1"/>
    </xf>
    <xf numFmtId="0" fontId="84" fillId="0" borderId="0" xfId="0" applyFont="1" applyAlignment="1">
      <alignment horizontal="center" wrapText="1"/>
    </xf>
    <xf numFmtId="0" fontId="15" fillId="8" borderId="53" xfId="0" applyFont="1" applyFill="1" applyBorder="1" applyAlignment="1">
      <alignment horizontal="right" vertical="center" wrapText="1"/>
    </xf>
    <xf numFmtId="0" fontId="15" fillId="8" borderId="54" xfId="0" applyFont="1" applyFill="1" applyBorder="1" applyAlignment="1">
      <alignment horizontal="right" vertical="center" wrapText="1"/>
    </xf>
    <xf numFmtId="0" fontId="16" fillId="15" borderId="55" xfId="0" applyFont="1" applyFill="1" applyBorder="1" applyAlignment="1">
      <alignment horizontal="left" vertical="center" wrapText="1"/>
    </xf>
    <xf numFmtId="0" fontId="16" fillId="15" borderId="56" xfId="0" applyFont="1" applyFill="1" applyBorder="1" applyAlignment="1">
      <alignment horizontal="left" vertical="center" wrapText="1"/>
    </xf>
    <xf numFmtId="0" fontId="8" fillId="0" borderId="130" xfId="0" applyFont="1" applyBorder="1" applyAlignment="1">
      <alignment horizontal="center"/>
    </xf>
    <xf numFmtId="173" fontId="77" fillId="10" borderId="135" xfId="0" applyNumberFormat="1" applyFont="1" applyFill="1" applyBorder="1" applyAlignment="1">
      <alignment horizontal="center" vertical="center"/>
    </xf>
    <xf numFmtId="0" fontId="77" fillId="10" borderId="151" xfId="0" applyFont="1" applyFill="1" applyBorder="1" applyAlignment="1">
      <alignment horizontal="center"/>
    </xf>
    <xf numFmtId="0" fontId="77" fillId="10" borderId="136" xfId="0" applyFont="1" applyFill="1" applyBorder="1" applyAlignment="1">
      <alignment horizontal="center"/>
    </xf>
    <xf numFmtId="173" fontId="77" fillId="10" borderId="151" xfId="0" applyNumberFormat="1" applyFont="1" applyFill="1" applyBorder="1" applyAlignment="1">
      <alignment horizontal="center" vertical="center"/>
    </xf>
    <xf numFmtId="173" fontId="77" fillId="10" borderId="155" xfId="0" applyNumberFormat="1" applyFont="1" applyFill="1" applyBorder="1" applyAlignment="1">
      <alignment horizontal="center" vertical="center"/>
    </xf>
    <xf numFmtId="0" fontId="77" fillId="10" borderId="151" xfId="0" applyFont="1" applyFill="1" applyBorder="1" applyAlignment="1">
      <alignment horizontal="left" vertical="center"/>
    </xf>
    <xf numFmtId="0" fontId="77" fillId="10" borderId="136" xfId="0" applyFont="1" applyFill="1" applyBorder="1" applyAlignment="1">
      <alignment horizontal="left" vertical="center"/>
    </xf>
    <xf numFmtId="0" fontId="77" fillId="10" borderId="152" xfId="0" applyFont="1" applyFill="1" applyBorder="1" applyAlignment="1">
      <alignment horizontal="left" vertical="center"/>
    </xf>
    <xf numFmtId="0" fontId="77" fillId="10" borderId="134" xfId="0" applyFont="1" applyFill="1" applyBorder="1" applyAlignment="1">
      <alignment horizontal="left" vertical="center"/>
    </xf>
    <xf numFmtId="0" fontId="77" fillId="10" borderId="153" xfId="0" applyFont="1" applyFill="1" applyBorder="1" applyAlignment="1">
      <alignment horizontal="left" vertical="center"/>
    </xf>
    <xf numFmtId="0" fontId="77" fillId="10" borderId="154" xfId="0" applyFont="1" applyFill="1" applyBorder="1" applyAlignment="1">
      <alignment horizontal="left" vertical="center"/>
    </xf>
    <xf numFmtId="0" fontId="77" fillId="10" borderId="133" xfId="0" applyFont="1" applyFill="1" applyBorder="1" applyAlignment="1">
      <alignment horizontal="left" vertical="center"/>
    </xf>
    <xf numFmtId="0" fontId="77" fillId="10" borderId="150" xfId="0" applyFont="1" applyFill="1" applyBorder="1" applyAlignment="1">
      <alignment horizontal="left" vertical="center"/>
    </xf>
    <xf numFmtId="0" fontId="77" fillId="10" borderId="152" xfId="0" applyFont="1" applyFill="1" applyBorder="1" applyAlignment="1">
      <alignment horizontal="center" vertical="center"/>
    </xf>
    <xf numFmtId="0" fontId="77" fillId="10" borderId="160" xfId="0" applyFont="1" applyFill="1" applyBorder="1" applyAlignment="1">
      <alignment horizontal="center" vertical="center"/>
    </xf>
    <xf numFmtId="0" fontId="77" fillId="10" borderId="153" xfId="0" applyFont="1" applyFill="1" applyBorder="1" applyAlignment="1">
      <alignment horizontal="center" vertical="center"/>
    </xf>
    <xf numFmtId="0" fontId="77" fillId="10" borderId="149" xfId="0" applyFont="1" applyFill="1" applyBorder="1" applyAlignment="1">
      <alignment horizontal="left" vertical="center"/>
    </xf>
    <xf numFmtId="0" fontId="76" fillId="33" borderId="160" xfId="0" applyFont="1" applyFill="1" applyBorder="1" applyAlignment="1">
      <alignment horizontal="center" wrapText="1"/>
    </xf>
    <xf numFmtId="0" fontId="76" fillId="33" borderId="0" xfId="0" applyFont="1" applyFill="1" applyAlignment="1">
      <alignment horizontal="center" wrapText="1"/>
    </xf>
    <xf numFmtId="0" fontId="76" fillId="33" borderId="135" xfId="0" applyFont="1" applyFill="1" applyBorder="1" applyAlignment="1">
      <alignment horizontal="center" wrapText="1"/>
    </xf>
    <xf numFmtId="0" fontId="76" fillId="33" borderId="135" xfId="0" applyFont="1" applyFill="1" applyBorder="1" applyAlignment="1">
      <alignment horizontal="center" vertical="center" wrapText="1"/>
    </xf>
    <xf numFmtId="0" fontId="76" fillId="33" borderId="151" xfId="0" applyFont="1" applyFill="1" applyBorder="1" applyAlignment="1">
      <alignment horizontal="center" wrapText="1"/>
    </xf>
    <xf numFmtId="0" fontId="76" fillId="33" borderId="155" xfId="0" applyFont="1" applyFill="1" applyBorder="1" applyAlignment="1">
      <alignment horizontal="center" wrapText="1"/>
    </xf>
    <xf numFmtId="0" fontId="76" fillId="33" borderId="136" xfId="0" applyFont="1" applyFill="1" applyBorder="1" applyAlignment="1">
      <alignment horizontal="center" wrapText="1"/>
    </xf>
    <xf numFmtId="0" fontId="76" fillId="33" borderId="152" xfId="0" applyFont="1" applyFill="1" applyBorder="1" applyAlignment="1">
      <alignment horizontal="center" vertical="center" wrapText="1"/>
    </xf>
    <xf numFmtId="0" fontId="76" fillId="33" borderId="134" xfId="0" applyFont="1" applyFill="1" applyBorder="1" applyAlignment="1">
      <alignment horizontal="center" vertical="center" wrapText="1"/>
    </xf>
    <xf numFmtId="0" fontId="76" fillId="33" borderId="153" xfId="0" applyFont="1" applyFill="1" applyBorder="1" applyAlignment="1">
      <alignment horizontal="center" vertical="center" wrapText="1"/>
    </xf>
    <xf numFmtId="0" fontId="76" fillId="33" borderId="154" xfId="0" applyFont="1" applyFill="1" applyBorder="1" applyAlignment="1">
      <alignment horizontal="center" vertical="center" wrapText="1"/>
    </xf>
    <xf numFmtId="0" fontId="76" fillId="33" borderId="133" xfId="0" applyFont="1" applyFill="1" applyBorder="1" applyAlignment="1">
      <alignment horizontal="center" vertical="center" wrapText="1"/>
    </xf>
    <xf numFmtId="0" fontId="76" fillId="33" borderId="150" xfId="0" applyFont="1" applyFill="1" applyBorder="1" applyAlignment="1">
      <alignment horizontal="center" vertical="center" wrapText="1"/>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50" fillId="22" borderId="53" xfId="0" applyFont="1" applyFill="1" applyBorder="1" applyAlignment="1">
      <alignment horizontal="center" vertical="top" wrapText="1"/>
    </xf>
    <xf numFmtId="0" fontId="50" fillId="22" borderId="110" xfId="0" applyFont="1" applyFill="1" applyBorder="1" applyAlignment="1">
      <alignment horizontal="center" vertical="top" wrapText="1"/>
    </xf>
    <xf numFmtId="0" fontId="50" fillId="22" borderId="58" xfId="0" applyFont="1" applyFill="1" applyBorder="1" applyAlignment="1">
      <alignment horizontal="center" vertical="top" wrapText="1"/>
    </xf>
    <xf numFmtId="0" fontId="50" fillId="22" borderId="129" xfId="0" applyFont="1" applyFill="1" applyBorder="1" applyAlignment="1">
      <alignment horizontal="center" vertical="top" wrapText="1"/>
    </xf>
    <xf numFmtId="0" fontId="9" fillId="6" borderId="18" xfId="0" applyFont="1" applyFill="1" applyBorder="1" applyAlignment="1">
      <alignment horizontal="center" vertical="top" wrapText="1"/>
    </xf>
    <xf numFmtId="0" fontId="9" fillId="6" borderId="58" xfId="0" applyFont="1" applyFill="1" applyBorder="1" applyAlignment="1">
      <alignment horizontal="center" vertical="top" wrapText="1"/>
    </xf>
    <xf numFmtId="0" fontId="9" fillId="6" borderId="128" xfId="0" applyFont="1" applyFill="1" applyBorder="1" applyAlignment="1">
      <alignment horizontal="center" vertical="top" wrapText="1"/>
    </xf>
    <xf numFmtId="0" fontId="9" fillId="6" borderId="129" xfId="0" applyFont="1" applyFill="1" applyBorder="1" applyAlignment="1">
      <alignment horizontal="center" vertical="top" wrapText="1"/>
    </xf>
    <xf numFmtId="0" fontId="8" fillId="0" borderId="14" xfId="0" applyFont="1" applyBorder="1" applyAlignment="1">
      <alignment horizontal="center" vertical="top" wrapText="1"/>
    </xf>
    <xf numFmtId="0" fontId="8" fillId="0" borderId="23" xfId="0" applyFont="1" applyBorder="1" applyAlignment="1">
      <alignment horizontal="center" vertical="top" wrapText="1"/>
    </xf>
    <xf numFmtId="0" fontId="8" fillId="0" borderId="15" xfId="0" applyFont="1" applyBorder="1" applyAlignment="1">
      <alignment horizontal="center" vertical="top" wrapText="1"/>
    </xf>
    <xf numFmtId="0" fontId="8" fillId="0" borderId="26" xfId="0" applyFont="1" applyBorder="1" applyAlignment="1">
      <alignment horizontal="center" vertical="top" wrapText="1"/>
    </xf>
    <xf numFmtId="0" fontId="9" fillId="6" borderId="24" xfId="0" applyFont="1" applyFill="1" applyBorder="1" applyAlignment="1">
      <alignment horizontal="center" vertical="top" wrapText="1"/>
    </xf>
    <xf numFmtId="0" fontId="9" fillId="6" borderId="0" xfId="0" applyFont="1" applyFill="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0" fillId="22" borderId="14" xfId="0" applyFill="1" applyBorder="1" applyAlignment="1">
      <alignment horizontal="center" vertical="top" wrapText="1"/>
    </xf>
    <xf numFmtId="0" fontId="0" fillId="22" borderId="23" xfId="0" applyFill="1" applyBorder="1" applyAlignment="1">
      <alignment horizontal="center" vertical="top" wrapText="1"/>
    </xf>
    <xf numFmtId="0" fontId="0" fillId="22" borderId="13" xfId="0" applyFill="1" applyBorder="1" applyAlignment="1">
      <alignment horizontal="center"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0" fillId="0" borderId="15" xfId="0" applyBorder="1" applyAlignment="1">
      <alignment horizontal="center" vertical="top" wrapText="1"/>
    </xf>
    <xf numFmtId="0" fontId="0" fillId="0" borderId="26" xfId="0" applyBorder="1" applyAlignment="1">
      <alignment horizontal="center" vertical="top" wrapText="1"/>
    </xf>
    <xf numFmtId="0" fontId="0" fillId="0" borderId="5" xfId="0" applyBorder="1" applyAlignment="1">
      <alignment horizontal="center" vertical="top" wrapText="1"/>
    </xf>
    <xf numFmtId="0" fontId="8" fillId="7" borderId="24" xfId="0" applyFont="1" applyFill="1" applyBorder="1" applyAlignment="1">
      <alignment horizontal="left" vertical="top" wrapText="1"/>
    </xf>
    <xf numFmtId="0" fontId="8" fillId="7" borderId="15" xfId="0" applyFont="1" applyFill="1" applyBorder="1" applyAlignment="1">
      <alignment horizontal="left" vertical="top" wrapText="1"/>
    </xf>
    <xf numFmtId="0" fontId="0" fillId="7" borderId="0" xfId="0" applyFill="1" applyAlignment="1">
      <alignment horizontal="left" vertical="top" wrapText="1"/>
    </xf>
    <xf numFmtId="0" fontId="0" fillId="7" borderId="26" xfId="0" applyFill="1" applyBorder="1" applyAlignment="1">
      <alignment horizontal="left" vertical="top" wrapText="1"/>
    </xf>
    <xf numFmtId="0" fontId="52" fillId="0" borderId="0" xfId="0" applyFont="1" applyAlignment="1">
      <alignment horizontal="left" vertical="top" wrapText="1"/>
    </xf>
    <xf numFmtId="0" fontId="74" fillId="0" borderId="112" xfId="0" applyFont="1" applyBorder="1" applyAlignment="1">
      <alignment horizontal="left" vertical="top" wrapText="1"/>
    </xf>
    <xf numFmtId="0" fontId="74" fillId="0" borderId="18" xfId="0" applyFont="1" applyBorder="1" applyAlignment="1">
      <alignment horizontal="left" vertical="top" wrapText="1"/>
    </xf>
    <xf numFmtId="0" fontId="74" fillId="0" borderId="33" xfId="0" applyFont="1" applyBorder="1" applyAlignment="1">
      <alignment horizontal="left" vertical="top" wrapText="1"/>
    </xf>
    <xf numFmtId="0" fontId="74" fillId="0" borderId="103" xfId="0" applyFont="1" applyBorder="1" applyAlignment="1">
      <alignment horizontal="left" vertical="top" wrapText="1"/>
    </xf>
    <xf numFmtId="0" fontId="64" fillId="22" borderId="137" xfId="8" applyFont="1" applyFill="1" applyBorder="1" applyAlignment="1">
      <alignment horizontal="center" vertical="center" wrapText="1"/>
    </xf>
    <xf numFmtId="0" fontId="64" fillId="22" borderId="138" xfId="8" applyFont="1" applyFill="1" applyBorder="1" applyAlignment="1">
      <alignment horizontal="center" vertical="center" wrapText="1"/>
    </xf>
    <xf numFmtId="0" fontId="64" fillId="22" borderId="132" xfId="8" applyFont="1" applyFill="1" applyBorder="1" applyAlignment="1">
      <alignment horizontal="center" vertical="center" wrapText="1"/>
    </xf>
    <xf numFmtId="0" fontId="64" fillId="28" borderId="137" xfId="8" applyFont="1" applyFill="1" applyBorder="1" applyAlignment="1">
      <alignment horizontal="center" vertical="center" wrapText="1"/>
    </xf>
    <xf numFmtId="0" fontId="64" fillId="28" borderId="138" xfId="8" applyFont="1" applyFill="1" applyBorder="1" applyAlignment="1">
      <alignment horizontal="center" vertical="center" wrapText="1"/>
    </xf>
    <xf numFmtId="0" fontId="64" fillId="28" borderId="132" xfId="8" applyFont="1" applyFill="1" applyBorder="1" applyAlignment="1">
      <alignment horizontal="center" vertical="center" wrapText="1"/>
    </xf>
    <xf numFmtId="0" fontId="64" fillId="26" borderId="137" xfId="8" applyFont="1" applyFill="1" applyBorder="1" applyAlignment="1">
      <alignment horizontal="center" vertical="center" wrapText="1"/>
    </xf>
    <xf numFmtId="0" fontId="64" fillId="26" borderId="132" xfId="8" applyFont="1" applyFill="1" applyBorder="1" applyAlignment="1">
      <alignment horizontal="center" vertical="center" wrapText="1"/>
    </xf>
    <xf numFmtId="0" fontId="63" fillId="27" borderId="137" xfId="8" applyFont="1" applyFill="1" applyBorder="1" applyAlignment="1">
      <alignment horizontal="center" vertical="center" wrapText="1"/>
    </xf>
    <xf numFmtId="0" fontId="63" fillId="27" borderId="138" xfId="8" applyFont="1" applyFill="1" applyBorder="1" applyAlignment="1">
      <alignment horizontal="center" vertical="center" wrapText="1"/>
    </xf>
    <xf numFmtId="0" fontId="63" fillId="27" borderId="132" xfId="8" applyFont="1" applyFill="1" applyBorder="1" applyAlignment="1">
      <alignment horizontal="center" vertical="center" wrapText="1"/>
    </xf>
    <xf numFmtId="0" fontId="61" fillId="22" borderId="130" xfId="8" applyFill="1" applyBorder="1" applyAlignment="1">
      <alignment horizontal="center"/>
    </xf>
    <xf numFmtId="0" fontId="59" fillId="22" borderId="0" xfId="0" applyFont="1" applyFill="1" applyAlignment="1">
      <alignment horizontal="left"/>
    </xf>
    <xf numFmtId="0" fontId="59" fillId="22" borderId="148" xfId="0" applyFont="1" applyFill="1" applyBorder="1" applyAlignment="1">
      <alignment horizontal="left"/>
    </xf>
    <xf numFmtId="0" fontId="54" fillId="26" borderId="165" xfId="0" applyFont="1" applyFill="1" applyBorder="1" applyAlignment="1">
      <alignment horizontal="center"/>
    </xf>
    <xf numFmtId="0" fontId="54" fillId="26" borderId="0" xfId="0" applyFont="1" applyFill="1" applyAlignment="1">
      <alignment horizontal="center"/>
    </xf>
    <xf numFmtId="0" fontId="54" fillId="26" borderId="166" xfId="0" applyFont="1" applyFill="1" applyBorder="1" applyAlignment="1">
      <alignment horizontal="center"/>
    </xf>
    <xf numFmtId="0" fontId="54" fillId="26" borderId="165" xfId="0" applyFont="1" applyFill="1" applyBorder="1" applyAlignment="1">
      <alignment horizontal="left"/>
    </xf>
    <xf numFmtId="0" fontId="54" fillId="26" borderId="0" xfId="0" applyFont="1" applyFill="1" applyAlignment="1">
      <alignment horizontal="left"/>
    </xf>
    <xf numFmtId="0" fontId="60" fillId="6" borderId="139" xfId="0" applyFont="1" applyFill="1" applyBorder="1" applyAlignment="1">
      <alignment horizontal="center" vertical="center"/>
    </xf>
    <xf numFmtId="0" fontId="60" fillId="6" borderId="143" xfId="0" applyFont="1" applyFill="1" applyBorder="1" applyAlignment="1">
      <alignment horizontal="center" vertical="center"/>
    </xf>
    <xf numFmtId="0" fontId="60" fillId="6" borderId="144" xfId="0" applyFont="1" applyFill="1" applyBorder="1" applyAlignment="1">
      <alignment horizontal="center" vertical="center"/>
    </xf>
    <xf numFmtId="0" fontId="55" fillId="32" borderId="145" xfId="0" applyFont="1" applyFill="1" applyBorder="1" applyAlignment="1">
      <alignment horizontal="center"/>
    </xf>
    <xf numFmtId="0" fontId="55" fillId="32" borderId="146" xfId="0" applyFont="1" applyFill="1" applyBorder="1" applyAlignment="1">
      <alignment horizontal="center"/>
    </xf>
    <xf numFmtId="0" fontId="55" fillId="32" borderId="147" xfId="0" applyFont="1" applyFill="1" applyBorder="1" applyAlignment="1">
      <alignment horizontal="center"/>
    </xf>
    <xf numFmtId="0" fontId="57" fillId="25" borderId="130" xfId="0" applyFont="1" applyFill="1" applyBorder="1" applyAlignment="1">
      <alignment horizontal="center"/>
    </xf>
    <xf numFmtId="0" fontId="54" fillId="26" borderId="130" xfId="0" applyFont="1" applyFill="1" applyBorder="1" applyAlignment="1">
      <alignment horizontal="left" vertical="top" wrapText="1"/>
    </xf>
    <xf numFmtId="0" fontId="54" fillId="26" borderId="130" xfId="0" applyFont="1" applyFill="1" applyBorder="1" applyAlignment="1">
      <alignment horizontal="left" vertical="top"/>
    </xf>
    <xf numFmtId="0" fontId="54" fillId="22" borderId="130" xfId="0" applyFont="1" applyFill="1" applyBorder="1" applyAlignment="1">
      <alignment horizontal="left" vertical="top"/>
    </xf>
    <xf numFmtId="0" fontId="27" fillId="0" borderId="0" xfId="0" applyFont="1" applyAlignment="1">
      <alignment horizontal="center"/>
    </xf>
    <xf numFmtId="0" fontId="30" fillId="0" borderId="0" xfId="0" applyFont="1" applyAlignment="1">
      <alignment horizontal="left" vertical="top" wrapText="1"/>
    </xf>
    <xf numFmtId="0" fontId="24" fillId="0" borderId="26" xfId="0" applyFont="1" applyBorder="1" applyAlignment="1">
      <alignment horizontal="left"/>
    </xf>
    <xf numFmtId="0" fontId="24" fillId="0" borderId="27" xfId="0" applyFont="1" applyBorder="1" applyAlignment="1">
      <alignment horizontal="left"/>
    </xf>
    <xf numFmtId="0" fontId="23" fillId="11" borderId="28" xfId="0" applyFont="1" applyFill="1" applyBorder="1" applyAlignment="1">
      <alignment horizontal="left"/>
    </xf>
    <xf numFmtId="0" fontId="23" fillId="11" borderId="29" xfId="0" applyFont="1" applyFill="1" applyBorder="1" applyAlignment="1">
      <alignment horizontal="left"/>
    </xf>
    <xf numFmtId="0" fontId="0" fillId="0" borderId="0" xfId="0" applyAlignment="1">
      <alignment horizontal="center" vertical="center" wrapText="1"/>
    </xf>
    <xf numFmtId="0" fontId="0" fillId="0" borderId="0" xfId="0" applyAlignment="1">
      <alignment horizontal="center" vertical="center"/>
    </xf>
    <xf numFmtId="0" fontId="23" fillId="11" borderId="0" xfId="0" applyFont="1" applyFill="1" applyAlignment="1">
      <alignment horizontal="left"/>
    </xf>
    <xf numFmtId="0" fontId="52" fillId="0" borderId="21" xfId="0" applyFont="1" applyBorder="1" applyAlignment="1">
      <alignment horizontal="left"/>
    </xf>
    <xf numFmtId="0" fontId="23" fillId="17" borderId="28" xfId="0" applyFont="1" applyFill="1" applyBorder="1" applyAlignment="1">
      <alignment horizontal="left"/>
    </xf>
    <xf numFmtId="0" fontId="23" fillId="17" borderId="29" xfId="0" applyFont="1" applyFill="1" applyBorder="1" applyAlignment="1">
      <alignment horizontal="left"/>
    </xf>
    <xf numFmtId="0" fontId="51" fillId="0" borderId="0" xfId="0" applyFont="1"/>
    <xf numFmtId="0" fontId="23" fillId="37" borderId="28" xfId="0" applyFont="1" applyFill="1" applyBorder="1" applyAlignment="1">
      <alignment horizontal="left"/>
    </xf>
    <xf numFmtId="0" fontId="23" fillId="37" borderId="29" xfId="0" applyFont="1" applyFill="1" applyBorder="1" applyAlignment="1">
      <alignment horizontal="left"/>
    </xf>
    <xf numFmtId="0" fontId="53" fillId="0" borderId="21" xfId="0" applyFont="1" applyBorder="1" applyAlignment="1">
      <alignment horizontal="left"/>
    </xf>
    <xf numFmtId="0" fontId="51" fillId="0" borderId="0" xfId="0" applyFont="1" applyAlignment="1">
      <alignment wrapText="1"/>
    </xf>
    <xf numFmtId="0" fontId="23" fillId="17" borderId="0" xfId="0" applyFont="1" applyFill="1" applyAlignment="1">
      <alignment horizontal="left"/>
    </xf>
    <xf numFmtId="0" fontId="23" fillId="37" borderId="0" xfId="0" applyFont="1" applyFill="1" applyAlignment="1">
      <alignment horizontal="left"/>
    </xf>
    <xf numFmtId="0" fontId="1" fillId="24" borderId="8" xfId="0" applyFont="1" applyFill="1" applyBorder="1" applyAlignment="1">
      <alignment horizontal="center" vertical="top"/>
    </xf>
    <xf numFmtId="0" fontId="1" fillId="24" borderId="74" xfId="0" applyFont="1" applyFill="1" applyBorder="1" applyAlignment="1">
      <alignment horizontal="center" vertical="top"/>
    </xf>
    <xf numFmtId="0" fontId="5" fillId="24" borderId="8" xfId="0" applyFont="1" applyFill="1" applyBorder="1" applyAlignment="1">
      <alignment horizontal="left" vertical="top" wrapText="1"/>
    </xf>
    <xf numFmtId="0" fontId="5" fillId="24" borderId="74" xfId="0" applyFont="1" applyFill="1" applyBorder="1" applyAlignment="1">
      <alignment horizontal="left" vertical="top" wrapText="1"/>
    </xf>
    <xf numFmtId="0" fontId="1" fillId="24" borderId="8" xfId="0" applyFont="1" applyFill="1" applyBorder="1" applyAlignment="1">
      <alignment vertical="top" wrapText="1"/>
    </xf>
    <xf numFmtId="0" fontId="1" fillId="24" borderId="74" xfId="0" applyFont="1" applyFill="1" applyBorder="1" applyAlignment="1">
      <alignment vertical="top" wrapText="1"/>
    </xf>
    <xf numFmtId="2" fontId="3" fillId="26" borderId="85" xfId="3" applyNumberFormat="1" applyFont="1" applyFill="1" applyBorder="1" applyAlignment="1">
      <alignment horizontal="right" vertical="top" wrapText="1"/>
    </xf>
    <xf numFmtId="2" fontId="3" fillId="26" borderId="86" xfId="3" applyNumberFormat="1" applyFont="1" applyFill="1" applyBorder="1" applyAlignment="1">
      <alignment horizontal="right" vertical="top" wrapText="1"/>
    </xf>
    <xf numFmtId="0" fontId="5" fillId="24" borderId="7" xfId="0" applyFont="1" applyFill="1" applyBorder="1" applyAlignment="1">
      <alignment horizontal="left" vertical="top" wrapText="1"/>
    </xf>
    <xf numFmtId="0" fontId="5" fillId="24" borderId="4" xfId="0" applyFont="1" applyFill="1" applyBorder="1" applyAlignment="1">
      <alignment horizontal="left" vertical="top" wrapText="1"/>
    </xf>
    <xf numFmtId="170" fontId="39" fillId="3" borderId="8" xfId="4" applyNumberFormat="1" applyFont="1" applyFill="1" applyBorder="1" applyAlignment="1">
      <alignment horizontal="right" vertical="top" wrapText="1"/>
    </xf>
    <xf numFmtId="170" fontId="39" fillId="3" borderId="9" xfId="4" applyNumberFormat="1" applyFont="1" applyFill="1" applyBorder="1" applyAlignment="1">
      <alignment horizontal="right" vertical="top" wrapText="1"/>
    </xf>
    <xf numFmtId="170" fontId="39" fillId="3" borderId="8" xfId="4" applyNumberFormat="1" applyFont="1" applyFill="1" applyBorder="1" applyAlignment="1">
      <alignment vertical="top" wrapText="1"/>
    </xf>
    <xf numFmtId="170" fontId="39" fillId="3" borderId="9" xfId="4" applyNumberFormat="1" applyFont="1" applyFill="1" applyBorder="1" applyAlignment="1">
      <alignment vertical="top" wrapText="1"/>
    </xf>
    <xf numFmtId="0" fontId="5" fillId="24" borderId="14" xfId="0" applyFont="1" applyFill="1" applyBorder="1" applyAlignment="1">
      <alignment horizontal="left" vertical="top" wrapText="1"/>
    </xf>
    <xf numFmtId="0" fontId="5" fillId="24" borderId="15" xfId="0" applyFont="1" applyFill="1" applyBorder="1" applyAlignment="1">
      <alignment horizontal="left" vertical="top" wrapText="1"/>
    </xf>
    <xf numFmtId="2" fontId="39" fillId="3" borderId="8" xfId="4" applyNumberFormat="1" applyFont="1" applyFill="1" applyBorder="1" applyAlignment="1">
      <alignment vertical="top" wrapText="1"/>
    </xf>
    <xf numFmtId="2" fontId="39" fillId="3" borderId="9" xfId="4" applyNumberFormat="1" applyFont="1" applyFill="1" applyBorder="1" applyAlignment="1">
      <alignment vertical="top" wrapText="1"/>
    </xf>
    <xf numFmtId="0" fontId="1" fillId="24" borderId="9" xfId="0" applyFont="1" applyFill="1" applyBorder="1" applyAlignment="1">
      <alignment vertical="top" wrapText="1"/>
    </xf>
    <xf numFmtId="0" fontId="5" fillId="24" borderId="11"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8" xfId="0" applyFont="1" applyFill="1" applyBorder="1" applyAlignment="1">
      <alignment horizontal="center" vertical="top" wrapText="1"/>
    </xf>
    <xf numFmtId="0" fontId="5" fillId="24" borderId="9" xfId="0" applyFont="1" applyFill="1" applyBorder="1" applyAlignment="1">
      <alignment horizontal="center" vertical="top" wrapText="1"/>
    </xf>
    <xf numFmtId="0" fontId="1" fillId="24" borderId="13" xfId="0" applyFont="1" applyFill="1" applyBorder="1" applyAlignment="1">
      <alignment horizontal="center" vertical="top"/>
    </xf>
    <xf numFmtId="0" fontId="1" fillId="24" borderId="5" xfId="0" applyFont="1" applyFill="1" applyBorder="1" applyAlignment="1">
      <alignment horizontal="center" vertical="top"/>
    </xf>
    <xf numFmtId="0" fontId="8" fillId="17" borderId="115" xfId="0" applyFont="1" applyFill="1" applyBorder="1" applyAlignment="1">
      <alignment horizontal="left" wrapText="1"/>
    </xf>
    <xf numFmtId="0" fontId="8" fillId="17" borderId="33" xfId="0" applyFont="1" applyFill="1" applyBorder="1" applyAlignment="1">
      <alignment horizontal="left" wrapText="1"/>
    </xf>
    <xf numFmtId="0" fontId="8" fillId="17" borderId="103" xfId="0" applyFont="1" applyFill="1" applyBorder="1" applyAlignment="1">
      <alignment horizontal="left" wrapText="1"/>
    </xf>
    <xf numFmtId="0" fontId="8" fillId="17" borderId="80" xfId="0" applyFont="1" applyFill="1" applyBorder="1" applyAlignment="1">
      <alignment horizontal="center" vertical="top" wrapText="1"/>
    </xf>
    <xf numFmtId="0" fontId="8" fillId="17" borderId="116" xfId="0" applyFont="1" applyFill="1" applyBorder="1" applyAlignment="1">
      <alignment horizontal="center" vertical="top" wrapText="1"/>
    </xf>
    <xf numFmtId="0" fontId="8" fillId="17" borderId="104" xfId="0" applyFont="1" applyFill="1" applyBorder="1" applyAlignment="1">
      <alignment horizontal="center" vertical="top" wrapText="1"/>
    </xf>
    <xf numFmtId="0" fontId="8" fillId="10" borderId="115" xfId="0" applyFont="1" applyFill="1" applyBorder="1" applyAlignment="1">
      <alignment horizontal="center" wrapText="1"/>
    </xf>
    <xf numFmtId="0" fontId="8" fillId="10" borderId="103" xfId="0" applyFont="1" applyFill="1" applyBorder="1" applyAlignment="1">
      <alignment horizontal="center" wrapText="1"/>
    </xf>
    <xf numFmtId="0" fontId="8" fillId="10" borderId="115" xfId="0" applyFont="1" applyFill="1" applyBorder="1" applyAlignment="1">
      <alignment horizontal="center" vertical="center" wrapText="1"/>
    </xf>
    <xf numFmtId="0" fontId="8" fillId="10" borderId="103" xfId="0" applyFont="1" applyFill="1" applyBorder="1" applyAlignment="1">
      <alignment horizontal="center" vertical="center" wrapText="1"/>
    </xf>
    <xf numFmtId="0" fontId="123" fillId="46" borderId="170" xfId="17" applyFont="1" applyFill="1" applyBorder="1" applyAlignment="1">
      <alignment horizontal="left" vertical="top" wrapText="1"/>
    </xf>
    <xf numFmtId="0" fontId="123" fillId="46" borderId="172" xfId="17" applyFont="1" applyFill="1" applyBorder="1" applyAlignment="1">
      <alignment horizontal="left" vertical="top" wrapText="1"/>
    </xf>
    <xf numFmtId="0" fontId="123" fillId="46" borderId="173" xfId="17" applyFont="1" applyFill="1" applyBorder="1" applyAlignment="1">
      <alignment horizontal="left" vertical="top" wrapText="1"/>
    </xf>
    <xf numFmtId="14" fontId="123" fillId="46" borderId="170" xfId="17" applyNumberFormat="1" applyFont="1" applyFill="1" applyBorder="1" applyAlignment="1">
      <alignment horizontal="left" vertical="top" wrapText="1"/>
    </xf>
    <xf numFmtId="14" fontId="123" fillId="46" borderId="172" xfId="17" applyNumberFormat="1" applyFont="1" applyFill="1" applyBorder="1" applyAlignment="1">
      <alignment horizontal="left" vertical="top" wrapText="1"/>
    </xf>
    <xf numFmtId="14" fontId="123" fillId="46" borderId="173" xfId="17" applyNumberFormat="1" applyFont="1" applyFill="1" applyBorder="1" applyAlignment="1">
      <alignment horizontal="left" vertical="top" wrapText="1"/>
    </xf>
    <xf numFmtId="0" fontId="121" fillId="0" borderId="175" xfId="17" applyFont="1" applyBorder="1" applyAlignment="1">
      <alignment horizontal="left" vertical="top" wrapText="1"/>
    </xf>
    <xf numFmtId="0" fontId="113" fillId="0" borderId="175" xfId="17" applyFont="1" applyBorder="1" applyAlignment="1">
      <alignment horizontal="left" vertical="top" wrapText="1"/>
    </xf>
    <xf numFmtId="0" fontId="8" fillId="0" borderId="24" xfId="0" applyFont="1" applyBorder="1" applyAlignment="1">
      <alignment horizontal="center" vertical="top" wrapText="1"/>
    </xf>
    <xf numFmtId="0" fontId="0" fillId="0" borderId="23"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48" fillId="20" borderId="14" xfId="0" applyFont="1" applyFill="1" applyBorder="1" applyAlignment="1">
      <alignment horizontal="center"/>
    </xf>
    <xf numFmtId="0" fontId="48" fillId="20" borderId="23" xfId="0" applyFont="1" applyFill="1" applyBorder="1" applyAlignment="1">
      <alignment horizontal="center"/>
    </xf>
  </cellXfs>
  <cellStyles count="21">
    <cellStyle name="Calculation" xfId="2" builtinId="22"/>
    <cellStyle name="Comma" xfId="5" builtinId="3"/>
    <cellStyle name="Currency" xfId="7" builtinId="4"/>
    <cellStyle name="Good" xfId="1" builtinId="26"/>
    <cellStyle name="Hyperlink" xfId="6" builtinId="8"/>
    <cellStyle name="Hyperlink 2" xfId="14" xr:uid="{9D219CDF-05C3-2F46-A5D1-5C73F6BBD546}"/>
    <cellStyle name="Hyperlink 3" xfId="18" xr:uid="{DC05B0AE-05FC-6A46-969F-A0A77CD8C0D5}"/>
    <cellStyle name="Hypertextové prepojenie 2" xfId="9" xr:uid="{00000000-0005-0000-0000-000003000000}"/>
    <cellStyle name="Hypertextové prepojenie 2 2" xfId="16" xr:uid="{A488A010-A7AE-9844-8E5D-741838DFDF0B}"/>
    <cellStyle name="Hypertextové prepojenie 2 2 2" xfId="19" xr:uid="{8D22EF5B-E87B-D047-B022-C0CE1B6716E9}"/>
    <cellStyle name="Mena 2" xfId="11" xr:uid="{00000000-0005-0000-0000-000005000000}"/>
    <cellStyle name="Mena 3" xfId="12" xr:uid="{00000000-0005-0000-0000-000006000000}"/>
    <cellStyle name="Normal" xfId="0" builtinId="0"/>
    <cellStyle name="Normal 2" xfId="13" xr:uid="{14A0399A-5DCD-E547-BF7D-365EBA4FD91E}"/>
    <cellStyle name="Normal 3" xfId="17" xr:uid="{9325BBCD-1D0C-4340-B5FF-1DD2CAFEFE30}"/>
    <cellStyle name="Normálna 2" xfId="8" xr:uid="{00000000-0005-0000-0000-000008000000}"/>
    <cellStyle name="Normálna 2 2" xfId="15" xr:uid="{1874DC16-53D7-2B4A-94AC-344CC8CE6749}"/>
    <cellStyle name="Normálna 3" xfId="20" xr:uid="{E4BE71F1-C592-0044-A4B7-0B66720C0B65}"/>
    <cellStyle name="Normálne 2" xfId="10" xr:uid="{00000000-0005-0000-0000-000009000000}"/>
    <cellStyle name="Note" xfId="3" builtinId="10"/>
    <cellStyle name="Per cent" xfId="4" builtinId="5"/>
  </cellStyles>
  <dxfs count="51">
    <dxf>
      <font>
        <color theme="0" tint="-0.14996795556505021"/>
      </font>
    </dxf>
    <dxf>
      <font>
        <color theme="0" tint="-0.14996795556505021"/>
      </font>
    </dxf>
    <dxf>
      <fill>
        <patternFill>
          <bgColor theme="0" tint="-0.14996795556505021"/>
        </patternFill>
      </fill>
    </dxf>
    <dxf>
      <font>
        <b/>
        <i/>
        <color rgb="FFFF0000"/>
      </font>
    </dxf>
    <dxf>
      <font>
        <b/>
        <i/>
        <color rgb="FFFF0000"/>
      </font>
    </dxf>
    <dxf>
      <font>
        <b/>
        <i/>
        <color rgb="FFFF0000"/>
      </font>
    </dxf>
    <dxf>
      <font>
        <b/>
        <i val="0"/>
        <color rgb="FF00B050"/>
      </font>
    </dxf>
    <dxf>
      <font>
        <b/>
        <i/>
        <color rgb="FFFF0000"/>
      </font>
    </dxf>
    <dxf>
      <font>
        <b/>
        <i/>
        <color rgb="FFCA9D0C"/>
      </font>
    </dxf>
    <dxf>
      <font>
        <b/>
        <i/>
        <color rgb="FFCA9D0C"/>
      </font>
    </dxf>
    <dxf>
      <font>
        <b/>
        <i/>
        <color rgb="FFFF0000"/>
      </font>
    </dxf>
    <dxf>
      <font>
        <b/>
        <i/>
        <color rgb="FFFF0000"/>
      </font>
    </dxf>
    <dxf>
      <font>
        <b/>
        <i/>
        <color rgb="FFFF0000"/>
      </font>
    </dxf>
    <dxf>
      <font>
        <b/>
        <i/>
        <color rgb="FFFF0000"/>
      </font>
    </dxf>
    <dxf>
      <fill>
        <patternFill>
          <bgColor theme="7" tint="0.79998168889431442"/>
        </patternFill>
      </fill>
    </dxf>
    <dxf>
      <font>
        <color theme="0"/>
      </font>
    </dxf>
    <dxf>
      <fill>
        <patternFill>
          <bgColor theme="7" tint="0.79998168889431442"/>
        </patternFill>
      </fill>
    </dxf>
    <dxf>
      <font>
        <color theme="0"/>
      </font>
    </dxf>
    <dxf>
      <font>
        <color auto="1"/>
      </font>
      <fill>
        <patternFill>
          <bgColor theme="0" tint="-0.14996795556505021"/>
        </patternFill>
      </fill>
    </dxf>
    <dxf>
      <fill>
        <patternFill>
          <bgColor theme="7" tint="0.79998168889431442"/>
        </patternFill>
      </fill>
    </dxf>
    <dxf>
      <font>
        <b/>
        <i/>
        <color rgb="FFFF0000"/>
      </font>
    </dxf>
    <dxf>
      <font>
        <b/>
        <i val="0"/>
        <condense val="0"/>
        <extend val="0"/>
        <color indexed="10"/>
      </font>
    </dxf>
    <dxf>
      <font>
        <b/>
        <i/>
        <color rgb="FFFF0000"/>
      </font>
    </dxf>
    <dxf>
      <font>
        <b/>
        <i/>
        <color rgb="FFFF0000"/>
      </font>
    </dxf>
    <dxf>
      <font>
        <b/>
        <i val="0"/>
        <color rgb="FF00B050"/>
      </font>
    </dxf>
    <dxf>
      <font>
        <b/>
        <i/>
        <color rgb="FFFF0000"/>
      </font>
    </dxf>
    <dxf>
      <font>
        <b/>
        <i val="0"/>
        <color rgb="FF00B050"/>
      </font>
    </dxf>
    <dxf>
      <font>
        <b/>
        <i/>
        <color rgb="FFFF0000"/>
      </font>
    </dxf>
    <dxf>
      <font>
        <b/>
        <i val="0"/>
        <color rgb="FF00B050"/>
      </font>
      <numFmt numFmtId="13" formatCode="0%"/>
    </dxf>
    <dxf>
      <font>
        <b/>
        <i/>
        <color rgb="FFFF0000"/>
      </font>
    </dxf>
    <dxf>
      <font>
        <b/>
        <i val="0"/>
        <color rgb="FF00B050"/>
      </font>
    </dxf>
    <dxf>
      <font>
        <color theme="0" tint="-0.24994659260841701"/>
      </font>
    </dxf>
    <dxf>
      <font>
        <color theme="0" tint="-0.2499465926084170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alignment vertical="top"/>
    </dxf>
    <dxf>
      <alignment vertical="top"/>
    </dxf>
    <dxf>
      <alignment vertical="top"/>
    </dxf>
    <dxf>
      <alignment vertical="top"/>
    </dxf>
    <dxf>
      <alignment vertical="top"/>
    </dxf>
    <dxf>
      <alignment vertical="top"/>
    </dxf>
    <dxf>
      <alignment vertical="top"/>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59999389629810485"/>
        </patternFill>
      </fill>
    </dxf>
    <dxf>
      <numFmt numFmtId="3" formatCode="#,##0"/>
    </dxf>
    <dxf>
      <numFmt numFmtId="3" formatCode="#,##0"/>
    </dxf>
  </dxfs>
  <tableStyles count="0" defaultTableStyle="TableStyleMedium2" defaultPivotStyle="PivotStyleLight16"/>
  <colors>
    <mruColors>
      <color rgb="FFFFFFCC"/>
      <color rgb="FFCA9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multiLvlStrRef>
              <c:f>Harmonogram!$B$3:$C$107</c:f>
              <c:multiLvlStrCache>
                <c:ptCount val="50"/>
                <c:lvl>
                  <c:pt idx="1">
                    <c:v>Analýza a dizajn</c:v>
                  </c:pt>
                  <c:pt idx="2">
                    <c:v>Nákup HW a krabicový SW</c:v>
                  </c:pt>
                  <c:pt idx="3">
                    <c:v>Implementácia a testovanie</c:v>
                  </c:pt>
                  <c:pt idx="4">
                    <c:v>Nasadenie</c:v>
                  </c:pt>
                  <c:pt idx="6">
                    <c:v>Analýza a dizajn</c:v>
                  </c:pt>
                  <c:pt idx="7">
                    <c:v>Nákup HW a krabicový SW</c:v>
                  </c:pt>
                  <c:pt idx="8">
                    <c:v>Implementácia a testovanie</c:v>
                  </c:pt>
                  <c:pt idx="9">
                    <c:v>Nasadenie</c:v>
                  </c:pt>
                  <c:pt idx="11">
                    <c:v>Analýza a dizajn</c:v>
                  </c:pt>
                  <c:pt idx="12">
                    <c:v>Nákup HW a krabicový SW</c:v>
                  </c:pt>
                  <c:pt idx="13">
                    <c:v>Implementácia a testovanie</c:v>
                  </c:pt>
                  <c:pt idx="14">
                    <c:v>Nasadenie</c:v>
                  </c:pt>
                  <c:pt idx="16">
                    <c:v>Analýza a dizajn</c:v>
                  </c:pt>
                  <c:pt idx="17">
                    <c:v>Nákup HW a krabicový SW</c:v>
                  </c:pt>
                  <c:pt idx="18">
                    <c:v>Implementácia a testovanie</c:v>
                  </c:pt>
                  <c:pt idx="19">
                    <c:v>Nasadenie</c:v>
                  </c:pt>
                  <c:pt idx="21">
                    <c:v>Analýza a dizajn</c:v>
                  </c:pt>
                  <c:pt idx="22">
                    <c:v>Nákup HW a krabicový SW</c:v>
                  </c:pt>
                  <c:pt idx="23">
                    <c:v>Implementácia a testovanie</c:v>
                  </c:pt>
                  <c:pt idx="24">
                    <c:v>Nasadenie</c:v>
                  </c:pt>
                  <c:pt idx="26">
                    <c:v>Analýza a dizajn</c:v>
                  </c:pt>
                  <c:pt idx="27">
                    <c:v>Nákup HW a krabicový SW</c:v>
                  </c:pt>
                  <c:pt idx="28">
                    <c:v>Implementácia a testovanie</c:v>
                  </c:pt>
                  <c:pt idx="29">
                    <c:v>Nasadenie</c:v>
                  </c:pt>
                  <c:pt idx="31">
                    <c:v>Analýza a dizajn</c:v>
                  </c:pt>
                  <c:pt idx="32">
                    <c:v>Nákup HW a krabicový SW</c:v>
                  </c:pt>
                  <c:pt idx="33">
                    <c:v>Implementácia a testovanie</c:v>
                  </c:pt>
                  <c:pt idx="34">
                    <c:v>Nasadenie</c:v>
                  </c:pt>
                  <c:pt idx="36">
                    <c:v>Analýza a dizajn</c:v>
                  </c:pt>
                  <c:pt idx="37">
                    <c:v>Nákup HW a krabicový SW</c:v>
                  </c:pt>
                  <c:pt idx="38">
                    <c:v>Implementácia a testovanie</c:v>
                  </c:pt>
                  <c:pt idx="39">
                    <c:v>Nasadenie</c:v>
                  </c:pt>
                  <c:pt idx="41">
                    <c:v>Analýza a dizajn</c:v>
                  </c:pt>
                  <c:pt idx="42">
                    <c:v>Nákup HW a krabicový SW</c:v>
                  </c:pt>
                  <c:pt idx="43">
                    <c:v>Implementácia a testovanie</c:v>
                  </c:pt>
                  <c:pt idx="44">
                    <c:v>Nasadenie</c:v>
                  </c:pt>
                  <c:pt idx="46">
                    <c:v>Analýza a dizajn</c:v>
                  </c:pt>
                  <c:pt idx="47">
                    <c:v>Nákup HW a krabicový SW</c:v>
                  </c:pt>
                  <c:pt idx="48">
                    <c:v>Implementácia a testovanie</c:v>
                  </c:pt>
                  <c:pt idx="49">
                    <c:v>Nasadenie</c:v>
                  </c:pt>
                </c:lvl>
                <c:lvl>
                  <c:pt idx="0">
                    <c:v>NetAcad LAB A vybavenie (Networking a základy cybersec)</c:v>
                  </c:pt>
                  <c:pt idx="5">
                    <c:v>NetAcad LAB B vybavenie (Pokročilá cybersec)</c:v>
                  </c:pt>
                  <c:pt idx="10">
                    <c:v>NetAcad LAB spoločná komunikačná infraštruktúra</c:v>
                  </c:pt>
                  <c:pt idx="15">
                    <c:v>NetAcad LAB vzdelávací obsah v  oblasti kybernetickej bezpečnosti (na Slovensku)</c:v>
                  </c:pt>
                  <c:pt idx="20">
                    <c:v>LMS Cluster + Interoperabilita</c:v>
                  </c:pt>
                  <c:pt idx="25">
                    <c:v>CSKI Centrálna serverová a komunikačná infraštruktúra</c:v>
                  </c:pt>
                  <c:pt idx="30">
                    <c:v>AI Cluster</c:v>
                  </c:pt>
                  <c:pt idx="35">
                    <c:v>CSIRT-SOC Cluster</c:v>
                  </c:pt>
                  <c:pt idx="40">
                    <c:v>Kvantové počítače a príslušenstvo</c:v>
                  </c:pt>
                  <c:pt idx="45">
                    <c:v>Rozširujúce laboratórne vybavenie UI</c:v>
                  </c:pt>
                </c:lvl>
              </c:multiLvlStrCache>
            </c:multiLvlStrRef>
          </c:cat>
          <c:val>
            <c:numRef>
              <c:f>Harmonogram!$H$3:$H$107</c:f>
              <c:numCache>
                <c:formatCode>General</c:formatCode>
                <c:ptCount val="105"/>
                <c:pt idx="0">
                  <c:v>0</c:v>
                </c:pt>
                <c:pt idx="1">
                  <c:v>0</c:v>
                </c:pt>
                <c:pt idx="2">
                  <c:v>-1</c:v>
                </c:pt>
                <c:pt idx="3">
                  <c:v>12</c:v>
                </c:pt>
                <c:pt idx="4">
                  <c:v>24</c:v>
                </c:pt>
                <c:pt idx="5">
                  <c:v>0</c:v>
                </c:pt>
                <c:pt idx="6">
                  <c:v>0</c:v>
                </c:pt>
                <c:pt idx="7">
                  <c:v>-1</c:v>
                </c:pt>
                <c:pt idx="8">
                  <c:v>12</c:v>
                </c:pt>
                <c:pt idx="9">
                  <c:v>24</c:v>
                </c:pt>
                <c:pt idx="10">
                  <c:v>0</c:v>
                </c:pt>
                <c:pt idx="11">
                  <c:v>0</c:v>
                </c:pt>
                <c:pt idx="12">
                  <c:v>-1</c:v>
                </c:pt>
                <c:pt idx="13">
                  <c:v>12</c:v>
                </c:pt>
                <c:pt idx="14">
                  <c:v>24</c:v>
                </c:pt>
                <c:pt idx="15">
                  <c:v>21</c:v>
                </c:pt>
                <c:pt idx="16">
                  <c:v>20</c:v>
                </c:pt>
                <c:pt idx="17">
                  <c:v>-1</c:v>
                </c:pt>
                <c:pt idx="18">
                  <c:v>20</c:v>
                </c:pt>
                <c:pt idx="19">
                  <c:v>32</c:v>
                </c:pt>
                <c:pt idx="20">
                  <c:v>0</c:v>
                </c:pt>
                <c:pt idx="21">
                  <c:v>0</c:v>
                </c:pt>
                <c:pt idx="22">
                  <c:v>-1</c:v>
                </c:pt>
                <c:pt idx="23">
                  <c:v>12</c:v>
                </c:pt>
                <c:pt idx="24">
                  <c:v>24</c:v>
                </c:pt>
                <c:pt idx="25">
                  <c:v>21</c:v>
                </c:pt>
                <c:pt idx="26">
                  <c:v>20</c:v>
                </c:pt>
                <c:pt idx="27">
                  <c:v>-1</c:v>
                </c:pt>
                <c:pt idx="28">
                  <c:v>20</c:v>
                </c:pt>
                <c:pt idx="29">
                  <c:v>32</c:v>
                </c:pt>
                <c:pt idx="30">
                  <c:v>0</c:v>
                </c:pt>
                <c:pt idx="31">
                  <c:v>0</c:v>
                </c:pt>
                <c:pt idx="32">
                  <c:v>-1</c:v>
                </c:pt>
                <c:pt idx="33">
                  <c:v>12</c:v>
                </c:pt>
                <c:pt idx="34">
                  <c:v>24</c:v>
                </c:pt>
                <c:pt idx="35">
                  <c:v>0</c:v>
                </c:pt>
                <c:pt idx="36">
                  <c:v>0</c:v>
                </c:pt>
                <c:pt idx="37">
                  <c:v>-1</c:v>
                </c:pt>
                <c:pt idx="38">
                  <c:v>12</c:v>
                </c:pt>
                <c:pt idx="39">
                  <c:v>24</c:v>
                </c:pt>
                <c:pt idx="40">
                  <c:v>21</c:v>
                </c:pt>
                <c:pt idx="41">
                  <c:v>20</c:v>
                </c:pt>
                <c:pt idx="42">
                  <c:v>-1</c:v>
                </c:pt>
                <c:pt idx="43">
                  <c:v>20</c:v>
                </c:pt>
                <c:pt idx="44">
                  <c:v>32</c:v>
                </c:pt>
                <c:pt idx="45">
                  <c:v>21</c:v>
                </c:pt>
                <c:pt idx="46">
                  <c:v>20</c:v>
                </c:pt>
                <c:pt idx="47">
                  <c:v>-1</c:v>
                </c:pt>
                <c:pt idx="48">
                  <c:v>20</c:v>
                </c:pt>
                <c:pt idx="49">
                  <c:v>32</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multiLvlStrRef>
              <c:f>Harmonogram!$B$3:$C$107</c:f>
              <c:multiLvlStrCache>
                <c:ptCount val="50"/>
                <c:lvl>
                  <c:pt idx="1">
                    <c:v>Analýza a dizajn</c:v>
                  </c:pt>
                  <c:pt idx="2">
                    <c:v>Nákup HW a krabicový SW</c:v>
                  </c:pt>
                  <c:pt idx="3">
                    <c:v>Implementácia a testovanie</c:v>
                  </c:pt>
                  <c:pt idx="4">
                    <c:v>Nasadenie</c:v>
                  </c:pt>
                  <c:pt idx="6">
                    <c:v>Analýza a dizajn</c:v>
                  </c:pt>
                  <c:pt idx="7">
                    <c:v>Nákup HW a krabicový SW</c:v>
                  </c:pt>
                  <c:pt idx="8">
                    <c:v>Implementácia a testovanie</c:v>
                  </c:pt>
                  <c:pt idx="9">
                    <c:v>Nasadenie</c:v>
                  </c:pt>
                  <c:pt idx="11">
                    <c:v>Analýza a dizajn</c:v>
                  </c:pt>
                  <c:pt idx="12">
                    <c:v>Nákup HW a krabicový SW</c:v>
                  </c:pt>
                  <c:pt idx="13">
                    <c:v>Implementácia a testovanie</c:v>
                  </c:pt>
                  <c:pt idx="14">
                    <c:v>Nasadenie</c:v>
                  </c:pt>
                  <c:pt idx="16">
                    <c:v>Analýza a dizajn</c:v>
                  </c:pt>
                  <c:pt idx="17">
                    <c:v>Nákup HW a krabicový SW</c:v>
                  </c:pt>
                  <c:pt idx="18">
                    <c:v>Implementácia a testovanie</c:v>
                  </c:pt>
                  <c:pt idx="19">
                    <c:v>Nasadenie</c:v>
                  </c:pt>
                  <c:pt idx="21">
                    <c:v>Analýza a dizajn</c:v>
                  </c:pt>
                  <c:pt idx="22">
                    <c:v>Nákup HW a krabicový SW</c:v>
                  </c:pt>
                  <c:pt idx="23">
                    <c:v>Implementácia a testovanie</c:v>
                  </c:pt>
                  <c:pt idx="24">
                    <c:v>Nasadenie</c:v>
                  </c:pt>
                  <c:pt idx="26">
                    <c:v>Analýza a dizajn</c:v>
                  </c:pt>
                  <c:pt idx="27">
                    <c:v>Nákup HW a krabicový SW</c:v>
                  </c:pt>
                  <c:pt idx="28">
                    <c:v>Implementácia a testovanie</c:v>
                  </c:pt>
                  <c:pt idx="29">
                    <c:v>Nasadenie</c:v>
                  </c:pt>
                  <c:pt idx="31">
                    <c:v>Analýza a dizajn</c:v>
                  </c:pt>
                  <c:pt idx="32">
                    <c:v>Nákup HW a krabicový SW</c:v>
                  </c:pt>
                  <c:pt idx="33">
                    <c:v>Implementácia a testovanie</c:v>
                  </c:pt>
                  <c:pt idx="34">
                    <c:v>Nasadenie</c:v>
                  </c:pt>
                  <c:pt idx="36">
                    <c:v>Analýza a dizajn</c:v>
                  </c:pt>
                  <c:pt idx="37">
                    <c:v>Nákup HW a krabicový SW</c:v>
                  </c:pt>
                  <c:pt idx="38">
                    <c:v>Implementácia a testovanie</c:v>
                  </c:pt>
                  <c:pt idx="39">
                    <c:v>Nasadenie</c:v>
                  </c:pt>
                  <c:pt idx="41">
                    <c:v>Analýza a dizajn</c:v>
                  </c:pt>
                  <c:pt idx="42">
                    <c:v>Nákup HW a krabicový SW</c:v>
                  </c:pt>
                  <c:pt idx="43">
                    <c:v>Implementácia a testovanie</c:v>
                  </c:pt>
                  <c:pt idx="44">
                    <c:v>Nasadenie</c:v>
                  </c:pt>
                  <c:pt idx="46">
                    <c:v>Analýza a dizajn</c:v>
                  </c:pt>
                  <c:pt idx="47">
                    <c:v>Nákup HW a krabicový SW</c:v>
                  </c:pt>
                  <c:pt idx="48">
                    <c:v>Implementácia a testovanie</c:v>
                  </c:pt>
                  <c:pt idx="49">
                    <c:v>Nasadenie</c:v>
                  </c:pt>
                </c:lvl>
                <c:lvl>
                  <c:pt idx="0">
                    <c:v>NetAcad LAB A vybavenie (Networking a základy cybersec)</c:v>
                  </c:pt>
                  <c:pt idx="5">
                    <c:v>NetAcad LAB B vybavenie (Pokročilá cybersec)</c:v>
                  </c:pt>
                  <c:pt idx="10">
                    <c:v>NetAcad LAB spoločná komunikačná infraštruktúra</c:v>
                  </c:pt>
                  <c:pt idx="15">
                    <c:v>NetAcad LAB vzdelávací obsah v  oblasti kybernetickej bezpečnosti (na Slovensku)</c:v>
                  </c:pt>
                  <c:pt idx="20">
                    <c:v>LMS Cluster + Interoperabilita</c:v>
                  </c:pt>
                  <c:pt idx="25">
                    <c:v>CSKI Centrálna serverová a komunikačná infraštruktúra</c:v>
                  </c:pt>
                  <c:pt idx="30">
                    <c:v>AI Cluster</c:v>
                  </c:pt>
                  <c:pt idx="35">
                    <c:v>CSIRT-SOC Cluster</c:v>
                  </c:pt>
                  <c:pt idx="40">
                    <c:v>Kvantové počítače a príslušenstvo</c:v>
                  </c:pt>
                  <c:pt idx="45">
                    <c:v>Rozširujúce laboratórne vybavenie UI</c:v>
                  </c:pt>
                </c:lvl>
              </c:multiLvlStrCache>
            </c:multiLvlStrRef>
          </c:cat>
          <c:val>
            <c:numRef>
              <c:f>Harmonogram!$I$3:$I$107</c:f>
              <c:numCache>
                <c:formatCode>General</c:formatCode>
                <c:ptCount val="105"/>
                <c:pt idx="1">
                  <c:v>21</c:v>
                </c:pt>
                <c:pt idx="3">
                  <c:v>24</c:v>
                </c:pt>
                <c:pt idx="4">
                  <c:v>-3</c:v>
                </c:pt>
                <c:pt idx="6">
                  <c:v>21</c:v>
                </c:pt>
                <c:pt idx="8">
                  <c:v>24</c:v>
                </c:pt>
                <c:pt idx="9">
                  <c:v>-3</c:v>
                </c:pt>
                <c:pt idx="11">
                  <c:v>21</c:v>
                </c:pt>
                <c:pt idx="13">
                  <c:v>24</c:v>
                </c:pt>
                <c:pt idx="14">
                  <c:v>-3</c:v>
                </c:pt>
                <c:pt idx="16">
                  <c:v>12</c:v>
                </c:pt>
                <c:pt idx="18">
                  <c:v>24</c:v>
                </c:pt>
                <c:pt idx="19">
                  <c:v>14</c:v>
                </c:pt>
                <c:pt idx="21">
                  <c:v>21</c:v>
                </c:pt>
                <c:pt idx="23">
                  <c:v>24</c:v>
                </c:pt>
                <c:pt idx="24">
                  <c:v>-3</c:v>
                </c:pt>
                <c:pt idx="26">
                  <c:v>21</c:v>
                </c:pt>
                <c:pt idx="28">
                  <c:v>24</c:v>
                </c:pt>
                <c:pt idx="29">
                  <c:v>14</c:v>
                </c:pt>
                <c:pt idx="31">
                  <c:v>21</c:v>
                </c:pt>
                <c:pt idx="33">
                  <c:v>24</c:v>
                </c:pt>
                <c:pt idx="34">
                  <c:v>-3</c:v>
                </c:pt>
                <c:pt idx="36">
                  <c:v>21</c:v>
                </c:pt>
                <c:pt idx="38">
                  <c:v>24</c:v>
                </c:pt>
                <c:pt idx="39">
                  <c:v>-3</c:v>
                </c:pt>
                <c:pt idx="41">
                  <c:v>21</c:v>
                </c:pt>
                <c:pt idx="43">
                  <c:v>24</c:v>
                </c:pt>
                <c:pt idx="44">
                  <c:v>14</c:v>
                </c:pt>
                <c:pt idx="46">
                  <c:v>21</c:v>
                </c:pt>
                <c:pt idx="48">
                  <c:v>24</c:v>
                </c:pt>
                <c:pt idx="49">
                  <c:v>14</c:v>
                </c:pt>
                <c:pt idx="54">
                  <c:v>1</c:v>
                </c:pt>
                <c:pt idx="59">
                  <c:v>1</c:v>
                </c:pt>
                <c:pt idx="64">
                  <c:v>1</c:v>
                </c:pt>
                <c:pt idx="69">
                  <c:v>1</c:v>
                </c:pt>
                <c:pt idx="74">
                  <c:v>1</c:v>
                </c:pt>
                <c:pt idx="79">
                  <c:v>1</c:v>
                </c:pt>
                <c:pt idx="84">
                  <c:v>1</c:v>
                </c:pt>
                <c:pt idx="89">
                  <c:v>1</c:v>
                </c:pt>
                <c:pt idx="94">
                  <c:v>1</c:v>
                </c:pt>
                <c:pt idx="99">
                  <c:v>1</c:v>
                </c:pt>
                <c:pt idx="104">
                  <c:v>1</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315036191"/>
        <c:axId val="243043167"/>
      </c:barChart>
      <c:catAx>
        <c:axId val="3150361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243043167"/>
        <c:crosses val="autoZero"/>
        <c:auto val="1"/>
        <c:lblAlgn val="ctr"/>
        <c:lblOffset val="100"/>
        <c:noMultiLvlLbl val="0"/>
      </c:catAx>
      <c:valAx>
        <c:axId val="243043167"/>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315036191"/>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13</xdr:col>
      <xdr:colOff>85726</xdr:colOff>
      <xdr:row>2</xdr:row>
      <xdr:rowOff>0</xdr:rowOff>
    </xdr:from>
    <xdr:to>
      <xdr:col>20</xdr:col>
      <xdr:colOff>42958</xdr:colOff>
      <xdr:row>13</xdr:row>
      <xdr:rowOff>209550</xdr:rowOff>
    </xdr:to>
    <xdr:pic>
      <xdr:nvPicPr>
        <xdr:cNvPr id="2" name="Obrázok 1">
          <a:extLst>
            <a:ext uri="{FF2B5EF4-FFF2-40B4-BE49-F238E27FC236}">
              <a16:creationId xmlns:a16="http://schemas.microsoft.com/office/drawing/2014/main" id="{A1C29660-381A-EA03-9DA5-74D205D743A3}"/>
            </a:ext>
          </a:extLst>
        </xdr:cNvPr>
        <xdr:cNvPicPr>
          <a:picLocks noChangeAspect="1"/>
        </xdr:cNvPicPr>
      </xdr:nvPicPr>
      <xdr:blipFill>
        <a:blip xmlns:r="http://schemas.openxmlformats.org/officeDocument/2006/relationships" r:embed="rId1"/>
        <a:stretch>
          <a:fillRect/>
        </a:stretch>
      </xdr:blipFill>
      <xdr:spPr>
        <a:xfrm>
          <a:off x="15944851" y="400050"/>
          <a:ext cx="4091082" cy="2305050"/>
        </a:xfrm>
        <a:prstGeom prst="rect">
          <a:avLst/>
        </a:prstGeom>
      </xdr:spPr>
    </xdr:pic>
    <xdr:clientData/>
  </xdr:twoCellAnchor>
  <xdr:twoCellAnchor editAs="oneCell">
    <xdr:from>
      <xdr:col>13</xdr:col>
      <xdr:colOff>95250</xdr:colOff>
      <xdr:row>15</xdr:row>
      <xdr:rowOff>16148</xdr:rowOff>
    </xdr:from>
    <xdr:to>
      <xdr:col>20</xdr:col>
      <xdr:colOff>28575</xdr:colOff>
      <xdr:row>26</xdr:row>
      <xdr:rowOff>25131</xdr:rowOff>
    </xdr:to>
    <xdr:pic>
      <xdr:nvPicPr>
        <xdr:cNvPr id="3" name="Obrázok 2">
          <a:extLst>
            <a:ext uri="{FF2B5EF4-FFF2-40B4-BE49-F238E27FC236}">
              <a16:creationId xmlns:a16="http://schemas.microsoft.com/office/drawing/2014/main" id="{ACE37E62-3925-8B0F-816E-1AF06918D6A8}"/>
            </a:ext>
          </a:extLst>
        </xdr:cNvPr>
        <xdr:cNvPicPr>
          <a:picLocks noChangeAspect="1"/>
        </xdr:cNvPicPr>
      </xdr:nvPicPr>
      <xdr:blipFill>
        <a:blip xmlns:r="http://schemas.openxmlformats.org/officeDocument/2006/relationships" r:embed="rId2"/>
        <a:stretch>
          <a:fillRect/>
        </a:stretch>
      </xdr:blipFill>
      <xdr:spPr>
        <a:xfrm>
          <a:off x="15954375" y="2892698"/>
          <a:ext cx="4067175" cy="2104483"/>
        </a:xfrm>
        <a:prstGeom prst="rect">
          <a:avLst/>
        </a:prstGeom>
      </xdr:spPr>
    </xdr:pic>
    <xdr:clientData/>
  </xdr:twoCellAnchor>
  <xdr:twoCellAnchor editAs="oneCell">
    <xdr:from>
      <xdr:col>13</xdr:col>
      <xdr:colOff>57151</xdr:colOff>
      <xdr:row>26</xdr:row>
      <xdr:rowOff>171450</xdr:rowOff>
    </xdr:from>
    <xdr:to>
      <xdr:col>20</xdr:col>
      <xdr:colOff>152400</xdr:colOff>
      <xdr:row>36</xdr:row>
      <xdr:rowOff>182416</xdr:rowOff>
    </xdr:to>
    <xdr:pic>
      <xdr:nvPicPr>
        <xdr:cNvPr id="4" name="Obrázok 3">
          <a:extLst>
            <a:ext uri="{FF2B5EF4-FFF2-40B4-BE49-F238E27FC236}">
              <a16:creationId xmlns:a16="http://schemas.microsoft.com/office/drawing/2014/main" id="{29B05893-4406-8607-8527-83ADD7076D77}"/>
            </a:ext>
          </a:extLst>
        </xdr:cNvPr>
        <xdr:cNvPicPr>
          <a:picLocks noChangeAspect="1"/>
        </xdr:cNvPicPr>
      </xdr:nvPicPr>
      <xdr:blipFill>
        <a:blip xmlns:r="http://schemas.openxmlformats.org/officeDocument/2006/relationships" r:embed="rId3"/>
        <a:stretch>
          <a:fillRect/>
        </a:stretch>
      </xdr:blipFill>
      <xdr:spPr>
        <a:xfrm>
          <a:off x="15916276" y="5143500"/>
          <a:ext cx="4229099" cy="1915966"/>
        </a:xfrm>
        <a:prstGeom prst="rect">
          <a:avLst/>
        </a:prstGeom>
      </xdr:spPr>
    </xdr:pic>
    <xdr:clientData/>
  </xdr:twoCellAnchor>
  <xdr:twoCellAnchor editAs="oneCell">
    <xdr:from>
      <xdr:col>13</xdr:col>
      <xdr:colOff>95251</xdr:colOff>
      <xdr:row>38</xdr:row>
      <xdr:rowOff>1</xdr:rowOff>
    </xdr:from>
    <xdr:to>
      <xdr:col>20</xdr:col>
      <xdr:colOff>228601</xdr:colOff>
      <xdr:row>47</xdr:row>
      <xdr:rowOff>142573</xdr:rowOff>
    </xdr:to>
    <xdr:pic>
      <xdr:nvPicPr>
        <xdr:cNvPr id="5" name="Obrázok 4">
          <a:extLst>
            <a:ext uri="{FF2B5EF4-FFF2-40B4-BE49-F238E27FC236}">
              <a16:creationId xmlns:a16="http://schemas.microsoft.com/office/drawing/2014/main" id="{34C4A2B8-CC1A-28E9-386F-E84B9ED817AF}"/>
            </a:ext>
          </a:extLst>
        </xdr:cNvPr>
        <xdr:cNvPicPr>
          <a:picLocks noChangeAspect="1"/>
        </xdr:cNvPicPr>
      </xdr:nvPicPr>
      <xdr:blipFill>
        <a:blip xmlns:r="http://schemas.openxmlformats.org/officeDocument/2006/relationships" r:embed="rId4"/>
        <a:stretch>
          <a:fillRect/>
        </a:stretch>
      </xdr:blipFill>
      <xdr:spPr>
        <a:xfrm>
          <a:off x="15954376" y="7258051"/>
          <a:ext cx="4267200" cy="1857072"/>
        </a:xfrm>
        <a:prstGeom prst="rect">
          <a:avLst/>
        </a:prstGeom>
      </xdr:spPr>
    </xdr:pic>
    <xdr:clientData/>
  </xdr:twoCellAnchor>
  <xdr:twoCellAnchor editAs="oneCell">
    <xdr:from>
      <xdr:col>14</xdr:col>
      <xdr:colOff>0</xdr:colOff>
      <xdr:row>54</xdr:row>
      <xdr:rowOff>0</xdr:rowOff>
    </xdr:from>
    <xdr:to>
      <xdr:col>41</xdr:col>
      <xdr:colOff>164173</xdr:colOff>
      <xdr:row>73</xdr:row>
      <xdr:rowOff>38611</xdr:rowOff>
    </xdr:to>
    <xdr:pic>
      <xdr:nvPicPr>
        <xdr:cNvPr id="6" name="Obrázok 5">
          <a:extLst>
            <a:ext uri="{FF2B5EF4-FFF2-40B4-BE49-F238E27FC236}">
              <a16:creationId xmlns:a16="http://schemas.microsoft.com/office/drawing/2014/main" id="{990139D3-26CF-37B5-3039-A7628F928F88}"/>
            </a:ext>
          </a:extLst>
        </xdr:cNvPr>
        <xdr:cNvPicPr>
          <a:picLocks noChangeAspect="1"/>
        </xdr:cNvPicPr>
      </xdr:nvPicPr>
      <xdr:blipFill>
        <a:blip xmlns:r="http://schemas.openxmlformats.org/officeDocument/2006/relationships" r:embed="rId5"/>
        <a:stretch>
          <a:fillRect/>
        </a:stretch>
      </xdr:blipFill>
      <xdr:spPr>
        <a:xfrm>
          <a:off x="16916400" y="10306050"/>
          <a:ext cx="16109023" cy="3658111"/>
        </a:xfrm>
        <a:prstGeom prst="rect">
          <a:avLst/>
        </a:prstGeom>
      </xdr:spPr>
    </xdr:pic>
    <xdr:clientData/>
  </xdr:twoCellAnchor>
  <xdr:twoCellAnchor editAs="oneCell">
    <xdr:from>
      <xdr:col>14</xdr:col>
      <xdr:colOff>0</xdr:colOff>
      <xdr:row>74</xdr:row>
      <xdr:rowOff>0</xdr:rowOff>
    </xdr:from>
    <xdr:to>
      <xdr:col>35</xdr:col>
      <xdr:colOff>306573</xdr:colOff>
      <xdr:row>108</xdr:row>
      <xdr:rowOff>39009</xdr:rowOff>
    </xdr:to>
    <xdr:pic>
      <xdr:nvPicPr>
        <xdr:cNvPr id="15" name="Obrázok 14">
          <a:extLst>
            <a:ext uri="{FF2B5EF4-FFF2-40B4-BE49-F238E27FC236}">
              <a16:creationId xmlns:a16="http://schemas.microsoft.com/office/drawing/2014/main" id="{5A7D08A0-511E-5B96-E8B9-9759A813663B}"/>
            </a:ext>
          </a:extLst>
        </xdr:cNvPr>
        <xdr:cNvPicPr>
          <a:picLocks noChangeAspect="1"/>
        </xdr:cNvPicPr>
      </xdr:nvPicPr>
      <xdr:blipFill>
        <a:blip xmlns:r="http://schemas.openxmlformats.org/officeDocument/2006/relationships" r:embed="rId6"/>
        <a:stretch>
          <a:fillRect/>
        </a:stretch>
      </xdr:blipFill>
      <xdr:spPr>
        <a:xfrm>
          <a:off x="16983075" y="14116050"/>
          <a:ext cx="12708123" cy="6516009"/>
        </a:xfrm>
        <a:prstGeom prst="rect">
          <a:avLst/>
        </a:prstGeom>
      </xdr:spPr>
    </xdr:pic>
    <xdr:clientData/>
  </xdr:twoCellAnchor>
  <xdr:twoCellAnchor editAs="oneCell">
    <xdr:from>
      <xdr:col>13</xdr:col>
      <xdr:colOff>523875</xdr:colOff>
      <xdr:row>108</xdr:row>
      <xdr:rowOff>133350</xdr:rowOff>
    </xdr:from>
    <xdr:to>
      <xdr:col>24</xdr:col>
      <xdr:colOff>534307</xdr:colOff>
      <xdr:row>138</xdr:row>
      <xdr:rowOff>19832</xdr:rowOff>
    </xdr:to>
    <xdr:pic>
      <xdr:nvPicPr>
        <xdr:cNvPr id="16" name="Obrázok 15">
          <a:extLst>
            <a:ext uri="{FF2B5EF4-FFF2-40B4-BE49-F238E27FC236}">
              <a16:creationId xmlns:a16="http://schemas.microsoft.com/office/drawing/2014/main" id="{2B0AC857-0C87-D1FD-A743-7683963AF6BD}"/>
            </a:ext>
          </a:extLst>
        </xdr:cNvPr>
        <xdr:cNvPicPr>
          <a:picLocks noChangeAspect="1"/>
        </xdr:cNvPicPr>
      </xdr:nvPicPr>
      <xdr:blipFill>
        <a:blip xmlns:r="http://schemas.openxmlformats.org/officeDocument/2006/relationships" r:embed="rId7"/>
        <a:stretch>
          <a:fillRect/>
        </a:stretch>
      </xdr:blipFill>
      <xdr:spPr>
        <a:xfrm>
          <a:off x="16916400" y="21107400"/>
          <a:ext cx="6506483" cy="5601482"/>
        </a:xfrm>
        <a:prstGeom prst="rect">
          <a:avLst/>
        </a:prstGeom>
      </xdr:spPr>
    </xdr:pic>
    <xdr:clientData/>
  </xdr:twoCellAnchor>
  <xdr:twoCellAnchor editAs="oneCell">
    <xdr:from>
      <xdr:col>14</xdr:col>
      <xdr:colOff>0</xdr:colOff>
      <xdr:row>139</xdr:row>
      <xdr:rowOff>0</xdr:rowOff>
    </xdr:from>
    <xdr:to>
      <xdr:col>21</xdr:col>
      <xdr:colOff>400683</xdr:colOff>
      <xdr:row>180</xdr:row>
      <xdr:rowOff>29669</xdr:rowOff>
    </xdr:to>
    <xdr:pic>
      <xdr:nvPicPr>
        <xdr:cNvPr id="17" name="Obrázok 16">
          <a:extLst>
            <a:ext uri="{FF2B5EF4-FFF2-40B4-BE49-F238E27FC236}">
              <a16:creationId xmlns:a16="http://schemas.microsoft.com/office/drawing/2014/main" id="{D2BBB637-49B9-6E05-D384-40DB0A37DAD0}"/>
            </a:ext>
          </a:extLst>
        </xdr:cNvPr>
        <xdr:cNvPicPr>
          <a:picLocks noChangeAspect="1"/>
        </xdr:cNvPicPr>
      </xdr:nvPicPr>
      <xdr:blipFill>
        <a:blip xmlns:r="http://schemas.openxmlformats.org/officeDocument/2006/relationships" r:embed="rId8"/>
        <a:stretch>
          <a:fillRect/>
        </a:stretch>
      </xdr:blipFill>
      <xdr:spPr>
        <a:xfrm>
          <a:off x="16983075" y="26689050"/>
          <a:ext cx="4534533" cy="784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7620</xdr:colOff>
      <xdr:row>1</xdr:row>
      <xdr:rowOff>91440</xdr:rowOff>
    </xdr:from>
    <xdr:to>
      <xdr:col>23</xdr:col>
      <xdr:colOff>502920</xdr:colOff>
      <xdr:row>107</xdr:row>
      <xdr:rowOff>53340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11</xdr:col>
      <xdr:colOff>552450</xdr:colOff>
      <xdr:row>35</xdr:row>
      <xdr:rowOff>140105</xdr:rowOff>
    </xdr:to>
    <xdr:pic>
      <xdr:nvPicPr>
        <xdr:cNvPr id="2" name="Obrázo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258050" cy="6217055"/>
        </a:xfrm>
        <a:prstGeom prst="rect">
          <a:avLst/>
        </a:prstGeom>
      </xdr:spPr>
    </xdr:pic>
    <xdr:clientData/>
  </xdr:twoCellAnchor>
  <xdr:twoCellAnchor editAs="oneCell">
    <xdr:from>
      <xdr:col>18</xdr:col>
      <xdr:colOff>600074</xdr:colOff>
      <xdr:row>3</xdr:row>
      <xdr:rowOff>0</xdr:rowOff>
    </xdr:from>
    <xdr:to>
      <xdr:col>44</xdr:col>
      <xdr:colOff>508192</xdr:colOff>
      <xdr:row>35</xdr:row>
      <xdr:rowOff>0</xdr:rowOff>
    </xdr:to>
    <xdr:pic>
      <xdr:nvPicPr>
        <xdr:cNvPr id="3" name="Obrázo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72874" y="571500"/>
          <a:ext cx="15757718"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5</xdr:col>
      <xdr:colOff>171999</xdr:colOff>
      <xdr:row>65</xdr:row>
      <xdr:rowOff>48163</xdr:rowOff>
    </xdr:to>
    <xdr:pic>
      <xdr:nvPicPr>
        <xdr:cNvPr id="2" name="Obrázok 1">
          <a:extLst>
            <a:ext uri="{FF2B5EF4-FFF2-40B4-BE49-F238E27FC236}">
              <a16:creationId xmlns:a16="http://schemas.microsoft.com/office/drawing/2014/main" id="{885BAB87-B04B-CD41-B42E-ECB6BA3CD97F}"/>
            </a:ext>
          </a:extLst>
        </xdr:cNvPr>
        <xdr:cNvPicPr>
          <a:picLocks noChangeAspect="1"/>
        </xdr:cNvPicPr>
      </xdr:nvPicPr>
      <xdr:blipFill>
        <a:blip xmlns:r="http://schemas.openxmlformats.org/officeDocument/2006/relationships" r:embed="rId1"/>
        <a:stretch>
          <a:fillRect/>
        </a:stretch>
      </xdr:blipFill>
      <xdr:spPr>
        <a:xfrm>
          <a:off x="990600" y="8572500"/>
          <a:ext cx="4401099" cy="3858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lukaslukac/Documents/Pracovne/162_MSVVaS_NetAcad/Nova_CBA/Stara.xlsx" TargetMode="External"/><Relationship Id="rId1" Type="http://schemas.openxmlformats.org/officeDocument/2006/relationships/externalLinkPath" Target="/Users/lukaslukac/Documents/Pracovne/162_MSVVaS_NetAcad/Nova_CBA/Sta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7ec55e5b485898c3/MIRRI_Dokumentacia/P_01_a_I_01_a_P_03_a_I_03_PRILOHA_KATALOG_POZIADAVIEK_mapovanie-a-zivotny-cyklus_Projekt_AA_OVM_BB_OsobaXY_DDMMYY_v0.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8D736230-C79D-4DC2-A528-C249A8F49CBC/Vyhodnotenie%20benefitov%20NP%20NetAcad%2020251017.xlsx" TargetMode="External"/><Relationship Id="rId1" Type="http://schemas.openxmlformats.org/officeDocument/2006/relationships/externalLinkPath" Target="/Users/lukaslukac/Library/Containers/com.apple.mail/Data/Library/Mail%20Downloads/8D736230-C79D-4DC2-A528-C249A8F49CBC/Vyhodnotenie%20benefitov%20NP%20NetAcad%2020251017.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969A4D2B-A467-470B-A77E-73E38344077F/Vyhodnotenie%20benefitov%20NP%20NetAcad%2020251017.xlsx" TargetMode="External"/><Relationship Id="rId1" Type="http://schemas.openxmlformats.org/officeDocument/2006/relationships/externalLinkPath" Target="/Users/lukaslukac/Library/Containers/com.apple.mail/Data/Library/Mail%20Downloads/969A4D2B-A467-470B-A77E-73E38344077F/Vyhodnotenie%20benefitov%20NP%20NetAcad%2020251017.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ndrej.bederka/Downloads/Priprava_NP_rozvoj_NetAcad_2025%2020250707%20prefinal.xlsx" TargetMode="External"/><Relationship Id="rId1" Type="http://schemas.openxmlformats.org/officeDocument/2006/relationships/externalLinkPath" Target="https://minedu4.sharepoint.com/sites/NetAcad2/Shared%20Documents/01%20Pr&#237;prava%20a%20inici&#225;cia%20n&#225;rodn&#233;ho%20projektu/20250404%20V&#221;STUP%20Projektov&#253;%20z&#225;mer%20a%20CBA/Na%20zapracovanie/Priprava_NP_rozvoj_NetAcad_2025%2020250707%20prefi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ndrej.bederka/Downloads/Rozpo&#269;et%20a%20podklady%20NetAcad%2020250719%20v13.xlsx" TargetMode="External"/><Relationship Id="rId1" Type="http://schemas.openxmlformats.org/officeDocument/2006/relationships/externalLinkPath" Target="file:///C:/Users/andrej.bederka/Downloads/Rozpo&#269;et%20a%20podklady%20NetAcad%2020250719%20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KREMENTY"/>
      <sheetName val="MODULY_CBA"/>
      <sheetName val="EXTERNE_POZICIE"/>
      <sheetName val="Ciselnik"/>
      <sheetName val="Rozpočet - HW a licencie"/>
      <sheetName val="Rozpočet"/>
      <sheetName val="Úvod"/>
      <sheetName val="Zoznam_Harkov"/>
      <sheetName val="Sumarizácia"/>
      <sheetName val="Zdroje Financovania"/>
      <sheetName val="CBA - Agendové IS"/>
      <sheetName val="Výdavky - Agendové IS"/>
      <sheetName val="Prínosy - Agendové IS"/>
      <sheetName val="Parametre - Agendové IS"/>
      <sheetName val="Parametre_ECF_TCF"/>
      <sheetName val="KATALOG_POZIADAVKY"/>
      <sheetName val="TCF_v02"/>
      <sheetName val="ECF_v02"/>
      <sheetName val="UAW_v02"/>
      <sheetName val="POZICIE_INTERNE"/>
      <sheetName val="Rozpocet - Vyvoj aplikacii"/>
      <sheetName val="ISCO_Prevodnik"/>
      <sheetName val="Harmonogram"/>
      <sheetName val="TCO"/>
      <sheetName val="TCO AS IS - SW"/>
      <sheetName val="TCO AS IS - HW"/>
      <sheetName val="TCO TO BE- SW"/>
      <sheetName val="TCO TO BE - HW"/>
      <sheetName val="Faktory"/>
      <sheetName val="Procesné mapy"/>
      <sheetName val="Procesy - AS IS"/>
      <sheetName val="Procesy - TO BE"/>
      <sheetName val="Analyza citlivosti - AgendovéIS"/>
      <sheetName val="Rozdelenie prínosov"/>
    </sheetNames>
    <sheetDataSet>
      <sheetData sheetId="0">
        <row r="2">
          <cell r="A2" t="str">
            <v>Inkrement 1</v>
          </cell>
        </row>
        <row r="3">
          <cell r="A3" t="str">
            <v>Inkrement 2</v>
          </cell>
        </row>
        <row r="4">
          <cell r="A4" t="str">
            <v>Inkrement 3</v>
          </cell>
        </row>
        <row r="5">
          <cell r="A5" t="str">
            <v>Inkrement 4</v>
          </cell>
        </row>
        <row r="6">
          <cell r="A6" t="str">
            <v>Inkrement 5</v>
          </cell>
        </row>
        <row r="7">
          <cell r="A7" t="str">
            <v>Inkrement 6</v>
          </cell>
        </row>
        <row r="8">
          <cell r="A8" t="str">
            <v>Inkrement 7</v>
          </cell>
        </row>
        <row r="9">
          <cell r="A9" t="str">
            <v>Inkrement 8</v>
          </cell>
        </row>
        <row r="10">
          <cell r="A10" t="str">
            <v>Inkrement 9</v>
          </cell>
        </row>
        <row r="11">
          <cell r="A11" t="str">
            <v>Inkrement 10</v>
          </cell>
        </row>
        <row r="12">
          <cell r="A12" t="str">
            <v>Inkrement 11</v>
          </cell>
        </row>
        <row r="13">
          <cell r="A13" t="str">
            <v>Inkrement 12</v>
          </cell>
        </row>
        <row r="14">
          <cell r="A14" t="str">
            <v>Inkrement 13</v>
          </cell>
        </row>
        <row r="15">
          <cell r="A15" t="str">
            <v>Inkrement 14</v>
          </cell>
        </row>
        <row r="16">
          <cell r="A16" t="str">
            <v>Inkrement 15</v>
          </cell>
        </row>
        <row r="17">
          <cell r="A17" t="str">
            <v>Inkrement 16</v>
          </cell>
        </row>
        <row r="18">
          <cell r="A18" t="str">
            <v>Inkrement 17</v>
          </cell>
        </row>
        <row r="19">
          <cell r="A19" t="str">
            <v>Inkrement 18</v>
          </cell>
        </row>
        <row r="20">
          <cell r="A20" t="str">
            <v>Inkrement 19</v>
          </cell>
        </row>
        <row r="21">
          <cell r="A21" t="str">
            <v>Inkrement 20</v>
          </cell>
        </row>
      </sheetData>
      <sheetData sheetId="1">
        <row r="3">
          <cell r="B3" t="str">
            <v>NetAcad LAB A vybavenie (Networking a základy cybersec)</v>
          </cell>
        </row>
        <row r="4">
          <cell r="B4" t="str">
            <v>NetAcad LAB B vybavenie (Pokročilá cybersec)</v>
          </cell>
        </row>
        <row r="5">
          <cell r="B5" t="str">
            <v>NetAcad LAB spoločná komunikačná infraštruktúra</v>
          </cell>
        </row>
        <row r="6">
          <cell r="B6" t="str">
            <v>NetAcad LAB vzdelávací obsah v  oblasti kybernetickej bezpečnosti (na Slovensku)</v>
          </cell>
        </row>
        <row r="7">
          <cell r="B7" t="str">
            <v>LMS Cluster + Interoperabilita</v>
          </cell>
        </row>
        <row r="8">
          <cell r="B8" t="str">
            <v>CSKI Centrálna serverová a komunikačná infraštruktúra</v>
          </cell>
        </row>
        <row r="9">
          <cell r="B9" t="str">
            <v>AI Cluster</v>
          </cell>
        </row>
        <row r="10">
          <cell r="B10" t="str">
            <v>CSIRT-SOC Cluster</v>
          </cell>
        </row>
        <row r="11">
          <cell r="B11" t="str">
            <v>Kvantové počítače a príslušenstvo</v>
          </cell>
        </row>
        <row r="12">
          <cell r="B12" t="str">
            <v>Rozširujúce laboratórne vybavenie UI</v>
          </cell>
        </row>
        <row r="13">
          <cell r="B13" t="str">
            <v>Externé služby a podpora (kurzy, vzdelávanie, ....)</v>
          </cell>
        </row>
      </sheetData>
      <sheetData sheetId="2">
        <row r="4">
          <cell r="Q4" t="str">
            <v>IT architekt</v>
          </cell>
        </row>
        <row r="5">
          <cell r="Q5" t="str">
            <v>IT tester</v>
          </cell>
        </row>
        <row r="6">
          <cell r="Q6" t="str">
            <v>IT programátor/vývojár</v>
          </cell>
        </row>
        <row r="7">
          <cell r="Q7" t="str">
            <v>Projektový manažér IT projektu</v>
          </cell>
        </row>
        <row r="8">
          <cell r="Q8" t="str">
            <v>IT analytik</v>
          </cell>
        </row>
        <row r="9">
          <cell r="Q9" t="str">
            <v>Odborník pre IT dohľad/Quality Assurance</v>
          </cell>
        </row>
        <row r="10">
          <cell r="Q10" t="str">
            <v>Špecialista pre bezpečnosť IT</v>
          </cell>
        </row>
        <row r="11">
          <cell r="Q11" t="str">
            <v>Špecialista pre infraštruktúrny/HW špecialista</v>
          </cell>
        </row>
        <row r="12">
          <cell r="Q12" t="str">
            <v>Špecialista pre databázy</v>
          </cell>
        </row>
        <row r="13">
          <cell r="Q13" t="str">
            <v>Školiteľ pre IT systémy</v>
          </cell>
        </row>
        <row r="14">
          <cell r="Q14" t="str">
            <v>IT/IS konzultant (napr. SAP)</v>
          </cell>
        </row>
        <row r="15">
          <cell r="Q15" t="str">
            <v xml:space="preserve">Iné </v>
          </cell>
        </row>
        <row r="16">
          <cell r="Q16" t="str">
            <v>Finančný manažér</v>
          </cell>
        </row>
        <row r="17">
          <cell r="Q17" t="str">
            <v>Administratívny pracovník</v>
          </cell>
        </row>
        <row r="18">
          <cell r="Q18" t="str">
            <v>Projektový manažér</v>
          </cell>
        </row>
        <row r="19">
          <cell r="Q19" t="str">
            <v>Manažér pre publicitu</v>
          </cell>
        </row>
        <row r="20">
          <cell r="Q20" t="str">
            <v>Manažér pre monitoring</v>
          </cell>
        </row>
        <row r="21">
          <cell r="Q21" t="str">
            <v>Špecialista na Verejné obstarávanie</v>
          </cell>
        </row>
      </sheetData>
      <sheetData sheetId="3">
        <row r="2">
          <cell r="A2" t="str">
            <v>Občan (G2C)</v>
          </cell>
        </row>
        <row r="3">
          <cell r="A3" t="str">
            <v>Podnikateľ (G2B)</v>
          </cell>
        </row>
        <row r="4">
          <cell r="A4" t="str">
            <v>Zahraničná osoba (G2A)</v>
          </cell>
        </row>
        <row r="5">
          <cell r="A5" t="str">
            <v>Zamestnanec inštitúcie verejnej správy (G2E)</v>
          </cell>
        </row>
        <row r="6">
          <cell r="A6" t="str">
            <v>Inštitúcia verejnej správy (G2G)</v>
          </cell>
        </row>
        <row r="7">
          <cell r="A7" t="str">
            <v>ISVS verejnej správy (G2IS G)</v>
          </cell>
        </row>
        <row r="8">
          <cell r="A8" t="str">
            <v>ISVS mimo verejnej správy (G2IS B)</v>
          </cell>
        </row>
        <row r="9">
          <cell r="A9" t="str">
            <v>Iné</v>
          </cell>
        </row>
      </sheetData>
      <sheetData sheetId="4">
        <row r="3">
          <cell r="B3" t="str">
            <v>NetAcad LAB A vybavenie (Networking a základy cybersec)</v>
          </cell>
        </row>
        <row r="4">
          <cell r="B4" t="str">
            <v>NetAcad LAB B vybavenie (Pokročilá cybersec)</v>
          </cell>
        </row>
        <row r="5">
          <cell r="B5" t="str">
            <v>NetAcad LAB spoločná komunikačná infraštruktúra</v>
          </cell>
        </row>
        <row r="6">
          <cell r="B6" t="str">
            <v>NetAcad LAB vzdelávací obsah v  oblasti kybernetickej bezpečnosti (na Slovensku)</v>
          </cell>
        </row>
        <row r="7">
          <cell r="B7" t="str">
            <v>LMS Cluster + Interoperabilita</v>
          </cell>
        </row>
        <row r="8">
          <cell r="B8" t="str">
            <v>CSKI Centrálna serverová a komunikačná infraštruktúra</v>
          </cell>
        </row>
        <row r="9">
          <cell r="B9" t="str">
            <v>AI Cluster</v>
          </cell>
        </row>
        <row r="10">
          <cell r="B10" t="str">
            <v>CSIRT-SOC Cluster</v>
          </cell>
        </row>
        <row r="11">
          <cell r="B11" t="str">
            <v>Kvantové počítače a príslušenstvo</v>
          </cell>
        </row>
        <row r="13">
          <cell r="B13" t="str">
            <v>Rozširujúce laboratórne vybavenie UI</v>
          </cell>
        </row>
        <row r="14">
          <cell r="B14" t="str">
            <v>Externé služby a podpora (kurzy, vzdelávanie, ....)</v>
          </cell>
        </row>
      </sheetData>
      <sheetData sheetId="5">
        <row r="37">
          <cell r="K37" t="str">
            <v>Programátor cloudu (kóder)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INNE_STANDARDY_ISVS"/>
      <sheetName val="KATALOG_POZIADAVKY"/>
      <sheetName val="FINAL_UCPA_Moduly"/>
      <sheetName val="MODULY"/>
      <sheetName val="TFC_v02"/>
      <sheetName val="ECF_v02"/>
      <sheetName val="UAW_v02"/>
      <sheetName val="INKREMENTY"/>
      <sheetName val="VZOR_OTAZKY_DO_VO"/>
      <sheetName val="VZOR_TESTOVANIE"/>
      <sheetName val="VZOR_POZIADAVKY_PROCESY_EVS"/>
      <sheetName val="Skratky"/>
      <sheetName val="CISELNIK"/>
      <sheetName val="POVINNE_STANDARDY_ISVS1"/>
      <sheetName val="VZOR_OTAZKY_DO_VO1"/>
      <sheetName val="VZOR_POZIADAVKY_PROCESY_EVS1"/>
      <sheetName val="POVINNE STANDARDY_ISVS"/>
      <sheetName val="VZOR_OTAZKY DO VO"/>
      <sheetName val="VZOR_POZIADAVKY PROCESY_EV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0</v>
          </cell>
          <cell r="B2" t="str">
            <v>Funkcna poziadavka</v>
          </cell>
        </row>
        <row r="3">
          <cell r="A3">
            <v>15</v>
          </cell>
          <cell r="B3" t="str">
            <v>Nefunkcna poziadavka</v>
          </cell>
        </row>
        <row r="4">
          <cell r="A4">
            <v>20</v>
          </cell>
          <cell r="B4" t="str">
            <v>Technicka poziadavka</v>
          </cell>
        </row>
        <row r="5">
          <cell r="A5">
            <v>25</v>
          </cell>
        </row>
        <row r="6">
          <cell r="A6">
            <v>30</v>
          </cell>
        </row>
      </sheetData>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eskum trhu TOP kurzy zdroj3"/>
      <sheetName val="Pasport1 NetAcad zdroj4"/>
      <sheetName val="Vyhodnotenie benefitov NetAcad"/>
      <sheetName val="Sub-analyza1 - pocty studentov"/>
      <sheetName val="Sub-analyza2 - nacenenie kurzov"/>
      <sheetName val="Sub-analyza3 - zadania kvality"/>
      <sheetName val="CISCO 2024 zdroj1"/>
      <sheetName val="CISCO 2015-25 zdroj2"/>
      <sheetName val="Nepoužitý CISCO 2025 zdroj"/>
      <sheetName val="Nepoužitý CISCO 8_2025 zdroj"/>
    </sheetNames>
    <sheetDataSet>
      <sheetData sheetId="0">
        <row r="1">
          <cell r="A1" t="str">
            <v>Cenový prieskum komerčných kurozv (vrátane DPH)</v>
          </cell>
        </row>
        <row r="2">
          <cell r="A2" t="str">
            <v>Označenia kurzov poskytovaných v NetAcad</v>
          </cell>
          <cell r="Q2" t="str">
            <v>Výsl. Cena</v>
          </cell>
        </row>
        <row r="3">
          <cell r="A3" t="str">
            <v>C Essentials 1</v>
          </cell>
          <cell r="Q3">
            <v>183.81207317073171</v>
          </cell>
        </row>
        <row r="4">
          <cell r="A4" t="str">
            <v>C Essentials 2</v>
          </cell>
          <cell r="Q4">
            <v>183.81207317073171</v>
          </cell>
        </row>
        <row r="5">
          <cell r="A5" t="str">
            <v>C++ Advanced</v>
          </cell>
          <cell r="Q5">
            <v>183.81207317073171</v>
          </cell>
        </row>
        <row r="6">
          <cell r="A6" t="str">
            <v>C++ Essentials 1</v>
          </cell>
          <cell r="Q6">
            <v>183.81207317073171</v>
          </cell>
        </row>
        <row r="7">
          <cell r="A7" t="str">
            <v>CCNA: Enterprise Networking, Security, and Automation</v>
          </cell>
          <cell r="Q7">
            <v>1210</v>
          </cell>
        </row>
        <row r="8">
          <cell r="A8" t="str">
            <v>CCNA: Introduction to Networks</v>
          </cell>
          <cell r="Q8">
            <v>520</v>
          </cell>
        </row>
        <row r="9">
          <cell r="A9" t="str">
            <v>CCNA: Switching, Routing, and Wireless Essentials</v>
          </cell>
          <cell r="Q9">
            <v>520</v>
          </cell>
        </row>
        <row r="10">
          <cell r="A10" t="str">
            <v>CCNAv7: Enterprise Networking, Security, and Automation</v>
          </cell>
          <cell r="Q10">
            <v>945.33333333333337</v>
          </cell>
        </row>
        <row r="11">
          <cell r="A11" t="str">
            <v>CCNAv7: Introduction to Networks</v>
          </cell>
          <cell r="Q11">
            <v>510</v>
          </cell>
        </row>
        <row r="12">
          <cell r="A12" t="str">
            <v>CCNAv7: Switching, Routing, and Wireless Essentials</v>
          </cell>
          <cell r="Q12">
            <v>520</v>
          </cell>
        </row>
        <row r="13">
          <cell r="A13" t="str">
            <v>CCNP Enterprise: Advanced Routing</v>
          </cell>
          <cell r="Q13">
            <v>520</v>
          </cell>
        </row>
        <row r="14">
          <cell r="A14" t="str">
            <v>CCNP Enterprise: Core Networking</v>
          </cell>
          <cell r="Q14">
            <v>1913</v>
          </cell>
        </row>
        <row r="15">
          <cell r="A15" t="str">
            <v>Computer Hardware Basics</v>
          </cell>
          <cell r="Q15">
            <v>104.12</v>
          </cell>
        </row>
        <row r="16">
          <cell r="A16" t="str">
            <v>Cyber Threat Management</v>
          </cell>
          <cell r="Q16">
            <v>1485.33</v>
          </cell>
        </row>
        <row r="17">
          <cell r="A17" t="str">
            <v>CyberOps Associate</v>
          </cell>
          <cell r="Q17">
            <v>660</v>
          </cell>
        </row>
        <row r="18">
          <cell r="A18" t="str">
            <v>Cybersecurity Essentials</v>
          </cell>
          <cell r="Q18">
            <v>1485.33</v>
          </cell>
        </row>
        <row r="19">
          <cell r="A19" t="str">
            <v>Cybersecurity Essentials - Legacy</v>
          </cell>
          <cell r="Q19">
            <v>1485.33</v>
          </cell>
        </row>
        <row r="20">
          <cell r="A20" t="str">
            <v>Data Analytics Essentials</v>
          </cell>
          <cell r="Q20">
            <v>300</v>
          </cell>
        </row>
        <row r="21">
          <cell r="A21" t="str">
            <v>DevNet Associate</v>
          </cell>
          <cell r="Q21">
            <v>300</v>
          </cell>
        </row>
        <row r="22">
          <cell r="A22" t="str">
            <v>Digital Awareness</v>
          </cell>
        </row>
        <row r="23">
          <cell r="A23" t="str">
            <v>Emerging Technologies Workshop - Model Driven Programmability</v>
          </cell>
          <cell r="Q23">
            <v>50</v>
          </cell>
        </row>
        <row r="24">
          <cell r="A24" t="str">
            <v>Endpoint Security</v>
          </cell>
        </row>
        <row r="25">
          <cell r="A25" t="str">
            <v>English for IT 1</v>
          </cell>
          <cell r="Q25">
            <v>256.25</v>
          </cell>
        </row>
        <row r="26">
          <cell r="A26" t="str">
            <v>Ethical Hacker</v>
          </cell>
          <cell r="Q26">
            <v>2342.85</v>
          </cell>
        </row>
        <row r="27">
          <cell r="A27" t="str">
            <v>Exploring Networking with Cisco Packet Tracer</v>
          </cell>
        </row>
        <row r="28">
          <cell r="A28" t="str">
            <v>Getting Started with Cisco Packet Tracer</v>
          </cell>
        </row>
        <row r="29">
          <cell r="A29" t="str">
            <v>Industrial Networking Essentials</v>
          </cell>
        </row>
        <row r="30">
          <cell r="A30" t="str">
            <v>Introduction to Cybersecurity</v>
          </cell>
          <cell r="Q30">
            <v>390</v>
          </cell>
        </row>
        <row r="31">
          <cell r="A31" t="str">
            <v>Introduction to IoT and Digital Transformation</v>
          </cell>
        </row>
        <row r="32">
          <cell r="A32" t="str">
            <v>IT Essentials</v>
          </cell>
          <cell r="Q32">
            <v>296.94715447154471</v>
          </cell>
        </row>
        <row r="33">
          <cell r="A33" t="str">
            <v>IT Essentials 7</v>
          </cell>
          <cell r="Q33">
            <v>296.94715447154471</v>
          </cell>
        </row>
        <row r="34">
          <cell r="A34" t="str">
            <v>IT Essentials: PC Hardware and Software</v>
          </cell>
        </row>
        <row r="35">
          <cell r="A35" t="str">
            <v>Linux 1</v>
          </cell>
          <cell r="Q35">
            <v>307.66333333333336</v>
          </cell>
        </row>
        <row r="36">
          <cell r="A36" t="str">
            <v>Linux Essentials</v>
          </cell>
          <cell r="Q36">
            <v>307.66333333333336</v>
          </cell>
        </row>
        <row r="37">
          <cell r="A37" t="str">
            <v>Network Defense</v>
          </cell>
        </row>
        <row r="38">
          <cell r="A38" t="str">
            <v>Network Security</v>
          </cell>
          <cell r="Q38">
            <v>276.995</v>
          </cell>
        </row>
        <row r="39">
          <cell r="A39" t="str">
            <v>Network Support and Security</v>
          </cell>
          <cell r="Q39">
            <v>276.995</v>
          </cell>
        </row>
        <row r="40">
          <cell r="A40" t="str">
            <v>Networking Basics</v>
          </cell>
          <cell r="Q40">
            <v>348.83</v>
          </cell>
        </row>
        <row r="41">
          <cell r="A41" t="str">
            <v>Networking Devices and Initial Configuration</v>
          </cell>
          <cell r="Q41">
            <v>1672.5</v>
          </cell>
        </row>
        <row r="42">
          <cell r="A42" t="str">
            <v>Networking Essentials - Legacy</v>
          </cell>
        </row>
        <row r="43">
          <cell r="A43" t="str">
            <v>Operating Systems Basics</v>
          </cell>
        </row>
        <row r="44">
          <cell r="A44" t="str">
            <v>Partner: CLA - Programming Essentials in C</v>
          </cell>
          <cell r="Q44">
            <v>183.81207317073171</v>
          </cell>
        </row>
        <row r="45">
          <cell r="A45" t="str">
            <v>Partner: JavaScript Essentials 1 (JSE)</v>
          </cell>
          <cell r="Q45">
            <v>229.99</v>
          </cell>
        </row>
        <row r="46">
          <cell r="A46" t="str">
            <v>Partner: NDG Linux Essentials</v>
          </cell>
          <cell r="Q46">
            <v>307.66333333333336</v>
          </cell>
        </row>
        <row r="47">
          <cell r="A47" t="str">
            <v>Partner: NDG Linux I</v>
          </cell>
          <cell r="Q47">
            <v>307.66333333333336</v>
          </cell>
        </row>
        <row r="48">
          <cell r="A48" t="str">
            <v>Partner: NDG Linux II</v>
          </cell>
          <cell r="Q48">
            <v>307.66333333333336</v>
          </cell>
        </row>
        <row r="49">
          <cell r="A49" t="str">
            <v>Partner: NDG Linux Unhatched</v>
          </cell>
          <cell r="Q49">
            <v>307.66333333333336</v>
          </cell>
        </row>
        <row r="50">
          <cell r="A50" t="str">
            <v>Partner: PCAP - Programming Essentials in Python</v>
          </cell>
          <cell r="Q50">
            <v>162.19499999999999</v>
          </cell>
        </row>
        <row r="51">
          <cell r="A51" t="str">
            <v>Python Essentials 1</v>
          </cell>
          <cell r="Q51">
            <v>162.19499999999999</v>
          </cell>
        </row>
        <row r="52">
          <cell r="A52" t="str">
            <v>Python Essentials 2</v>
          </cell>
          <cell r="Q52">
            <v>162.19499999999999</v>
          </cell>
        </row>
        <row r="53">
          <cell r="A53" t="str">
            <v>Using Computer and Mobile Devices</v>
          </cell>
        </row>
        <row r="54">
          <cell r="A54" t="str">
            <v>NENACENENÉ IT KURZY *</v>
          </cell>
        </row>
        <row r="57">
          <cell r="A57" t="str">
            <v>Poznámka *: Kurzy, ktoré sú možné len ako samoštúdium ("self-packed") nie sú nacenené. Tiež neboli naceňované kurzy realizované subjektami mimo škôl na území SR okrem BSK.</v>
          </cell>
          <cell r="Q57" t="str">
            <v>Priem.cena certifikácie</v>
          </cell>
        </row>
        <row r="58">
          <cell r="A58" t="str">
            <v>Poznámka **: Nacenené sú len kurzy z oblasti základov IT, networking a bezpečnosť IT. Nenaceňovali sme kurzy z oblasti AI, Dátová veda, atp. nakoľko sa v minulosti nerealizovali.</v>
          </cell>
          <cell r="Q58">
            <v>554.20932520325209</v>
          </cell>
        </row>
      </sheetData>
      <sheetData sheetId="1">
        <row r="1">
          <cell r="A1" t="str">
            <v>SOŠ - Cisco Sieťová Akadémia (NetAcad)</v>
          </cell>
          <cell r="E1" t="str">
            <v>Aktualizácia 15.10.2025</v>
          </cell>
          <cell r="AB1" t="str">
            <v>Kategória--&gt;</v>
          </cell>
        </row>
        <row r="2">
          <cell r="A2" t="str">
            <v>IČO</v>
          </cell>
          <cell r="D2" t="str">
            <v>Nazov vzdelávacej inštitúcie -akadémie NetAcad</v>
          </cell>
          <cell r="E2" t="str">
            <v>Adresa</v>
          </cell>
          <cell r="U2" t="str">
            <v>Poč. žiakov ODHAD25 ikt</v>
          </cell>
          <cell r="AB2" t="str">
            <v>KATEGÓRIA</v>
          </cell>
        </row>
        <row r="3">
          <cell r="A3">
            <v>37982354</v>
          </cell>
          <cell r="D3" t="str">
            <v xml:space="preserve">Súkromná stredná odborná škola </v>
          </cell>
          <cell r="E3" t="str">
            <v>Saleziánska 18, Žilina</v>
          </cell>
          <cell r="U3">
            <v>130</v>
          </cell>
          <cell r="AB3" t="str">
            <v>A3</v>
          </cell>
        </row>
        <row r="4">
          <cell r="A4" t="str">
            <v>00491861</v>
          </cell>
          <cell r="D4" t="str">
            <v>Stredná priemyselná škola dopravná</v>
          </cell>
          <cell r="E4" t="str">
            <v>Študentská 23, 917 45 Trnava</v>
          </cell>
          <cell r="U4">
            <v>0</v>
          </cell>
          <cell r="AB4" t="str">
            <v>B1</v>
          </cell>
        </row>
        <row r="5">
          <cell r="A5" t="str">
            <v>00161578</v>
          </cell>
          <cell r="D5" t="str">
            <v>Stredná priemyselná škola technická</v>
          </cell>
          <cell r="E5" t="str">
            <v>Novomeského 5/24, 036 36 Martin</v>
          </cell>
          <cell r="U5">
            <v>100</v>
          </cell>
          <cell r="AB5" t="str">
            <v>A3</v>
          </cell>
        </row>
        <row r="6">
          <cell r="A6" t="str">
            <v>00893358</v>
          </cell>
          <cell r="D6" t="str">
            <v>Stredná odborná škola polytechnická</v>
          </cell>
          <cell r="E6" t="str">
            <v>Štefánikova 1550/20, 066 01 Humenné</v>
          </cell>
          <cell r="U6">
            <v>80</v>
          </cell>
          <cell r="AB6" t="str">
            <v>A3</v>
          </cell>
        </row>
        <row r="7">
          <cell r="A7" t="str">
            <v>00161217</v>
          </cell>
          <cell r="D7" t="str">
            <v>Gymnázium Terézie Vansovej Stará Ľubovňa</v>
          </cell>
          <cell r="E7" t="str">
            <v>Ul. 17. novembra 6, 064 01 Stará Ľubovňa</v>
          </cell>
          <cell r="U7">
            <v>0</v>
          </cell>
          <cell r="AB7" t="str">
            <v>B3</v>
          </cell>
        </row>
        <row r="8">
          <cell r="A8">
            <v>42039371</v>
          </cell>
          <cell r="D8" t="str">
            <v>Súkromná stredná odborná škola</v>
          </cell>
          <cell r="E8" t="str">
            <v>Ul. 29. augusta 4812, 058 01 Poprad</v>
          </cell>
          <cell r="U8">
            <v>235</v>
          </cell>
          <cell r="AB8" t="str">
            <v>A1</v>
          </cell>
        </row>
        <row r="9">
          <cell r="A9" t="str">
            <v>00161594</v>
          </cell>
          <cell r="D9" t="str">
            <v>Stredná priemyselná škola</v>
          </cell>
          <cell r="E9" t="str">
            <v>Ul. Slovenských partizánov 1132/52, 017 01 Považská Bystrica</v>
          </cell>
          <cell r="U9">
            <v>120</v>
          </cell>
          <cell r="AB9" t="str">
            <v>A3</v>
          </cell>
        </row>
        <row r="10">
          <cell r="A10" t="str">
            <v>00161471</v>
          </cell>
          <cell r="D10" t="str">
            <v>Stredná priemyselná škola Jozefa Murgaša</v>
          </cell>
          <cell r="E10" t="str">
            <v>Hurbanova 6, 975 18 Banská Bystrica</v>
          </cell>
          <cell r="U10">
            <v>120</v>
          </cell>
          <cell r="AB10" t="str">
            <v>A1</v>
          </cell>
        </row>
        <row r="11">
          <cell r="A11" t="str">
            <v>37946765</v>
          </cell>
          <cell r="D11" t="str">
            <v>Stredná odborná škola technická ako org.zl. Spojenej školy</v>
          </cell>
          <cell r="E11" t="str">
            <v>Ľ. Podjavorinskej 22, 080 01 Prešov</v>
          </cell>
          <cell r="U11">
            <v>30</v>
          </cell>
          <cell r="AB11" t="str">
            <v>C1?</v>
          </cell>
        </row>
        <row r="12">
          <cell r="A12">
            <v>35568381</v>
          </cell>
          <cell r="D12" t="str">
            <v>Stredná odborná škola ekonomická</v>
          </cell>
          <cell r="E12" t="str">
            <v>Stojan 1, 052 01 Spišská Nová Ves</v>
          </cell>
          <cell r="U12">
            <v>80</v>
          </cell>
          <cell r="AB12" t="str">
            <v>B2</v>
          </cell>
        </row>
        <row r="13">
          <cell r="A13" t="str">
            <v>00891541</v>
          </cell>
          <cell r="D13" t="str">
            <v>Stredná odborná škola technická</v>
          </cell>
          <cell r="E13" t="str">
            <v>Kukučínova 483/12, 058 01 Poprad</v>
          </cell>
          <cell r="U13">
            <v>100</v>
          </cell>
          <cell r="AB13" t="str">
            <v>A3</v>
          </cell>
        </row>
        <row r="14">
          <cell r="A14" t="str">
            <v>00161454</v>
          </cell>
          <cell r="D14" t="str">
            <v>Stredná priemyselná škola elektrotechnická</v>
          </cell>
          <cell r="E14" t="str">
            <v>Brezová 2, 921 77 Piešťany</v>
          </cell>
          <cell r="U14">
            <v>322</v>
          </cell>
          <cell r="AB14" t="str">
            <v>A2</v>
          </cell>
        </row>
        <row r="15">
          <cell r="A15" t="str">
            <v>37910337</v>
          </cell>
          <cell r="D15" t="str">
            <v>Akadémia ozbrojených síl generála M. R. Štefánika</v>
          </cell>
          <cell r="E15" t="str">
            <v>Demänová 393, 031 01 Liptovský Mikuláš</v>
          </cell>
          <cell r="U15">
            <v>100</v>
          </cell>
          <cell r="AB15" t="str">
            <v>B1 (vš)</v>
          </cell>
        </row>
        <row r="16">
          <cell r="A16" t="str">
            <v>00161063</v>
          </cell>
          <cell r="D16" t="str">
            <v>Gymnázium P. Horova</v>
          </cell>
          <cell r="E16" t="str">
            <v>Masarykova 1, 071 01 Michalovce</v>
          </cell>
          <cell r="U16">
            <v>0</v>
          </cell>
          <cell r="AB16" t="str">
            <v>B3</v>
          </cell>
        </row>
        <row r="17">
          <cell r="A17" t="str">
            <v>00161802</v>
          </cell>
          <cell r="D17" t="str">
            <v>Stredná priemyselná škola techniky a dizajnu</v>
          </cell>
          <cell r="E17" t="str">
            <v>Mnoheľova 828/23, 058 46 Poprad</v>
          </cell>
          <cell r="U17">
            <v>150</v>
          </cell>
          <cell r="AB17" t="str">
            <v>B1</v>
          </cell>
        </row>
        <row r="18">
          <cell r="A18" t="str">
            <v>17050499</v>
          </cell>
          <cell r="D18" t="str">
            <v>Stredná odborná škola strojnícka ako org.zl. Spojenej školy</v>
          </cell>
          <cell r="E18" t="str">
            <v>Československej armády 24, 036 01 Martin</v>
          </cell>
          <cell r="U18">
            <v>34</v>
          </cell>
          <cell r="AB18" t="str">
            <v>A3</v>
          </cell>
        </row>
        <row r="19">
          <cell r="A19">
            <v>42024471</v>
          </cell>
          <cell r="D19" t="str">
            <v>Stredná odborná škola Handlová</v>
          </cell>
          <cell r="E19" t="str">
            <v>Lipová 8, 972 51 Handlová</v>
          </cell>
          <cell r="U19">
            <v>171</v>
          </cell>
          <cell r="AB19" t="str">
            <v>A3</v>
          </cell>
        </row>
        <row r="20">
          <cell r="A20">
            <v>37890221</v>
          </cell>
          <cell r="D20" t="str">
            <v>Stredná odborná škola hotelových služieb a dopravy</v>
          </cell>
          <cell r="E20" t="str">
            <v>Zvolenská cesta 83, 984 01 Lučenec</v>
          </cell>
          <cell r="U20">
            <v>0</v>
          </cell>
          <cell r="AB20" t="str">
            <v>B2</v>
          </cell>
        </row>
        <row r="21">
          <cell r="A21" t="str">
            <v>00161381</v>
          </cell>
          <cell r="D21" t="str">
            <v>Stredná priemyselná škola Myjava</v>
          </cell>
          <cell r="E21" t="str">
            <v>Ul. SNP 413/ 8, 907 01 Myjava</v>
          </cell>
          <cell r="U21">
            <v>45</v>
          </cell>
          <cell r="AB21" t="str">
            <v>A3</v>
          </cell>
        </row>
        <row r="22">
          <cell r="A22" t="str">
            <v>00893331</v>
          </cell>
          <cell r="D22" t="str">
            <v>Stredná odborná škola informačných technológií</v>
          </cell>
          <cell r="E22" t="str">
            <v>Ostrovského 1, 040 01 Košice</v>
          </cell>
          <cell r="U22">
            <v>635</v>
          </cell>
          <cell r="AB22" t="str">
            <v>A1</v>
          </cell>
        </row>
        <row r="23">
          <cell r="A23" t="str">
            <v>00012432</v>
          </cell>
          <cell r="D23" t="str">
            <v>Stredná priemyselná škola elektrotechnická S. A. Jedlika ako org.zl. Spojenej školy</v>
          </cell>
          <cell r="E23" t="str">
            <v>Komárňanská 28, 940 75 Nové Zámky</v>
          </cell>
          <cell r="U23">
            <v>252</v>
          </cell>
          <cell r="AB23" t="str">
            <v>A1</v>
          </cell>
        </row>
        <row r="24">
          <cell r="A24" t="str">
            <v>37956108</v>
          </cell>
          <cell r="D24" t="str">
            <v>Spojená škola - Stredná odborná škola elektrotechnická</v>
          </cell>
          <cell r="E24" t="str">
            <v>Zvolenská cesta 18, 975 32 Banská Bystrica</v>
          </cell>
          <cell r="U24">
            <v>100</v>
          </cell>
          <cell r="AB24" t="str">
            <v>A3</v>
          </cell>
        </row>
        <row r="25">
          <cell r="A25">
            <v>53948998</v>
          </cell>
          <cell r="D25" t="str">
            <v>Stredná priemyselná škola informačných technológií Ignáca Gessaya</v>
          </cell>
          <cell r="E25" t="str">
            <v>Medvedzie 133/1, 027 44 Tvrdošín</v>
          </cell>
          <cell r="U25">
            <v>420</v>
          </cell>
          <cell r="AB25" t="str">
            <v>A2</v>
          </cell>
        </row>
        <row r="26">
          <cell r="A26">
            <v>42096651</v>
          </cell>
          <cell r="D26" t="str">
            <v>Stredná odborná škola technická Michalovce</v>
          </cell>
          <cell r="E26" t="str">
            <v>Partizánska 1, 071 92 Michalovce</v>
          </cell>
          <cell r="U26">
            <v>220</v>
          </cell>
          <cell r="AB26" t="str">
            <v>A3</v>
          </cell>
        </row>
        <row r="27">
          <cell r="A27" t="str">
            <v>30414164</v>
          </cell>
          <cell r="D27" t="str">
            <v>Spojená škola sv. Jána Bosca - org. zl. SOŠ IT sv. Jána Bosca</v>
          </cell>
          <cell r="E27" t="str">
            <v>Trenčianska 66/28, 018 51 Nová Dubnica</v>
          </cell>
          <cell r="U27">
            <v>145</v>
          </cell>
          <cell r="AB27" t="str">
            <v>A3</v>
          </cell>
        </row>
        <row r="28">
          <cell r="A28" t="str">
            <v>00521663</v>
          </cell>
          <cell r="D28" t="str">
            <v>Stredná priemyselná škola technická</v>
          </cell>
          <cell r="E28" t="str">
            <v>Hviezdoslavova 6, 052 01 Spišská Nová Ves</v>
          </cell>
          <cell r="U28">
            <v>150</v>
          </cell>
          <cell r="AB28" t="str">
            <v>A3</v>
          </cell>
        </row>
        <row r="29">
          <cell r="A29">
            <v>37784722</v>
          </cell>
          <cell r="D29" t="str">
            <v>Súkromná stredná odborná škola ELBA</v>
          </cell>
          <cell r="E29" t="str">
            <v>Smetanova 2, 080 05 Prešov</v>
          </cell>
          <cell r="U29">
            <v>60</v>
          </cell>
          <cell r="AB29" t="str">
            <v>B2</v>
          </cell>
        </row>
        <row r="30">
          <cell r="A30">
            <v>31313833</v>
          </cell>
          <cell r="D30" t="str">
            <v>Súkromná stredná odborná škola ekonomicko-technická</v>
          </cell>
          <cell r="E30" t="str">
            <v>Postupimská 37, 040 22 Košice</v>
          </cell>
          <cell r="U30">
            <v>170</v>
          </cell>
          <cell r="AB30" t="str">
            <v>A3</v>
          </cell>
        </row>
        <row r="31">
          <cell r="A31">
            <v>36087947</v>
          </cell>
          <cell r="D31" t="str">
            <v>Súkromná stredná odborná škola podnikania</v>
          </cell>
          <cell r="E31" t="str">
            <v>Hollého 1380, Senica</v>
          </cell>
          <cell r="U31">
            <v>150</v>
          </cell>
          <cell r="AB31" t="str">
            <v>A3</v>
          </cell>
        </row>
        <row r="32">
          <cell r="A32" t="str">
            <v>00161403</v>
          </cell>
          <cell r="D32" t="str">
            <v>Stredná priemyselná škola</v>
          </cell>
          <cell r="E32" t="str">
            <v>Bzinská 11, 915 01 Nové Mesto nad Váhom</v>
          </cell>
          <cell r="U32">
            <v>76</v>
          </cell>
          <cell r="AB32" t="str">
            <v>A3</v>
          </cell>
        </row>
        <row r="33">
          <cell r="A33">
            <v>17055431</v>
          </cell>
          <cell r="D33" t="str">
            <v>Stredná odborná škola informačných technológií</v>
          </cell>
          <cell r="E33" t="str">
            <v>Tajovského 30, 975 90 Banská Bystrica</v>
          </cell>
          <cell r="U33">
            <v>240</v>
          </cell>
          <cell r="AB33" t="str">
            <v>A1</v>
          </cell>
        </row>
        <row r="34">
          <cell r="A34">
            <v>42035261</v>
          </cell>
          <cell r="D34" t="str">
            <v>Stredná odborná škola polytechnická ako org.zložka Spojená škola Juraja Henischa</v>
          </cell>
          <cell r="E34" t="str">
            <v>Slovenská 5, 085 01 Bardejov</v>
          </cell>
          <cell r="U34">
            <v>261</v>
          </cell>
          <cell r="AB34" t="str">
            <v>A3</v>
          </cell>
        </row>
        <row r="35">
          <cell r="A35" t="str">
            <v>37922459</v>
          </cell>
          <cell r="D35" t="str">
            <v>Stredná odborná škola strojnícka</v>
          </cell>
          <cell r="E35" t="str">
            <v>Partizánska cesta 76, 957 01 Bánovce nad Bebravou</v>
          </cell>
          <cell r="U35">
            <v>100</v>
          </cell>
          <cell r="AB35" t="str">
            <v>A3</v>
          </cell>
        </row>
        <row r="36">
          <cell r="A36">
            <v>17050545</v>
          </cell>
          <cell r="D36" t="str">
            <v>Stredná odborná škola technická</v>
          </cell>
          <cell r="E36" t="str">
            <v>Hviezdoslavova 5, 048 01 Rožňava</v>
          </cell>
          <cell r="U36">
            <v>77</v>
          </cell>
          <cell r="AB36" t="str">
            <v>A2</v>
          </cell>
        </row>
        <row r="37">
          <cell r="A37">
            <v>17151589</v>
          </cell>
          <cell r="D37" t="str">
            <v xml:space="preserve">Gymnázium </v>
          </cell>
          <cell r="E37" t="str">
            <v>Javorová 16, 052 01 Spišská Nová Ves</v>
          </cell>
          <cell r="U37">
            <v>0</v>
          </cell>
          <cell r="AB37" t="str">
            <v>B3</v>
          </cell>
        </row>
        <row r="38">
          <cell r="A38" t="str">
            <v>00398900</v>
          </cell>
          <cell r="D38" t="str">
            <v>Gymnázium Trebišovská</v>
          </cell>
          <cell r="E38" t="str">
            <v>Trebišovská 12, 040 11 Košice</v>
          </cell>
          <cell r="U38">
            <v>0</v>
          </cell>
          <cell r="AB38" t="str">
            <v>B3</v>
          </cell>
        </row>
        <row r="39">
          <cell r="A39" t="str">
            <v>17050448</v>
          </cell>
          <cell r="D39" t="str">
            <v>Stredná odborná škola technická ako org.zl.Spojenej školy</v>
          </cell>
          <cell r="E39" t="str">
            <v>Hattalova 471, 027 43 Nižná</v>
          </cell>
          <cell r="U39">
            <v>30</v>
          </cell>
          <cell r="AB39" t="str">
            <v>B1</v>
          </cell>
        </row>
        <row r="40">
          <cell r="A40" t="str">
            <v>00160709</v>
          </cell>
          <cell r="D40" t="str">
            <v>Gymnázium  Augusta Horislava Škultétyho</v>
          </cell>
          <cell r="E40" t="str">
            <v>Školská 21, 9901 Veľký Krtiš</v>
          </cell>
          <cell r="U40">
            <v>60</v>
          </cell>
          <cell r="AB40" t="str">
            <v>B3</v>
          </cell>
        </row>
        <row r="41">
          <cell r="A41" t="str">
            <v>00160741</v>
          </cell>
          <cell r="D41" t="str">
            <v>Gymnázium Dominika Tatarku</v>
          </cell>
          <cell r="E41" t="str">
            <v>Školská 234/8, Považská Bystrica</v>
          </cell>
          <cell r="U41">
            <v>0</v>
          </cell>
          <cell r="AB41" t="str">
            <v>B3</v>
          </cell>
        </row>
        <row r="42">
          <cell r="A42" t="str">
            <v>00161144</v>
          </cell>
          <cell r="D42" t="str">
            <v>Gymnázium P. J. Šafárika - P. J. Šafárik Gimnázium</v>
          </cell>
          <cell r="E42" t="str">
            <v>Akademika Hronca 1, 048 01 Rožňava</v>
          </cell>
          <cell r="U42">
            <v>0</v>
          </cell>
          <cell r="AB42" t="str">
            <v>B3</v>
          </cell>
        </row>
        <row r="43">
          <cell r="A43">
            <v>37942484</v>
          </cell>
          <cell r="D43" t="str">
            <v>Stredná odborná škola technická</v>
          </cell>
          <cell r="E43" t="str">
            <v>Družstevná 1474/19, 066 01 Humenné</v>
          </cell>
          <cell r="U43">
            <v>20</v>
          </cell>
          <cell r="AB43" t="str">
            <v>B1</v>
          </cell>
        </row>
        <row r="44">
          <cell r="A44" t="str">
            <v>00893170</v>
          </cell>
          <cell r="D44" t="str">
            <v>Stredná odborná škola elektrotechnická</v>
          </cell>
          <cell r="E44" t="str">
            <v>Celiny 536, 033 15 Liptovský Hrádok</v>
          </cell>
          <cell r="U44">
            <v>319</v>
          </cell>
          <cell r="AB44" t="str">
            <v>A3</v>
          </cell>
        </row>
        <row r="45">
          <cell r="A45">
            <v>37942492</v>
          </cell>
          <cell r="D45" t="str">
            <v>Stredná odborná škola drevárska</v>
          </cell>
          <cell r="E45" t="str">
            <v>Lúčna 1055, 093 01 Vranov nad Topľou</v>
          </cell>
          <cell r="U45">
            <v>40</v>
          </cell>
          <cell r="AB45" t="str">
            <v>A3</v>
          </cell>
        </row>
        <row r="46">
          <cell r="A46">
            <v>37890182</v>
          </cell>
          <cell r="D46" t="str">
            <v>Stredná odborná škola</v>
          </cell>
          <cell r="E46" t="str">
            <v>Generála Viesta č.6, 050 01 Revúca</v>
          </cell>
          <cell r="U46">
            <v>0</v>
          </cell>
          <cell r="AB46" t="str">
            <v>B2</v>
          </cell>
        </row>
        <row r="47">
          <cell r="A47" t="str">
            <v>35568356</v>
          </cell>
          <cell r="D47" t="str">
            <v>Stredná odborná škola techniky a služieb  ako org.zl. Spojenej školy</v>
          </cell>
          <cell r="E47" t="str">
            <v>Kollárova 17, Sečovce</v>
          </cell>
          <cell r="U47">
            <v>79</v>
          </cell>
          <cell r="AB47" t="str">
            <v>A3</v>
          </cell>
        </row>
        <row r="48">
          <cell r="A48" t="str">
            <v>00160989</v>
          </cell>
          <cell r="D48" t="str">
            <v xml:space="preserve">Gymnázium Šrobárova </v>
          </cell>
          <cell r="E48" t="str">
            <v>Šrobárova 1, 042 23 Košice</v>
          </cell>
          <cell r="U48">
            <v>0</v>
          </cell>
          <cell r="AB48" t="str">
            <v>B3</v>
          </cell>
        </row>
        <row r="49">
          <cell r="A49" t="str">
            <v>00161705</v>
          </cell>
          <cell r="D49" t="str">
            <v>Stredná priemyselná škola technická</v>
          </cell>
          <cell r="E49" t="str">
            <v>Komenského 5, 085 42 Bardejov</v>
          </cell>
          <cell r="U49">
            <v>150</v>
          </cell>
          <cell r="AB49" t="str">
            <v>A3</v>
          </cell>
        </row>
        <row r="50">
          <cell r="A50">
            <v>17055377</v>
          </cell>
          <cell r="D50" t="str">
            <v>Stredná odborná škola elektrotechnická</v>
          </cell>
          <cell r="E50" t="str">
            <v>Komenského 50, 010 01 Žilina</v>
          </cell>
          <cell r="U50">
            <v>76</v>
          </cell>
          <cell r="AB50" t="str">
            <v>A3</v>
          </cell>
        </row>
        <row r="51">
          <cell r="A51">
            <v>51906201</v>
          </cell>
          <cell r="D51" t="str">
            <v>Stredná priemyselná škola informačných technológií</v>
          </cell>
          <cell r="E51" t="str">
            <v>Nábrežná 1325, 024 01 Kysucké Nové Mesto</v>
          </cell>
          <cell r="U51">
            <v>432</v>
          </cell>
          <cell r="AB51" t="str">
            <v>A1</v>
          </cell>
        </row>
        <row r="52">
          <cell r="A52" t="str">
            <v>00161756</v>
          </cell>
          <cell r="D52" t="str">
            <v>Stredná priemyselná škola elektrotechnická Košice</v>
          </cell>
          <cell r="E52" t="str">
            <v>Komenského 44, 040 01 Košice</v>
          </cell>
          <cell r="U52">
            <v>580</v>
          </cell>
          <cell r="AB52" t="str">
            <v>A1</v>
          </cell>
        </row>
        <row r="53">
          <cell r="A53">
            <v>36088978</v>
          </cell>
          <cell r="D53" t="str">
            <v>Súkromná stredná odborná škola Via Humana</v>
          </cell>
          <cell r="E53" t="str">
            <v>Mallého 2, 909 01 Skalica</v>
          </cell>
          <cell r="U53">
            <v>105</v>
          </cell>
          <cell r="AB53" t="str">
            <v>A3</v>
          </cell>
        </row>
        <row r="54">
          <cell r="A54" t="str">
            <v>00161721</v>
          </cell>
          <cell r="D54" t="str">
            <v>Stredná priemyselná škola</v>
          </cell>
          <cell r="E54" t="str">
            <v xml:space="preserve">Partizánska 1059/23, Snina </v>
          </cell>
          <cell r="U54">
            <v>150</v>
          </cell>
          <cell r="AB54" t="str">
            <v>A3</v>
          </cell>
        </row>
        <row r="55">
          <cell r="A55" t="str">
            <v>00160580</v>
          </cell>
          <cell r="D55" t="str">
            <v>Gymnázium - Gimnázium Fiľakovo</v>
          </cell>
          <cell r="E55" t="str">
            <v>Námestie padlých hrdinov 2, 986 15 Fiľakovo</v>
          </cell>
          <cell r="U55">
            <v>0</v>
          </cell>
          <cell r="AB55" t="str">
            <v>B3</v>
          </cell>
        </row>
        <row r="56">
          <cell r="A56" t="str">
            <v>00161829</v>
          </cell>
          <cell r="D56" t="str">
            <v>Stredná priemyselná škola elektrotechnická</v>
          </cell>
          <cell r="E56" t="str">
            <v>Plzenská 1, 080 47 Prešov</v>
          </cell>
          <cell r="U56">
            <v>350</v>
          </cell>
          <cell r="AB56" t="str">
            <v>A1</v>
          </cell>
        </row>
        <row r="57">
          <cell r="A57">
            <v>36082058</v>
          </cell>
          <cell r="D57" t="str">
            <v>Stredná priemyselná škola technická</v>
          </cell>
          <cell r="E57" t="str">
            <v>Komenského 1, 917 31 Trnava</v>
          </cell>
          <cell r="U57">
            <v>0</v>
          </cell>
          <cell r="AB57" t="str">
            <v>A3</v>
          </cell>
        </row>
        <row r="58">
          <cell r="A58" t="str">
            <v>53638549</v>
          </cell>
          <cell r="D58" t="str">
            <v>Spojená škola Dunajská Streda</v>
          </cell>
          <cell r="E58" t="str">
            <v>Gyulu Szabóa 21, Dunajská Streda</v>
          </cell>
          <cell r="U58">
            <v>120</v>
          </cell>
          <cell r="AB58" t="str">
            <v>A2</v>
          </cell>
        </row>
        <row r="59">
          <cell r="A59" t="str">
            <v>00893315</v>
          </cell>
          <cell r="D59" t="str">
            <v>Stredná odborná škola techniky a služieb</v>
          </cell>
          <cell r="E59" t="str">
            <v>Pod amfiteátrom 7, 934 01 Levice</v>
          </cell>
          <cell r="U59">
            <v>60</v>
          </cell>
          <cell r="AB59" t="str">
            <v>B1</v>
          </cell>
        </row>
        <row r="60">
          <cell r="A60" t="str">
            <v>00893188</v>
          </cell>
          <cell r="D60" t="str">
            <v>Stredná priemyselná škola</v>
          </cell>
          <cell r="E60" t="str">
            <v>Športová 675, 916 01 Stará Turá</v>
          </cell>
          <cell r="U60">
            <v>128</v>
          </cell>
          <cell r="AB60" t="str">
            <v>A1</v>
          </cell>
        </row>
        <row r="61">
          <cell r="A61" t="str">
            <v>42326931</v>
          </cell>
          <cell r="D61" t="str">
            <v>Stredná odborná škola informačných technológií sv. Maximiliána Kolbeho ako org.zl. Spojenej katolíckej školy</v>
          </cell>
          <cell r="E61" t="str">
            <v>Farská 19, Nitra</v>
          </cell>
          <cell r="U61">
            <v>20</v>
          </cell>
          <cell r="AB61" t="str">
            <v>A3</v>
          </cell>
        </row>
        <row r="62">
          <cell r="A62">
            <v>42152411</v>
          </cell>
          <cell r="D62" t="str">
            <v>Súkromné gymnázium FUTURUM</v>
          </cell>
          <cell r="E62" t="str">
            <v>Školská 66, 911 05 Trenčín</v>
          </cell>
          <cell r="U62">
            <v>0</v>
          </cell>
          <cell r="AB62" t="str">
            <v>B3</v>
          </cell>
        </row>
        <row r="63">
          <cell r="A63" t="str">
            <v>00160903</v>
          </cell>
          <cell r="D63" t="str">
            <v>Gymnázium</v>
          </cell>
          <cell r="E63" t="str">
            <v>Hlinská 29, 011 80 Žilina</v>
          </cell>
          <cell r="U63">
            <v>0</v>
          </cell>
          <cell r="AB63" t="str">
            <v>B3</v>
          </cell>
        </row>
        <row r="64">
          <cell r="D64" t="str">
            <v>Hotelová akadémia Ľudovíta Wintera</v>
          </cell>
          <cell r="E64" t="str">
            <v xml:space="preserve">Stromová 34, Piešťany </v>
          </cell>
          <cell r="AB64" t="str">
            <v>C1</v>
          </cell>
        </row>
        <row r="65">
          <cell r="D65" t="str">
            <v>Obchodná akadémia</v>
          </cell>
          <cell r="E65" t="str">
            <v>Bolečkova 2, Nitra</v>
          </cell>
          <cell r="AB65" t="str">
            <v>C1</v>
          </cell>
        </row>
        <row r="66">
          <cell r="D66" t="str">
            <v>Stredná odborná škola elektrotechnická</v>
          </cell>
          <cell r="E66" t="str">
            <v>Sibírska 1, Trnava</v>
          </cell>
          <cell r="AB66" t="str">
            <v>C1</v>
          </cell>
        </row>
        <row r="67">
          <cell r="D67" t="str">
            <v>Stredná odborná škola strojnícka</v>
          </cell>
          <cell r="E67" t="str">
            <v>Športová 1326, Kysucké Nové Mesto</v>
          </cell>
          <cell r="AB67" t="str">
            <v>C1</v>
          </cell>
        </row>
        <row r="68">
          <cell r="D68" t="str">
            <v>Stredná odborná škola strojnícka</v>
          </cell>
          <cell r="E68" t="str">
            <v>Športovcov 341/2, Považská Bystrica</v>
          </cell>
          <cell r="AB68" t="str">
            <v>C1</v>
          </cell>
        </row>
        <row r="69">
          <cell r="D69" t="str">
            <v>Stredná priemyselná škola stavebná Emila Belluša</v>
          </cell>
          <cell r="E69" t="str">
            <v>Staničná 4, Trenčín</v>
          </cell>
          <cell r="AB69" t="str">
            <v>C1</v>
          </cell>
        </row>
        <row r="70">
          <cell r="D70" t="str">
            <v>Súkromná stredná odborná škola DSA</v>
          </cell>
          <cell r="E70" t="str">
            <v xml:space="preserve">Koniarekova 17, Trnava </v>
          </cell>
          <cell r="AB70" t="str">
            <v>C1</v>
          </cell>
        </row>
        <row r="71">
          <cell r="D71" t="str">
            <v>Súkromná stredná odborná škola polytechnická DSA</v>
          </cell>
          <cell r="E71" t="str">
            <v>Novozámocká 220, Nitra</v>
          </cell>
          <cell r="AB71" t="str">
            <v>C1</v>
          </cell>
        </row>
        <row r="72">
          <cell r="D72" t="str">
            <v>Stredná odborná škola</v>
          </cell>
          <cell r="E72" t="str">
            <v>Pod Bánošom 80, Banská Bystrica</v>
          </cell>
          <cell r="AB72" t="str">
            <v>C1</v>
          </cell>
        </row>
        <row r="73">
          <cell r="D73" t="str">
            <v>Stredná odborná škola lesnícka</v>
          </cell>
          <cell r="E73" t="str">
            <v>Akademická 16, Banská Štiavnica</v>
          </cell>
          <cell r="AB73" t="str">
            <v>C1</v>
          </cell>
        </row>
        <row r="74">
          <cell r="D74" t="str">
            <v>Gymnázium</v>
          </cell>
          <cell r="E74" t="str">
            <v>Poštová 9, Košice - Staré Mesto</v>
          </cell>
          <cell r="AB74" t="str">
            <v>C2</v>
          </cell>
        </row>
        <row r="75">
          <cell r="D75" t="str">
            <v>Gymnázium Jozefa Lettricha</v>
          </cell>
          <cell r="E75" t="str">
            <v>Jozefa Lettricha 2, Martin</v>
          </cell>
          <cell r="AB75" t="str">
            <v>C2</v>
          </cell>
        </row>
        <row r="76">
          <cell r="D76" t="str">
            <v>Gymnázium J.G.T.</v>
          </cell>
          <cell r="E76" t="str">
            <v>J.G.Tajovského 25, Banská Bystrica</v>
          </cell>
          <cell r="AB76" t="str">
            <v>C2</v>
          </cell>
        </row>
        <row r="77">
          <cell r="D77" t="str">
            <v xml:space="preserve">Evanjelické gymnázium J. A. Komenského
</v>
          </cell>
          <cell r="E77" t="str">
            <v>Škultétyho 10, Košice - Staré Mesto</v>
          </cell>
          <cell r="AB77" t="str">
            <v>C2</v>
          </cell>
        </row>
        <row r="78">
          <cell r="D78" t="str">
            <v>Gymnázium</v>
          </cell>
          <cell r="E78" t="str">
            <v>Varšavská cesta 1, Žilina</v>
          </cell>
          <cell r="AB78" t="str">
            <v>C2</v>
          </cell>
        </row>
        <row r="79">
          <cell r="D79" t="str">
            <v>Gymnázium</v>
          </cell>
          <cell r="E79" t="str">
            <v>Golianova 68</v>
          </cell>
          <cell r="AB79" t="str">
            <v>C2</v>
          </cell>
        </row>
        <row r="80">
          <cell r="D80" t="str">
            <v>Gymnázium J.Hollého</v>
          </cell>
          <cell r="E80" t="str">
            <v>Na hlinách 30, Trnava</v>
          </cell>
          <cell r="AB80" t="str">
            <v>C2</v>
          </cell>
        </row>
        <row r="81">
          <cell r="A81">
            <v>17327661</v>
          </cell>
          <cell r="D81" t="str">
            <v xml:space="preserve">Stredná priemyselná škola elektrotechnická Hálova </v>
          </cell>
          <cell r="E81" t="str">
            <v>Hálova 16, 851 01 Bratislava</v>
          </cell>
          <cell r="U81">
            <v>210</v>
          </cell>
          <cell r="AB81" t="str">
            <v>vylúčená A1</v>
          </cell>
        </row>
        <row r="82">
          <cell r="A82">
            <v>30815339</v>
          </cell>
          <cell r="D82" t="str">
            <v>Cirkevná stredná odborná škola elektrotechnická P.G.Frassatiho Bratislava</v>
          </cell>
          <cell r="E82" t="str">
            <v>Vazovova 12, 811 07 Bratislava</v>
          </cell>
          <cell r="U82">
            <v>60</v>
          </cell>
          <cell r="AB82" t="str">
            <v>vylúčená B1</v>
          </cell>
        </row>
        <row r="83">
          <cell r="A83">
            <v>17055415</v>
          </cell>
          <cell r="D83" t="str">
            <v>Stredná odborná škola informačných technológií</v>
          </cell>
          <cell r="E83" t="str">
            <v>Hlinícka 1, 83152 Bratislava</v>
          </cell>
          <cell r="U83">
            <v>210</v>
          </cell>
          <cell r="AB83" t="str">
            <v>vylúčená A3</v>
          </cell>
        </row>
        <row r="84">
          <cell r="A84">
            <v>30775353</v>
          </cell>
          <cell r="D84" t="str">
            <v>Stredná priemyselná škola elektrotechnická Zochova</v>
          </cell>
          <cell r="E84" t="str">
            <v>Zochova 9, 811 09 Bratislava</v>
          </cell>
          <cell r="U84">
            <v>450</v>
          </cell>
          <cell r="AB84" t="str">
            <v>vylúčená A3</v>
          </cell>
        </row>
        <row r="85">
          <cell r="A85">
            <v>17319161</v>
          </cell>
          <cell r="D85" t="str">
            <v>Stredná priemyselná škola elektrotechnická Karola Adlera</v>
          </cell>
          <cell r="E85" t="str">
            <v>Karola Adlera 5, 841 02 Bratislava</v>
          </cell>
          <cell r="U85">
            <v>150</v>
          </cell>
          <cell r="AB85" t="str">
            <v>vylúčená A2</v>
          </cell>
        </row>
        <row r="86">
          <cell r="A86">
            <v>891657</v>
          </cell>
          <cell r="D86" t="str">
            <v>Súkromná stredná odborná škola automobilová Duálna akadémia</v>
          </cell>
          <cell r="E86" t="str">
            <v>Jána Jonáša 5, Bratislava</v>
          </cell>
          <cell r="AB86" t="str">
            <v>vylúčená B2</v>
          </cell>
        </row>
        <row r="87">
          <cell r="A87" t="str">
            <v>17337101</v>
          </cell>
          <cell r="D87" t="str">
            <v>Gymnázium Grösslingová</v>
          </cell>
          <cell r="E87" t="str">
            <v>Grösslingová 18, 811 09 Bratislava</v>
          </cell>
          <cell r="U87">
            <v>0</v>
          </cell>
          <cell r="AB87" t="str">
            <v>vylúčená B3</v>
          </cell>
        </row>
        <row r="88">
          <cell r="A88" t="str">
            <v xml:space="preserve">42178941 </v>
          </cell>
          <cell r="D88" t="str">
            <v>Spojená škola Svätej Rodiny - Gymnázium</v>
          </cell>
          <cell r="E88" t="str">
            <v>Gercenova 10, 851 01 Bratislava</v>
          </cell>
          <cell r="U88">
            <v>0</v>
          </cell>
          <cell r="AB88" t="str">
            <v>vylúčená B3</v>
          </cell>
        </row>
        <row r="89">
          <cell r="A89" t="str">
            <v>00397610</v>
          </cell>
          <cell r="D89" t="str">
            <v>FEI TUKE  - centrum školenia inštruktorov / podporné centrum</v>
          </cell>
          <cell r="AB89" t="str">
            <v>D</v>
          </cell>
        </row>
        <row r="90">
          <cell r="D90" t="str">
            <v>PrírF UPJŠ  - centrum školenia inštruktorov / podporné centrum pre vybrané aktivity - kyberbezpečnosť a kvantové IT</v>
          </cell>
          <cell r="U90">
            <v>600</v>
          </cell>
          <cell r="AB90" t="str">
            <v>D</v>
          </cell>
        </row>
        <row r="91">
          <cell r="A91" t="str">
            <v>00397687</v>
          </cell>
          <cell r="D91" t="str">
            <v>FIIT STU  - centrum školenia inštruktorov</v>
          </cell>
          <cell r="AB91" t="str">
            <v>vylúčená D</v>
          </cell>
        </row>
        <row r="92">
          <cell r="A92" t="str">
            <v>00397563</v>
          </cell>
          <cell r="D92" t="str">
            <v>FRI UNIZA  - centrum školenia inštruktorov</v>
          </cell>
          <cell r="U92">
            <v>1646</v>
          </cell>
          <cell r="AB92" t="str">
            <v>D</v>
          </cell>
        </row>
        <row r="93">
          <cell r="A93" t="str">
            <v>Akadémií SPOLU V PROJEKTE:</v>
          </cell>
          <cell r="D93" t="str">
            <v>(mimo BSK)</v>
          </cell>
          <cell r="U93">
            <v>10918</v>
          </cell>
        </row>
        <row r="94">
          <cell r="U94">
            <v>635</v>
          </cell>
        </row>
        <row r="96">
          <cell r="A96" t="str">
            <v>Školy prizvané do národného projektu v kategóriách:</v>
          </cell>
          <cell r="D96" t="str">
            <v>akadémie mimo BSK</v>
          </cell>
          <cell r="E96">
            <v>63</v>
          </cell>
        </row>
        <row r="97">
          <cell r="A97" t="str">
            <v xml:space="preserve">Kategória A: </v>
          </cell>
        </row>
        <row r="98">
          <cell r="A98" t="str">
            <v xml:space="preserve">(2) školy nemusia obstarávať a prostredníctvom pedagógov vo voľnom čase administrovať serverové a licenčné vybavenie, (3) zručnosti žiakov v práci s počítačom/notebookom sa rozširujú o prácu v cloude a so vzdialenými výkonnými počítačmi, (4) škola dostáva k dispozícii online dostupné= virtuálne modelové vybavenie CSIRTu (Computer Security Incident Response Team) resp. SOCu (Security Operations Center) pre exkurzie, praktické vzdelávanie a prax žiakov, (5) pre odborné vzdelávanie a prípravu je k dispozícii vyhradené cloudové prostredie pre prácu so strojovým učením, trénovanie jazykových modelov </v>
          </cell>
        </row>
        <row r="99">
          <cell r="A99" t="str">
            <v>s AI asistentom pre podporu učenia žiakov zapojených škôl.</v>
          </cell>
        </row>
        <row r="100">
          <cell r="A100" t="str">
            <v>Podkat. A1</v>
          </cell>
        </row>
        <row r="101">
          <cell r="A101" t="str">
            <v>do projektu aj certifikovaného IKT inžiniera-pedagóga, vyhovujú 4 a viac kvalitatívnym kritériám, niektoré sú centrami excelentnosti, spravidla vedia poskytnúť pedagógov pre viaceré oblasti odborných konzultácií. T.j. prostredníctvom NP rozvoja NetAcad sa pokročilé kompetencie pedagógov týchto škôl môžu šíriť v prospech rozvoja a udržania iných škôl a to nielen v regióne, ale i celoslovensky.</v>
          </cell>
        </row>
        <row r="102">
          <cell r="A102" t="str">
            <v>Pre školy kategorizované ako A2 (čo platí i pre významnejšie a väčšie školy kategorizované ako A3) okrem vyššie uvedených benefitov projekt prináša širšiu paletu vypracovaných praktických úloh nad rámec základu programu NetAcad, z oblasti kľúčových technológií (najmä kybernetická bezpečnosť, umelá inteligencia a dátová veda), ktoré by absolventi škôl mali spoznať pre odchodom do praxe, alebo pred štúdiom na univerzite. Úlohy sú dostupné nielen zo školského prostredia, ale i z domova pre účely prípravy žiaka na projektové vzdelávanie.</v>
          </cell>
        </row>
        <row r="103">
          <cell r="A103" t="str">
            <v>Podkat. A2</v>
          </cell>
        </row>
        <row r="104">
          <cell r="A104" t="str">
            <v xml:space="preserve">Pre školy v kategórii A3 hlavným prínosom projektu je podpora pedagóga odborných predmetov v odbornom vzdelávaní a príprave žiakov a časové úspory vyplývajúce s možnosti plánovania a "automatizácie" konfigurácie laboratórnych overených praktických úloh. Tieto školy majú často nedostatok pedagógov, pedagógov v preddôchodkovom veku alebo rozvoj vyžadujúcich nových-mladých pedagógov. Tieto školy privítajú možnosť invovať svoje odborné vzdelávanie a prípravu s výraznou podporou ekosystému NetAcad v oblasti IKT (príkladom je nápor na zmeny vo vzdelávaní v kybernetickej bezpečnosti </v>
          </cell>
        </row>
        <row r="105">
          <cell r="A105" t="str">
            <v xml:space="preserve">alebo v umelej inteligencii - obe tieto oblasti nemôže budúci IT špecialista počas vzdelávania vynechať). Projekt týmto školám prinesie (1) "vedenie" pedagóga pri vzdelávaní na praktických úlohách prostredníctvom plánovania a automatizácie konfigurácie virtuálneho alebo hybridného laboratórneho prostredia a prepojenia praktických úloh s digitálnym vzdelávacím obsahom,  (2) škola i v prípade pedagóga ktorý sám nové technológie priebežne spoznáva, si bude môcť "skonsolidovať" vzdelávanie prostredníctvom odborne a didakticky spracovaných predmetov v oblasti kľúčových technológií (kybernetická bezpečnosť, </v>
          </cell>
        </row>
        <row r="106">
          <cell r="A106" t="str">
            <v>umelá inteligencia, dátová veda), (3) sám pedagóg sa bude s novými technológiami a postupmi oboznamovať  a prenášať ich prostrednícvom vzdelávania na žiakov (learning by teaching), (4) technické novinky budú do zapojených škôl prichádzať prostredníctvom spolupráce v existujúcom ekosystéme NetAcad - zo spolupráce skúsenejších pedagógov iných škôl, alebo ako výstup z realizovaného projektu či zadania zo súťaže, a to nielen vo forme "novinky", ale i vo forme vypracovaného praktického virtuálneho alebo hybridného vzdelávania v cloudovom prostredí.</v>
          </cell>
        </row>
        <row r="107">
          <cell r="A107" t="str">
            <v>Podkat. A3</v>
          </cell>
        </row>
        <row r="110">
          <cell r="A110" t="str">
            <v xml:space="preserve">Kategória B: </v>
          </cell>
        </row>
        <row r="111">
          <cell r="A111" t="str">
            <v>Podkat. B1</v>
          </cell>
        </row>
        <row r="112">
          <cell r="A112" t="str">
            <v>Ďalšie kategórie škôl budú program a vybavenie NetAcad využívať najmä doplnkovo k svojim hlavným odborným oblastiam, výberom z ponuky vzdelávacích obsahoch a praktických úloh - napríklad ako úvod a rozšírenie vedomostí o kybernetickej bezpečnosti, umelej inteligencii a spracovaní dát v oblasti dopravy, energetiky, v strojárstve a automatizácii, vo výstavbe, služieb, v obranných aktivitách, pri bežnom používaní v domácnostiach a pri vzdelávaní (po dohode s Asociáciou stredných priemyselných škôl).</v>
          </cell>
        </row>
        <row r="113">
          <cell r="A113" t="str">
            <v>Podkat. B2</v>
          </cell>
        </row>
        <row r="114">
          <cell r="A114" t="str">
            <v>Podkat. B3</v>
          </cell>
        </row>
        <row r="116">
          <cell r="A116" t="str">
            <v xml:space="preserve">Kategória C: </v>
          </cell>
        </row>
        <row r="117">
          <cell r="A117" t="str">
            <v>Podkat. C1</v>
          </cell>
        </row>
        <row r="118">
          <cell r="A118" t="str">
            <v>Podkat. C2</v>
          </cell>
        </row>
        <row r="120">
          <cell r="A120" t="str">
            <v>Kategória D:</v>
          </cell>
        </row>
        <row r="123">
          <cell r="A123" t="str">
            <v>Kvantifikácia jednotlivých kategórií škôl v NP rozvoj NetAcad:</v>
          </cell>
        </row>
        <row r="124">
          <cell r="A124" t="str">
            <v>Označenia riadkov</v>
          </cell>
          <cell r="D124" t="str">
            <v>Súčet z Poč. žiakov ODHAD25 ikt</v>
          </cell>
          <cell r="E124" t="str">
            <v>Súčet z Poč. žiakov ODHAD25 digi.zručnosti</v>
          </cell>
        </row>
        <row r="125">
          <cell r="A125" t="str">
            <v>A1</v>
          </cell>
          <cell r="D125">
            <v>2972</v>
          </cell>
          <cell r="E125">
            <v>1366</v>
          </cell>
        </row>
        <row r="126">
          <cell r="A126" t="str">
            <v>A2</v>
          </cell>
          <cell r="D126">
            <v>939</v>
          </cell>
          <cell r="E126">
            <v>470</v>
          </cell>
        </row>
        <row r="127">
          <cell r="A127" t="str">
            <v>A3</v>
          </cell>
          <cell r="D127">
            <v>3091</v>
          </cell>
          <cell r="E127">
            <v>2378</v>
          </cell>
        </row>
        <row r="128">
          <cell r="A128" t="str">
            <v>B1</v>
          </cell>
          <cell r="D128">
            <v>260</v>
          </cell>
          <cell r="E128">
            <v>583</v>
          </cell>
        </row>
        <row r="129">
          <cell r="A129" t="str">
            <v>B1 (vš)</v>
          </cell>
          <cell r="D129">
            <v>100</v>
          </cell>
          <cell r="E129">
            <v>100</v>
          </cell>
        </row>
        <row r="130">
          <cell r="A130" t="str">
            <v>B2</v>
          </cell>
          <cell r="D130">
            <v>140</v>
          </cell>
          <cell r="E130">
            <v>45</v>
          </cell>
        </row>
        <row r="131">
          <cell r="A131" t="str">
            <v>B3</v>
          </cell>
          <cell r="D131">
            <v>60</v>
          </cell>
          <cell r="E131">
            <v>1221</v>
          </cell>
        </row>
        <row r="132">
          <cell r="A132" t="str">
            <v>C1</v>
          </cell>
          <cell r="D132">
            <v>30</v>
          </cell>
          <cell r="E132">
            <v>90</v>
          </cell>
        </row>
        <row r="133">
          <cell r="A133" t="str">
            <v>C2</v>
          </cell>
        </row>
        <row r="134">
          <cell r="A134" t="str">
            <v>D</v>
          </cell>
          <cell r="D134">
            <v>2246</v>
          </cell>
        </row>
        <row r="135">
          <cell r="A135" t="str">
            <v>vylúčená A1</v>
          </cell>
          <cell r="D135">
            <v>210</v>
          </cell>
          <cell r="E135">
            <v>60</v>
          </cell>
        </row>
        <row r="136">
          <cell r="A136" t="str">
            <v>vylúčená B1</v>
          </cell>
          <cell r="D136">
            <v>60</v>
          </cell>
          <cell r="E136">
            <v>10</v>
          </cell>
        </row>
        <row r="137">
          <cell r="A137" t="str">
            <v>vylúčená A3</v>
          </cell>
          <cell r="D137">
            <v>660</v>
          </cell>
          <cell r="E137">
            <v>310</v>
          </cell>
        </row>
        <row r="138">
          <cell r="A138" t="str">
            <v>vylúčená A2</v>
          </cell>
          <cell r="D138">
            <v>150</v>
          </cell>
          <cell r="E138">
            <v>30</v>
          </cell>
        </row>
        <row r="139">
          <cell r="A139" t="str">
            <v>vylúčená B2</v>
          </cell>
        </row>
        <row r="140">
          <cell r="A140" t="str">
            <v>vylúčená B3</v>
          </cell>
          <cell r="D140">
            <v>0</v>
          </cell>
          <cell r="E140">
            <v>10</v>
          </cell>
        </row>
        <row r="141">
          <cell r="A141" t="str">
            <v>vylúčená D</v>
          </cell>
        </row>
        <row r="142">
          <cell r="A142" t="str">
            <v>Celkový súčet</v>
          </cell>
          <cell r="D142">
            <v>10918</v>
          </cell>
          <cell r="E142">
            <v>6673</v>
          </cell>
        </row>
        <row r="145">
          <cell r="A145" t="str">
            <v>Vylúčené školy z BSK- oranžový podklad</v>
          </cell>
        </row>
        <row r="146">
          <cell r="A146" t="str">
            <v>vylúčené akadémie:</v>
          </cell>
        </row>
        <row r="147">
          <cell r="A147" t="str">
            <v>vylúčené ostatné:</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analyza3 - zadania kvality"/>
      <sheetName val="Vyhodnotenie benefitov NetAcad"/>
      <sheetName val="Sub-analyza1 - pocty studentov"/>
      <sheetName val="Sub-analyza2 - nacenenie kurzov"/>
      <sheetName val="CISCO 2024 zdroj1"/>
      <sheetName val="CISCO 2015-25 zdroj2"/>
      <sheetName val="Prieskum trhu TOP kurzy zdroj3"/>
      <sheetName val="Pasport1 NetAcad zdroj4"/>
      <sheetName val="Nepoužitý CISCO 2025 zdroj"/>
      <sheetName val="Nepoužitý CISCO 8_2025 zdroj"/>
    </sheetNames>
    <sheetDataSet>
      <sheetData sheetId="0">
        <row r="1">
          <cell r="A1" t="str">
            <v>ROZVOJOVÝ POTENCIÁL: Kontingenčná tabuľka - počtov študentov - porovnanie údajov od CISCO s údajmi MŠVVaM SR (počty registrovaných --&gt; účastníkov --&gt; ukončených certifikátom) vs. počty žiakov v IKT odboroch škôl (Poč. žiakov ODHAD25 ikt)</v>
          </cell>
        </row>
        <row r="2">
          <cell r="A2" t="str">
            <v>ŠKOLY KTORÉ VYUŽÍVAJÚ KURZY NetAcad z portálu CISCO NETWORKING ACADEMY NetAcad.com</v>
          </cell>
          <cell r="K2" t="str">
            <v>Intenzívne využívanie NetAcad</v>
          </cell>
        </row>
        <row r="3">
          <cell r="A3" t="str">
            <v>Označenia riadkov</v>
          </cell>
          <cell r="F3" t="str">
            <v>Názov školy z Pasportizácie1</v>
          </cell>
          <cell r="K3" t="str">
            <v>Počet kurzov na študenta</v>
          </cell>
        </row>
        <row r="4">
          <cell r="A4">
            <v>17050545</v>
          </cell>
          <cell r="F4" t="str">
            <v>Stredná odborná škola technická</v>
          </cell>
          <cell r="K4">
            <v>2.4415584415584415</v>
          </cell>
        </row>
        <row r="5">
          <cell r="A5">
            <v>17055415</v>
          </cell>
          <cell r="F5" t="str">
            <v>Stredná odborná škola informačných technológií</v>
          </cell>
        </row>
        <row r="6">
          <cell r="A6">
            <v>17055431</v>
          </cell>
          <cell r="F6" t="str">
            <v>Stredná odborná škola informačných technológií</v>
          </cell>
          <cell r="K6">
            <v>2.0125000000000002</v>
          </cell>
        </row>
        <row r="7">
          <cell r="A7">
            <v>17151589</v>
          </cell>
          <cell r="F7" t="str">
            <v xml:space="preserve">Gymnázium </v>
          </cell>
          <cell r="K7">
            <v>1</v>
          </cell>
        </row>
        <row r="8">
          <cell r="A8">
            <v>17319161</v>
          </cell>
          <cell r="F8" t="str">
            <v>Stredná priemyselná škola elektrotechnická Karola Adlera</v>
          </cell>
        </row>
        <row r="9">
          <cell r="A9">
            <v>17327661</v>
          </cell>
          <cell r="F9" t="str">
            <v xml:space="preserve">Stredná priemyselná škola elektrotechnická Hálova </v>
          </cell>
        </row>
        <row r="10">
          <cell r="A10">
            <v>30775353</v>
          </cell>
          <cell r="F10" t="str">
            <v>Stredná priemyselná škola elektrotechnická Zochova</v>
          </cell>
        </row>
        <row r="11">
          <cell r="A11">
            <v>30815339</v>
          </cell>
          <cell r="F11" t="str">
            <v>Cirkevná stredná odborná škola elektrotechnická P.G.Frassatiho Bratislava</v>
          </cell>
        </row>
        <row r="12">
          <cell r="A12">
            <v>31313833</v>
          </cell>
          <cell r="F12" t="str">
            <v>Súkromná stredná odborná škola ekonomicko-technická</v>
          </cell>
          <cell r="K12">
            <v>1</v>
          </cell>
        </row>
        <row r="13">
          <cell r="A13">
            <v>35568381</v>
          </cell>
          <cell r="F13" t="str">
            <v>Stredná odborná škola ekonomická</v>
          </cell>
          <cell r="K13">
            <v>1.05</v>
          </cell>
        </row>
        <row r="14">
          <cell r="A14">
            <v>37942492</v>
          </cell>
          <cell r="F14" t="str">
            <v>Stredná odborná škola drevárska</v>
          </cell>
          <cell r="K14">
            <v>1</v>
          </cell>
        </row>
        <row r="15">
          <cell r="A15">
            <v>37982354</v>
          </cell>
          <cell r="F15" t="str">
            <v xml:space="preserve">Súkromná stredná odborná škola </v>
          </cell>
          <cell r="K15">
            <v>1</v>
          </cell>
        </row>
        <row r="16">
          <cell r="A16">
            <v>42024471</v>
          </cell>
          <cell r="F16" t="str">
            <v>Stredná odborná škola Handlová</v>
          </cell>
          <cell r="K16">
            <v>2.7836257309941521</v>
          </cell>
        </row>
        <row r="17">
          <cell r="A17">
            <v>42039371</v>
          </cell>
          <cell r="F17" t="str">
            <v>Súkromná stredná odborná škola</v>
          </cell>
          <cell r="K17">
            <v>1.2978723404255319</v>
          </cell>
        </row>
        <row r="18">
          <cell r="A18">
            <v>42096651</v>
          </cell>
          <cell r="F18" t="str">
            <v>Stredná odborná škola technická Michalovce</v>
          </cell>
          <cell r="K18">
            <v>1</v>
          </cell>
        </row>
        <row r="19">
          <cell r="A19">
            <v>51906201</v>
          </cell>
          <cell r="F19" t="str">
            <v>Stredná priemyselná škola informačných technológií</v>
          </cell>
          <cell r="K19">
            <v>1.2222222222222223</v>
          </cell>
        </row>
        <row r="20">
          <cell r="A20">
            <v>53948998</v>
          </cell>
          <cell r="F20" t="str">
            <v>Stredná priemyselná škola informačných technológií Ignáca Gessaya</v>
          </cell>
          <cell r="K20">
            <v>1</v>
          </cell>
        </row>
        <row r="21">
          <cell r="A21" t="str">
            <v>???</v>
          </cell>
        </row>
        <row r="22">
          <cell r="A22" t="str">
            <v>00012432</v>
          </cell>
          <cell r="F22" t="str">
            <v>Stredná priemyselná škola elektrotechnická S. A. Jedlika ako org.zl. Spojenej školy</v>
          </cell>
          <cell r="K22">
            <v>1.6666666666666667</v>
          </cell>
        </row>
        <row r="23">
          <cell r="A23" t="str">
            <v>00160709</v>
          </cell>
          <cell r="F23" t="str">
            <v>Gymnázium  Augusta Horislava Škultétyho</v>
          </cell>
          <cell r="K23">
            <v>1</v>
          </cell>
        </row>
        <row r="24">
          <cell r="A24" t="str">
            <v>00160989</v>
          </cell>
          <cell r="F24" t="str">
            <v xml:space="preserve">Gymnázium Šrobárova </v>
          </cell>
          <cell r="K24">
            <v>1</v>
          </cell>
        </row>
        <row r="25">
          <cell r="A25" t="str">
            <v>00161063</v>
          </cell>
          <cell r="F25" t="str">
            <v>Gymnázium P. Horova</v>
          </cell>
          <cell r="K25">
            <v>1</v>
          </cell>
        </row>
        <row r="26">
          <cell r="A26" t="str">
            <v>00161144</v>
          </cell>
          <cell r="F26" t="str">
            <v>Gymnázium P. J. Šafárika - P. J. Šafárik Gimnázium</v>
          </cell>
          <cell r="K26">
            <v>1</v>
          </cell>
        </row>
        <row r="27">
          <cell r="A27" t="str">
            <v>00161217</v>
          </cell>
          <cell r="F27" t="str">
            <v>Gymnázium Terézie Vansovej Stará Ľubovňa</v>
          </cell>
          <cell r="K27">
            <v>1</v>
          </cell>
        </row>
        <row r="28">
          <cell r="A28" t="str">
            <v>00161381</v>
          </cell>
          <cell r="F28" t="str">
            <v>Stredná priemyselná škola Myjava</v>
          </cell>
          <cell r="K28">
            <v>1</v>
          </cell>
        </row>
        <row r="29">
          <cell r="A29" t="str">
            <v>00161403</v>
          </cell>
          <cell r="F29" t="str">
            <v>Stredná priemyselná škola</v>
          </cell>
          <cell r="K29">
            <v>1</v>
          </cell>
        </row>
        <row r="30">
          <cell r="A30" t="str">
            <v>00161454</v>
          </cell>
          <cell r="F30" t="str">
            <v>Stredná priemyselná škola elektrotechnická</v>
          </cell>
          <cell r="K30">
            <v>1</v>
          </cell>
        </row>
        <row r="31">
          <cell r="A31" t="str">
            <v>00161471</v>
          </cell>
          <cell r="F31" t="str">
            <v>Stredná priemyselná škola Jozefa Murgaša</v>
          </cell>
          <cell r="K31">
            <v>2.8083333333333331</v>
          </cell>
        </row>
        <row r="32">
          <cell r="A32" t="str">
            <v>00161578</v>
          </cell>
          <cell r="F32" t="str">
            <v>Stredná priemyselná škola technická</v>
          </cell>
          <cell r="K32">
            <v>2.63</v>
          </cell>
        </row>
        <row r="33">
          <cell r="A33" t="str">
            <v>00161594</v>
          </cell>
          <cell r="F33" t="str">
            <v>Stredná priemyselná škola</v>
          </cell>
          <cell r="K33">
            <v>1</v>
          </cell>
        </row>
        <row r="34">
          <cell r="A34" t="str">
            <v>00161705</v>
          </cell>
          <cell r="F34" t="str">
            <v>Stredná priemyselná škola technická</v>
          </cell>
          <cell r="K34">
            <v>2.2799999999999998</v>
          </cell>
        </row>
        <row r="35">
          <cell r="A35" t="str">
            <v>00161721</v>
          </cell>
          <cell r="F35" t="str">
            <v>Stredná priemyselná škola</v>
          </cell>
          <cell r="K35">
            <v>1</v>
          </cell>
        </row>
        <row r="36">
          <cell r="A36" t="str">
            <v>00161756</v>
          </cell>
          <cell r="F36" t="str">
            <v>Stredná priemyselná škola elektrotechnická Košice</v>
          </cell>
          <cell r="K36">
            <v>1.0655172413793104</v>
          </cell>
        </row>
        <row r="37">
          <cell r="A37" t="str">
            <v>00161802</v>
          </cell>
          <cell r="F37" t="str">
            <v>Stredná priemyselná škola techniky a dizajnu</v>
          </cell>
          <cell r="K37">
            <v>1</v>
          </cell>
        </row>
        <row r="38">
          <cell r="A38" t="str">
            <v>00161829</v>
          </cell>
          <cell r="F38" t="str">
            <v>Stredná priemyselná škola elektrotechnická</v>
          </cell>
          <cell r="K38">
            <v>4.22</v>
          </cell>
        </row>
        <row r="39">
          <cell r="A39" t="str">
            <v>00397563</v>
          </cell>
          <cell r="F39" t="str">
            <v>FRI UNIZA  - centrum školenia inštruktorov</v>
          </cell>
          <cell r="K39">
            <v>1.991494532199271</v>
          </cell>
        </row>
        <row r="40">
          <cell r="A40" t="str">
            <v>00397610</v>
          </cell>
          <cell r="F40" t="str">
            <v>FEI TUKE  - centrum školenia inštruktorov / podporné centrum</v>
          </cell>
          <cell r="K40">
            <v>1</v>
          </cell>
        </row>
        <row r="41">
          <cell r="A41" t="str">
            <v>00397687</v>
          </cell>
          <cell r="F41" t="str">
            <v>FIIT STU  - centrum školenia inštruktorov</v>
          </cell>
        </row>
        <row r="42">
          <cell r="A42" t="str">
            <v>00398900</v>
          </cell>
          <cell r="F42" t="str">
            <v>Gymnázium Trebišovská</v>
          </cell>
          <cell r="K42">
            <v>1</v>
          </cell>
        </row>
        <row r="43">
          <cell r="A43" t="str">
            <v>00491861</v>
          </cell>
          <cell r="F43" t="str">
            <v>Stredná priemyselná škola dopravná</v>
          </cell>
          <cell r="K43">
            <v>1</v>
          </cell>
        </row>
        <row r="44">
          <cell r="A44" t="str">
            <v>00521663</v>
          </cell>
          <cell r="F44" t="str">
            <v>Stredná priemyselná škola technická</v>
          </cell>
          <cell r="K44">
            <v>1</v>
          </cell>
        </row>
        <row r="45">
          <cell r="A45" t="str">
            <v>00891541</v>
          </cell>
          <cell r="F45" t="str">
            <v>Stredná odborná škola technická</v>
          </cell>
          <cell r="K45">
            <v>1</v>
          </cell>
        </row>
        <row r="46">
          <cell r="A46" t="str">
            <v>00893170</v>
          </cell>
          <cell r="F46" t="str">
            <v>Stredná odborná škola elektrotechnická</v>
          </cell>
          <cell r="K46">
            <v>1.6426332288401253</v>
          </cell>
        </row>
        <row r="47">
          <cell r="A47" t="str">
            <v>00893331</v>
          </cell>
          <cell r="F47" t="str">
            <v>Stredná odborná škola informačných technológií</v>
          </cell>
          <cell r="K47">
            <v>1.2141732283464568</v>
          </cell>
        </row>
        <row r="48">
          <cell r="A48" t="str">
            <v>00893358</v>
          </cell>
          <cell r="F48" t="str">
            <v>Stredná odborná škola polytechnická</v>
          </cell>
          <cell r="K48">
            <v>1</v>
          </cell>
        </row>
        <row r="49">
          <cell r="A49" t="str">
            <v>17050448</v>
          </cell>
          <cell r="F49" t="str">
            <v>Stredná odborná škola technická ako org.zl.Spojenej školy</v>
          </cell>
          <cell r="K49">
            <v>1</v>
          </cell>
        </row>
        <row r="50">
          <cell r="A50" t="str">
            <v>17337101</v>
          </cell>
          <cell r="F50" t="str">
            <v>Gymnázium Grösslingová</v>
          </cell>
        </row>
        <row r="51">
          <cell r="A51" t="str">
            <v>30414164</v>
          </cell>
          <cell r="F51" t="str">
            <v>Spojená škola sv. Jána Bosca - org. zl. SOŠ IT sv. Jána Bosca</v>
          </cell>
          <cell r="K51">
            <v>1</v>
          </cell>
        </row>
        <row r="52">
          <cell r="A52" t="str">
            <v>37910337</v>
          </cell>
          <cell r="F52" t="str">
            <v>Akadémia ozbrojených síl generála M. R. Štefánika</v>
          </cell>
          <cell r="K52">
            <v>1.36</v>
          </cell>
        </row>
        <row r="53">
          <cell r="A53" t="str">
            <v>37922459</v>
          </cell>
          <cell r="F53" t="str">
            <v>Stredná odborná škola strojnícka</v>
          </cell>
          <cell r="K53">
            <v>1</v>
          </cell>
        </row>
        <row r="54">
          <cell r="A54" t="str">
            <v>37946765</v>
          </cell>
          <cell r="F54" t="str">
            <v>Stredná odborná škola technická ako org.zl. Spojenej školy</v>
          </cell>
          <cell r="K54">
            <v>2.1666666666666665</v>
          </cell>
        </row>
        <row r="55">
          <cell r="A55" t="str">
            <v>37956108</v>
          </cell>
          <cell r="F55" t="str">
            <v>Spojená škola - Stredná odborná škola elektrotechnická</v>
          </cell>
          <cell r="K55">
            <v>1</v>
          </cell>
        </row>
        <row r="56">
          <cell r="A56" t="str">
            <v xml:space="preserve">42178941 </v>
          </cell>
          <cell r="F56" t="str">
            <v>Spojená škola Svätej Rodiny - Gymnázium</v>
          </cell>
        </row>
        <row r="57">
          <cell r="A57" t="str">
            <v>Celkový súčet</v>
          </cell>
        </row>
        <row r="61">
          <cell r="A61" t="str">
            <v>ŠKOLY KTORÉ NEVYUŽÍVAJÚ KURZY NetAcad z portálu CISCO NETWORKING ACADEMY NetAcad.com ALE SÚ AKADÉMIAMI</v>
          </cell>
        </row>
        <row r="62">
          <cell r="A62" t="str">
            <v>17050499</v>
          </cell>
          <cell r="F62" t="str">
            <v>A3</v>
          </cell>
        </row>
        <row r="63">
          <cell r="A63">
            <v>37890221</v>
          </cell>
          <cell r="F63" t="str">
            <v>B2</v>
          </cell>
        </row>
        <row r="64">
          <cell r="A64">
            <v>37784722</v>
          </cell>
          <cell r="F64" t="str">
            <v>B2</v>
          </cell>
        </row>
        <row r="65">
          <cell r="A65">
            <v>36087947</v>
          </cell>
          <cell r="F65" t="str">
            <v>A3</v>
          </cell>
        </row>
        <row r="66">
          <cell r="A66">
            <v>42035261</v>
          </cell>
          <cell r="F66" t="str">
            <v>A3</v>
          </cell>
        </row>
        <row r="67">
          <cell r="A67" t="str">
            <v>00160741</v>
          </cell>
          <cell r="F67" t="str">
            <v>B3</v>
          </cell>
        </row>
        <row r="68">
          <cell r="A68">
            <v>37942484</v>
          </cell>
          <cell r="F68" t="str">
            <v>B1</v>
          </cell>
        </row>
        <row r="69">
          <cell r="A69">
            <v>37890182</v>
          </cell>
          <cell r="F69" t="str">
            <v>B2</v>
          </cell>
        </row>
        <row r="70">
          <cell r="A70" t="str">
            <v>35568356</v>
          </cell>
          <cell r="F70" t="str">
            <v>A3</v>
          </cell>
        </row>
        <row r="71">
          <cell r="A71">
            <v>17055377</v>
          </cell>
          <cell r="F71" t="str">
            <v>A3</v>
          </cell>
        </row>
        <row r="72">
          <cell r="A72">
            <v>36088978</v>
          </cell>
          <cell r="F72" t="str">
            <v>A3</v>
          </cell>
        </row>
        <row r="73">
          <cell r="A73" t="str">
            <v>00160580</v>
          </cell>
          <cell r="F73" t="str">
            <v>B3</v>
          </cell>
        </row>
        <row r="74">
          <cell r="A74">
            <v>36082058</v>
          </cell>
          <cell r="F74" t="str">
            <v>A3</v>
          </cell>
        </row>
        <row r="75">
          <cell r="A75" t="str">
            <v>53638549</v>
          </cell>
          <cell r="F75" t="str">
            <v>A2</v>
          </cell>
        </row>
        <row r="76">
          <cell r="A76" t="str">
            <v>00893315</v>
          </cell>
          <cell r="F76" t="str">
            <v>B1</v>
          </cell>
        </row>
        <row r="77">
          <cell r="A77" t="str">
            <v>00893188</v>
          </cell>
          <cell r="F77" t="str">
            <v>A1</v>
          </cell>
        </row>
        <row r="78">
          <cell r="A78" t="str">
            <v>42326931</v>
          </cell>
          <cell r="F78" t="str">
            <v>A3</v>
          </cell>
        </row>
        <row r="79">
          <cell r="A79">
            <v>42152411</v>
          </cell>
          <cell r="F79" t="str">
            <v>B3</v>
          </cell>
        </row>
        <row r="80">
          <cell r="A80" t="str">
            <v>00160903</v>
          </cell>
          <cell r="F80" t="str">
            <v>B3</v>
          </cell>
        </row>
        <row r="82">
          <cell r="A82" t="str">
            <v>Info: navrhnúť postupný nábeh na certifikácie! Pri SPŠ Stará Turá s rapídnou rýchlosťou!</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tAcad akademie"/>
      <sheetName val="Výber škôl"/>
      <sheetName val="Pasport1 Akademie"/>
      <sheetName val="Pasport1 3VŠ"/>
      <sheetName val="RIS"/>
      <sheetName val="NetAcad BSK"/>
      <sheetName val="Pasport1 BSK"/>
      <sheetName val="NetAcad-bez záujmu"/>
      <sheetName val="Pasport1-bez záujmu"/>
      <sheetName val="old pasport1"/>
      <sheetName val="old kontakty"/>
    </sheetNames>
    <sheetDataSet>
      <sheetData sheetId="0" refreshError="1"/>
      <sheetData sheetId="1" refreshError="1"/>
      <sheetData sheetId="2" refreshError="1">
        <row r="2">
          <cell r="B2">
            <v>37982354</v>
          </cell>
          <cell r="AY2">
            <v>3</v>
          </cell>
          <cell r="AZ2">
            <v>3</v>
          </cell>
          <cell r="BA2">
            <v>2</v>
          </cell>
          <cell r="BB2">
            <v>6</v>
          </cell>
          <cell r="BC2">
            <v>1</v>
          </cell>
          <cell r="BD2">
            <v>1</v>
          </cell>
        </row>
        <row r="3">
          <cell r="B3" t="str">
            <v>00491861</v>
          </cell>
          <cell r="AY3">
            <v>4</v>
          </cell>
          <cell r="AZ3">
            <v>4</v>
          </cell>
          <cell r="BA3">
            <v>3</v>
          </cell>
          <cell r="BB3">
            <v>4</v>
          </cell>
          <cell r="BC3">
            <v>3</v>
          </cell>
          <cell r="BD3">
            <v>3</v>
          </cell>
        </row>
        <row r="4">
          <cell r="B4" t="str">
            <v>00161578</v>
          </cell>
          <cell r="AY4">
            <v>5</v>
          </cell>
          <cell r="AZ4">
            <v>2</v>
          </cell>
          <cell r="BA4">
            <v>2</v>
          </cell>
          <cell r="BB4">
            <v>2</v>
          </cell>
          <cell r="BC4">
            <v>3</v>
          </cell>
          <cell r="BD4">
            <v>1</v>
          </cell>
        </row>
        <row r="5">
          <cell r="B5">
            <v>893358</v>
          </cell>
          <cell r="AY5">
            <v>6</v>
          </cell>
          <cell r="AZ5">
            <v>4</v>
          </cell>
          <cell r="BA5">
            <v>2</v>
          </cell>
          <cell r="BB5">
            <v>4</v>
          </cell>
          <cell r="BC5">
            <v>2</v>
          </cell>
          <cell r="BD5">
            <v>2</v>
          </cell>
        </row>
        <row r="6">
          <cell r="B6" t="str">
            <v>00161217</v>
          </cell>
          <cell r="AY6">
            <v>3</v>
          </cell>
          <cell r="AZ6">
            <v>3</v>
          </cell>
          <cell r="BA6">
            <v>8</v>
          </cell>
          <cell r="BB6">
            <v>6</v>
          </cell>
          <cell r="BC6">
            <v>3</v>
          </cell>
          <cell r="BD6">
            <v>3</v>
          </cell>
        </row>
        <row r="7">
          <cell r="B7">
            <v>42039371</v>
          </cell>
          <cell r="AY7">
            <v>8</v>
          </cell>
          <cell r="AZ7">
            <v>5</v>
          </cell>
          <cell r="BA7">
            <v>5</v>
          </cell>
          <cell r="BB7">
            <v>5</v>
          </cell>
          <cell r="BC7">
            <v>5</v>
          </cell>
          <cell r="BD7">
            <v>5</v>
          </cell>
        </row>
        <row r="8">
          <cell r="B8" t="str">
            <v>00161594</v>
          </cell>
          <cell r="AY8">
            <v>10</v>
          </cell>
          <cell r="AZ8">
            <v>6</v>
          </cell>
          <cell r="BA8">
            <v>2</v>
          </cell>
          <cell r="BB8">
            <v>7</v>
          </cell>
          <cell r="BC8">
            <v>5</v>
          </cell>
          <cell r="BD8">
            <v>6</v>
          </cell>
        </row>
        <row r="9">
          <cell r="B9" t="str">
            <v>00161471</v>
          </cell>
          <cell r="AY9">
            <v>10</v>
          </cell>
          <cell r="AZ9">
            <v>5</v>
          </cell>
          <cell r="BA9">
            <v>3</v>
          </cell>
          <cell r="BB9">
            <v>3</v>
          </cell>
          <cell r="BC9">
            <v>5</v>
          </cell>
          <cell r="BD9">
            <v>10</v>
          </cell>
        </row>
        <row r="10">
          <cell r="B10" t="str">
            <v>37946765</v>
          </cell>
          <cell r="AY10">
            <v>3</v>
          </cell>
          <cell r="AZ10">
            <v>3</v>
          </cell>
          <cell r="BA10">
            <v>3</v>
          </cell>
          <cell r="BB10">
            <v>6</v>
          </cell>
          <cell r="BC10">
            <v>2</v>
          </cell>
          <cell r="BD10">
            <v>6</v>
          </cell>
        </row>
        <row r="11">
          <cell r="B11">
            <v>35568381</v>
          </cell>
          <cell r="AY11">
            <v>5</v>
          </cell>
          <cell r="AZ11">
            <v>3</v>
          </cell>
          <cell r="BA11">
            <v>3</v>
          </cell>
          <cell r="BB11">
            <v>3</v>
          </cell>
          <cell r="BC11">
            <v>6</v>
          </cell>
          <cell r="BD11">
            <v>6</v>
          </cell>
        </row>
        <row r="12">
          <cell r="B12" t="str">
            <v>00891541</v>
          </cell>
          <cell r="AY12">
            <v>7</v>
          </cell>
          <cell r="AZ12">
            <v>5</v>
          </cell>
          <cell r="BA12">
            <v>2</v>
          </cell>
          <cell r="BB12">
            <v>3</v>
          </cell>
          <cell r="BC12">
            <v>6</v>
          </cell>
          <cell r="BD12">
            <v>6</v>
          </cell>
        </row>
        <row r="13">
          <cell r="B13" t="str">
            <v>00161454</v>
          </cell>
          <cell r="AY13">
            <v>10</v>
          </cell>
          <cell r="AZ13">
            <v>6</v>
          </cell>
          <cell r="BA13">
            <v>5</v>
          </cell>
          <cell r="BB13">
            <v>12</v>
          </cell>
          <cell r="BC13">
            <v>5</v>
          </cell>
          <cell r="BD13">
            <v>10</v>
          </cell>
        </row>
        <row r="14">
          <cell r="B14" t="str">
            <v>37910337</v>
          </cell>
          <cell r="AY14">
            <v>6</v>
          </cell>
          <cell r="AZ14">
            <v>6</v>
          </cell>
          <cell r="BA14">
            <v>4</v>
          </cell>
          <cell r="BB14">
            <v>8</v>
          </cell>
          <cell r="BC14">
            <v>2</v>
          </cell>
          <cell r="BD14">
            <v>4</v>
          </cell>
        </row>
        <row r="15">
          <cell r="B15" t="str">
            <v>00161063</v>
          </cell>
          <cell r="AY15">
            <v>6</v>
          </cell>
          <cell r="AZ15">
            <v>4</v>
          </cell>
          <cell r="BA15">
            <v>4</v>
          </cell>
          <cell r="BB15">
            <v>4</v>
          </cell>
          <cell r="BC15">
            <v>4</v>
          </cell>
          <cell r="BD15">
            <v>4</v>
          </cell>
        </row>
        <row r="16">
          <cell r="B16" t="str">
            <v>00161802</v>
          </cell>
          <cell r="AY16">
            <v>5</v>
          </cell>
          <cell r="AZ16">
            <v>3</v>
          </cell>
          <cell r="BA16">
            <v>3</v>
          </cell>
          <cell r="BB16">
            <v>10</v>
          </cell>
          <cell r="BC16">
            <v>2</v>
          </cell>
          <cell r="BD16">
            <v>4</v>
          </cell>
        </row>
        <row r="17">
          <cell r="B17" t="str">
            <v>17050499</v>
          </cell>
          <cell r="AY17">
            <v>4</v>
          </cell>
          <cell r="AZ17">
            <v>3</v>
          </cell>
          <cell r="BA17">
            <v>1</v>
          </cell>
          <cell r="BB17">
            <v>6</v>
          </cell>
          <cell r="BC17">
            <v>4</v>
          </cell>
          <cell r="BD17">
            <v>4</v>
          </cell>
        </row>
        <row r="18">
          <cell r="B18">
            <v>42024471</v>
          </cell>
          <cell r="AY18">
            <v>10</v>
          </cell>
          <cell r="AZ18">
            <v>2</v>
          </cell>
          <cell r="BA18">
            <v>1</v>
          </cell>
          <cell r="BB18">
            <v>20</v>
          </cell>
          <cell r="BC18">
            <v>6</v>
          </cell>
          <cell r="BD18">
            <v>6</v>
          </cell>
        </row>
        <row r="19">
          <cell r="B19">
            <v>37890221</v>
          </cell>
          <cell r="AY19">
            <v>4</v>
          </cell>
          <cell r="AZ19">
            <v>2</v>
          </cell>
          <cell r="BA19">
            <v>2</v>
          </cell>
          <cell r="BB19">
            <v>4</v>
          </cell>
          <cell r="BC19">
            <v>4</v>
          </cell>
          <cell r="BD19">
            <v>4</v>
          </cell>
        </row>
        <row r="20">
          <cell r="B20" t="str">
            <v>00161381</v>
          </cell>
          <cell r="AY20">
            <v>4</v>
          </cell>
          <cell r="AZ20">
            <v>3</v>
          </cell>
          <cell r="BA20">
            <v>1</v>
          </cell>
          <cell r="BB20">
            <v>3</v>
          </cell>
          <cell r="BC20">
            <v>4</v>
          </cell>
          <cell r="BD20">
            <v>4</v>
          </cell>
        </row>
        <row r="21">
          <cell r="B21" t="str">
            <v>00893331</v>
          </cell>
          <cell r="AY21">
            <v>10</v>
          </cell>
          <cell r="AZ21">
            <v>6</v>
          </cell>
          <cell r="BA21">
            <v>5</v>
          </cell>
          <cell r="BB21">
            <v>6</v>
          </cell>
          <cell r="BC21">
            <v>4</v>
          </cell>
          <cell r="BD21">
            <v>4</v>
          </cell>
        </row>
        <row r="22">
          <cell r="B22" t="str">
            <v>00012432</v>
          </cell>
          <cell r="AY22">
            <v>10</v>
          </cell>
          <cell r="AZ22">
            <v>6</v>
          </cell>
          <cell r="BA22">
            <v>0</v>
          </cell>
          <cell r="BB22">
            <v>6</v>
          </cell>
          <cell r="BC22">
            <v>6</v>
          </cell>
          <cell r="BD22">
            <v>12</v>
          </cell>
        </row>
        <row r="23">
          <cell r="B23" t="str">
            <v>37956108</v>
          </cell>
          <cell r="AY23">
            <v>7</v>
          </cell>
          <cell r="AZ23">
            <v>5</v>
          </cell>
          <cell r="BA23">
            <v>5</v>
          </cell>
          <cell r="BB23">
            <v>20</v>
          </cell>
          <cell r="BC23">
            <v>5</v>
          </cell>
          <cell r="BD23">
            <v>5</v>
          </cell>
        </row>
        <row r="24">
          <cell r="B24">
            <v>53948998</v>
          </cell>
          <cell r="AY24">
            <v>10</v>
          </cell>
          <cell r="AZ24">
            <v>6</v>
          </cell>
          <cell r="BA24">
            <v>2</v>
          </cell>
          <cell r="BB24">
            <v>10</v>
          </cell>
          <cell r="BC24">
            <v>6</v>
          </cell>
          <cell r="BD24">
            <v>10</v>
          </cell>
        </row>
        <row r="25">
          <cell r="B25">
            <v>42096651</v>
          </cell>
          <cell r="AY25">
            <v>10</v>
          </cell>
          <cell r="AZ25">
            <v>5</v>
          </cell>
          <cell r="BA25">
            <v>3</v>
          </cell>
          <cell r="BB25">
            <v>10</v>
          </cell>
          <cell r="BC25">
            <v>5</v>
          </cell>
          <cell r="BD25">
            <v>10</v>
          </cell>
        </row>
        <row r="26">
          <cell r="B26" t="str">
            <v>30414164</v>
          </cell>
          <cell r="AY26">
            <v>3</v>
          </cell>
          <cell r="AZ26">
            <v>3</v>
          </cell>
          <cell r="BA26">
            <v>1</v>
          </cell>
          <cell r="BB26">
            <v>4</v>
          </cell>
          <cell r="BC26">
            <v>2</v>
          </cell>
          <cell r="BD26">
            <v>2</v>
          </cell>
        </row>
        <row r="27">
          <cell r="B27" t="str">
            <v>00521663</v>
          </cell>
          <cell r="AY27">
            <v>10</v>
          </cell>
          <cell r="AZ27">
            <v>6</v>
          </cell>
          <cell r="BA27">
            <v>4</v>
          </cell>
          <cell r="BB27">
            <v>25</v>
          </cell>
          <cell r="BC27">
            <v>6</v>
          </cell>
          <cell r="BD27">
            <v>12</v>
          </cell>
        </row>
        <row r="28">
          <cell r="B28">
            <v>37784722</v>
          </cell>
          <cell r="AY28">
            <v>7</v>
          </cell>
          <cell r="AZ28">
            <v>4</v>
          </cell>
          <cell r="BA28">
            <v>2</v>
          </cell>
          <cell r="BB28">
            <v>6</v>
          </cell>
          <cell r="BC28">
            <v>2</v>
          </cell>
          <cell r="BD28">
            <v>2</v>
          </cell>
        </row>
        <row r="29">
          <cell r="B29">
            <v>31313833</v>
          </cell>
          <cell r="AY29">
            <v>4</v>
          </cell>
          <cell r="AZ29">
            <v>2</v>
          </cell>
          <cell r="BA29">
            <v>2</v>
          </cell>
          <cell r="BB29">
            <v>4</v>
          </cell>
          <cell r="BC29">
            <v>2</v>
          </cell>
          <cell r="BD29">
            <v>3</v>
          </cell>
        </row>
        <row r="30">
          <cell r="B30">
            <v>36087947</v>
          </cell>
          <cell r="AY30">
            <v>7</v>
          </cell>
          <cell r="AZ30">
            <v>6</v>
          </cell>
          <cell r="BA30">
            <v>3</v>
          </cell>
          <cell r="BB30">
            <v>14</v>
          </cell>
          <cell r="BC30">
            <v>6</v>
          </cell>
          <cell r="BD30">
            <v>14</v>
          </cell>
        </row>
        <row r="31">
          <cell r="B31" t="str">
            <v>00161403</v>
          </cell>
          <cell r="AY31">
            <v>5</v>
          </cell>
          <cell r="AZ31">
            <v>3</v>
          </cell>
          <cell r="BA31">
            <v>5</v>
          </cell>
          <cell r="BB31">
            <v>5</v>
          </cell>
          <cell r="BC31">
            <v>3</v>
          </cell>
          <cell r="BD31">
            <v>4</v>
          </cell>
        </row>
        <row r="32">
          <cell r="B32">
            <v>17055431</v>
          </cell>
          <cell r="AY32">
            <v>10</v>
          </cell>
          <cell r="AZ32">
            <v>6</v>
          </cell>
          <cell r="BA32">
            <v>4</v>
          </cell>
          <cell r="BB32">
            <v>12</v>
          </cell>
          <cell r="BC32">
            <v>6</v>
          </cell>
          <cell r="BD32">
            <v>12</v>
          </cell>
        </row>
        <row r="33">
          <cell r="B33">
            <v>42035261</v>
          </cell>
          <cell r="AY33">
            <v>8</v>
          </cell>
          <cell r="AZ33">
            <v>4</v>
          </cell>
          <cell r="BA33">
            <v>4</v>
          </cell>
          <cell r="BB33">
            <v>14</v>
          </cell>
          <cell r="BC33">
            <v>4</v>
          </cell>
          <cell r="BD33">
            <v>7</v>
          </cell>
        </row>
        <row r="34">
          <cell r="B34" t="str">
            <v>37922459</v>
          </cell>
          <cell r="AY34">
            <v>7</v>
          </cell>
          <cell r="AZ34">
            <v>5</v>
          </cell>
          <cell r="BA34">
            <v>3</v>
          </cell>
          <cell r="BB34">
            <v>12</v>
          </cell>
          <cell r="BC34">
            <v>5</v>
          </cell>
          <cell r="BD34">
            <v>20</v>
          </cell>
        </row>
        <row r="35">
          <cell r="B35">
            <v>17050545</v>
          </cell>
          <cell r="AY35">
            <v>8</v>
          </cell>
          <cell r="AZ35">
            <v>4</v>
          </cell>
          <cell r="BA35">
            <v>0</v>
          </cell>
          <cell r="BB35">
            <v>5</v>
          </cell>
          <cell r="BC35">
            <v>5</v>
          </cell>
          <cell r="BD35">
            <v>8</v>
          </cell>
        </row>
        <row r="36">
          <cell r="B36">
            <v>17151589</v>
          </cell>
          <cell r="AY36">
            <v>4</v>
          </cell>
          <cell r="AZ36">
            <v>4</v>
          </cell>
          <cell r="BA36">
            <v>2</v>
          </cell>
          <cell r="BB36">
            <v>2</v>
          </cell>
          <cell r="BC36">
            <v>4</v>
          </cell>
          <cell r="BD36">
            <v>1</v>
          </cell>
        </row>
        <row r="37">
          <cell r="B37" t="str">
            <v>00398900</v>
          </cell>
          <cell r="AY37">
            <v>6</v>
          </cell>
          <cell r="AZ37">
            <v>2</v>
          </cell>
          <cell r="BA37">
            <v>0</v>
          </cell>
          <cell r="BB37">
            <v>4</v>
          </cell>
          <cell r="BD37">
            <v>0</v>
          </cell>
        </row>
        <row r="38">
          <cell r="B38" t="str">
            <v>17050448</v>
          </cell>
          <cell r="AY38">
            <v>6</v>
          </cell>
          <cell r="AZ38">
            <v>6</v>
          </cell>
          <cell r="BA38">
            <v>6</v>
          </cell>
          <cell r="BB38">
            <v>6</v>
          </cell>
          <cell r="BC38">
            <v>6</v>
          </cell>
          <cell r="BD38">
            <v>6</v>
          </cell>
        </row>
        <row r="39">
          <cell r="B39" t="str">
            <v>00160709</v>
          </cell>
          <cell r="AY39">
            <v>5</v>
          </cell>
          <cell r="AZ39">
            <v>4</v>
          </cell>
          <cell r="BA39">
            <v>1</v>
          </cell>
          <cell r="BB39">
            <v>2</v>
          </cell>
          <cell r="BC39">
            <v>1</v>
          </cell>
          <cell r="BD39">
            <v>2</v>
          </cell>
        </row>
        <row r="40">
          <cell r="B40" t="str">
            <v>00160741</v>
          </cell>
          <cell r="AY40">
            <v>5</v>
          </cell>
          <cell r="AZ40">
            <v>3</v>
          </cell>
          <cell r="BA40">
            <v>2</v>
          </cell>
          <cell r="BB40">
            <v>3</v>
          </cell>
          <cell r="BC40">
            <v>5</v>
          </cell>
          <cell r="BD40">
            <v>10</v>
          </cell>
        </row>
        <row r="41">
          <cell r="B41" t="str">
            <v>00161144</v>
          </cell>
          <cell r="AY41">
            <v>2</v>
          </cell>
          <cell r="BA41">
            <v>2</v>
          </cell>
          <cell r="BB41">
            <v>2</v>
          </cell>
          <cell r="BC41">
            <v>2</v>
          </cell>
          <cell r="BD41">
            <v>2</v>
          </cell>
        </row>
        <row r="42">
          <cell r="B42">
            <v>37942484</v>
          </cell>
          <cell r="AY42">
            <v>4</v>
          </cell>
          <cell r="AZ42">
            <v>3</v>
          </cell>
          <cell r="BA42">
            <v>3</v>
          </cell>
          <cell r="BB42">
            <v>6</v>
          </cell>
          <cell r="BC42">
            <v>4</v>
          </cell>
          <cell r="BD42">
            <v>6</v>
          </cell>
        </row>
        <row r="43">
          <cell r="B43" t="str">
            <v>00893170</v>
          </cell>
          <cell r="AY43">
            <v>7</v>
          </cell>
          <cell r="AZ43">
            <v>6</v>
          </cell>
          <cell r="BA43">
            <v>3</v>
          </cell>
          <cell r="BB43">
            <v>6</v>
          </cell>
          <cell r="BC43">
            <v>5</v>
          </cell>
          <cell r="BD43">
            <v>10</v>
          </cell>
        </row>
        <row r="44">
          <cell r="B44">
            <v>37942492</v>
          </cell>
          <cell r="AY44">
            <v>4</v>
          </cell>
          <cell r="AZ44">
            <v>3</v>
          </cell>
          <cell r="BA44">
            <v>3</v>
          </cell>
          <cell r="BB44">
            <v>2</v>
          </cell>
          <cell r="BC44">
            <v>2</v>
          </cell>
          <cell r="BD44">
            <v>2</v>
          </cell>
        </row>
        <row r="45">
          <cell r="B45">
            <v>37890182</v>
          </cell>
          <cell r="AY45">
            <v>2</v>
          </cell>
          <cell r="AZ45">
            <v>2</v>
          </cell>
          <cell r="BA45">
            <v>2</v>
          </cell>
          <cell r="BB45">
            <v>4</v>
          </cell>
          <cell r="BC45">
            <v>1</v>
          </cell>
          <cell r="BD45">
            <v>1</v>
          </cell>
        </row>
        <row r="46">
          <cell r="B46" t="str">
            <v>35568356</v>
          </cell>
          <cell r="AY46">
            <v>5</v>
          </cell>
          <cell r="AZ46">
            <v>5</v>
          </cell>
          <cell r="BA46">
            <v>2</v>
          </cell>
          <cell r="BB46">
            <v>4</v>
          </cell>
          <cell r="BC46">
            <v>5</v>
          </cell>
          <cell r="BD46">
            <v>4</v>
          </cell>
        </row>
        <row r="47">
          <cell r="B47" t="str">
            <v>00160989</v>
          </cell>
          <cell r="AY47">
            <v>5</v>
          </cell>
          <cell r="AZ47">
            <v>3</v>
          </cell>
          <cell r="BA47">
            <v>2</v>
          </cell>
          <cell r="BB47">
            <v>6</v>
          </cell>
          <cell r="BC47">
            <v>4</v>
          </cell>
          <cell r="BD47">
            <v>5</v>
          </cell>
        </row>
        <row r="48">
          <cell r="B48" t="str">
            <v>00161705</v>
          </cell>
          <cell r="AY48">
            <v>10</v>
          </cell>
          <cell r="AZ48">
            <v>6</v>
          </cell>
          <cell r="BA48">
            <v>6</v>
          </cell>
          <cell r="BB48">
            <v>6</v>
          </cell>
          <cell r="BC48">
            <v>5</v>
          </cell>
          <cell r="BD48">
            <v>5</v>
          </cell>
        </row>
        <row r="49">
          <cell r="B49">
            <v>17055377</v>
          </cell>
          <cell r="AY49">
            <v>10</v>
          </cell>
          <cell r="AZ49">
            <v>6</v>
          </cell>
          <cell r="BA49">
            <v>2</v>
          </cell>
          <cell r="BB49">
            <v>15</v>
          </cell>
          <cell r="BC49">
            <v>6</v>
          </cell>
          <cell r="BD49">
            <v>15</v>
          </cell>
        </row>
        <row r="50">
          <cell r="B50">
            <v>51906201</v>
          </cell>
          <cell r="AY50">
            <v>10</v>
          </cell>
          <cell r="AZ50">
            <v>6</v>
          </cell>
          <cell r="BA50">
            <v>2</v>
          </cell>
          <cell r="BB50">
            <v>9</v>
          </cell>
          <cell r="BC50">
            <v>4</v>
          </cell>
          <cell r="BD50">
            <v>4</v>
          </cell>
        </row>
        <row r="51">
          <cell r="B51" t="str">
            <v>00161721</v>
          </cell>
          <cell r="AY51">
            <v>10</v>
          </cell>
          <cell r="AZ51">
            <v>6</v>
          </cell>
          <cell r="BA51">
            <v>0</v>
          </cell>
          <cell r="BB51">
            <v>1</v>
          </cell>
          <cell r="BC51">
            <v>6</v>
          </cell>
          <cell r="BD51">
            <v>3</v>
          </cell>
        </row>
        <row r="52">
          <cell r="B52" t="str">
            <v>00161756</v>
          </cell>
          <cell r="AY52">
            <v>10</v>
          </cell>
          <cell r="AZ52">
            <v>6</v>
          </cell>
          <cell r="BA52">
            <v>4</v>
          </cell>
          <cell r="BB52">
            <v>12</v>
          </cell>
          <cell r="BC52">
            <v>3</v>
          </cell>
          <cell r="BD52">
            <v>4</v>
          </cell>
        </row>
        <row r="53">
          <cell r="B53">
            <v>36088978</v>
          </cell>
          <cell r="AY53">
            <v>7</v>
          </cell>
          <cell r="AZ53">
            <v>6</v>
          </cell>
          <cell r="BA53">
            <v>5</v>
          </cell>
          <cell r="BB53">
            <v>10</v>
          </cell>
          <cell r="BC53">
            <v>6</v>
          </cell>
          <cell r="BD53">
            <v>5</v>
          </cell>
        </row>
        <row r="54">
          <cell r="B54" t="str">
            <v>00160580</v>
          </cell>
          <cell r="AY54">
            <v>4</v>
          </cell>
          <cell r="AZ54">
            <v>2</v>
          </cell>
          <cell r="BA54">
            <v>1</v>
          </cell>
          <cell r="BB54">
            <v>2</v>
          </cell>
          <cell r="BC54">
            <v>2</v>
          </cell>
          <cell r="BD54">
            <v>2</v>
          </cell>
        </row>
        <row r="55">
          <cell r="B55" t="str">
            <v>00161829</v>
          </cell>
          <cell r="AY55">
            <v>10</v>
          </cell>
          <cell r="AZ55">
            <v>6</v>
          </cell>
          <cell r="BA55">
            <v>10</v>
          </cell>
          <cell r="BB55">
            <v>20</v>
          </cell>
          <cell r="BC55">
            <v>6</v>
          </cell>
          <cell r="BD55">
            <v>10</v>
          </cell>
        </row>
        <row r="56">
          <cell r="B56">
            <v>36082058</v>
          </cell>
          <cell r="AY56">
            <v>4</v>
          </cell>
          <cell r="AZ56">
            <v>2</v>
          </cell>
          <cell r="BA56">
            <v>2</v>
          </cell>
          <cell r="BB56">
            <v>2</v>
          </cell>
          <cell r="BD56">
            <v>0</v>
          </cell>
        </row>
        <row r="57">
          <cell r="B57" t="str">
            <v>53638549</v>
          </cell>
          <cell r="AY57">
            <v>7</v>
          </cell>
          <cell r="AZ57">
            <v>3</v>
          </cell>
          <cell r="BA57">
            <v>3</v>
          </cell>
          <cell r="BB57">
            <v>6</v>
          </cell>
          <cell r="BC57">
            <v>3</v>
          </cell>
          <cell r="BD57">
            <v>6</v>
          </cell>
        </row>
        <row r="58">
          <cell r="B58" t="str">
            <v>00893315</v>
          </cell>
          <cell r="AY58">
            <v>2</v>
          </cell>
          <cell r="AZ58">
            <v>2</v>
          </cell>
          <cell r="BA58">
            <v>2</v>
          </cell>
          <cell r="BB58">
            <v>2</v>
          </cell>
          <cell r="BC58">
            <v>2</v>
          </cell>
          <cell r="BD58">
            <v>2</v>
          </cell>
        </row>
        <row r="59">
          <cell r="B59" t="str">
            <v>00893188</v>
          </cell>
          <cell r="AY59">
            <v>5</v>
          </cell>
          <cell r="AZ59">
            <v>3</v>
          </cell>
          <cell r="BA59">
            <v>0</v>
          </cell>
          <cell r="BB59">
            <v>2</v>
          </cell>
          <cell r="BC59">
            <v>2</v>
          </cell>
          <cell r="BD59">
            <v>1</v>
          </cell>
        </row>
        <row r="60">
          <cell r="B60" t="str">
            <v>42326931</v>
          </cell>
          <cell r="AY60">
            <v>7</v>
          </cell>
          <cell r="AZ60">
            <v>3</v>
          </cell>
          <cell r="BA60">
            <v>3</v>
          </cell>
          <cell r="BB60">
            <v>3</v>
          </cell>
          <cell r="BC60">
            <v>3</v>
          </cell>
          <cell r="BD60">
            <v>3</v>
          </cell>
        </row>
        <row r="61">
          <cell r="B61">
            <v>42152411</v>
          </cell>
          <cell r="AY61">
            <v>4</v>
          </cell>
          <cell r="AZ61">
            <v>2</v>
          </cell>
          <cell r="BA61">
            <v>0</v>
          </cell>
          <cell r="BB61">
            <v>2</v>
          </cell>
          <cell r="BC61">
            <v>2</v>
          </cell>
          <cell r="BD61">
            <v>2</v>
          </cell>
        </row>
        <row r="62">
          <cell r="B62" t="str">
            <v>00160903</v>
          </cell>
          <cell r="AY62">
            <v>3</v>
          </cell>
          <cell r="AZ62">
            <v>3</v>
          </cell>
          <cell r="BA62">
            <v>3</v>
          </cell>
          <cell r="BB62">
            <v>3</v>
          </cell>
          <cell r="BC62">
            <v>3</v>
          </cell>
          <cell r="BD62">
            <v>3</v>
          </cell>
        </row>
        <row r="63">
          <cell r="B63">
            <v>17327661</v>
          </cell>
          <cell r="AY63">
            <v>3</v>
          </cell>
        </row>
        <row r="64">
          <cell r="B64">
            <v>30815339</v>
          </cell>
          <cell r="AY64">
            <v>4</v>
          </cell>
        </row>
        <row r="65">
          <cell r="B65">
            <v>17055415</v>
          </cell>
          <cell r="AY65">
            <v>4</v>
          </cell>
        </row>
        <row r="66">
          <cell r="B66">
            <v>30775353</v>
          </cell>
          <cell r="AY66">
            <v>4</v>
          </cell>
        </row>
        <row r="67">
          <cell r="B67">
            <v>17319161</v>
          </cell>
          <cell r="AY67">
            <v>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alkuláca"/>
      <sheetName val="Rozpočet"/>
      <sheetName val="Organizácia"/>
      <sheetName val="Projektový tím"/>
      <sheetName val="Sadzby-Ceny"/>
      <sheetName val="Prepočty"/>
      <sheetName val="Priprava NetAcad"/>
      <sheetName val="Pasport1 Akademie"/>
      <sheetName val="Pasport1 3VŠ"/>
      <sheetName val="Optimalizácia SŠ"/>
      <sheetName val="01 NetAcad LAB A"/>
      <sheetName val="02A NetAcad LAB B"/>
      <sheetName val="02B NetAcad LA B vybav sdwan"/>
      <sheetName val="03 NetAcad inf PA-fw per skola"/>
      <sheetName val="05A LMS virtualne f5 lic"/>
      <sheetName val="05B LMS centralne lic pracovisk"/>
      <sheetName val="06A CSKI centralne diskove pole"/>
      <sheetName val="06B CSKI Net centralne FW VM"/>
      <sheetName val="06C CSKI NetMngmnt compute"/>
      <sheetName val="06D CSKI PaloAlto centralne FW"/>
      <sheetName val="06E Virtuálky vmware ZÁMENA"/>
      <sheetName val="06F CSKI splunk security"/>
      <sheetName val="07 AI Cluster Server PCAI -S+5Y"/>
      <sheetName val="08 CSIRT-SOC Cluster OPEX"/>
      <sheetName val="09 Kvantove počítače"/>
      <sheetName val="10 Rozširujúce lab UI"/>
      <sheetName val="11A Kalkulácia AjTyvIT updated"/>
      <sheetName val="11B Kalkulácia kultúra bezpeč"/>
      <sheetName val="11C Panoptikum KB hrozieb"/>
      <sheetName val="ENERGETICKÁ NÁROČNOSŤ"/>
      <sheetName val="Školy-žiaci GRAFY"/>
      <sheetName val="Školy-žiaci VALUE"/>
      <sheetName val="LINK Školy-žiaci počty"/>
      <sheetName val="ZDROJ-CVTI SŠ žiaci počty"/>
      <sheetName val="Zdroj-SCTI Číselní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F3">
            <v>23</v>
          </cell>
          <cell r="G3">
            <v>11500</v>
          </cell>
        </row>
        <row r="5">
          <cell r="F5">
            <v>23</v>
          </cell>
          <cell r="G5">
            <v>2000</v>
          </cell>
        </row>
        <row r="6">
          <cell r="F6">
            <v>3</v>
          </cell>
          <cell r="G6">
            <v>58000</v>
          </cell>
        </row>
        <row r="8">
          <cell r="F8">
            <v>3</v>
          </cell>
          <cell r="G8">
            <v>4500</v>
          </cell>
        </row>
      </sheetData>
      <sheetData sheetId="25">
        <row r="71">
          <cell r="J71">
            <v>351999.32936856372</v>
          </cell>
        </row>
      </sheetData>
      <sheetData sheetId="26">
        <row r="41">
          <cell r="G41">
            <v>826.06315789473683</v>
          </cell>
        </row>
        <row r="42">
          <cell r="G42">
            <v>9430</v>
          </cell>
        </row>
      </sheetData>
      <sheetData sheetId="27">
        <row r="19">
          <cell r="N19">
            <v>245</v>
          </cell>
        </row>
        <row r="26">
          <cell r="N26">
            <v>976.25</v>
          </cell>
        </row>
      </sheetData>
      <sheetData sheetId="28"/>
      <sheetData sheetId="29"/>
      <sheetData sheetId="30"/>
      <sheetData sheetId="31"/>
      <sheetData sheetId="32"/>
      <sheetData sheetId="33"/>
      <sheetData sheetId="3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8D736230-C79D-4DC2-A528-C249A8F49CBC/Vyhodnotenie%20benefitov%20NP%20NetAcad%2020251017.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lukaslukac/Library/Containers/com.apple.mail/Data/Library/Mail%20Downloads/969A4D2B-A467-470B-A77E-73E38344077F/Rozpo&#269;et%20a%20podklady%20NetAcad%2020251014%20v17.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946.398840740738" createdVersion="8" refreshedVersion="8" minRefreshableVersion="3" recordCount="1079" xr:uid="{729854CB-163A-AC4C-903B-5F1B8B1DA7F6}">
  <cacheSource type="worksheet">
    <worksheetSource ref="A2:U1081" sheet="Sub-analyza1 - pocty studentov" r:id="rId2"/>
  </cacheSource>
  <cacheFields count="21">
    <cacheField name="Academy" numFmtId="0">
      <sharedItems count="61">
        <s v="Stredna priemyselna skola, Bzinska 11, Nove Mesto nad Vahom"/>
        <s v="Gymnazium Srobarova, Košice"/>
        <s v="SPS Myjava"/>
        <s v="SPS-IT Kysucke Nove Mesto"/>
        <s v="BIT Academy"/>
        <s v="SPSE Zochova Bratislava"/>
        <s v="Súkromná stredná odborná škola Saleziánska, Žilina"/>
        <s v="Stredna priemyselna skola technická Bardejov"/>
        <s v="Stredná priemyselná škola informačných technológií Ignáca Gessaya, Tvrdošín"/>
        <s v="Stredna odborna skola IT Ostrovského, Košice"/>
        <s v="Secondary Technical School Kukučínova, Poprad"/>
        <s v="Stredna odborna skola informacnych technologii, Tajovského, Banská Bystrica"/>
        <s v="Spojena skola - Stredna odborna skola elektrotechnicka, Banská Bystrica"/>
        <s v="Associated Secondary School, Nižná"/>
        <s v="Stredna odborna skola technicka Michalovce"/>
        <s v="Stredna odborna skola elektrotechnicka Liptovský Hrádok"/>
        <s v="Sukromna stredna odborna skola, Ul. 29.augusta, Poprad"/>
        <s v="Univerzita sv. Cyrila a Metoda v Trnave"/>
        <s v="Gymnazium of Terezia Vansova Stara Lubovna"/>
        <s v="Spojená škola sv. Jána Bosca, Nová Dubnica"/>
        <s v="Armed Forces Academy of General M. R.Stefanik"/>
        <s v="University of Zilina"/>
        <s v="SPST Martin"/>
        <s v="Sukromna stredna odborna skola Postupimska, Košice"/>
        <s v="Stredna priemyselna skola elektrotechnicka Presov"/>
        <s v="SOS HANDLOVA"/>
        <s v="Secondary Vocational School Jozefa Murgasa, Banská Bystrica"/>
        <s v="Gymnazium Grosslingova, Bratislava"/>
        <s v="SPŠ Považská Bystrica"/>
        <s v="CSOSE P.G.Frassatiho Bratislava"/>
        <s v="Secondary Polytechnic School Humenne"/>
        <s v="Gymnázium P.J. Šafárika, Rožňava"/>
        <s v="SPS elektrotechnicka Kosice"/>
        <s v="SOŠ Strojnícka, Bánovce nad Bebravou"/>
        <s v="Spojená škola, Ľ. Podjavorinskej 22, Prešov"/>
        <s v="Gymnazium P. Horova, Michalovce"/>
        <s v="Stredna priemyselna skola technicka SNV, Spišská Nová Ves"/>
        <s v="Stredna priemyselna skola Snina"/>
        <s v="Slovak University of Technology, FIIT Bratislava"/>
        <s v="Gymnazium Spisska Nova Ves"/>
        <s v="SOŠ ekonomická, Stojan 1, Spišská Nová Ves"/>
        <s v="Secondary Vocational School Roznava"/>
        <s v="SPSD, Dopravná Trnava"/>
        <s v="Stredna odborna skola drevarska, Vranov nad Topľou"/>
        <s v="Spojená škola Svätej Rodiny-gymnázium, Gercenova 10, Bratislava"/>
        <s v="SPSE Piestany"/>
        <s v="SOS elektrotechnicka, ???"/>
        <s v="SPSE SAJ NZ, Nové Zámky"/>
        <s v="Velitelstvo vzdusnych sil OS SR, Zvolen"/>
        <s v="Gymnázium A.H. Škultétyho, Veľký Krtíš"/>
        <s v="Gymnázium Secondary Grammar School Kosice Trebisovska 12, Košice"/>
        <s v="Stredna odborna skola informacnych technologii, Hlinícka 1, Bratislava"/>
        <s v="Secondary Technical School in Poprad Mnohelova str., Poprad"/>
        <s v="SPSE Halova 16 Bratislava"/>
        <s v="SPSE Adlerka, Bratislava"/>
        <s v="The Mary Center, ???"/>
        <s v="Don Bosco Vocational Training Centre, Juba, ???"/>
        <s v="INTERNATIONAL LEARNING INSTITTUTE, ???"/>
        <s v="CEELABS Training Institute, TU v Košiciach"/>
        <s v="Digital Bridge Ukraine, ???"/>
        <s v="CNL Academy, TU v Košiciach"/>
      </sharedItems>
    </cacheField>
    <cacheField name="IČO" numFmtId="0">
      <sharedItems containsMixedTypes="1" containsNumber="1" containsInteger="1" minValue="17050545" maxValue="53948998" count="53">
        <s v="00161403"/>
        <s v="00160989"/>
        <s v="00161381"/>
        <n v="51906201"/>
        <s v="???"/>
        <n v="30775353"/>
        <n v="37982354"/>
        <s v="00161705"/>
        <n v="53948998"/>
        <s v="00893331"/>
        <s v="00891541"/>
        <n v="17055431"/>
        <s v="37956108"/>
        <s v="17050448"/>
        <n v="42096651"/>
        <s v="00893170"/>
        <n v="42039371"/>
        <s v="00161217"/>
        <s v="30414164"/>
        <s v="37910337"/>
        <s v="00397563"/>
        <s v="00161578"/>
        <n v="31313833"/>
        <s v="00161829"/>
        <n v="42024471"/>
        <s v="00161471"/>
        <s v="17337101"/>
        <s v="00161594"/>
        <n v="30815339"/>
        <s v="00893358"/>
        <s v="00161144"/>
        <s v="00161756"/>
        <s v="37922459"/>
        <s v="37946765"/>
        <s v="00161063"/>
        <s v="00521663"/>
        <s v="00161721"/>
        <s v="00397687"/>
        <n v="17151589"/>
        <n v="35568381"/>
        <n v="17050545"/>
        <s v="00491861"/>
        <n v="37942492"/>
        <s v="42178941 "/>
        <s v="00161454"/>
        <s v="00012432"/>
        <s v="00160709"/>
        <s v="00398900"/>
        <n v="17055415"/>
        <s v="00161802"/>
        <n v="17327661"/>
        <n v="17319161"/>
        <s v="00397610"/>
      </sharedItems>
    </cacheField>
    <cacheField name="KAT Pasport1 (dopln)" numFmtId="0">
      <sharedItems count="9">
        <s v="A3"/>
        <s v="B3"/>
        <s v="A1"/>
        <s v="???"/>
        <s v="A2"/>
        <s v="B1"/>
        <s v="D"/>
        <s v="C1?"/>
        <s v="B2"/>
      </sharedItems>
    </cacheField>
    <cacheField name="Course Id" numFmtId="0">
      <sharedItems containsBlank="1" count="785">
        <s v="0e59072e-0828-400d-9208-812a744721a9"/>
        <s v="2263519"/>
        <m/>
        <s v="2263928"/>
        <s v="2264529"/>
        <s v="2264540"/>
        <s v="2264948"/>
        <s v="298e2d1c-95c5-463a-99aa-d0aee1ae62ec"/>
        <s v="39ce5d82-bd94-40b7-bfb3-8fb44f1698a7"/>
        <s v="19293b33-a5d0-4ba5-93a6-0aecd2db6c25"/>
        <s v="1eb46369-aeb6-4688-828d-a43bc04ed3bf"/>
        <s v="2286616"/>
        <s v="a11c2bea-f890-43e1-8d93-3dff02c83065"/>
        <s v="a7c817c3-cdf1-48d2-a3ee-f3c718dd468f"/>
        <s v="e897f90e-a9ba-4a82-821f-3603b4b7a05e"/>
        <s v="723e2219-9154-4091-8454-b2d10d51c5d7"/>
        <s v="c68e0fba-b00f-49e4-a2ec-47637eebb7c1"/>
        <s v="00d186b5-109e-4b4f-be69-7981c4df6540"/>
        <s v="03ebc065-b10c-4bae-984b-21dae4d7a845"/>
        <s v="1726412a-ae27-4fc1-b300-b68f64ffc9d8"/>
        <s v="17d29dfc-8a29-4229-bd28-4c316411d95b"/>
        <s v="1ca2467e-c9aa-4343-b8dc-9d1485b349d0"/>
        <s v="2203334"/>
        <s v="2225305"/>
        <s v="2264698"/>
        <s v="28e2f860-6884-494a-a65f-fe2dd00017c6"/>
        <s v="2efaa7f0-9b29-4a3c-a4dc-7b0bb1b8d139"/>
        <s v="3dce20c7-fd0c-4a9a-a2e9-9312d8c5c2ff"/>
        <s v="3e808f2f-47f9-4d33-bcc4-eb202e659747"/>
        <s v="41c44568-2dc0-4117-bf03-7eb605532508"/>
        <s v="4f67195d-4c3e-4230-b2a4-098ee2848d2a"/>
        <s v="50345d3a-554a-4e49-9095-b4b39a636052"/>
        <s v="6a8a5c9a-7835-4e4c-b6b0-96fcdb97f4a6"/>
        <s v="73a7e044-62fa-46c4-a899-0207ac61afc3"/>
        <s v="745efa49-7ca5-4a65-89e8-d66946acbd2a"/>
        <s v="7890cacd-64cd-4a29-9f99-eaaf9a19c3ef"/>
        <s v="8e86eeac-d4b6-4b45-859b-4dacd0ce546c"/>
        <s v="900bfd26-86f3-4141-8a32-7280038859d2"/>
        <s v="93ac343c-92a5-4b65-9f71-481724c8f705"/>
        <s v="9bc25dd8-b553-4cf0-9ed7-a5a7e39a7ac2"/>
        <s v="a1d0e552-9aae-4b47-a8b9-d3b29a3f257c"/>
        <s v="a38ab6e2-9a73-46ff-b45e-8b9c3885720f"/>
        <s v="a552b91e-e970-4772-bc8e-bc1eaffb79b9"/>
        <s v="ab8c24a5-a371-4e70-a620-d3da0dfe9a1b"/>
        <s v="b3848be8-18d4-41df-8283-96d8d96d881c"/>
        <s v="be0ccea3-a9fe-459b-b2a4-9278e8dd2b22"/>
        <s v="c7d0cef4-87a7-4808-af15-1845a7c95996"/>
        <s v="ce55185a-7d91-4999-8cd7-e9147d4bafa1"/>
        <s v="df09b6c8-d0a1-4efd-93e8-a528ea0ca39f"/>
        <s v="e2d72be3-5c96-4475-90aa-ceaf52db8f32"/>
        <s v="f74731ec-00f4-4ebf-b6d7-a828f356512e"/>
        <s v="f9775b9d-ac26-4bab-8f73-a74f362637f5"/>
        <s v="ffeecb1d-1a52-40dd-990e-487a0245a1a3"/>
        <s v="0899dfdb-74e6-4d81-b079-20eda5da372f"/>
        <s v="0b535aa6-fc54-4dd2-8bb9-5e652ce7720f"/>
        <s v="0be8d5a1-a91f-444b-a66c-e8b4e60c861f"/>
        <s v="0e82a404-7c50-45d6-818b-ab4d519ea9d2"/>
        <s v="14789715-51dc-4e47-8d07-228cdecb1379"/>
        <s v="160078a5-b6e3-49c4-b149-242db6bedb09"/>
        <s v="2214441"/>
        <s v="2218375"/>
        <s v="2228114"/>
        <s v="2229902"/>
        <s v="2234194"/>
        <s v="2236903"/>
        <s v="2246583"/>
        <s v="2250536"/>
        <s v="2250615"/>
        <s v="2251992"/>
        <s v="2252514"/>
        <s v="2253525"/>
        <s v="2254266"/>
        <s v="2254505"/>
        <s v="2259594"/>
        <s v="2259946"/>
        <s v="2261231"/>
        <s v="2261431"/>
        <s v="2261487"/>
        <s v="2262993"/>
        <s v="2265718"/>
        <s v="2271695"/>
        <s v="2272586"/>
        <s v="2272633"/>
        <s v="2272820"/>
        <s v="2273239"/>
        <s v="2273283"/>
        <s v="2273898"/>
        <s v="2280282"/>
        <s v="2285673"/>
        <s v="2286281"/>
        <s v="2288883"/>
        <s v="234c4a22-dd15-4830-a8fd-4c818af804ca"/>
        <s v="2933270f-f371-49df-abef-9002d323b278"/>
        <s v="335aed31-e7b2-48fa-9837-741da10c7036"/>
        <s v="3400aaf5-27c3-4471-976a-4b78f0afc143"/>
        <s v="3bb22e89-82f5-4352-bcee-c0acb817dd4e"/>
        <s v="49d72b42-b927-4879-8066-c37cfcc83bf3"/>
        <s v="5467b4a9-de88-4ff8-aa27-9f9a00277bca"/>
        <s v="5692b12a-1b9a-4348-9858-d83f7f6830a5"/>
        <s v="5dd05676-e216-44bc-bb63-d7cbf400df92"/>
        <s v="60ab4ee7-f1ce-43fc-97b5-31f6e4cd10e9"/>
        <s v="6b0b1f15-ca8f-43a4-8633-c8357111bb99"/>
        <s v="6d2c86e4-3f4a-4d18-82f6-437fada1f2ac"/>
        <s v="6e0cdc00-3ee4-4756-a55d-c99b0bace8fc"/>
        <s v="6e4cd4db-fc8e-4682-91bf-e1ef4425a413"/>
        <s v="7812ed61-dac0-4c8e-ab05-58ccc55ad844"/>
        <s v="782604b9-9f14-48d7-a01b-468883710232"/>
        <s v="7a9cdfce-5f21-453b-9855-6eb43944e3cb"/>
        <s v="7eb9f537-d79f-4726-81a6-dbad04a8298c"/>
        <s v="81ee77d1-51cd-4c3d-813f-4dca9675f18f"/>
        <s v="855502b7-fcd9-482e-bd51-10474f7da703"/>
        <s v="88115899-4c6b-48a4-94e2-aba509022e27"/>
        <s v="8c44c217-9e99-4f29-bf6c-9f7655eca513"/>
        <s v="8fe07dfc-00b5-4baa-9024-2beb0a320244"/>
        <s v="a9a35b35-a8f0-4b34-8895-67a07978fe90"/>
        <s v="ada74d6a-3923-4937-8dbc-76a15f8ed275"/>
        <s v="affaa33a-bf67-475b-a4bb-e9d0e5db1b8f"/>
        <s v="b398ea3b-7b9a-4b96-88da-58b75afca5be"/>
        <s v="b74c1473-b3e9-4977-ba92-c99e7a4359ab"/>
        <s v="bba1d460-49b7-4bfb-b2c0-077ab9969630"/>
        <s v="be668c48-eea6-4b7e-ba41-e6c91290659e"/>
        <s v="c36fce35-206c-4d7d-8c9b-57b2976e582c"/>
        <s v="c55c67ac-8ea8-4564-8c6b-2aa35202cd75"/>
        <s v="d05dbc41-a13b-41bc-af96-03e7b61ef1da"/>
        <s v="d8a52943-0cd8-4b12-84c3-99ba8700b258"/>
        <s v="e7e03629-1721-4c4f-89f0-c0f5048909ee"/>
        <s v="ea520b98-8c6f-4732-8913-c50195e90566"/>
        <s v="f97c5808-c7b0-4b3d-a07f-8de80ace8223"/>
        <s v="fed8e8b2-2eef-48d4-8d1b-fffa1fe16c34"/>
        <s v="066c399f-fbd8-4366-892f-630ad67c2788"/>
        <s v="10ba9a15-9ea5-42de-a05d-9bbaf69edc51"/>
        <s v="141d0436-1370-4a53-8639-2543d22fa0e5"/>
        <s v="2287565"/>
        <s v="2813322f-32de-402b-8e0f-639736d1c072"/>
        <s v="2e2dd68c-7a41-4b07-848b-3f7956eb2369"/>
        <s v="30d811d7-fe9f-4e58-bfd4-b118cec335e8"/>
        <s v="375b22eb-4cc6-4dd4-9677-a6879cad93f4"/>
        <s v="3b6d91ad-88cc-4060-9357-ef352d8232ad"/>
        <s v="4e361433-13b3-4b7e-9f41-ff9f48560fd7"/>
        <s v="527597f7-7706-4e31-9995-a718ff193f0c"/>
        <s v="76ebbca9-0db0-459e-b99f-2e1536e353c0"/>
        <s v="8e2fce10-e6fc-46c2-95cd-deec48050367"/>
        <s v="93ac958b-a076-47b4-bbad-e7328d45de17"/>
        <s v="994ee4be-cf4f-4dbe-9524-77b51aea0ca0"/>
        <s v="9befb182-41a6-491e-b4d2-35754d4e8c3d"/>
        <s v="a93921fd-e1a5-47b1-99ee-62d41a5859bf"/>
        <s v="b4714f2a-6719-44cc-b3cf-a71b24ba16a2"/>
        <s v="cf2cc5d8-bf0a-4620-aa21-ac727c41b753"/>
        <s v="cf5a9af0-ad71-440a-b9ec-c6969bfbe9b2"/>
        <s v="df60cc25-6916-4de1-ba0f-ddaba9f77a19"/>
        <s v="e1bfe3bc-b772-4a2a-84ca-3aaac3b08919"/>
        <s v="e7bfa561-1219-44de-9db6-a08a3ed43681"/>
        <s v="ee173fa8-c1a7-4fd6-9d6e-f66173b332ba"/>
        <s v="f260a5ca-88a3-4894-a3f1-d9e6e666cca3"/>
        <s v="fa04442c-9ce9-4877-8eb5-c1fbe06ac876"/>
        <s v="2199590"/>
        <s v="2208214"/>
        <s v="2208292"/>
        <s v="2210308"/>
        <s v="2210639"/>
        <s v="47c49d36-ac39-4c74-9783-dd5c9239901c"/>
        <s v="0cde6c9c-ce41-49eb-8ddd-f5e162376386"/>
        <s v="116c7881-e055-4b63-a6c1-c6ad057cd198"/>
        <s v="12a9d8c2-c3f7-44d7-ad5f-5bd5013f4c34"/>
        <s v="201149c6-29a9-4457-b20d-4d87f3c96bf7"/>
        <s v="2221298"/>
        <s v="2221300"/>
        <s v="2223847"/>
        <s v="2254082"/>
        <s v="2262961"/>
        <s v="28d91b06-790e-4d09-87cb-ac8d3033845a"/>
        <s v="35792f9d-d7e9-4717-a4e9-082a37cdf899"/>
        <s v="3e0970ba-8297-4aa8-a63a-9d9472b03fe0"/>
        <s v="41b642c1-10b0-4c82-a08e-1bc0448d8a63"/>
        <s v="49a3c959-f351-4181-9e69-d9663f5066db"/>
        <s v="6dee10e9-5db1-4df4-bccf-771bd2d5b19d"/>
        <s v="737ceaae-0e28-4f57-b527-294e3b41497c"/>
        <s v="a8119f81-c432-453f-8c20-09a4366a6299"/>
        <s v="c475988a-1429-4404-864b-415c3bd650a0"/>
        <s v="ce1a8ee4-87b5-4aea-bba8-0a8bff770d51"/>
        <s v="d3dc8e81-1557-45e2-8b7c-61b3ea8d1882"/>
        <s v="e0777808-22cf-43c7-9b09-20c075c7664d"/>
        <s v="eb83aae3-3fbd-45b9-949d-3f6e6d4d7136"/>
        <s v="fcd5b882-ffcb-4442-8f15-ab2e75478c23"/>
        <s v="4ee5609d-8b00-47a4-ac9c-b412169e35fe"/>
        <s v="5961a91b-1772-4858-b6cb-df6448cdfca5"/>
        <s v="5b8b983e-7b1b-494f-b1c4-a81a22f2610f"/>
        <s v="6ab8f0d9-4da7-4372-a957-5ba16677672b"/>
        <s v="6d7fcfe2-8113-4eff-b4d4-1a70743d76e0"/>
        <s v="755c7fb4-8985-423b-b7bb-5733651014b1"/>
        <s v="9612e767-b013-48d9-946f-1825190dc280"/>
        <s v="b5c5432e-7ff4-4c3a-b451-6b8426656942"/>
        <s v="bd0978e9-0a18-4d50-a2ae-4d22b78a7a4e"/>
        <s v="d6ef5416-7d62-4f62-abfa-6ad1c440b893"/>
        <s v="0627031d-5ec9-4161-9453-a680a7c5f432"/>
        <s v="09893843-aaf0-443c-abe8-50670e2b3079"/>
        <s v="10e94dae-b12a-4981-9ab9-aa9cd872e1d7"/>
        <s v="1829fb30-d2d3-4fc5-be87-3dc7e5677fdf"/>
        <s v="1ba2b5be-9f66-445d-a295-4bb189d7f25a"/>
        <s v="1d957b08-7c7d-4b26-8a6c-aeda11b01500"/>
        <s v="21759dc1-a710-48db-8552-f2459d7ed9ca"/>
        <s v="2207464"/>
        <s v="2280819"/>
        <s v="2280917"/>
        <s v="2280926"/>
        <s v="25fe7a99-8089-4ad1-b33b-da44d9742295"/>
        <s v="2929b847-998d-4609-aeda-53285f6049d0"/>
        <s v="2fc0952e-fc1e-449c-ab98-656515cc3940"/>
        <s v="350f5054-1944-40b9-ac6a-96b658290352"/>
        <s v="3b2c40e1-134e-439c-b501-c3c6f81e86c1"/>
        <s v="43e2f34c-7d7c-4531-ba2d-498332bc9830"/>
        <s v="442ef037-57e7-46b6-a69b-9d148c4a01a0"/>
        <s v="4821de1b-12e7-49be-b3ef-98a943b94c89"/>
        <s v="4ecc1f76-6a7d-4e79-bcec-fa68cbaf633d"/>
        <s v="5606f81c-f10a-45bf-b882-c40c3b3f16cf"/>
        <s v="595af9ed-859e-4f1f-b357-d139653d52ce"/>
        <s v="59c4c51a-b41a-4954-892f-8a7a66767789"/>
        <s v="7a5dfdd9-599a-4666-a7e6-d490cef6fc91"/>
        <s v="7e83c615-1221-4aad-a88f-275dbc25bf4f"/>
        <s v="95865e54-3f88-4eec-a75f-919ddcce4bd6"/>
        <s v="96f98c63-14e7-4906-a756-5b70c2bc8a82"/>
        <s v="9a625ad7-3c04-4c0e-b5c3-9caca10d3acd"/>
        <s v="9d22d2b8-a4fa-4b09-bbe0-8a5bba7eb587"/>
        <s v="9fa0a48d-d779-4e67-bb57-f7e45227151a"/>
        <s v="af400e0c-7efb-4fdc-aeac-9367c4106864"/>
        <s v="b803211d-8c18-4775-9e6b-23f88f03d284"/>
        <s v="b9b76185-a015-444d-9445-e780ff7d86ac"/>
        <s v="bbcc2291-b135-4667-87e1-e2ab227fe681"/>
        <s v="c8552d4d-f9bb-42d0-8e52-aff0fa468226"/>
        <s v="d1353c3f-f71f-48fc-a19f-cff58a6e6131"/>
        <s v="d190886e-419b-46e6-a2db-2657353b26c4"/>
        <s v="d26f9947-ecd5-4d92-ba13-79860ff0552f"/>
        <s v="daa79542-fba9-49ea-8c5e-f1fabe131592"/>
        <s v="e532d0d8-75d2-4fab-b613-f3c9adb62621"/>
        <s v="f289cb25-a377-4db1-8678-19b655b3ffad"/>
        <s v="f5138233-5924-4c3f-9bb4-16e1449f8f91"/>
        <s v="fe899fc1-187b-4e9b-b74d-856720902552"/>
        <s v="ff789b55-9417-4b7a-9930-ef530806cbc5"/>
        <s v="08bbaebe-ade2-4a3a-afd3-3a4cac788299"/>
        <s v="a8cdf849-330e-4356-9d59-23386d92c88a"/>
        <s v="05303b41-5a92-4229-88cf-c05c0ec03fb3"/>
        <s v="0f5fa89a-5132-46fc-af5a-d57c8f72a71f"/>
        <s v="1020165e-3ec3-440c-9406-8e2134050700"/>
        <s v="2199290"/>
        <s v="2235837"/>
        <s v="2242943"/>
        <s v="2251676"/>
        <s v="42bcb41a-d722-4a68-89b5-a22eec73a840"/>
        <s v="51c18817-06f5-49b0-beb3-63f532b5ea2a"/>
        <s v="55387a21-5269-4e87-a49e-86686c5630a8"/>
        <s v="6281c08a-661e-4374-9c55-fc98f065cab7"/>
        <s v="74309754-1009-46ed-a0b9-c0b8f2bbb895"/>
        <s v="759e8af1-6a09-48f8-bee4-3b3cf28a0dae"/>
        <s v="8037fa53-bd6d-4358-8270-1cd344a8478f"/>
        <s v="91d6cdd4-2ae6-4d3a-8195-3742a88e6f32"/>
        <s v="9479ef51-96ba-4e88-9f17-1d04cf605f62"/>
        <s v="96df7754-92dd-45cf-8f6c-2a8ed6d19ced"/>
        <s v="b9325caf-8683-45f6-873f-4fc647b918f3"/>
        <s v="d8b8a127-7b17-4178-867e-4fd6e792c920"/>
        <s v="e10edf26-fd70-488f-89e1-52650e69877a"/>
        <s v="eb4be3bf-e6bd-478f-a8e2-2371e4857754"/>
        <s v="ff6337b7-840e-4a24-a554-6f13d074315e"/>
        <s v="2271688"/>
        <s v="2262571"/>
        <s v="fd449244-c212-479a-82e7-1fa6cb85f01a"/>
        <s v="0993eace-4d95-4c61-ac49-ddfc4ba6f5aa"/>
        <s v="21bc042b-46b3-4604-b36a-b01391aa496d"/>
        <s v="2241540"/>
        <s v="2f9172d3-a2a9-419d-8647-24bb49ba0374"/>
        <s v="c9464abb-c8b8-439f-85ab-e8a2a81acbcd"/>
        <s v="048b5407-035d-45e6-a817-a8b580e231be"/>
        <s v="17e02a25-041e-4f0f-beda-b9097ed9f30e"/>
        <s v="2203537"/>
        <s v="2238599"/>
        <s v="2239677"/>
        <s v="2252531"/>
        <s v="2255730"/>
        <s v="2311913e-96c0-4d08-9460-95ebbf6bae4e"/>
        <s v="2fc96e60-7f35-4ef8-bdb1-ba49af7f283a"/>
        <s v="43c0cac6-babd-4f1c-9c4d-a96f9fa55967"/>
        <s v="44267ba8-b260-4373-aca3-c3762794a318"/>
        <s v="44ef3fa1-b0a2-4c45-bb4f-37aeffbd7d46"/>
        <s v="497bb3e9-5bbc-4fe7-b735-37c2c1a56f33"/>
        <s v="4fc9fdf8-1977-4fc2-b338-7c706b270b1c"/>
        <s v="6869fdec-1abe-4b56-880f-ca907d215b9f"/>
        <s v="6f880f87-ea37-40f6-81ef-a6fa75bbb594"/>
        <s v="701b9a1b-924e-4092-9345-a77bdb16f744"/>
        <s v="749e4280-81a9-4bf9-ba99-a65827ba0d57"/>
        <s v="79a09db8-7dea-4a12-8966-59c45eeb92b3"/>
        <s v="7e88df4f-96f1-42e3-94b4-c81b590679dc"/>
        <s v="80048ca1-2eaf-4454-8487-3841a61b1954"/>
        <s v="848d0c25-955a-4f7f-a1c7-37dc1b510db6"/>
        <s v="84dee90a-05f8-4b69-9bf3-0ba89e5bdd26"/>
        <s v="8eedb304-337e-453a-83fe-a1af981039a6"/>
        <s v="95b34584-9731-41d9-83ae-e6571150aa9a"/>
        <s v="96e70bcb-1402-4f7f-a0a0-6ada9fceb8c5"/>
        <s v="9a658571-a3b9-403b-9c51-a81feeffe671"/>
        <s v="9af9959d-0dba-46d5-b46e-7dd7d4571ef7"/>
        <s v="9d474343-425e-4874-a358-989041b709bb"/>
        <s v="a41c3739-b783-4b89-a28e-810950fece75"/>
        <s v="b5ec1588-78d8-4b45-b0fc-050d3f78d2bc"/>
        <s v="b620c6b0-c197-4a4e-b421-8d2224e74390"/>
        <s v="bd1416c8-1ae2-49cf-b440-a81fcaa35ead"/>
        <s v="c3acf2da-fe19-4e47-b34d-d17e78eefe68"/>
        <s v="c56b9ec1-24f3-4ada-92bb-bf307622a14c"/>
        <s v="c6b80559-1ed0-481d-8781-f8121b3c9c6c"/>
        <s v="ceeefa17-1984-43f0-bc0e-b3045177aae1"/>
        <s v="d3021e5a-a8d1-4418-b8c1-03658f5c4b17"/>
        <s v="d8d056ea-4634-4be9-93f4-f9f4a75f0a8e"/>
        <s v="db44ef7e-9d8e-4cc0-b264-e05639b2c253"/>
        <s v="deaf4c10-50ca-43b1-920d-cbf86139c71c"/>
        <s v="e8652c0a-bdf9-48e4-b282-c435fe3b22f6"/>
        <s v="ec42c6ce-7779-452e-890a-1e363301c230"/>
        <s v="02d85180-1e69-4279-ab95-5471e91d874f"/>
        <s v="2196168"/>
        <s v="2235246"/>
        <s v="2f4b5924-35d3-4626-a55d-854d180ea4a8"/>
        <s v="55e57bca-605e-47d1-b14a-e7663709ab06"/>
        <s v="72189f0c-152e-4d16-9010-adb0700e7c1b"/>
        <s v="96ef7397-b0ac-4f42-978e-fa70bd19317b"/>
        <s v="c18691fd-a70e-4125-ae5d-f18fb21b42f8"/>
        <s v="c7e4e2fa-219e-497c-b886-bf99bc116639"/>
        <s v="d05bd053-8e17-483a-a4d0-c8c53fa41f44"/>
        <s v="2271498"/>
        <s v="028e2a02-27f5-43f9-8504-a76d0639cc6c"/>
        <s v="3db8938d-570a-418c-81d0-6dcfa45339ce"/>
        <s v="96456dde-30d2-43e8-bbc5-95b93cad93f5"/>
        <s v="3dd41eb6-a095-4230-bbc7-39fd68dc9e8b"/>
        <s v="9342a3c5-2552-413a-9a2b-259cc239534f"/>
        <s v="d75c743e-2c77-4808-b742-14b34f940c61"/>
        <s v="2195283"/>
        <s v="2195334"/>
        <s v="2195361"/>
        <s v="352d5d98-6fbb-4d1a-99ac-e1a55046dd93"/>
        <s v="93c0f283-e539-4ebc-bf51-5847f1dd442c"/>
        <s v="a3c1d0ee-dbed-46a9-a58a-c4c4d559a423"/>
        <s v="bb8e18fd-68b2-46ca-9cb5-11f5115bb604"/>
        <s v="f641199d-0271-4f61-b01b-afa94443486c"/>
        <s v="00b3948f-57a7-4875-952f-1781fd3b3184"/>
        <s v="0659b818-7f1a-4bc9-bc2f-84ab462934f3"/>
        <s v="06b155eb-15d1-457e-9794-c2a7eedfb1ea"/>
        <s v="12f5be2f-4eec-497c-85a1-b94da64f4abc"/>
        <s v="1a77be15-1214-4e4c-80ea-f2f3ef89dffa"/>
        <s v="1e0181fc-66dc-4189-bcc0-1abe7da3aaec"/>
        <s v="1ed615bf-d210-434b-bc14-e9ef656c4ad4"/>
        <s v="214542a7-1f2c-4abd-93bb-e159a29f63d0"/>
        <s v="2205855"/>
        <s v="2207535"/>
        <s v="2211696"/>
        <s v="2213272"/>
        <s v="2215468"/>
        <s v="2216652"/>
        <s v="2216973"/>
        <s v="2216974"/>
        <s v="2217365"/>
        <s v="2218334"/>
        <s v="2218338"/>
        <s v="2220115"/>
        <s v="2220804"/>
        <s v="2246151"/>
        <s v="2249976"/>
        <s v="2256306"/>
        <s v="2260748"/>
        <s v="2261124"/>
        <s v="2261160"/>
        <s v="2261414"/>
        <s v="2274876"/>
        <s v="2284482"/>
        <s v="2dd43252-32dc-4ca8-a2cd-786cedf5aab6"/>
        <s v="3565d7e4-435f-4f57-8185-a1328980484b"/>
        <s v="46412fb8-9fb8-4d5a-b286-78e125cd9ed7"/>
        <s v="4e6a34f8-8069-4d42-9521-1997612295de"/>
        <s v="57cce800-e455-4248-a5f1-6c7700bc366b"/>
        <s v="58dcf958-0ca2-44c5-b757-4fa00c7b8992"/>
        <s v="59483ee3-e480-417f-8c42-38f44ba927d5"/>
        <s v="5c11fb0a-7af6-485d-beb3-ba68ed50fe46"/>
        <s v="66e39389-b978-4a0e-94b8-0cbff89b9590"/>
        <s v="6ffd46c4-973f-4e6b-8ddd-cc284d6aa2c0"/>
        <s v="72dfdf08-8060-407b-aa75-7c171cc3770b"/>
        <s v="7358e537-b270-40df-a874-df233c1c2c7c"/>
        <s v="78bf9866-72ed-43f4-ab4f-efd6ab9d195b"/>
        <s v="83fcc2c6-9a6a-4cb9-92ab-f59062e1cabf"/>
        <s v="8abd7505-6772-45ec-a8e1-8c2473d46b4d"/>
        <s v="8b33196c-bb4c-4a7f-ab15-ab38964ad7a1"/>
        <s v="8d6fc002-55a4-4231-a385-7ab6b7e59377"/>
        <s v="a54b5c8c-c2cb-4dd8-8ff6-866e8a6def19"/>
        <s v="aa815363-0a5c-4ea2-b9db-a1d6da212e32"/>
        <s v="aeefd635-c965-4b9e-8a11-34f64c68b3f4"/>
        <s v="ceb17d40-db09-4327-b227-02ab3ff2d083"/>
        <s v="e9d19bb0-27cf-4b89-91be-765f4f3cec0a"/>
        <s v="ee0fd9b1-2dd1-43ef-916e-a779bfeb8df2"/>
        <s v="f2501c8f-9ba3-4f54-b6a3-f42f0dc1b067"/>
        <s v="f3d1fcb7-4d62-4346-a11c-4a5d572b5d4c"/>
        <s v="f984d114-ae41-4e12-88d7-ad88dc06c1a0"/>
        <s v="fcc1a848-bd77-4260-ad35-addb2c52c907"/>
        <s v="0772fa8f-1f56-49aa-9df0-cb4a8b4bdb35"/>
        <s v="2195994"/>
        <s v="2196003"/>
        <s v="2221471"/>
        <s v="2221576"/>
        <s v="2f4c52ba-239c-4bdc-9bdd-e124141e3281"/>
        <s v="3331afe3-e65e-4e30-94f8-60e3040ba6e8"/>
        <s v="49205383-6655-4398-8dd8-eb6ba0135746"/>
        <s v="5a7fc844-8ea6-4632-b00c-7f37874ea9f7"/>
        <s v="8775e428-4f2e-4e92-a12c-f9362c58db2d"/>
        <s v="fcbfafaa-e00c-4dac-a1d6-5859dff13246"/>
        <s v="36792c15-882a-4ce1-9430-e2c3c32007ff"/>
        <s v="24aef680-af1f-4e1c-ae3a-275b6be1640c"/>
        <s v="31c7d0bb-c100-452c-9665-8da1c28e9b80"/>
        <s v="4a8763b8-ebb8-4364-b718-6ac47d131445"/>
        <s v="4b566be4-9dcc-49a9-b8f8-b2f9ffb2faa3"/>
        <s v="54744c42-51b5-460e-ba9e-01e022b5f0dc"/>
        <s v="5ad06d77-112d-42e8-978d-d27c27b95556"/>
        <s v="64a6afae-b4aa-43cd-90d7-8be9eed0248e"/>
        <s v="655182b3-c5f1-479c-b0f1-12a5a70bcb50"/>
        <s v="6a34ba1e-70f1-4e72-9df6-b8d302019b35"/>
        <s v="8764b169-c357-4fa8-9331-9e60e795db78"/>
        <s v="884c4018-616a-4a65-a426-3a727a344442"/>
        <s v="9624d66d-9eb4-475e-902b-51e1ceb9cb19"/>
        <s v="9fc19501-4ffa-4cd9-84f5-7cbb8843dfd4"/>
        <s v="a708f28e-3cff-4f44-9289-2ce25c643a3f"/>
        <s v="b2b76ab9-4bab-44a6-b13c-e29858325da5"/>
        <s v="bdb54104-6e23-4016-ae35-dcc47808b53e"/>
        <s v="c089c0b9-77e7-4067-ab32-f37067d43851"/>
        <s v="c5414a80-28d9-4f06-be2e-ae04ec2d2605"/>
        <s v="cb268612-871c-4a25-9459-91dc26c2cf4f"/>
        <s v="de98cdbf-d880-4762-95d9-fe3996302c9b"/>
        <s v="f9261489-af44-4bd7-ba3c-8248dcb4da51"/>
        <s v="fcb7d67b-bad1-444e-bda9-d2683155b4c7"/>
        <s v="01c4147f-df3e-4a69-8d06-09a8432c6d1f"/>
        <s v="0bc86801-6a7b-4689-b2d1-4d56752b833b"/>
        <s v="0ce06ca9-ac1b-46e2-96e5-5d1d2f50686f"/>
        <s v="14f1b48d-2c63-4a69-a3cf-4afa1f6a1205"/>
        <s v="1a8cf73d-6b66-4df4-a4bb-9088b068775a"/>
        <s v="1ca3d967-87f1-4551-bed7-5e6bba4a1046"/>
        <s v="2202246"/>
        <s v="2224338"/>
        <s v="2238046"/>
        <s v="2238047"/>
        <s v="2238311"/>
        <s v="2238313"/>
        <s v="2238750"/>
        <s v="2242248"/>
        <s v="2250565"/>
        <s v="2251067"/>
        <s v="2251103"/>
        <s v="2258572"/>
        <s v="293d7869-a29f-48ea-b5fd-53798ceea291"/>
        <s v="3623c6f9-c731-443a-8044-20e8492d4f7c"/>
        <s v="3953e476-f63d-4b7e-8d25-c760cd358944"/>
        <s v="39c05858-fa06-43dc-81d5-983c7471d592"/>
        <s v="44194d04-5741-499c-8ec0-f4dc528b9757"/>
        <s v="4ac8fe3c-d23d-4e32-8801-927bf6cd0bfa"/>
        <s v="5b10d493-d8db-4b11-b25d-7ea9249d291f"/>
        <s v="5f9afbfa-7ca2-4a7c-abac-f42fb7e1a086"/>
        <s v="68b9381e-ada5-4f5d-a4d5-f78a08a5c876"/>
        <s v="69740315-bcda-4a43-b92f-57a33c6ea9be"/>
        <s v="6e43210f-7d65-4c14-a605-0cc72868f8ac"/>
        <s v="73587de3-758a-4b69-bfa9-bbaae04c2c7a"/>
        <s v="7de43a36-869a-454f-90a0-3af1c1954926"/>
        <s v="8d345ca6-71e5-4581-b1d1-f010c4bae341"/>
        <s v="a758b237-9658-447e-bdfd-554ad94ad6bc"/>
        <s v="a8993e52-1bd1-4b2e-bb02-b2261d843a43"/>
        <s v="a8c53a14-a3a8-4ec8-a02b-f7b62632adf0"/>
        <s v="ae0ff7d1-177a-4e36-af4f-a88707a4f7ec"/>
        <s v="af0f3f12-e5fd-4140-951a-e7f3b47c3a9d"/>
        <s v="bad12663-619a-4ecc-a0ba-845ee2ea279f"/>
        <s v="bd5f48c3-8069-499f-a9f4-24c9e49a0dbf"/>
        <s v="bfde2e1e-acdf-41e1-b181-9aee4315bcac"/>
        <s v="cefdf9a4-36b5-4e97-9030-4a1444b77a63"/>
        <s v="d47a0795-27ab-4a4e-85d6-950a61360963"/>
        <s v="e5b9e878-c994-4fa4-92a9-59958fceb40f"/>
        <s v="ec49e5f4-47f1-44a6-a0eb-d57654a0e997"/>
        <s v="fd9bf774-b1c0-4981-84c5-a2ded8ebfc54"/>
        <s v="feefdfd2-13ae-4ab0-a02c-02aa9ddfcf4a"/>
        <s v="ffc40724-ef54-429e-a090-dedcd002b23a"/>
        <s v="03dbc254-dcdb-4e37-96cd-d26a35dc4cf7"/>
        <s v="2b107ac4-79b5-4a0b-ad7b-1ed3cc04842e"/>
        <s v="34921fc2-3e9c-4fbf-a634-4547b954c67d"/>
        <s v="3a9986a7-adcd-469e-b467-0330830d9c49"/>
        <s v="4da916fa-f5e7-4914-8c34-b1540b01a985"/>
        <s v="5316d932-1c3d-48db-82be-1c38b7a999d6"/>
        <s v="5b426e26-1c99-43b5-95d8-adb7cd12ee01"/>
        <s v="5cfd759e-86e5-4676-91b3-e59fc4d6bf11"/>
        <s v="70fd154d-e907-47b8-b6cd-b98733db6b43"/>
        <s v="794a9dcd-c310-4b6d-bb62-e191e8ece1b4"/>
        <s v="92c57ded-267f-4829-948f-b6fcf61a8f77"/>
        <s v="aa3b1baa-fbf7-4d51-aea1-ad02e43bb5b6"/>
        <s v="b0a3c6e1-29a9-41a3-a0d6-e3a020f80c71"/>
        <s v="c74313ad-c636-44a1-ab6b-17f0a6687ba5"/>
        <s v="c8bc9f2c-fa37-467e-a282-2826d2b4fc1c"/>
        <s v="d6f9f3bb-9c73-40cc-a150-a6371d122ce6"/>
        <s v="d705e22d-20be-463a-9109-a1c300ba0eff"/>
        <s v="0d7c32d3-d14f-4383-867b-484663e71d0c"/>
        <s v="1832892a-150d-492b-a997-702d64ba4f3b"/>
        <s v="2270378"/>
        <s v="2270394"/>
        <s v="4c9e1e7b-d915-4c50-a24f-6d69e1ce5450"/>
        <s v="6237097c-9b1b-466f-9033-2e2cff268936"/>
        <s v="09e22187-d937-44fe-812e-df89e9a9c469"/>
        <s v="1b455d22-d17b-401c-9e11-b29cbb7f93e2"/>
        <s v="2212419"/>
        <s v="2254786"/>
        <s v="2264120"/>
        <s v="26e0e429-4453-40dd-8486-3822e3a6960b"/>
        <s v="5349f1d0-931a-4f99-9c82-f5b19f7ba17b"/>
        <s v="c4319892-39c3-404b-bccf-b61792b990b0"/>
        <s v="034b1f43-90cd-49d7-a11f-957eebea7bd1"/>
        <s v="2206906"/>
        <s v="2221948"/>
        <s v="396ca6b6-1596-4aa1-9461-07bec032f9ce"/>
        <s v="45ead624-c33a-4434-9291-b8354194547c"/>
        <s v="85bff98f-2728-46e8-bf23-972720ae9513"/>
        <s v="f99d8fae-121a-4e02-8732-6df980538f2c"/>
        <s v="2c2be5e2-d563-4960-a230-5f00147947ee"/>
        <s v="1e475027-d3d5-4072-bd74-cce55982c958"/>
        <s v="05b3ef88-f456-4129-8384-4d5d3653421a"/>
        <s v="0ae1d885-aaa7-4bda-8310-251a8cd7e45b"/>
        <s v="192f7001-0c32-4d4e-907e-72a81bc119d2"/>
        <s v="2195667"/>
        <s v="2198876"/>
        <s v="2201121"/>
        <s v="2227677"/>
        <s v="2258806"/>
        <s v="2319118d-7d6b-485b-abf5-5ab298876ccd"/>
        <s v="28b287a5-6972-4896-9e88-caf5452e8744"/>
        <s v="52083410-0739-44b8-a79a-2f5364f92949"/>
        <s v="52474d19-bb8a-474a-bd63-560e7f225c45"/>
        <s v="52e5d885-46e5-440c-9ee6-c6663cf3a395"/>
        <s v="536a98dd-e3d3-4b72-9f99-c725d09b6a18"/>
        <s v="5758d673-a4f2-413d-8a95-9d0dcf7452d5"/>
        <s v="5b8ab13f-b829-47ff-a76d-6775ccb18651"/>
        <s v="6154de97-f603-4393-8e99-cc652ccbb4e9"/>
        <s v="65413a80-8e31-4d37-8198-ff50d3430892"/>
        <s v="694d8f5f-9343-4c23-b461-877fd0af7901"/>
        <s v="6a0a199e-2a7e-4a38-9dac-e0b703b67aff"/>
        <s v="7af6d7ac-a633-441f-93d4-abd08a231cd6"/>
        <s v="856c6fb1-bffe-4047-ae60-f9eea3a885fd"/>
        <s v="8a196604-6080-4f08-bd29-e72b3ea771b4"/>
        <s v="91f99301-833b-4060-8eba-b5341dc08bd6"/>
        <s v="97345d31-2ce7-4263-a590-396f091886c7"/>
        <s v="998f7daa-1b40-4118-8cd8-ca6d412c3ac7"/>
        <s v="b5232f9e-4024-40ea-b6b0-c6eb23ee1707"/>
        <s v="c6c6ed6e-4cc7-418d-a507-5fc65e434ab0"/>
        <s v="dc9e15c6-6208-421b-9ad8-9c45fe278bab"/>
        <s v="f05ef5d0-307b-49d8-babf-97d8f49e57c6"/>
        <s v="f19613aa-85cd-4dbd-929f-d9d9acf98ec1"/>
        <s v="f9d9f232-84d7-47e8-84b1-4e9f435a6306"/>
        <s v="fbb7cbd5-31fe-4dd6-88f0-b2fedef95892"/>
        <s v="1d1ca6d5-7fcd-4608-8439-3729cc87c8ac"/>
        <s v="a5e5c9f2-7eb0-4eae-962f-3f530f5c9064"/>
        <s v="c5a573cb-58f9-42c5-bd09-363b1c151869"/>
        <s v="e0842dcc-033d-4ecc-8414-3e5a823e65fb"/>
        <s v="49fe564a-408c-49c9-a56e-7321c191b8d0"/>
        <s v="6d08e77d-c249-403c-b27c-5abedbe72572"/>
        <s v="6e08fbb3-def9-49e3-aaed-247baac0a212"/>
        <s v="b62ade82-acc9-4611-bc84-87c98327baeb"/>
        <s v="1b6e13d0-ba1b-406f-9e51-eeeb966cf661"/>
        <s v="f6068b35-d057-4af6-97c0-3e49b49d96c3"/>
        <s v="19456ebb-aa2b-4562-b894-b216f7046137"/>
        <s v="2242273"/>
        <s v="2242924"/>
        <s v="43bb0eec-b3cb-49c6-bd77-6c1bdaa6ffff"/>
        <s v="99deda51-7811-42ce-a6be-4035816d08b1"/>
        <s v="c9da1855-37c5-4c04-8e85-60ae64ddd48c"/>
        <s v="e5455284-c778-4549-9589-dedae9a1697f"/>
        <s v="fbc5d010-eb30-42fa-af42-238e1ee1d980"/>
        <s v="2269549"/>
        <s v="2a07364e-9538-4016-a665-0d40dc942910"/>
        <s v="bcbce7cc-d25c-4e53-a68f-cf860065cfc3"/>
        <s v="ca3a5a08-d4d2-4b25-a0a9-e2002bcba1e6"/>
        <s v="ebd50116-17d0-4153-853d-23d0fe551c7d"/>
        <s v="1f9b12b3-e945-4569-abf9-9d8faafd5039"/>
        <s v="2234248"/>
        <s v="2e029762-35ac-4d1f-a859-1c3a39b89f60"/>
        <s v="43cce90f-0363-4a5e-a684-458e771ceab7"/>
        <s v="451eb7fb-b719-4319-8b3d-e3cc14242c7f"/>
        <s v="4b6fd822-9ebe-4a76-9e3f-233e4ff9a701"/>
        <s v="65152501-6cd9-4140-b08a-ed1d3be1f573"/>
        <s v="684dcb3f-cccd-4043-93d1-743ad2ec2028"/>
        <s v="72d3ff51-f10d-4d7d-8698-2dd55c2613a8"/>
        <s v="7f085d21-0df6-4d72-a6bc-58f64baddd93"/>
        <s v="8c27e0ff-38a8-4d2e-8e55-0545b6faf9f7"/>
        <s v="8e4a7d5e-4f05-420c-ac06-b8e9615dd5ca"/>
        <s v="989d53ea-1ec8-4c9c-8eca-fd5e73a75869"/>
        <s v="bb7a6658-69d6-4290-9649-5d122ea3803b"/>
        <s v="bdd6fd33-f549-4b58-a27b-4fef14852e90"/>
        <s v="ce05be88-81d5-483a-ab22-f9c7f60a088c"/>
        <s v="e67d4171-f17f-440c-9174-2a9e4657d9d1"/>
        <s v="ebfb324b-b4ed-47bc-ab20-632aa4e33a3d"/>
        <s v="fe67aa13-8298-43bc-91d6-84e472fb696d"/>
        <s v="2189745"/>
        <s v="62ed98b4-0a6d-40a5-8063-ec1ecc230222"/>
        <s v="d3abc925-c528-446b-a049-3cb4bf052e8f"/>
        <s v="1d36a877-3752-4bcb-b337-e00d3f131de1"/>
        <s v="2213317"/>
        <s v="2c350655-46dd-4344-aa69-02494770cfcc"/>
        <s v="daf119d8-cebc-403a-a422-32290a63ef1b"/>
        <s v="f30b2ccb-464c-461c-9f34-21716d4e47c2"/>
        <s v="2217524"/>
        <s v="3e67231a-721d-43e5-90ba-8208a6896415"/>
        <s v="52ac5bb1-7e15-4f44-bcf4-debd831374c0"/>
        <s v="55d0ef4e-9951-49f5-943f-fffb1d52fb8c"/>
        <s v="6efe1ada-8ec7-4d37-b9f6-048c106e3103"/>
        <s v="8914ea9e-c773-4ea5-8dfd-bb6d979dcd32"/>
        <s v="89786a97-ed7b-406b-8ca8-d974609076fe"/>
        <s v="962e7d8c-9977-411b-9979-88df7d5fd522"/>
        <s v="9b743dbc-ad55-43c4-a5f9-7d91bb8be37f"/>
        <s v="f5510808-6473-4be4-89b1-6fc5e7fd2a11"/>
        <s v="0934bb2b-25e7-46b2-9ea4-af39ec7cf0cc"/>
        <s v="0ebbefa2-9356-4848-81e7-098193b50bba"/>
        <s v="0efb5ede-270f-4232-8e46-e42924ffa0ba"/>
        <s v="2194321"/>
        <s v="2ec8a25d-2da0-46ca-a458-b4184acf7b10"/>
        <s v="5c031ecd-b7d3-4c05-ae3a-5389ce62d7de"/>
        <s v="5c5b7812-3fcd-4eab-a48d-4c27255fce24"/>
        <s v="66b6ed74-7975-4cdd-9f74-a5afe7b64c21"/>
        <s v="676a5d4d-9f55-47f7-9d4d-b90fa6bda697"/>
        <s v="69703ee6-beb1-486c-9de9-6eb4f94b5c87"/>
        <s v="a7ea9929-a3f0-4c2d-8365-323bc6208d69"/>
        <s v="b7d5de6f-9837-4573-9c04-7a89916d6958"/>
        <s v="e61a216c-73f9-41b6-9129-2c0adf44152e"/>
        <s v="e9ad7678-d03e-450a-b028-5dc92738688e"/>
        <s v="ebd7364c-8110-42c0-b588-7c7ac0fad1e7"/>
        <s v="f2bc8101-7a43-45ab-a6f6-632ef7e2bd3b"/>
        <s v="f5cce812-07f6-4a39-9683-727332c44ab7"/>
        <s v="fd779641-c772-4cd0-89fd-fef494b65b9e"/>
        <s v="36f9da93-0aa3-4c07-bf90-502d19400372"/>
        <s v="a343ae2b-442b-4ee1-b79b-fc86860ee441"/>
        <s v="b963fe5f-121b-4529-9c86-02adc2ddd93d"/>
        <s v="2270654"/>
        <s v="2270659"/>
        <s v="3afcf9ba-49ab-4bfa-bea3-4c9aeb010d2c"/>
        <s v="9f009b62-27c0-4157-8def-107761c67019"/>
        <s v="2228258"/>
        <s v="06a91d85-5b2e-46b7-8cfa-68c00649113f"/>
        <s v="20779929-1aa9-421d-bd37-a97c00e4e48e"/>
        <s v="2327659a-fadb-402f-af58-6800049d32fe"/>
        <s v="34c158cd-1a7f-4616-b6a8-ee65c4f11f91"/>
        <s v="34d5e28f-028c-4ad9-b636-f95beb1bf18f"/>
        <s v="35429b69-de55-48c9-b5fa-4d33d0d8aacf"/>
        <s v="4389d192-63de-4df4-9663-d9a71d5c47ca"/>
        <s v="4cf42e52-448f-46d1-9cd8-c63c742dd588"/>
        <s v="4ee75b92-8641-4ee3-bdf7-65e913e34e1e"/>
        <s v="503f6095-eec4-4780-9cf4-fe9e2928dae9"/>
        <s v="5630b82e-f0f2-442b-89f5-864572d36c4e"/>
        <s v="5e9b63a2-6127-4017-b2d9-1584a263f930"/>
        <s v="6bb5c8e8-c306-4985-b230-23d678500435"/>
        <s v="80fe9d7e-c123-4b67-b897-b9da9bd315b0"/>
        <s v="b8305396-5fd1-4d20-b8e9-b1e3c3414445"/>
        <s v="c9347775-d627-441a-93ae-dac5b13fbb5b"/>
        <s v="e7265827-574c-4176-a515-b4e15979c025"/>
        <s v="e962d21e-d332-464f-8251-845186b4e686"/>
        <s v="ef41e254-169c-4f88-8f3c-af838dc22f4e"/>
        <s v="f864cb15-e8f8-4958-9e0b-f54726dc2a38"/>
        <s v="18ac997e-d903-4622-8d45-f5ad6c16c900"/>
        <s v="2266187"/>
        <s v="93bd12ae-7b70-442c-82fb-0e0e26ce5d20"/>
        <s v="f372b26a-3b1b-4bd0-b342-2b2de4ad8038"/>
        <s v="2254897"/>
        <s v="6a52e930-8bba-487d-b639-5a6a23271d8f"/>
        <s v="12706a4a-68b7-4d85-a922-dbc0fb5c90e2"/>
        <s v="3783c0ae-98a3-4425-abc1-f0ab8c21af13"/>
        <s v="a904462e-4a64-4c07-bf4e-bf0dd4479f21"/>
        <s v="6c72c098-6d36-49ba-b56d-b9889f535e94"/>
        <s v="98e3d83c-1719-4a94-8015-9b1173de5dff"/>
        <s v="a041023e-b5a4-4413-b5a1-6c60b41f4782"/>
        <s v="03b765fc-08a9-463a-b25b-e2783375bc82"/>
        <s v="1d64d2d6-7aae-4788-b5a7-902e8cf48cf3"/>
        <s v="3961c119-a3cf-4bd7-8beb-735878fb1664"/>
        <s v="45ab3694-1a98-4f8e-8b23-089799f00d9d"/>
        <s v="52039584-8222-4f9b-9b28-eeb13eb32e42"/>
        <s v="7e207e0d-3a10-456a-ab9d-5167942ea428"/>
        <s v="a6363175-547d-492c-8b25-d414426fbacd"/>
        <s v="edc6e4db-8854-4894-8374-208ca2a9b5b6"/>
        <s v="1df67480-b38f-4504-a1e8-bc898a75ab44"/>
        <s v="2293970"/>
        <s v="2294191"/>
        <s v="35039cbf-0210-440a-89d6-5533c320fb55"/>
        <s v="39c9b406-36cb-4048-bdaa-bc23a5cb250c"/>
        <s v="64acd66c-1a88-4ab0-bb8d-1a282e246fc5"/>
        <s v="85177ccc-7736-490d-9f89-f46383d49f44"/>
        <s v="87c55f8d-ba85-4cfb-9e6f-c9f3b66fc316"/>
        <s v="8aa6c3ad-84af-4ed8-85f0-c0829e1e1a70"/>
        <s v="93500eab-8113-4c4b-914e-285b3d49b106"/>
        <s v="aa88738c-1c58-4da3-a414-62ce0117bf14"/>
        <s v="dabdd4e7-9f57-44c8-b862-7d8a398ed4fd"/>
        <s v="dae1939f-feb0-4236-b150-d143a075380e"/>
        <s v="e02be556-b11f-4b44-9e67-8b483ee2e661"/>
        <s v="f7f7d13b-595b-46fa-a2db-827a4030a4f0"/>
        <s v="f9ff263b-2149-4121-be2a-9cf36216cc6d"/>
        <s v="02ba93c6-d50b-444a-89ea-817e4c1ed0de"/>
        <s v="0de9a86b-3f90-4a39-9c38-85da527a054f"/>
        <s v="1262cbb5-acea-4970-8bc6-36f013ba0df9"/>
        <s v="13a31b46-ba76-46d6-a620-326d8b50cc3c"/>
        <s v="2192566"/>
        <s v="2192568"/>
        <s v="2235259"/>
        <s v="2eda400e-aed2-40d6-a25c-7a773123e8e9"/>
        <s v="2f8e8f12-b2e0-4872-a3fb-9a0a3b360c16"/>
        <s v="4158d58b-9d15-485f-bbfe-3cd1189bb9c0"/>
        <s v="5f37621a-5053-4708-91d6-fc39a2838baf"/>
        <s v="6fcb7fc7-88c6-4e23-b317-61c9f9678a23"/>
        <s v="86fea50c-a7eb-44ae-8468-3bf5665bcafe"/>
        <s v="8fdf026a-4a22-48b1-ba97-818e5c65df37"/>
        <s v="9675f1c3-7a06-4aba-8287-cf85b6d719d2"/>
        <s v="ab55b84e-3d5e-4518-bcc9-b3c4dc1f4259"/>
        <s v="ab9066ff-6516-40a4-894d-1a7a8e7f1a10"/>
        <s v="b45944ea-6f24-400f-9363-39dfbf04aea0"/>
        <s v="c4ab54cf-47ca-4926-8228-14097027b224"/>
        <s v="e58b72c8-7924-43b9-887c-17326bd86419"/>
        <s v="e5cebb83-fd0d-4176-bc97-e8b55136a4d9"/>
        <s v="f801cf3f-ebee-45ff-a16b-daaeeaf38592"/>
        <s v="f994009d-d1ee-400f-a6f0-ddab9c5f916b"/>
        <s v="09005f51-d58a-42e8-ae3d-ff9d7a480463"/>
        <s v="1cfc9e86-301a-4d11-a7db-d7ae197da8e0"/>
        <s v="2180027"/>
        <s v="2198609"/>
        <s v="2c966b82-a34c-45f9-8e66-290dc8d17da3"/>
        <s v="2f62bc31-61ca-48a8-9fd3-3010697819a8"/>
        <s v="408fd9bc-3910-4c30-a53d-971e14aac42e"/>
        <s v="50064867-ab61-442a-afba-b71d2fb9f0f9"/>
        <s v="7224f3f3-59da-4019-ba14-5f1c8a9ff630"/>
        <s v="b61a3c30-d7e2-4180-a094-61f3cea3d235"/>
        <s v="be4613d4-b705-477a-876e-0b22d26b7bba"/>
        <s v="d897fb82-f65e-43f1-99ec-d9a0c36e9a23"/>
        <s v="2287597"/>
        <s v="41a6b86c-eb52-4f0b-92f9-deaf17e46b7f"/>
        <s v="438a16df-8219-48ce-9376-e91e65db45a1"/>
        <s v="f9894894-389d-4fc5-bad6-a2b07a0c2100"/>
        <s v="117bbf4f-5f18-4772-8bf7-086fa4a04027"/>
        <s v="1ac20736-167f-4e98-b07b-fa33fa365fcd"/>
        <s v="2193909"/>
        <s v="2221834"/>
        <s v="2228048"/>
        <s v="2231591"/>
        <s v="2239286"/>
        <s v="2251929"/>
        <s v="2253997"/>
        <s v="2260420"/>
        <s v="2261535"/>
        <s v="2262454"/>
        <s v="28836837-5df2-4b29-ab33-3dbab641d40e"/>
        <s v="403577a8-022f-4743-809d-49dc184c6016"/>
        <s v="4a7fab55-dcb8-4510-8c4f-7090a382cf33"/>
        <s v="4c025e17-12dc-47f5-96b8-3c45b6b7c78b"/>
        <s v="5d802d51-8a7a-4164-bf22-6492ead8bbda"/>
        <s v="6b174245-f811-43c8-b101-2323e19d4afd"/>
        <s v="79edb982-0cb0-4bfd-b074-592313301724"/>
        <s v="a82bccd8-134c-4652-b06f-bcc3636ae11e"/>
        <s v="aa026404-1714-43d1-ba0e-69c11e580c8d"/>
        <s v="ab9239de-9add-44cb-aa69-da2486fac65a"/>
        <s v="ff7840f2-6562-47c2-b26f-83ed8c22a717"/>
        <s v="75d8b4e5-4cdf-4efc-9967-4eac024bd1d6"/>
        <s v="e0f5457f-4a2d-4522-9ff9-63be55177de8"/>
        <s v="ed860519-1053-4f5f-841e-675700290288"/>
        <s v="017363a0-0a64-4f54-9abc-0c0d0acb7a59"/>
        <s v="10eff6f5-49f0-44a2-bb77-9776800906e0"/>
        <s v="2199110"/>
        <s v="2211367"/>
        <s v="2228776"/>
        <s v="2232825"/>
        <s v="2237243"/>
        <s v="2237851"/>
        <s v="2241640"/>
        <s v="2252418"/>
        <s v="3457b02a-85d5-489a-a612-edd2ba2ad0f1"/>
        <s v="5934f2a2-3c17-4f88-aa81-c39a4873df0d"/>
        <s v="8aa02b07-323a-4e37-8ffb-f07a518cf20d"/>
        <s v="a54e2ac1-fbd9-4564-bba2-3422312904d2"/>
        <s v="b45c0ee8-bd63-4010-8df5-a88821c456b9"/>
        <s v="fa8fafb0-ab3e-46d1-b4c0-f94aef43d903"/>
        <s v="0a2f4c93-a9d8-4493-90c6-e125cc33b1c9"/>
        <s v="157dbe1e-8dc7-4b84-a801-ab1f5947ba38"/>
        <s v="2225121"/>
        <s v="2232535"/>
        <s v="2250439"/>
        <s v="2274429"/>
        <s v="37bc9241-9265-4c9f-9f44-0caad26afadd"/>
        <s v="3a870642-b64e-4889-adb3-19409312a71e"/>
        <s v="8782ed66-9f88-4561-a74c-bea681ba5728"/>
        <s v="87faaee7-e4cb-4981-9403-cd082916b7da"/>
        <s v="aa27067b-a35e-470a-82ad-bd2203a54ae3"/>
        <s v="d83f4a5e-bbf1-4a88-aeb8-5c1b4de2303c"/>
        <s v="e98b7eea-3495-4361-8c5e-f4d520dc55e0"/>
      </sharedItems>
    </cacheField>
    <cacheField name="Class Start Date" numFmtId="14">
      <sharedItems containsNonDate="0" containsDate="1" containsString="0" containsBlank="1" minDate="2024-01-06T22:00:00" maxDate="2024-12-30T07:57:04"/>
    </cacheField>
    <cacheField name="Class End Date" numFmtId="14">
      <sharedItems containsNonDate="0" containsDate="1" containsString="0" containsBlank="1" minDate="2024-08-07T00:00:00" maxDate="2028-09-19T21:59:59"/>
    </cacheField>
    <cacheField name="Portfolio Category" numFmtId="0">
      <sharedItems containsBlank="1"/>
    </cacheField>
    <cacheField name="Curriculum" numFmtId="0">
      <sharedItems containsBlank="1"/>
    </cacheField>
    <cacheField name="Course" numFmtId="0">
      <sharedItems containsBlank="1" count="56">
        <s v="Ethical Hacker"/>
        <s v="Networking Essentials - Legacy"/>
        <m/>
        <s v="IT Essentials: PC Hardware and Software"/>
        <s v="CCNAv7: Switching, Routing, and Wireless Essentials"/>
        <s v="CCNAv7: Introduction to Networks"/>
        <s v="Networking Basics"/>
        <s v="Operating Systems Basics"/>
        <s v="CCNA: Switching, Routing, and Wireless Essentials"/>
        <s v="CCNA: Introduction to Networks"/>
        <s v="CCNA: Enterprise Networking, Security, and Automation"/>
        <s v="CCNAv7: Enterprise Networking, Security, and Automation"/>
        <s v="Partner: PCAP - Programming Essentials in Python"/>
        <s v="IT Essentials"/>
        <s v="Network Security"/>
        <s v="Getting Started with Cisco Packet Tracer"/>
        <s v="Python Essentials 1"/>
        <s v="Linux Essentials"/>
        <s v="C++ Essentials 2"/>
        <s v="Partner: NDG Linux Unhatched"/>
        <s v="Partner: CPA - Programming Essentials in C++"/>
        <s v="Partner: NDG Linux Essentials"/>
        <s v="Partner: NDG Linux II"/>
        <s v="Partner: NDG Linux I"/>
        <s v="C Essentials 1"/>
        <s v="C Essentials 2"/>
        <s v="C++ Essentials 1"/>
        <s v="Linux 2"/>
        <s v="Python Essentials 2"/>
        <s v="CCNP Enterprise: Advanced Routing"/>
        <s v="Cybersecurity Essentials"/>
        <s v="Introduction to Cybersecurity"/>
        <s v="English for IT 1"/>
        <s v="CyberOps Associate"/>
        <s v="IT Essentials 7"/>
        <s v="Partner: CLA - Programming Essentials in C"/>
        <s v="Computer Hardware Basics"/>
        <s v="Using Computer and Mobile Devices"/>
        <s v="Cybersecurity Essentials - Legacy"/>
        <s v="Partner: JavaScript Essentials 1 (JSE)"/>
        <s v="Industrial Networking Essentials"/>
        <s v="Endpoint Security"/>
        <s v="Linux 1"/>
        <s v="Digital Awareness"/>
        <s v="C++ Advanced"/>
        <s v="Cyber Threat Management"/>
        <s v="DevNet Associate"/>
        <s v="Emerging Technologies Workshop - Model Driven Programmability"/>
        <s v="Introduction to IoT and Digital Transformation"/>
        <s v="Networking Devices and Initial Configuration"/>
        <s v="Network Support and Security"/>
        <s v="Network Defense"/>
        <s v="Exploring Networking with Cisco Packet Tracer"/>
        <s v="CCNP Enterprise: Core Networking"/>
        <s v="Data Analytics Essentials"/>
        <s v="Networking Essentials"/>
      </sharedItems>
    </cacheField>
    <cacheField name="Class Name" numFmtId="0">
      <sharedItems containsBlank="1"/>
    </cacheField>
    <cacheField name="Course Language" numFmtId="0">
      <sharedItems containsBlank="1"/>
    </cacheField>
    <cacheField name="Course Version" numFmtId="0">
      <sharedItems containsBlank="1"/>
    </cacheField>
    <cacheField name="Instructor Id" numFmtId="0">
      <sharedItems/>
    </cacheField>
    <cacheField name="First Name" numFmtId="0">
      <sharedItems/>
    </cacheField>
    <cacheField name="Last Name" numFmtId="0">
      <sharedItems/>
    </cacheField>
    <cacheField name="# Class Registrants" numFmtId="178">
      <sharedItems containsSemiMixedTypes="0" containsString="0" containsNumber="1" containsInteger="1" minValue="1" maxValue="284"/>
    </cacheField>
    <cacheField name="# Class Participants" numFmtId="178">
      <sharedItems containsSemiMixedTypes="0" containsString="0" containsNumber="1" containsInteger="1" minValue="0" maxValue="279"/>
    </cacheField>
    <cacheField name="# Class Completions" numFmtId="178">
      <sharedItems containsSemiMixedTypes="0" containsString="0" containsNumber="1" containsInteger="1" minValue="0" maxValue="231"/>
    </cacheField>
    <cacheField name="# Class Registrants2" numFmtId="178">
      <sharedItems containsString="0" containsBlank="1" containsNumber="1" containsInteger="1" minValue="1" maxValue="284"/>
    </cacheField>
    <cacheField name="# Class Participants2" numFmtId="178">
      <sharedItems containsString="0" containsBlank="1" containsNumber="1" containsInteger="1" minValue="0" maxValue="279"/>
    </cacheField>
    <cacheField name="# Class Completions2" numFmtId="178">
      <sharedItems containsString="0" containsBlank="1" containsNumber="1" containsInteger="1" minValue="0" maxValue="2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870.424396064816" createdVersion="8" refreshedVersion="8" minRefreshableVersion="3" recordCount="90" xr:uid="{3C619F2D-9AA3-3549-BB2F-ACCD4CE53633}">
  <cacheSource type="worksheet">
    <worksheetSource ref="A2:BU92" sheet="Priprava NetAcad" r:id="rId2"/>
  </cacheSource>
  <cacheFields count="72">
    <cacheField name="IČO" numFmtId="49">
      <sharedItems containsBlank="1" containsMixedTypes="1" containsNumber="1" containsInteger="1" minValue="891657" maxValue="53948998"/>
    </cacheField>
    <cacheField name="EDUID" numFmtId="49">
      <sharedItems containsBlank="1" containsMixedTypes="1" containsNumber="1" containsInteger="1" minValue="100000148" maxValue="100020375"/>
    </cacheField>
    <cacheField name="KODSKO" numFmtId="0">
      <sharedItems containsBlank="1" containsMixedTypes="1" containsNumber="1" containsInteger="1" minValue="160580" maxValue="710289995"/>
    </cacheField>
    <cacheField name="Nazov vzdelávacej inštitúcie -akadémie NetAcad" numFmtId="0">
      <sharedItems/>
    </cacheField>
    <cacheField name="Adresa" numFmtId="0">
      <sharedItems containsBlank="1"/>
    </cacheField>
    <cacheField name="Mesto" numFmtId="0">
      <sharedItems/>
    </cacheField>
    <cacheField name="BSK?" numFmtId="0">
      <sharedItems/>
    </cacheField>
    <cacheField name="Kraj" numFmtId="0">
      <sharedItems/>
    </cacheField>
    <cacheField name="Akadémia" numFmtId="0">
      <sharedItems/>
    </cacheField>
    <cacheField name="Záujem?" numFmtId="0">
      <sharedItems containsSemiMixedTypes="0" containsString="0" containsNumber="1" containsInteger="1" minValue="1" maxValue="1"/>
    </cacheField>
    <cacheField name="OVP v ikt RIS24?" numFmtId="3">
      <sharedItems/>
    </cacheField>
    <cacheField name="Miera zapoj." numFmtId="3">
      <sharedItems/>
    </cacheField>
    <cacheField name="Campus potenc." numFmtId="3">
      <sharedItems containsBlank="1"/>
    </cacheField>
    <cacheField name="INEKO skore23" numFmtId="183">
      <sharedItems containsBlank="1" containsMixedTypes="1" containsNumber="1" minValue="4.2" maxValue="9.5"/>
    </cacheField>
    <cacheField name="Súťaže NAG" numFmtId="0">
      <sharedItems containsBlank="1"/>
    </cacheField>
    <cacheField name="CENTR.EXCEL / COVP" numFmtId="0">
      <sharedItems containsBlank="1"/>
    </cacheField>
    <cacheField name="Optimalizácia" numFmtId="0">
      <sharedItems containsBlank="1"/>
    </cacheField>
    <cacheField name="Poč. žiakov RIS24 / CVTISR" numFmtId="3">
      <sharedItems containsBlank="1" containsMixedTypes="1" containsNumber="1" containsInteger="1" minValue="0" maxValue="2388"/>
    </cacheField>
    <cacheField name="Poč. žiačok RIS24" numFmtId="3">
      <sharedItems containsBlank="1" containsMixedTypes="1" containsNumber="1" containsInteger="1" minValue="0" maxValue="396"/>
    </cacheField>
    <cacheField name="Poč. žiakov ODHAD25 všetci" numFmtId="3">
      <sharedItems containsString="0" containsBlank="1" containsNumber="1" containsInteger="1" minValue="30" maxValue="1646"/>
    </cacheField>
    <cacheField name="Poč. žiakov ODHAD25 ikt" numFmtId="3">
      <sharedItems containsString="0" containsBlank="1" containsNumber="1" containsInteger="1" minValue="0" maxValue="1646"/>
    </cacheField>
    <cacheField name="Poč. žiakov ODHAD25 digi.zručnosti" numFmtId="3">
      <sharedItems containsString="0" containsBlank="1" containsNumber="1" containsInteger="1" minValue="0" maxValue="480"/>
    </cacheField>
    <cacheField name="Poč. žiakov ODHAD25 talentovaní" numFmtId="3">
      <sharedItems containsString="0" containsBlank="1" containsNumber="1" containsInteger="1" minValue="0" maxValue="50"/>
    </cacheField>
    <cacheField name="Max.žiakov" numFmtId="9">
      <sharedItems containsString="0" containsBlank="1" containsNumber="1" minValue="0" maxValue="1"/>
    </cacheField>
    <cacheField name="Max.žiakov ikt" numFmtId="9">
      <sharedItems containsString="0" containsBlank="1" containsNumber="1" minValue="0" maxValue="1"/>
    </cacheField>
    <cacheField name="Ponuka" numFmtId="0">
      <sharedItems containsBlank="1"/>
    </cacheField>
    <cacheField name="KATEGÓRIA" numFmtId="0">
      <sharedItems count="20">
        <s v="A3"/>
        <s v="B1"/>
        <s v="B3"/>
        <s v="A1"/>
        <s v="C1"/>
        <s v="B2"/>
        <s v="A2"/>
        <s v="B1 (vš)"/>
        <s v="C2"/>
        <s v="vylúčená A1"/>
        <s v="vylúčená B1"/>
        <s v="vylúčená A3"/>
        <s v="vylúčená A2"/>
        <s v="vylúčená B2"/>
        <s v="vylúčená B3"/>
        <s v="D"/>
        <s v="vylúčená D"/>
        <s v="C1?" u="1"/>
        <s v="Vylúčená C1?" u="1"/>
        <s v="BSK A1" u="1"/>
      </sharedItems>
    </cacheField>
    <cacheField name="Dôvod KAT" numFmtId="0">
      <sharedItems containsBlank="1" longText="1"/>
    </cacheField>
    <cacheField name="Firewall (pripojenie k IS NetAcad)" numFmtId="3">
      <sharedItems containsSemiMixedTypes="0" containsString="0" containsNumber="1" containsInteger="1" minValue="1" maxValue="1"/>
    </cacheField>
    <cacheField name="KoľkoLAB?" numFmtId="3">
      <sharedItems containsString="0" containsBlank="1" containsNumber="1" containsInteger="1" minValue="1" maxValue="5"/>
    </cacheField>
    <cacheField name="DODKoľkoLAB" numFmtId="3">
      <sharedItems containsNonDate="0" containsString="0" containsBlank="1"/>
    </cacheField>
    <cacheField name="Poč.LabA?" numFmtId="3">
      <sharedItems containsString="0" containsBlank="1" containsNumber="1" containsInteger="1" minValue="1" maxValue="3"/>
    </cacheField>
    <cacheField name="Poč.prac.LabA?" numFmtId="3">
      <sharedItems containsString="0" containsBlank="1" containsNumber="1" containsInteger="1" minValue="0" maxValue="63"/>
    </cacheField>
    <cacheField name="DODPoč.LabA" numFmtId="3">
      <sharedItems containsBlank="1" containsMixedTypes="1" containsNumber="1" containsInteger="1" minValue="1" maxValue="3"/>
    </cacheField>
    <cacheField name="DODPoč.prac.LabA" numFmtId="3">
      <sharedItems containsBlank="1" containsMixedTypes="1" containsNumber="1" containsInteger="1" minValue="1" maxValue="63"/>
    </cacheField>
    <cacheField name="Poč.LabB?" numFmtId="3">
      <sharedItems containsString="0" containsBlank="1" containsNumber="1" containsInteger="1" minValue="1" maxValue="1"/>
    </cacheField>
    <cacheField name="Poč.prac.LabB?" numFmtId="3">
      <sharedItems containsString="0" containsBlank="1" containsNumber="1" containsInteger="1" minValue="1" maxValue="25"/>
    </cacheField>
    <cacheField name="DODPoč.LabB" numFmtId="3">
      <sharedItems containsBlank="1" containsMixedTypes="1" containsNumber="1" containsInteger="1" minValue="1" maxValue="1"/>
    </cacheField>
    <cacheField name="DODPoč.prac.LabB" numFmtId="3">
      <sharedItems containsBlank="1" containsMixedTypes="1" containsNumber="1" containsInteger="1" minValue="8" maxValue="20"/>
    </cacheField>
    <cacheField name="Poč.LabQuant?" numFmtId="3">
      <sharedItems containsString="0" containsBlank="1" containsNumber="1" containsInteger="1" minValue="1" maxValue="2"/>
    </cacheField>
    <cacheField name="Poč.prac.LabQuant(mini)?" numFmtId="3">
      <sharedItems containsString="0" containsBlank="1" containsNumber="1" containsInteger="1" minValue="1" maxValue="28"/>
    </cacheField>
    <cacheField name="Poč.prac.LabQuant(uč.lab)?" numFmtId="3">
      <sharedItems containsString="0" containsBlank="1" containsNumber="1" containsInteger="1" minValue="0" maxValue="3"/>
    </cacheField>
    <cacheField name="DODPoč.LabQuant" numFmtId="3">
      <sharedItems containsNonDate="0" containsString="0" containsBlank="1"/>
    </cacheField>
    <cacheField name="DODPoč.prac.LabQuant(mini)" numFmtId="3">
      <sharedItems containsBlank="1" containsMixedTypes="1" containsNumber="1" containsInteger="1" minValue="1" maxValue="4"/>
    </cacheField>
    <cacheField name="DODPoč.prac.LabQuant(kufrík)" numFmtId="3">
      <sharedItems containsBlank="1" containsMixedTypes="1" containsNumber="1" containsInteger="1" minValue="1" maxValue="1"/>
    </cacheField>
    <cacheField name="Poč.LabDron?" numFmtId="3">
      <sharedItems containsString="0" containsBlank="1" containsNumber="1" containsInteger="1" minValue="0" maxValue="1"/>
    </cacheField>
    <cacheField name="Poč.prac.LabDron?" numFmtId="3">
      <sharedItems containsString="0" containsBlank="1" containsNumber="1" containsInteger="1" minValue="0" maxValue="25"/>
    </cacheField>
    <cacheField name="DODPoč.LabDron" numFmtId="3">
      <sharedItems containsString="0" containsBlank="1" containsNumber="1" containsInteger="1" minValue="1" maxValue="1"/>
    </cacheField>
    <cacheField name="DODPoč.prac.LabDron" numFmtId="3">
      <sharedItems containsNonDate="0" containsString="0" containsBlank="1"/>
    </cacheField>
    <cacheField name="Poč.LabRobo?" numFmtId="3">
      <sharedItems containsString="0" containsBlank="1" containsNumber="1" containsInteger="1" minValue="0" maxValue="2"/>
    </cacheField>
    <cacheField name="Poč.prac.LabRobo?" numFmtId="3">
      <sharedItems containsString="0" containsBlank="1" containsNumber="1" containsInteger="1" minValue="0" maxValue="30"/>
    </cacheField>
    <cacheField name="DODPoč.LabRobo" numFmtId="3">
      <sharedItems containsBlank="1" containsMixedTypes="1" containsNumber="1" containsInteger="1" minValue="1" maxValue="1"/>
    </cacheField>
    <cacheField name="DODPoč.prac.LabRobo" numFmtId="3">
      <sharedItems containsBlank="1"/>
    </cacheField>
    <cacheField name="Poč.LabIOT?" numFmtId="3">
      <sharedItems containsString="0" containsBlank="1" containsNumber="1" containsInteger="1" minValue="0" maxValue="1"/>
    </cacheField>
    <cacheField name="Poč.prac.LabIOT?" numFmtId="3">
      <sharedItems containsString="0" containsBlank="1" containsNumber="1" containsInteger="1" minValue="0" maxValue="21"/>
    </cacheField>
    <cacheField name="DODPoč.LabIOT" numFmtId="3">
      <sharedItems containsBlank="1" containsMixedTypes="1" containsNumber="1" containsInteger="1" minValue="1" maxValue="1"/>
    </cacheField>
    <cacheField name="DODPoč.prac.LabIOT" numFmtId="3">
      <sharedItems containsBlank="1"/>
    </cacheField>
    <cacheField name="Poč.ITpedg" numFmtId="0">
      <sharedItems containsBlank="1" containsMixedTypes="1" containsNumber="1" containsInteger="1" minValue="2" maxValue="10"/>
    </cacheField>
    <cacheField name="Poč.KĽÚČpedg" numFmtId="0">
      <sharedItems containsBlank="1" containsMixedTypes="1" containsNumber="1" containsInteger="1" minValue="2" maxValue="6"/>
    </cacheField>
    <cacheField name="Re/CertKL" numFmtId="0">
      <sharedItems containsBlank="1" containsMixedTypes="1" containsNumber="1" containsInteger="1" minValue="0" maxValue="10"/>
    </cacheField>
    <cacheField name="InovKL" numFmtId="0">
      <sharedItems containsBlank="1" containsMixedTypes="1" containsNumber="1" containsInteger="1" minValue="1" maxValue="25"/>
    </cacheField>
    <cacheField name="ŠkolKL" numFmtId="0">
      <sharedItems containsBlank="1" containsMixedTypes="1" containsNumber="1" containsInteger="1" minValue="2" maxValue="12"/>
    </cacheField>
    <cacheField name="InovINE" numFmtId="0">
      <sharedItems containsBlank="1" containsMixedTypes="1" containsNumber="1" containsInteger="1" minValue="0" maxValue="20"/>
    </cacheField>
    <cacheField name="ŠkolINE" numFmtId="0">
      <sharedItems containsBlank="1" containsMixedTypes="1" containsNumber="1" containsInteger="1" minValue="1" maxValue="6"/>
    </cacheField>
    <cacheField name="Riaditel (overené)" numFmtId="0">
      <sharedItems containsBlank="1"/>
    </cacheField>
    <cacheField name="Email riaditel (overené)" numFmtId="0">
      <sharedItems containsBlank="1"/>
    </cacheField>
    <cacheField name="Email škola" numFmtId="0">
      <sharedItems containsBlank="1"/>
    </cacheField>
    <cacheField name="Zástupca-vedenie (overené)" numFmtId="0">
      <sharedItems containsBlank="1"/>
    </cacheField>
    <cacheField name="Email zástupca (overené)" numFmtId="0">
      <sharedItems containsBlank="1"/>
    </cacheField>
    <cacheField name="Pedagóg-koord. (overené)" numFmtId="0">
      <sharedItems containsBlank="1"/>
    </cacheField>
    <cacheField name="Email pedagógovia (overené)" numFmtId="0">
      <sharedItems containsBlank="1"/>
    </cacheField>
    <cacheField name="Idnum" numFmtId="1">
      <sharedItems containsBlank="1" containsMixedTypes="1" containsNumber="1" containsInteger="1" minValue="2" maxValue="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
  <r>
    <x v="0"/>
    <x v="0"/>
    <x v="0"/>
    <x v="0"/>
    <d v="2024-11-29T07:09:29"/>
    <d v="2025-06-22T21:59:59"/>
    <s v="Intermediate Technical Skills"/>
    <s v="Cybersecurity"/>
    <x v="0"/>
    <s v="Ethical Hacker"/>
    <s v="English"/>
    <s v="1"/>
    <s v="1029261145"/>
    <s v="Martin"/>
    <s v="Blasko"/>
    <n v="1"/>
    <n v="1"/>
    <n v="0"/>
    <n v="1"/>
    <n v="1"/>
    <n v="0"/>
  </r>
  <r>
    <x v="0"/>
    <x v="0"/>
    <x v="0"/>
    <x v="1"/>
    <d v="2024-06-11T22:00:00"/>
    <d v="2025-02-22T23:00:00"/>
    <s v="Introductory Technical Skills"/>
    <s v="Networking Essentials"/>
    <x v="1"/>
    <s v="2024 - Networking Essentials - new"/>
    <s v="English"/>
    <s v="2.01 - Self-Paced"/>
    <s v="1029261145"/>
    <s v="Martin"/>
    <s v="Blasko"/>
    <n v="2"/>
    <n v="0"/>
    <n v="0"/>
    <n v="2"/>
    <n v="0"/>
    <n v="0"/>
  </r>
  <r>
    <x v="0"/>
    <x v="0"/>
    <x v="0"/>
    <x v="2"/>
    <m/>
    <m/>
    <m/>
    <m/>
    <x v="2"/>
    <m/>
    <m/>
    <m/>
    <s v="4146708"/>
    <s v="Jozef"/>
    <s v="Porubsky"/>
    <n v="2"/>
    <n v="0"/>
    <n v="0"/>
    <n v="2"/>
    <n v="0"/>
    <n v="0"/>
  </r>
  <r>
    <x v="0"/>
    <x v="0"/>
    <x v="0"/>
    <x v="3"/>
    <d v="2024-06-11T22:00:00"/>
    <d v="2025-02-22T23:00:00"/>
    <s v="3rd Party Technical Certification"/>
    <s v="IT Essentials"/>
    <x v="3"/>
    <s v="2024 - IT Essentials: PC Hardware and Software - NEW"/>
    <s v="English"/>
    <s v="8.01"/>
    <s v="1029261145"/>
    <s v="Martin"/>
    <s v="Blasko"/>
    <n v="2"/>
    <n v="1"/>
    <n v="0"/>
    <n v="2"/>
    <n v="1"/>
    <n v="0"/>
  </r>
  <r>
    <x v="0"/>
    <x v="0"/>
    <x v="0"/>
    <x v="2"/>
    <m/>
    <m/>
    <m/>
    <m/>
    <x v="2"/>
    <m/>
    <m/>
    <m/>
    <s v="4146708"/>
    <s v="Jozef"/>
    <s v="Porubsky"/>
    <n v="2"/>
    <n v="1"/>
    <n v="0"/>
    <n v="2"/>
    <n v="1"/>
    <n v="0"/>
  </r>
  <r>
    <x v="0"/>
    <x v="0"/>
    <x v="0"/>
    <x v="4"/>
    <d v="2024-06-11T22:00:00"/>
    <d v="2025-02-22T23:00:00"/>
    <s v="Cisco Associate-level Certification"/>
    <s v="CCNA R&amp;S"/>
    <x v="4"/>
    <s v="2024 - CCNAv7: Switching, Routing, and Wireless Essentials"/>
    <s v="English"/>
    <s v="7.02"/>
    <s v="4146708"/>
    <s v="Jozef"/>
    <s v="Porubsky"/>
    <n v="2"/>
    <n v="1"/>
    <n v="0"/>
    <n v="2"/>
    <n v="1"/>
    <n v="0"/>
  </r>
  <r>
    <x v="0"/>
    <x v="0"/>
    <x v="0"/>
    <x v="5"/>
    <d v="2024-06-12T22:00:00"/>
    <d v="2025-02-22T23:00:00"/>
    <s v="Cisco Associate-level Certification"/>
    <s v="CCNA R&amp;S"/>
    <x v="4"/>
    <s v="2024_25 4C Switching, Routing and Wireless essentials"/>
    <s v="English"/>
    <s v="7.02"/>
    <s v="4146708"/>
    <s v="Jozef"/>
    <s v="Porubsky"/>
    <n v="1"/>
    <n v="1"/>
    <n v="1"/>
    <n v="1"/>
    <n v="1"/>
    <n v="1"/>
  </r>
  <r>
    <x v="0"/>
    <x v="0"/>
    <x v="0"/>
    <x v="6"/>
    <d v="2024-06-11T22:00:00"/>
    <d v="2025-02-22T23:00:00"/>
    <s v="Cisco Associate-level Certification"/>
    <s v="CCNA R&amp;S"/>
    <x v="5"/>
    <s v="2024 - CCNAv7: Introduction to Networks - NEW"/>
    <s v="English"/>
    <s v="7.02"/>
    <s v="1029261145"/>
    <s v="Martin"/>
    <s v="Blasko"/>
    <n v="2"/>
    <n v="1"/>
    <n v="0"/>
    <n v="2"/>
    <n v="1"/>
    <n v="0"/>
  </r>
  <r>
    <x v="0"/>
    <x v="0"/>
    <x v="0"/>
    <x v="2"/>
    <m/>
    <m/>
    <m/>
    <m/>
    <x v="2"/>
    <m/>
    <m/>
    <m/>
    <s v="4146708"/>
    <s v="Jozef"/>
    <s v="Porubsky"/>
    <n v="2"/>
    <n v="1"/>
    <n v="0"/>
    <n v="2"/>
    <n v="1"/>
    <n v="0"/>
  </r>
  <r>
    <x v="0"/>
    <x v="0"/>
    <x v="0"/>
    <x v="7"/>
    <d v="2024-11-13T09:09:25"/>
    <d v="2025-06-26T21:59:59"/>
    <s v="Cisco Entry-level Certification"/>
    <s v="Networking Essentials"/>
    <x v="6"/>
    <s v="Networking Basics"/>
    <s v="English"/>
    <s v="1"/>
    <s v="1029261145"/>
    <s v="Martin"/>
    <s v="Blasko"/>
    <n v="20"/>
    <n v="20"/>
    <n v="0"/>
    <n v="20"/>
    <n v="20"/>
    <n v="0"/>
  </r>
  <r>
    <x v="0"/>
    <x v="0"/>
    <x v="0"/>
    <x v="8"/>
    <d v="2024-11-21T10:45:16"/>
    <d v="2025-06-30T21:59:59"/>
    <s v="Introductory Technical Skills"/>
    <s v="OS &amp; IT"/>
    <x v="7"/>
    <s v="Operating Systems Basics"/>
    <s v="English"/>
    <s v="1"/>
    <s v="4146708"/>
    <s v="Jozef"/>
    <s v="Porubsky"/>
    <n v="4"/>
    <n v="0"/>
    <n v="0"/>
    <n v="4"/>
    <n v="0"/>
    <n v="0"/>
  </r>
  <r>
    <x v="1"/>
    <x v="1"/>
    <x v="1"/>
    <x v="9"/>
    <d v="2024-09-04T08:10:57"/>
    <d v="2025-01-31T22:59:59"/>
    <s v="Cisco Associate-level Certification"/>
    <s v="CCNA R&amp;S"/>
    <x v="8"/>
    <s v="CCNA: Switching, Routing, and Wireless Essentials"/>
    <s v="English"/>
    <s v="7"/>
    <s v="1172176"/>
    <s v="Jan"/>
    <s v="Poradsky"/>
    <n v="1"/>
    <n v="0"/>
    <n v="0"/>
    <n v="1"/>
    <n v="0"/>
    <n v="0"/>
  </r>
  <r>
    <x v="1"/>
    <x v="1"/>
    <x v="1"/>
    <x v="10"/>
    <d v="2024-09-12T07:12:11"/>
    <d v="2025-06-30T21:59:59"/>
    <s v="Cisco Associate-level Certification"/>
    <s v="CCNA R&amp;S"/>
    <x v="9"/>
    <s v="CCNA: Introduction to Networks"/>
    <s v="English"/>
    <s v="7"/>
    <s v="1172176"/>
    <s v="Jan"/>
    <s v="Poradsky"/>
    <n v="9"/>
    <n v="8"/>
    <n v="8"/>
    <n v="9"/>
    <n v="8"/>
    <n v="8"/>
  </r>
  <r>
    <x v="1"/>
    <x v="1"/>
    <x v="1"/>
    <x v="11"/>
    <d v="2024-08-31T22:00:00"/>
    <d v="2025-02-23T23:00:00"/>
    <s v="Cisco Associate-level Certification"/>
    <s v="CCNA R&amp;S"/>
    <x v="4"/>
    <s v="CCNA2"/>
    <s v="English"/>
    <s v="7.02"/>
    <s v="1172176"/>
    <s v="Jan"/>
    <s v="Poradsky"/>
    <n v="10"/>
    <n v="9"/>
    <n v="0"/>
    <n v="10"/>
    <n v="9"/>
    <n v="0"/>
  </r>
  <r>
    <x v="1"/>
    <x v="1"/>
    <x v="1"/>
    <x v="12"/>
    <d v="2024-09-11T05:10:14"/>
    <d v="2025-02-09T22:59:59"/>
    <s v="Cisco Associate-level Certification"/>
    <s v="CCNA R&amp;S"/>
    <x v="9"/>
    <s v="CCNA: Introduction to Networks"/>
    <s v="English"/>
    <s v="7"/>
    <s v="54873415"/>
    <s v="Marek"/>
    <s v="Coronič"/>
    <n v="8"/>
    <n v="8"/>
    <n v="8"/>
    <n v="8"/>
    <n v="8"/>
    <n v="8"/>
  </r>
  <r>
    <x v="1"/>
    <x v="1"/>
    <x v="1"/>
    <x v="13"/>
    <d v="2024-09-11T05:13:05"/>
    <d v="2025-02-06T22:59:59"/>
    <s v="Cisco Associate-level Certification"/>
    <s v="CCNA R&amp;S"/>
    <x v="8"/>
    <s v="CCNA: Switching, Routing, and Wireless Essentials"/>
    <s v="English"/>
    <s v="7"/>
    <s v="54873415"/>
    <s v="Marek"/>
    <s v="Coronič"/>
    <n v="9"/>
    <n v="9"/>
    <n v="9"/>
    <n v="9"/>
    <n v="9"/>
    <n v="9"/>
  </r>
  <r>
    <x v="1"/>
    <x v="1"/>
    <x v="1"/>
    <x v="14"/>
    <d v="2024-09-11T08:09:38"/>
    <d v="2025-01-31T22:59:59"/>
    <s v="Cisco Associate-level Certification"/>
    <s v="CCNA R&amp;S"/>
    <x v="8"/>
    <s v="CCNA: Switching, Routing, and Wireless Essentials"/>
    <s v="English"/>
    <s v="7"/>
    <s v="1172176"/>
    <s v="Jan"/>
    <s v="Poradsky"/>
    <n v="10"/>
    <n v="10"/>
    <n v="10"/>
    <n v="10"/>
    <n v="10"/>
    <n v="10"/>
  </r>
  <r>
    <x v="2"/>
    <x v="2"/>
    <x v="0"/>
    <x v="15"/>
    <d v="2024-09-11T08:09:54"/>
    <d v="2025-06-30T21:59:59"/>
    <s v="Cisco Associate-level Certification"/>
    <s v="CCNA R&amp;S"/>
    <x v="9"/>
    <s v="CCNA: Introduction to Networks"/>
    <s v="English"/>
    <s v="7"/>
    <s v="44182013"/>
    <s v="Marcel"/>
    <s v="Borik"/>
    <n v="9"/>
    <n v="9"/>
    <n v="9"/>
    <n v="9"/>
    <n v="9"/>
    <n v="9"/>
  </r>
  <r>
    <x v="2"/>
    <x v="2"/>
    <x v="0"/>
    <x v="16"/>
    <d v="2024-09-12T06:18:36"/>
    <d v="2025-06-30T21:59:59"/>
    <s v="Cisco Associate-level Certification"/>
    <s v="CCNA R&amp;S"/>
    <x v="9"/>
    <s v="CCNA: 3.ELE Introduction to Networks"/>
    <s v="English"/>
    <s v="7"/>
    <s v="44182013"/>
    <s v="Marcel"/>
    <s v="Borik"/>
    <n v="17"/>
    <n v="13"/>
    <n v="9"/>
    <n v="17"/>
    <n v="13"/>
    <n v="9"/>
  </r>
  <r>
    <x v="3"/>
    <x v="3"/>
    <x v="2"/>
    <x v="17"/>
    <d v="2024-09-01T21:16:49"/>
    <d v="2025-06-30T21:59:59"/>
    <s v="Cisco Associate-level Certification"/>
    <s v="CCNA R&amp;S"/>
    <x v="8"/>
    <s v="2024-Sutek-II.AT-CCNA: Switching, Routing, and Wireless Essentials"/>
    <s v="English"/>
    <s v="7"/>
    <s v="47965934"/>
    <s v="Michal"/>
    <s v="Šutek"/>
    <n v="13"/>
    <n v="13"/>
    <n v="0"/>
    <n v="13"/>
    <n v="13"/>
    <n v="0"/>
  </r>
  <r>
    <x v="3"/>
    <x v="3"/>
    <x v="2"/>
    <x v="18"/>
    <d v="2024-12-10T10:13:01"/>
    <d v="2025-11-30T22:59:59"/>
    <s v="Cisco Associate-level Certification"/>
    <s v="CCNA R&amp;S"/>
    <x v="10"/>
    <s v="2024-Pa-4AI-CCNA3v7"/>
    <s v="English"/>
    <s v="1"/>
    <s v="554629"/>
    <s v="Miroslav"/>
    <s v="PADYSAK"/>
    <n v="17"/>
    <n v="17"/>
    <n v="17"/>
    <n v="17"/>
    <n v="17"/>
    <n v="17"/>
  </r>
  <r>
    <x v="3"/>
    <x v="3"/>
    <x v="2"/>
    <x v="19"/>
    <d v="2024-12-10T10:08:28"/>
    <d v="2025-11-30T22:59:59"/>
    <s v="Cisco Associate-level Certification"/>
    <s v="CCNA R&amp;S"/>
    <x v="8"/>
    <s v="2024-Pa-3CI-CCNA2v7"/>
    <s v="English"/>
    <s v="7"/>
    <s v="554629"/>
    <s v="Miroslav"/>
    <s v="PADYSAK"/>
    <n v="12"/>
    <n v="12"/>
    <n v="11"/>
    <n v="12"/>
    <n v="12"/>
    <n v="11"/>
  </r>
  <r>
    <x v="3"/>
    <x v="3"/>
    <x v="2"/>
    <x v="20"/>
    <d v="2024-12-10T10:10:16"/>
    <d v="2025-11-30T22:59:59"/>
    <s v="Cisco Associate-level Certification"/>
    <s v="CCNA R&amp;S"/>
    <x v="9"/>
    <s v="2024-Pa-2AI-CCNA1v7"/>
    <s v="English"/>
    <s v="7"/>
    <s v="554629"/>
    <s v="Miroslav"/>
    <s v="PADYSAK"/>
    <n v="15"/>
    <n v="15"/>
    <n v="15"/>
    <n v="15"/>
    <n v="15"/>
    <n v="15"/>
  </r>
  <r>
    <x v="3"/>
    <x v="3"/>
    <x v="2"/>
    <x v="21"/>
    <d v="2024-09-05T09:07:33"/>
    <d v="2025-06-30T21:59:59"/>
    <s v="Cisco Associate-level Certification"/>
    <s v="CCNA R&amp;S"/>
    <x v="9"/>
    <s v="IV:AE 2sk. 2024 CCNA: Introduction to Networks"/>
    <s v="English"/>
    <s v="7"/>
    <s v="7695167"/>
    <s v="Jan"/>
    <s v="Dudešek"/>
    <n v="10"/>
    <n v="10"/>
    <n v="10"/>
    <n v="10"/>
    <n v="10"/>
    <n v="10"/>
  </r>
  <r>
    <x v="3"/>
    <x v="3"/>
    <x v="2"/>
    <x v="22"/>
    <d v="2024-01-23T23:00:00"/>
    <d v="2024-12-30T23:00:00"/>
    <s v="Cisco Associate-level Certification"/>
    <s v="CCNA R&amp;S"/>
    <x v="5"/>
    <s v="2023-Pa-1AI-CCNA1v7"/>
    <s v="English"/>
    <s v="7.02"/>
    <s v="554629"/>
    <s v="Miroslav"/>
    <s v="PADYSAK"/>
    <n v="14"/>
    <n v="14"/>
    <n v="14"/>
    <n v="14"/>
    <n v="14"/>
    <n v="14"/>
  </r>
  <r>
    <x v="3"/>
    <x v="3"/>
    <x v="2"/>
    <x v="23"/>
    <d v="2024-03-05T23:00:00"/>
    <d v="2024-12-30T23:00:00"/>
    <s v="Cisco Associate-level Certification"/>
    <s v="CCNA R&amp;S"/>
    <x v="11"/>
    <s v="2023-Pa-3AT-CCNA3v7"/>
    <s v="English"/>
    <s v="7.02"/>
    <s v="554629"/>
    <s v="Miroslav"/>
    <s v="PADYSAK"/>
    <n v="14"/>
    <n v="14"/>
    <n v="14"/>
    <n v="14"/>
    <n v="14"/>
    <n v="14"/>
  </r>
  <r>
    <x v="3"/>
    <x v="3"/>
    <x v="2"/>
    <x v="24"/>
    <d v="2024-06-13T22:00:00"/>
    <d v="2024-09-13T22:00:00"/>
    <s v="3rd Party Technical Certification"/>
    <s v="Python"/>
    <x v="12"/>
    <s v="II.BI_Python"/>
    <s v="English"/>
    <s v="2.10 - Self-Paced"/>
    <s v="49360382"/>
    <s v="Tomáš"/>
    <s v="Šálek"/>
    <n v="2"/>
    <n v="1"/>
    <n v="0"/>
    <n v="2"/>
    <n v="1"/>
    <n v="0"/>
  </r>
  <r>
    <x v="3"/>
    <x v="3"/>
    <x v="2"/>
    <x v="25"/>
    <d v="2024-12-12T08:06:42"/>
    <d v="2025-11-30T22:59:59"/>
    <s v="Cisco Associate-level Certification"/>
    <s v="CCNA R&amp;S"/>
    <x v="9"/>
    <s v="2024-Pa-3AT-CCNA1v7"/>
    <s v="English"/>
    <s v="7"/>
    <s v="554629"/>
    <s v="Miroslav"/>
    <s v="PADYSAK"/>
    <n v="15"/>
    <n v="15"/>
    <n v="13"/>
    <n v="15"/>
    <n v="15"/>
    <n v="13"/>
  </r>
  <r>
    <x v="3"/>
    <x v="3"/>
    <x v="2"/>
    <x v="26"/>
    <d v="2024-09-13T09:34:01"/>
    <d v="2025-06-30T21:59:59"/>
    <s v="3rd Party Technical Certification"/>
    <s v="IT Essentials"/>
    <x v="13"/>
    <s v="2024-ITEv8-Pm-1CI"/>
    <s v="English"/>
    <s v="8"/>
    <s v="53339298"/>
    <s v="Milan"/>
    <s v="Petrík"/>
    <n v="14"/>
    <n v="13"/>
    <n v="13"/>
    <n v="14"/>
    <n v="13"/>
    <n v="13"/>
  </r>
  <r>
    <x v="3"/>
    <x v="3"/>
    <x v="2"/>
    <x v="2"/>
    <m/>
    <m/>
    <m/>
    <m/>
    <x v="2"/>
    <m/>
    <m/>
    <m/>
    <s v="5929610"/>
    <s v="Jana"/>
    <s v="Hrivikova"/>
    <n v="14"/>
    <n v="13"/>
    <n v="13"/>
    <n v="14"/>
    <n v="13"/>
    <n v="13"/>
  </r>
  <r>
    <x v="3"/>
    <x v="3"/>
    <x v="2"/>
    <x v="2"/>
    <m/>
    <m/>
    <m/>
    <m/>
    <x v="2"/>
    <m/>
    <m/>
    <m/>
    <s v="7695167"/>
    <s v="Jan"/>
    <s v="Dudešek"/>
    <n v="14"/>
    <n v="13"/>
    <n v="13"/>
    <n v="14"/>
    <n v="13"/>
    <n v="13"/>
  </r>
  <r>
    <x v="3"/>
    <x v="3"/>
    <x v="2"/>
    <x v="27"/>
    <d v="2024-08-27T06:33:44"/>
    <d v="2025-08-31T21:59:59"/>
    <s v="Cisco Associate-level Certification"/>
    <s v="CCNA R&amp;S"/>
    <x v="10"/>
    <s v="2024_4.BI - CCNA: Enterprise Networking, Security, and Automation"/>
    <s v="English"/>
    <s v="1"/>
    <s v="5929610"/>
    <s v="Jana"/>
    <s v="Hrivikova"/>
    <n v="12"/>
    <n v="12"/>
    <n v="11"/>
    <n v="12"/>
    <n v="12"/>
    <n v="11"/>
  </r>
  <r>
    <x v="3"/>
    <x v="3"/>
    <x v="2"/>
    <x v="28"/>
    <d v="2024-09-12T05:58:53"/>
    <d v="2025-07-31T21:59:59"/>
    <s v="3rd Party Technical Certification"/>
    <s v="IT Essentials"/>
    <x v="13"/>
    <s v="IT Essentials 8"/>
    <s v="English"/>
    <s v="8"/>
    <s v="1001852129"/>
    <s v="Michal"/>
    <s v="Palica"/>
    <n v="15"/>
    <n v="15"/>
    <n v="2"/>
    <n v="15"/>
    <n v="15"/>
    <n v="2"/>
  </r>
  <r>
    <x v="3"/>
    <x v="3"/>
    <x v="2"/>
    <x v="29"/>
    <d v="2024-09-09T05:09:49"/>
    <d v="2025-07-31T21:59:59"/>
    <s v="3rd Party Technical Certification"/>
    <s v="IT Essentials"/>
    <x v="13"/>
    <s v="I.AI CIT Spsit 2024 IT Essentials 8"/>
    <s v="English"/>
    <s v="8"/>
    <s v="7695167"/>
    <s v="Jan"/>
    <s v="Dudešek"/>
    <n v="14"/>
    <n v="14"/>
    <n v="14"/>
    <n v="14"/>
    <n v="14"/>
    <n v="14"/>
  </r>
  <r>
    <x v="3"/>
    <x v="3"/>
    <x v="2"/>
    <x v="30"/>
    <d v="2024-12-10T10:11:26"/>
    <d v="2025-11-30T22:59:59"/>
    <s v="Cisco Associate-level Certification"/>
    <s v="CCNA R&amp;S"/>
    <x v="10"/>
    <s v="2024-Pa-4CI-CCNA3v7"/>
    <s v="English"/>
    <s v="1"/>
    <s v="554629"/>
    <s v="Miroslav"/>
    <s v="PADYSAK"/>
    <n v="15"/>
    <n v="13"/>
    <n v="13"/>
    <n v="15"/>
    <n v="13"/>
    <n v="13"/>
  </r>
  <r>
    <x v="3"/>
    <x v="3"/>
    <x v="2"/>
    <x v="31"/>
    <d v="2024-09-18T07:01:05"/>
    <d v="2025-08-31T21:59:59"/>
    <s v="3rd Party Technical Certification"/>
    <s v="IT Essentials"/>
    <x v="13"/>
    <s v="2024_1.BI_IT Essentials 8"/>
    <s v="English"/>
    <s v="8"/>
    <s v="5929610"/>
    <s v="Jana"/>
    <s v="Hrivikova"/>
    <n v="14"/>
    <n v="14"/>
    <n v="9"/>
    <n v="14"/>
    <n v="14"/>
    <n v="9"/>
  </r>
  <r>
    <x v="3"/>
    <x v="3"/>
    <x v="2"/>
    <x v="32"/>
    <d v="2024-09-01T21:03:59"/>
    <d v="2025-06-30T21:59:59"/>
    <s v="Intermediate Technical Skills"/>
    <s v="Cybersecurity"/>
    <x v="14"/>
    <s v="2024-Sutek-IV.AT-Network Security"/>
    <s v="English"/>
    <s v="1"/>
    <s v="47965934"/>
    <s v="Michal"/>
    <s v="Šutek"/>
    <n v="14"/>
    <n v="14"/>
    <n v="0"/>
    <n v="14"/>
    <n v="14"/>
    <n v="0"/>
  </r>
  <r>
    <x v="3"/>
    <x v="3"/>
    <x v="2"/>
    <x v="33"/>
    <d v="2024-11-07T07:46:08"/>
    <d v="2025-06-30T21:59:59"/>
    <s v="Cisco Associate-level Certification"/>
    <s v="CCNA R&amp;S"/>
    <x v="8"/>
    <s v="2024-Petrik-II.BI-GamesLab-CCNA: Switching, Routing, and Wireless Essentials"/>
    <s v="English"/>
    <s v="7"/>
    <s v="7695167"/>
    <s v="Jan"/>
    <s v="Dudešek"/>
    <n v="18"/>
    <n v="15"/>
    <n v="15"/>
    <n v="18"/>
    <n v="15"/>
    <n v="15"/>
  </r>
  <r>
    <x v="3"/>
    <x v="3"/>
    <x v="2"/>
    <x v="34"/>
    <d v="2024-10-28T09:18:56"/>
    <d v="2024-12-31T22:59:59"/>
    <s v="Introductory Technical Skills"/>
    <s v="Packet Tracer"/>
    <x v="15"/>
    <s v="Packet tracer II.BI"/>
    <s v="English"/>
    <s v="1"/>
    <s v="49360382"/>
    <s v="Tomáš"/>
    <s v="Šálek"/>
    <n v="3"/>
    <n v="3"/>
    <n v="3"/>
    <n v="3"/>
    <n v="3"/>
    <n v="3"/>
  </r>
  <r>
    <x v="3"/>
    <x v="3"/>
    <x v="2"/>
    <x v="35"/>
    <d v="2024-09-10T06:04:12"/>
    <d v="2025-06-30T21:59:59"/>
    <s v="Intermediate Technical Skills"/>
    <s v="Cybersecurity"/>
    <x v="14"/>
    <s v="Network Security"/>
    <s v="English"/>
    <s v="1"/>
    <s v="47986460"/>
    <s v="Marek"/>
    <s v="Zadňan"/>
    <n v="14"/>
    <n v="14"/>
    <n v="0"/>
    <n v="14"/>
    <n v="14"/>
    <n v="0"/>
  </r>
  <r>
    <x v="3"/>
    <x v="3"/>
    <x v="2"/>
    <x v="36"/>
    <d v="2024-09-09T22:00:00"/>
    <d v="2025-07-31T21:59:59"/>
    <s v="3rd Party Technical Certification"/>
    <s v="IT Essentials"/>
    <x v="13"/>
    <s v="I.AT ZIG 2.sk 2024 IT Essentials 8"/>
    <s v="English"/>
    <s v="8"/>
    <s v="7695167"/>
    <s v="Jan"/>
    <s v="Dudešek"/>
    <n v="15"/>
    <n v="15"/>
    <n v="15"/>
    <n v="15"/>
    <n v="15"/>
    <n v="15"/>
  </r>
  <r>
    <x v="3"/>
    <x v="3"/>
    <x v="2"/>
    <x v="37"/>
    <d v="2024-10-08T09:15:12"/>
    <d v="2025-10-07T21:59:59"/>
    <s v="Cisco Associate-level Certification"/>
    <s v="CCNA R&amp;S"/>
    <x v="8"/>
    <s v="2024-Pa-3AI-CCNA2v7"/>
    <s v="English"/>
    <s v="7"/>
    <s v="554629"/>
    <s v="Miroslav"/>
    <s v="PADYSAK"/>
    <n v="18"/>
    <n v="16"/>
    <n v="16"/>
    <n v="18"/>
    <n v="16"/>
    <n v="16"/>
  </r>
  <r>
    <x v="3"/>
    <x v="3"/>
    <x v="2"/>
    <x v="38"/>
    <d v="2024-09-16T06:48:54"/>
    <d v="2025-06-30T21:59:59"/>
    <s v="Cisco Associate-level Certification"/>
    <s v="CCNA R&amp;S"/>
    <x v="9"/>
    <s v="2024-Sutek-I.AI-CCNA: Introduction to Networks"/>
    <s v="English"/>
    <s v="7"/>
    <s v="47965934"/>
    <s v="Michal"/>
    <s v="Šutek"/>
    <n v="14"/>
    <n v="14"/>
    <n v="0"/>
    <n v="14"/>
    <n v="14"/>
    <n v="0"/>
  </r>
  <r>
    <x v="3"/>
    <x v="3"/>
    <x v="2"/>
    <x v="39"/>
    <d v="2024-09-09T22:00:00"/>
    <d v="2025-07-31T21:59:59"/>
    <s v="3rd Party Technical Certification"/>
    <s v="IT Essentials"/>
    <x v="13"/>
    <s v="I.BI CIT Spsit 2024 IT Essentials 8"/>
    <s v="English"/>
    <s v="8"/>
    <s v="7695167"/>
    <s v="Jan"/>
    <s v="Dudešek"/>
    <n v="13"/>
    <n v="13"/>
    <n v="13"/>
    <n v="13"/>
    <n v="13"/>
    <n v="13"/>
  </r>
  <r>
    <x v="3"/>
    <x v="3"/>
    <x v="2"/>
    <x v="40"/>
    <d v="2024-09-01T21:14:22"/>
    <d v="2025-06-30T21:59:59"/>
    <s v="3rd Party Technical Certification"/>
    <s v="IT Essentials"/>
    <x v="13"/>
    <s v="2024-Sutek-I.AI-IT Essentials 8"/>
    <s v="English"/>
    <s v="8"/>
    <s v="47965934"/>
    <s v="Michal"/>
    <s v="Šutek"/>
    <n v="16"/>
    <n v="15"/>
    <n v="0"/>
    <n v="16"/>
    <n v="15"/>
    <n v="0"/>
  </r>
  <r>
    <x v="3"/>
    <x v="3"/>
    <x v="2"/>
    <x v="41"/>
    <d v="2024-09-01T21:18:28"/>
    <d v="2025-06-30T21:59:59"/>
    <s v="Cisco Associate-level Certification"/>
    <s v="CCNA R&amp;S"/>
    <x v="9"/>
    <s v="2024-Sutek-I.AT-CCNA: Introduction to Networks"/>
    <s v="English"/>
    <s v="7"/>
    <s v="47965934"/>
    <s v="Michal"/>
    <s v="Šutek"/>
    <n v="30"/>
    <n v="30"/>
    <n v="0"/>
    <n v="30"/>
    <n v="30"/>
    <n v="0"/>
  </r>
  <r>
    <x v="3"/>
    <x v="3"/>
    <x v="2"/>
    <x v="2"/>
    <m/>
    <m/>
    <m/>
    <m/>
    <x v="2"/>
    <m/>
    <m/>
    <m/>
    <s v="7695167"/>
    <s v="Jan"/>
    <s v="Dudešek"/>
    <n v="30"/>
    <n v="30"/>
    <n v="0"/>
    <n v="30"/>
    <n v="30"/>
    <n v="0"/>
  </r>
  <r>
    <x v="3"/>
    <x v="3"/>
    <x v="2"/>
    <x v="42"/>
    <d v="2024-11-18T07:00:57"/>
    <d v="2025-08-31T21:59:59"/>
    <s v="Cisco Associate-level Certification"/>
    <s v="CCNA R&amp;S"/>
    <x v="9"/>
    <s v="2024_3.AT_CCNA 1: Introduction to Networks"/>
    <s v="English"/>
    <s v="7"/>
    <s v="5929610"/>
    <s v="Jana"/>
    <s v="Hrivikova"/>
    <n v="16"/>
    <n v="16"/>
    <n v="14"/>
    <n v="16"/>
    <n v="16"/>
    <n v="14"/>
  </r>
  <r>
    <x v="3"/>
    <x v="3"/>
    <x v="2"/>
    <x v="43"/>
    <d v="2024-12-10T10:07:07"/>
    <d v="2025-11-30T22:59:59"/>
    <s v="Cisco Associate-level Certification"/>
    <s v="CCNA R&amp;S"/>
    <x v="8"/>
    <s v="2024-Pa-3BI-CCNA2v7"/>
    <s v="English"/>
    <s v="7"/>
    <s v="554629"/>
    <s v="Miroslav"/>
    <s v="PADYSAK"/>
    <n v="14"/>
    <n v="14"/>
    <n v="14"/>
    <n v="14"/>
    <n v="14"/>
    <n v="14"/>
  </r>
  <r>
    <x v="3"/>
    <x v="3"/>
    <x v="2"/>
    <x v="44"/>
    <d v="2024-11-22T08:44:00"/>
    <d v="2025-06-30T21:59:59"/>
    <s v="Cisco Associate-level Certification"/>
    <s v="CCNA R&amp;S"/>
    <x v="9"/>
    <s v="I.CI CIT 2.sk CCNA: Introduction to Networks"/>
    <s v="English"/>
    <s v="7"/>
    <s v="7695167"/>
    <s v="Jan"/>
    <s v="Dudešek"/>
    <n v="12"/>
    <n v="12"/>
    <n v="0"/>
    <n v="12"/>
    <n v="12"/>
    <n v="0"/>
  </r>
  <r>
    <x v="3"/>
    <x v="3"/>
    <x v="2"/>
    <x v="45"/>
    <d v="2024-11-22T08:41:31"/>
    <d v="2025-06-30T21:59:59"/>
    <s v="Cisco Associate-level Certification"/>
    <s v="CCNA R&amp;S"/>
    <x v="9"/>
    <s v="I.BI CIT Spsit CCNA: Introduction to Networks"/>
    <s v="English"/>
    <s v="7"/>
    <s v="7695167"/>
    <s v="Jan"/>
    <s v="Dudešek"/>
    <n v="13"/>
    <n v="13"/>
    <n v="0"/>
    <n v="13"/>
    <n v="13"/>
    <n v="0"/>
  </r>
  <r>
    <x v="3"/>
    <x v="3"/>
    <x v="2"/>
    <x v="46"/>
    <d v="2024-10-28T09:15:56"/>
    <d v="2024-12-31T22:59:59"/>
    <s v="Introductory Technical Skills"/>
    <s v="Packet Tracer"/>
    <x v="15"/>
    <s v="Packet tracer II.AI"/>
    <s v="English"/>
    <s v="1"/>
    <s v="49360382"/>
    <s v="Tomáš"/>
    <s v="Šálek"/>
    <n v="8"/>
    <n v="8"/>
    <n v="8"/>
    <n v="8"/>
    <n v="8"/>
    <n v="8"/>
  </r>
  <r>
    <x v="3"/>
    <x v="3"/>
    <x v="2"/>
    <x v="47"/>
    <d v="2024-11-22T08:37:15"/>
    <d v="2025-06-30T21:59:59"/>
    <s v="Cisco Associate-level Certification"/>
    <s v="CCNA R&amp;S"/>
    <x v="9"/>
    <s v="I.AI CIT 2. Spsit CCNA: Introduction to Networks"/>
    <s v="English"/>
    <s v="7"/>
    <s v="7695167"/>
    <s v="Jan"/>
    <s v="Dudešek"/>
    <n v="14"/>
    <n v="14"/>
    <n v="0"/>
    <n v="14"/>
    <n v="14"/>
    <n v="0"/>
  </r>
  <r>
    <x v="3"/>
    <x v="3"/>
    <x v="2"/>
    <x v="48"/>
    <d v="2024-12-10T10:12:14"/>
    <d v="2025-11-30T22:59:59"/>
    <s v="Cisco Associate-level Certification"/>
    <s v="CCNA R&amp;S"/>
    <x v="10"/>
    <s v="2024-Pa-4BI-CCNA3v7"/>
    <s v="English"/>
    <s v="1"/>
    <s v="554629"/>
    <s v="Miroslav"/>
    <s v="PADYSAK"/>
    <n v="14"/>
    <n v="14"/>
    <n v="14"/>
    <n v="14"/>
    <n v="14"/>
    <n v="14"/>
  </r>
  <r>
    <x v="3"/>
    <x v="3"/>
    <x v="2"/>
    <x v="49"/>
    <d v="2024-11-07T08:47:04"/>
    <d v="2025-06-30T21:59:59"/>
    <s v="Cisco Associate-level Certification"/>
    <s v="CCNA R&amp;S"/>
    <x v="8"/>
    <s v="2024-Petrik-II.CI-2sk-CCNA: Switching, Routing, and Wireless Essentials"/>
    <s v="English"/>
    <s v="7"/>
    <s v="7695167"/>
    <s v="Jan"/>
    <s v="Dudešek"/>
    <n v="13"/>
    <n v="13"/>
    <n v="12"/>
    <n v="13"/>
    <n v="13"/>
    <n v="12"/>
  </r>
  <r>
    <x v="3"/>
    <x v="3"/>
    <x v="2"/>
    <x v="50"/>
    <d v="2024-12-20T08:53:11"/>
    <d v="2025-11-30T22:59:59"/>
    <s v="3rd Party Technical Certification"/>
    <s v="Python"/>
    <x v="16"/>
    <s v="2024-Pa-Python Essentials 1"/>
    <s v="English"/>
    <s v="1"/>
    <s v="554629"/>
    <s v="Miroslav"/>
    <s v="PADYSAK"/>
    <n v="2"/>
    <n v="2"/>
    <n v="2"/>
    <n v="2"/>
    <n v="2"/>
    <n v="2"/>
  </r>
  <r>
    <x v="3"/>
    <x v="3"/>
    <x v="2"/>
    <x v="51"/>
    <d v="2024-09-09T22:00:00"/>
    <d v="2025-07-31T21:59:59"/>
    <s v="3rd Party Technical Certification"/>
    <s v="IT Essentials"/>
    <x v="13"/>
    <s v="I.CI CIT 2.sk 2024 IT Essentials 8"/>
    <s v="English"/>
    <s v="8"/>
    <s v="7695167"/>
    <s v="Jan"/>
    <s v="Dudešek"/>
    <n v="12"/>
    <n v="12"/>
    <n v="12"/>
    <n v="12"/>
    <n v="12"/>
    <n v="12"/>
  </r>
  <r>
    <x v="3"/>
    <x v="3"/>
    <x v="2"/>
    <x v="52"/>
    <d v="2024-09-09T22:00:00"/>
    <d v="2025-07-31T21:59:59"/>
    <s v="Cisco Associate-level Certification"/>
    <s v="CCNA R&amp;S"/>
    <x v="9"/>
    <s v="IV.AE CIT 1.sk 2024 CCNA: Introduction to Networks"/>
    <s v="English"/>
    <s v="7"/>
    <s v="7695167"/>
    <s v="Jan"/>
    <s v="Dudešek"/>
    <n v="13"/>
    <n v="13"/>
    <n v="10"/>
    <n v="13"/>
    <n v="13"/>
    <n v="10"/>
  </r>
  <r>
    <x v="4"/>
    <x v="4"/>
    <x v="3"/>
    <x v="53"/>
    <d v="2024-11-25T12:08:55"/>
    <d v="2025-02-28T21:59:59"/>
    <s v="3rd Party Technical Certification"/>
    <s v="Linux"/>
    <x v="17"/>
    <s v="Linux Essentials (LPI Essentials) - Noi 2024 - online"/>
    <s v="English"/>
    <s v="2"/>
    <s v="8109010"/>
    <s v="Bogdan"/>
    <s v="Nastase"/>
    <n v="1"/>
    <n v="0"/>
    <n v="0"/>
    <m/>
    <m/>
    <m/>
  </r>
  <r>
    <x v="4"/>
    <x v="4"/>
    <x v="3"/>
    <x v="54"/>
    <d v="2024-09-10T08:47:54"/>
    <d v="2024-12-31T21:59:59"/>
    <s v="Cisco Associate-level Certification"/>
    <s v="CCNA R&amp;S"/>
    <x v="10"/>
    <s v="CCNA 3 v7 - Sep 2024 - online"/>
    <s v="English"/>
    <s v="1"/>
    <s v="8109010"/>
    <s v="Bogdan"/>
    <s v="Nastase"/>
    <n v="1"/>
    <n v="1"/>
    <n v="0"/>
    <m/>
    <m/>
    <m/>
  </r>
  <r>
    <x v="4"/>
    <x v="4"/>
    <x v="3"/>
    <x v="55"/>
    <d v="2024-10-03T11:13:23"/>
    <d v="2025-04-06T20:59:59"/>
    <s v="3rd Party Technical Certification"/>
    <s v="Linux"/>
    <x v="17"/>
    <s v="Linux Essentials - 04 Oct 2024 - remote"/>
    <s v="English"/>
    <s v="2"/>
    <s v="28371145"/>
    <s v="Bogdan"/>
    <s v="Nastase"/>
    <n v="13"/>
    <n v="13"/>
    <n v="12"/>
    <m/>
    <m/>
    <m/>
  </r>
  <r>
    <x v="4"/>
    <x v="4"/>
    <x v="3"/>
    <x v="2"/>
    <m/>
    <m/>
    <m/>
    <m/>
    <x v="2"/>
    <m/>
    <m/>
    <m/>
    <s v="50664416"/>
    <s v="Stefan Iulian"/>
    <s v="ENACHE"/>
    <n v="13"/>
    <n v="13"/>
    <n v="12"/>
    <m/>
    <m/>
    <m/>
  </r>
  <r>
    <x v="4"/>
    <x v="4"/>
    <x v="3"/>
    <x v="56"/>
    <d v="2024-11-13T17:39:22"/>
    <d v="2025-02-28T21:59:59"/>
    <s v="3rd Party Technical Certification"/>
    <s v="C++"/>
    <x v="18"/>
    <s v="C++ Programming - Modul 1 - Noi 2024 online (Part 2)"/>
    <s v="English"/>
    <s v="1"/>
    <s v="8109010"/>
    <s v="Bogdan"/>
    <s v="Nastase"/>
    <n v="1"/>
    <n v="0"/>
    <n v="0"/>
    <m/>
    <m/>
    <m/>
  </r>
  <r>
    <x v="4"/>
    <x v="4"/>
    <x v="3"/>
    <x v="57"/>
    <d v="2024-09-03T15:26:09"/>
    <d v="2025-03-30T20:59:59"/>
    <s v="Cisco Associate-level Certification"/>
    <s v="CCNA R&amp;S"/>
    <x v="8"/>
    <s v="CCNA 2 v7 - 03 Sep 2024 - remote"/>
    <s v="English"/>
    <s v="7"/>
    <s v="50664416"/>
    <s v="Stefan Iulian"/>
    <s v="ENACHE"/>
    <n v="23"/>
    <n v="21"/>
    <n v="15"/>
    <m/>
    <m/>
    <m/>
  </r>
  <r>
    <x v="4"/>
    <x v="4"/>
    <x v="3"/>
    <x v="2"/>
    <m/>
    <m/>
    <m/>
    <m/>
    <x v="2"/>
    <m/>
    <m/>
    <m/>
    <s v="8109010"/>
    <s v="Bogdan"/>
    <s v="Nastase"/>
    <n v="23"/>
    <n v="21"/>
    <n v="15"/>
    <m/>
    <m/>
    <m/>
  </r>
  <r>
    <x v="4"/>
    <x v="4"/>
    <x v="3"/>
    <x v="58"/>
    <d v="2024-11-21T21:55:40"/>
    <d v="2025-11-21T21:59:59"/>
    <s v="Cisco Associate-level Certification"/>
    <s v="CCNA R&amp;S"/>
    <x v="10"/>
    <s v="CCNA 3 v7 - 15 Ian 2025 - remote"/>
    <s v="English"/>
    <s v="1"/>
    <s v="50664416"/>
    <s v="Stefan Iulian"/>
    <s v="ENACHE"/>
    <n v="16"/>
    <n v="15"/>
    <n v="12"/>
    <m/>
    <m/>
    <m/>
  </r>
  <r>
    <x v="4"/>
    <x v="4"/>
    <x v="3"/>
    <x v="2"/>
    <m/>
    <m/>
    <m/>
    <m/>
    <x v="2"/>
    <m/>
    <m/>
    <m/>
    <s v="8109010"/>
    <s v="Bogdan"/>
    <s v="Nastase"/>
    <n v="16"/>
    <n v="15"/>
    <n v="12"/>
    <m/>
    <m/>
    <m/>
  </r>
  <r>
    <x v="4"/>
    <x v="4"/>
    <x v="3"/>
    <x v="59"/>
    <d v="2024-02-12T22:00:00"/>
    <d v="2024-08-07T21:00:00"/>
    <s v="Cisco Associate-level Certification"/>
    <s v="CCNA R&amp;S"/>
    <x v="5"/>
    <s v="CCNA 1 v7 - 14 Feb 2024 - remote"/>
    <s v="English"/>
    <s v="7.02"/>
    <s v="50664416"/>
    <s v="Stefan Iulian"/>
    <s v="ENACHE"/>
    <n v="23"/>
    <n v="23"/>
    <n v="13"/>
    <m/>
    <m/>
    <m/>
  </r>
  <r>
    <x v="4"/>
    <x v="4"/>
    <x v="3"/>
    <x v="2"/>
    <m/>
    <m/>
    <m/>
    <m/>
    <x v="2"/>
    <m/>
    <m/>
    <m/>
    <s v="8109010"/>
    <s v="Bogdan"/>
    <s v="Nastase"/>
    <n v="23"/>
    <n v="23"/>
    <n v="13"/>
    <m/>
    <m/>
    <m/>
  </r>
  <r>
    <x v="4"/>
    <x v="4"/>
    <x v="3"/>
    <x v="60"/>
    <d v="2024-02-20T22:00:00"/>
    <d v="2024-08-15T21:00:00"/>
    <s v="Cisco Associate-level Certification"/>
    <s v="CCNA R&amp;S"/>
    <x v="4"/>
    <s v="CCNA 2 v7 - 22 Feb 2024 - remote"/>
    <s v="English"/>
    <s v="7.02"/>
    <s v="50664416"/>
    <s v="Stefan Iulian"/>
    <s v="ENACHE"/>
    <n v="22"/>
    <n v="20"/>
    <n v="13"/>
    <m/>
    <m/>
    <m/>
  </r>
  <r>
    <x v="4"/>
    <x v="4"/>
    <x v="3"/>
    <x v="2"/>
    <m/>
    <m/>
    <m/>
    <m/>
    <x v="2"/>
    <m/>
    <m/>
    <m/>
    <s v="8109010"/>
    <s v="Bogdan"/>
    <s v="Nastase"/>
    <n v="22"/>
    <n v="20"/>
    <n v="13"/>
    <m/>
    <m/>
    <m/>
  </r>
  <r>
    <x v="4"/>
    <x v="4"/>
    <x v="3"/>
    <x v="61"/>
    <d v="2024-03-12T22:00:00"/>
    <d v="2024-09-03T21:00:00"/>
    <s v="Cisco Associate-level Certification"/>
    <s v="CCNA R&amp;S"/>
    <x v="11"/>
    <s v="CCNA 3 v7 - 11 Mar 2024 - remote"/>
    <s v="English"/>
    <s v="7.02"/>
    <s v="8109010"/>
    <s v="Bogdan"/>
    <s v="Nastase"/>
    <n v="11"/>
    <n v="9"/>
    <n v="4"/>
    <m/>
    <m/>
    <m/>
  </r>
  <r>
    <x v="4"/>
    <x v="4"/>
    <x v="3"/>
    <x v="62"/>
    <d v="2024-03-24T22:00:00"/>
    <d v="2025-02-24T00:00:00"/>
    <s v="Introductory Technical Skills"/>
    <s v="Linux"/>
    <x v="19"/>
    <s v="Linux Unhatched - Stefan"/>
    <s v="English"/>
    <s v="2.1"/>
    <s v="50664416"/>
    <s v="Stefan Iulian"/>
    <s v="ENACHE"/>
    <n v="1"/>
    <n v="0"/>
    <n v="0"/>
    <m/>
    <m/>
    <m/>
  </r>
  <r>
    <x v="4"/>
    <x v="4"/>
    <x v="3"/>
    <x v="2"/>
    <m/>
    <m/>
    <m/>
    <m/>
    <x v="2"/>
    <m/>
    <m/>
    <m/>
    <s v="8109010"/>
    <s v="Bogdan"/>
    <s v="Nastase"/>
    <n v="1"/>
    <n v="0"/>
    <n v="0"/>
    <m/>
    <m/>
    <m/>
  </r>
  <r>
    <x v="4"/>
    <x v="4"/>
    <x v="3"/>
    <x v="63"/>
    <d v="2024-05-23T21:00:00"/>
    <d v="2024-08-23T21:00:00"/>
    <s v="3rd Party Technical Certification"/>
    <s v="C++"/>
    <x v="20"/>
    <s v="C++ Programming - Modul 1 - Mai 2024 - online"/>
    <s v="English"/>
    <s v="2.00 - Instructor-Le"/>
    <s v="1000958607"/>
    <s v="Denisa"/>
    <s v="Hriscu"/>
    <n v="1"/>
    <n v="1"/>
    <n v="0"/>
    <m/>
    <m/>
    <m/>
  </r>
  <r>
    <x v="4"/>
    <x v="4"/>
    <x v="3"/>
    <x v="2"/>
    <m/>
    <m/>
    <m/>
    <m/>
    <x v="2"/>
    <m/>
    <m/>
    <m/>
    <s v="8109010"/>
    <s v="Bogdan"/>
    <s v="Nastase"/>
    <n v="1"/>
    <n v="1"/>
    <n v="0"/>
    <m/>
    <m/>
    <m/>
  </r>
  <r>
    <x v="4"/>
    <x v="4"/>
    <x v="3"/>
    <x v="64"/>
    <d v="2024-04-02T21:00:00"/>
    <d v="2024-10-14T21:00:00"/>
    <s v="Cisco Associate-level Certification"/>
    <s v="CCNA R&amp;S"/>
    <x v="5"/>
    <s v="CCNA 1 v7 - 03 Apr 2024 - remote"/>
    <s v="English"/>
    <s v="7.02"/>
    <s v="8109010"/>
    <s v="Bogdan"/>
    <s v="Nastase"/>
    <n v="8"/>
    <n v="8"/>
    <n v="2"/>
    <m/>
    <m/>
    <m/>
  </r>
  <r>
    <x v="4"/>
    <x v="4"/>
    <x v="3"/>
    <x v="65"/>
    <d v="2024-06-04T21:00:00"/>
    <d v="2024-09-04T21:00:00"/>
    <s v="3rd Party Technical Certification"/>
    <s v="C++"/>
    <x v="20"/>
    <s v="C++ Programming - Modul 1 - Iun 2024 - online"/>
    <s v="English"/>
    <s v="2.00 - Instructor-Le"/>
    <s v="1000958607"/>
    <s v="Denisa"/>
    <s v="Hriscu"/>
    <n v="2"/>
    <n v="0"/>
    <n v="0"/>
    <m/>
    <m/>
    <m/>
  </r>
  <r>
    <x v="4"/>
    <x v="4"/>
    <x v="3"/>
    <x v="2"/>
    <m/>
    <m/>
    <m/>
    <m/>
    <x v="2"/>
    <m/>
    <m/>
    <m/>
    <s v="8109010"/>
    <s v="Bogdan"/>
    <s v="Nastase"/>
    <n v="2"/>
    <n v="0"/>
    <n v="0"/>
    <m/>
    <m/>
    <m/>
  </r>
  <r>
    <x v="4"/>
    <x v="4"/>
    <x v="3"/>
    <x v="66"/>
    <d v="2024-05-09T21:00:00"/>
    <d v="2024-08-09T21:00:00"/>
    <s v="3rd Party Technical Certification"/>
    <s v="Linux"/>
    <x v="21"/>
    <s v="Linux Essentials (LPI Essentials) - Mai 2024 - online"/>
    <s v="English"/>
    <s v="2.21 - Instructor - "/>
    <s v="1000958607"/>
    <s v="Denisa"/>
    <s v="Hriscu"/>
    <n v="2"/>
    <n v="2"/>
    <n v="0"/>
    <m/>
    <m/>
    <m/>
  </r>
  <r>
    <x v="4"/>
    <x v="4"/>
    <x v="3"/>
    <x v="2"/>
    <m/>
    <m/>
    <m/>
    <m/>
    <x v="2"/>
    <m/>
    <m/>
    <m/>
    <s v="8109010"/>
    <s v="Bogdan"/>
    <s v="Nastase"/>
    <n v="2"/>
    <n v="2"/>
    <n v="0"/>
    <m/>
    <m/>
    <m/>
  </r>
  <r>
    <x v="4"/>
    <x v="4"/>
    <x v="3"/>
    <x v="67"/>
    <d v="2024-05-05T21:00:00"/>
    <d v="2024-09-26T21:00:00"/>
    <s v="Cisco Associate-level Certification"/>
    <s v="CCNA R&amp;S"/>
    <x v="5"/>
    <s v="CCNA 1 v7 - 07 Mai 2024 - remote"/>
    <s v="English"/>
    <s v="7.02"/>
    <s v="50664416"/>
    <s v="Stefan Iulian"/>
    <s v="ENACHE"/>
    <n v="20"/>
    <n v="19"/>
    <n v="13"/>
    <m/>
    <m/>
    <m/>
  </r>
  <r>
    <x v="4"/>
    <x v="4"/>
    <x v="3"/>
    <x v="2"/>
    <m/>
    <m/>
    <m/>
    <m/>
    <x v="2"/>
    <m/>
    <m/>
    <m/>
    <s v="8109010"/>
    <s v="Bogdan"/>
    <s v="Nastase"/>
    <n v="20"/>
    <n v="19"/>
    <n v="13"/>
    <m/>
    <m/>
    <m/>
  </r>
  <r>
    <x v="4"/>
    <x v="4"/>
    <x v="3"/>
    <x v="68"/>
    <d v="2024-05-15T21:00:00"/>
    <d v="2024-08-20T21:00:00"/>
    <s v="Intermediate Technical Skills"/>
    <s v="Cybersecurity"/>
    <x v="14"/>
    <s v="Network Security - Mai 2024 - online"/>
    <s v="English"/>
    <s v="1"/>
    <s v="8109010"/>
    <s v="Bogdan"/>
    <s v="Nastase"/>
    <n v="1"/>
    <n v="1"/>
    <n v="1"/>
    <m/>
    <m/>
    <m/>
  </r>
  <r>
    <x v="4"/>
    <x v="4"/>
    <x v="3"/>
    <x v="69"/>
    <d v="2024-06-02T10:00:00"/>
    <d v="2024-09-17T10:00:00"/>
    <s v="3rd Party Technical Certification"/>
    <s v="Linux"/>
    <x v="22"/>
    <s v="Linux Advanced (LPIC1 - examen 2) - Iun 2024 - online"/>
    <s v="English"/>
    <s v="2.21 - Instructor - "/>
    <s v="1000958607"/>
    <s v="Denisa"/>
    <s v="Hriscu"/>
    <n v="2"/>
    <n v="2"/>
    <n v="2"/>
    <m/>
    <m/>
    <m/>
  </r>
  <r>
    <x v="4"/>
    <x v="4"/>
    <x v="3"/>
    <x v="2"/>
    <m/>
    <m/>
    <m/>
    <m/>
    <x v="2"/>
    <m/>
    <m/>
    <m/>
    <s v="8109010"/>
    <s v="Bogdan"/>
    <s v="Nastase"/>
    <n v="2"/>
    <n v="2"/>
    <n v="2"/>
    <m/>
    <m/>
    <m/>
  </r>
  <r>
    <x v="4"/>
    <x v="4"/>
    <x v="3"/>
    <x v="70"/>
    <d v="2024-05-12T21:00:00"/>
    <d v="2024-08-29T21:00:00"/>
    <s v="Cisco Associate-level Certification"/>
    <s v="CCNA R&amp;S"/>
    <x v="5"/>
    <s v="CCNA 1 v7 - Mai 2024 - online"/>
    <s v="English"/>
    <s v="7.02"/>
    <s v="8109010"/>
    <s v="Bogdan"/>
    <s v="Nastase"/>
    <n v="5"/>
    <n v="5"/>
    <n v="2"/>
    <m/>
    <m/>
    <m/>
  </r>
  <r>
    <x v="4"/>
    <x v="4"/>
    <x v="3"/>
    <x v="71"/>
    <d v="2024-05-14T21:00:00"/>
    <d v="2024-08-30T21:00:00"/>
    <s v="Cisco Associate-level Certification"/>
    <s v="CCNA R&amp;S"/>
    <x v="4"/>
    <s v="CCNA 2 v7 - Mai 2024 - online"/>
    <s v="English"/>
    <s v="7.02"/>
    <s v="8109010"/>
    <s v="Bogdan"/>
    <s v="Nastase"/>
    <n v="3"/>
    <n v="3"/>
    <n v="1"/>
    <m/>
    <m/>
    <m/>
  </r>
  <r>
    <x v="4"/>
    <x v="4"/>
    <x v="3"/>
    <x v="72"/>
    <d v="2024-05-14T21:00:00"/>
    <d v="2024-08-14T21:00:00"/>
    <s v="Cisco Associate-level Certification"/>
    <s v="CCNA R&amp;S"/>
    <x v="11"/>
    <s v="CCNA 3 v7 - Mai 2024 - online"/>
    <s v="English"/>
    <s v="7.02"/>
    <s v="8109010"/>
    <s v="Bogdan"/>
    <s v="Nastase"/>
    <n v="3"/>
    <n v="3"/>
    <n v="1"/>
    <m/>
    <m/>
    <m/>
  </r>
  <r>
    <x v="4"/>
    <x v="4"/>
    <x v="3"/>
    <x v="73"/>
    <d v="2024-06-06T21:00:00"/>
    <d v="2024-09-06T21:00:00"/>
    <s v="3rd Party Technical Certification"/>
    <s v="Python"/>
    <x v="12"/>
    <s v="Python Fundamentals - 10 Iun 2024 - remote"/>
    <s v="English"/>
    <s v="2.1"/>
    <s v="1000958607"/>
    <s v="Denisa"/>
    <s v="Hriscu"/>
    <n v="6"/>
    <n v="6"/>
    <n v="0"/>
    <m/>
    <m/>
    <m/>
  </r>
  <r>
    <x v="4"/>
    <x v="4"/>
    <x v="3"/>
    <x v="2"/>
    <m/>
    <m/>
    <m/>
    <m/>
    <x v="2"/>
    <m/>
    <m/>
    <m/>
    <s v="8109010"/>
    <s v="Bogdan"/>
    <s v="Nastase"/>
    <n v="6"/>
    <n v="6"/>
    <n v="0"/>
    <m/>
    <m/>
    <m/>
  </r>
  <r>
    <x v="4"/>
    <x v="4"/>
    <x v="3"/>
    <x v="74"/>
    <d v="2024-06-06T21:00:00"/>
    <d v="2024-09-06T21:00:00"/>
    <s v="Intermediate Technical Skills"/>
    <s v="Cybersecurity"/>
    <x v="14"/>
    <s v="Network Security - Iun 2024 - online"/>
    <s v="English"/>
    <s v="1"/>
    <s v="8109010"/>
    <s v="Bogdan"/>
    <s v="Nastase"/>
    <n v="1"/>
    <n v="1"/>
    <n v="1"/>
    <m/>
    <m/>
    <m/>
  </r>
  <r>
    <x v="4"/>
    <x v="4"/>
    <x v="3"/>
    <x v="75"/>
    <d v="2024-06-02T21:00:00"/>
    <d v="2024-09-02T21:00:00"/>
    <s v="Cisco Associate-level Certification"/>
    <s v="CCNA R&amp;S"/>
    <x v="11"/>
    <s v="CCNA 3 v7 - Iun 2024 - online"/>
    <s v="English"/>
    <s v="7.02"/>
    <s v="8109010"/>
    <s v="Bogdan"/>
    <s v="Nastase"/>
    <n v="1"/>
    <n v="1"/>
    <n v="0"/>
    <m/>
    <m/>
    <m/>
  </r>
  <r>
    <x v="4"/>
    <x v="4"/>
    <x v="3"/>
    <x v="76"/>
    <d v="2024-06-02T10:00:00"/>
    <d v="2024-10-03T10:00:00"/>
    <s v="Cisco Associate-level Certification"/>
    <s v="CCNA R&amp;S"/>
    <x v="5"/>
    <s v="CCNA 1 v7 - Iun 2024 - online"/>
    <s v="English"/>
    <s v="7.02"/>
    <s v="8109010"/>
    <s v="Bogdan"/>
    <s v="Nastase"/>
    <n v="9"/>
    <n v="9"/>
    <n v="2"/>
    <m/>
    <m/>
    <m/>
  </r>
  <r>
    <x v="4"/>
    <x v="4"/>
    <x v="3"/>
    <x v="77"/>
    <d v="2024-06-02T21:00:00"/>
    <d v="2024-09-17T21:00:00"/>
    <s v="Cisco Associate-level Certification"/>
    <s v="CCNA R&amp;S"/>
    <x v="4"/>
    <s v="CCNA 2 v7 - Iun 2024 - online"/>
    <s v="English"/>
    <s v="7.02"/>
    <s v="8109010"/>
    <s v="Bogdan"/>
    <s v="Nastase"/>
    <n v="2"/>
    <n v="2"/>
    <n v="0"/>
    <m/>
    <m/>
    <m/>
  </r>
  <r>
    <x v="4"/>
    <x v="4"/>
    <x v="3"/>
    <x v="78"/>
    <d v="2024-06-19T21:00:00"/>
    <d v="2024-09-19T21:00:00"/>
    <s v="3rd Party Technical Certification"/>
    <s v="Linux"/>
    <x v="23"/>
    <s v="Linux Fundamentals (LPIC1 - examen 1) - Iun 2024 - online"/>
    <s v="English"/>
    <s v="2.21 - Instructor - "/>
    <s v="1000958607"/>
    <s v="Denisa"/>
    <s v="Hriscu"/>
    <n v="1"/>
    <n v="1"/>
    <n v="0"/>
    <m/>
    <m/>
    <m/>
  </r>
  <r>
    <x v="4"/>
    <x v="4"/>
    <x v="3"/>
    <x v="2"/>
    <m/>
    <m/>
    <m/>
    <m/>
    <x v="2"/>
    <m/>
    <m/>
    <m/>
    <s v="8109010"/>
    <s v="Bogdan"/>
    <s v="Nastase"/>
    <n v="1"/>
    <n v="1"/>
    <n v="0"/>
    <m/>
    <m/>
    <m/>
  </r>
  <r>
    <x v="4"/>
    <x v="4"/>
    <x v="3"/>
    <x v="79"/>
    <d v="2024-06-15T10:00:00"/>
    <d v="2025-01-09T10:00:00"/>
    <s v="Cisco Associate-level Certification"/>
    <s v="CCNA R&amp;S"/>
    <x v="11"/>
    <s v="CCNA 3 v7 - 17 Iun 2024 - remote"/>
    <s v="English"/>
    <s v="7.02"/>
    <s v="50664416"/>
    <s v="Stefan Iulian"/>
    <s v="ENACHE"/>
    <n v="14"/>
    <n v="13"/>
    <n v="10"/>
    <m/>
    <m/>
    <m/>
  </r>
  <r>
    <x v="4"/>
    <x v="4"/>
    <x v="3"/>
    <x v="2"/>
    <m/>
    <m/>
    <m/>
    <m/>
    <x v="2"/>
    <m/>
    <m/>
    <m/>
    <s v="8109010"/>
    <s v="Bogdan"/>
    <s v="Nastase"/>
    <n v="14"/>
    <n v="13"/>
    <n v="10"/>
    <m/>
    <m/>
    <m/>
  </r>
  <r>
    <x v="4"/>
    <x v="4"/>
    <x v="3"/>
    <x v="80"/>
    <d v="2024-06-30T10:00:00"/>
    <d v="2024-10-29T10:00:00"/>
    <s v="Cisco Associate-level Certification"/>
    <s v="CCNA R&amp;S"/>
    <x v="5"/>
    <s v="CCNA 1 v7 - Iul 2024 - online"/>
    <s v="English"/>
    <s v="7.02"/>
    <s v="8109010"/>
    <s v="Bogdan"/>
    <s v="Nastase"/>
    <n v="7"/>
    <n v="7"/>
    <n v="3"/>
    <m/>
    <m/>
    <m/>
  </r>
  <r>
    <x v="4"/>
    <x v="4"/>
    <x v="3"/>
    <x v="81"/>
    <d v="2024-07-02T21:00:00"/>
    <d v="2024-10-02T21:00:00"/>
    <s v="Cisco Associate-level Certification"/>
    <s v="CCNA R&amp;S"/>
    <x v="11"/>
    <s v="CCNA 3 v7 - Iul 2024 - online"/>
    <s v="English"/>
    <s v="7.02"/>
    <s v="8109010"/>
    <s v="Bogdan"/>
    <s v="Nastase"/>
    <n v="2"/>
    <n v="2"/>
    <n v="0"/>
    <m/>
    <m/>
    <m/>
  </r>
  <r>
    <x v="4"/>
    <x v="4"/>
    <x v="3"/>
    <x v="82"/>
    <d v="2024-07-02T21:00:00"/>
    <d v="2024-10-02T21:00:00"/>
    <s v="Cisco Associate-level Certification"/>
    <s v="CCNA R&amp;S"/>
    <x v="4"/>
    <s v="CCNA 2 v7 - Iul 2024 - online"/>
    <s v="English"/>
    <s v="7.02"/>
    <s v="8109010"/>
    <s v="Bogdan"/>
    <s v="Nastase"/>
    <n v="1"/>
    <n v="1"/>
    <n v="0"/>
    <m/>
    <m/>
    <m/>
  </r>
  <r>
    <x v="4"/>
    <x v="4"/>
    <x v="3"/>
    <x v="83"/>
    <d v="2024-07-03T21:00:00"/>
    <d v="2025-01-08T22:00:00"/>
    <s v="Cisco Associate-level Certification"/>
    <s v="CCNA R&amp;S"/>
    <x v="5"/>
    <s v="CCNA 1 v7 - 04 Iul 2024 - remote"/>
    <s v="English"/>
    <s v="7.02"/>
    <s v="50664416"/>
    <s v="Stefan Iulian"/>
    <s v="ENACHE"/>
    <n v="15"/>
    <n v="15"/>
    <n v="9"/>
    <m/>
    <m/>
    <m/>
  </r>
  <r>
    <x v="4"/>
    <x v="4"/>
    <x v="3"/>
    <x v="2"/>
    <m/>
    <m/>
    <m/>
    <m/>
    <x v="2"/>
    <m/>
    <m/>
    <m/>
    <s v="8109010"/>
    <s v="Bogdan"/>
    <s v="Nastase"/>
    <n v="15"/>
    <n v="15"/>
    <n v="9"/>
    <m/>
    <m/>
    <m/>
  </r>
  <r>
    <x v="4"/>
    <x v="4"/>
    <x v="3"/>
    <x v="84"/>
    <d v="2024-07-11T21:00:00"/>
    <d v="2024-10-11T21:00:00"/>
    <s v="3rd Party Technical Certification"/>
    <s v="C++"/>
    <x v="20"/>
    <s v="C++ Programming - Modul 1 - Iul 2024 - online"/>
    <s v="English"/>
    <s v="2.00 - Instructor-Le"/>
    <s v="1000958607"/>
    <s v="Denisa"/>
    <s v="Hriscu"/>
    <n v="2"/>
    <n v="2"/>
    <n v="1"/>
    <m/>
    <m/>
    <m/>
  </r>
  <r>
    <x v="4"/>
    <x v="4"/>
    <x v="3"/>
    <x v="2"/>
    <m/>
    <m/>
    <m/>
    <m/>
    <x v="2"/>
    <m/>
    <m/>
    <m/>
    <s v="8109010"/>
    <s v="Bogdan"/>
    <s v="Nastase"/>
    <n v="2"/>
    <n v="2"/>
    <n v="1"/>
    <m/>
    <m/>
    <m/>
  </r>
  <r>
    <x v="4"/>
    <x v="4"/>
    <x v="3"/>
    <x v="85"/>
    <d v="2024-07-11T21:00:00"/>
    <d v="2024-10-11T21:00:00"/>
    <s v="3rd Party Technical Certification"/>
    <s v="IT Essentials"/>
    <x v="3"/>
    <s v="IT Essentials - Iul 2024 - online"/>
    <s v="English"/>
    <s v="7.02"/>
    <s v="1000958607"/>
    <s v="Denisa"/>
    <s v="Hriscu"/>
    <n v="1"/>
    <n v="1"/>
    <n v="0"/>
    <m/>
    <m/>
    <m/>
  </r>
  <r>
    <x v="4"/>
    <x v="4"/>
    <x v="3"/>
    <x v="2"/>
    <m/>
    <m/>
    <m/>
    <m/>
    <x v="2"/>
    <m/>
    <m/>
    <m/>
    <s v="8109010"/>
    <s v="Bogdan"/>
    <s v="Nastase"/>
    <n v="1"/>
    <n v="1"/>
    <n v="0"/>
    <m/>
    <m/>
    <m/>
  </r>
  <r>
    <x v="4"/>
    <x v="4"/>
    <x v="3"/>
    <x v="86"/>
    <d v="2024-07-16T21:00:00"/>
    <d v="2025-02-23T22:00:00"/>
    <s v="3rd Party Technical Certification"/>
    <s v="C++"/>
    <x v="20"/>
    <s v="C++ Essentials STEFAN"/>
    <s v="English"/>
    <s v="2.00 - Instructor-Le"/>
    <s v="50664416"/>
    <s v="Stefan Iulian"/>
    <s v="ENACHE"/>
    <n v="1"/>
    <n v="1"/>
    <n v="0"/>
    <m/>
    <m/>
    <m/>
  </r>
  <r>
    <x v="4"/>
    <x v="4"/>
    <x v="3"/>
    <x v="2"/>
    <m/>
    <m/>
    <m/>
    <m/>
    <x v="2"/>
    <m/>
    <m/>
    <m/>
    <s v="8109010"/>
    <s v="Bogdan"/>
    <s v="Nastase"/>
    <n v="1"/>
    <n v="1"/>
    <n v="0"/>
    <m/>
    <m/>
    <m/>
  </r>
  <r>
    <x v="4"/>
    <x v="4"/>
    <x v="3"/>
    <x v="87"/>
    <d v="2024-07-27T21:00:00"/>
    <d v="2025-02-23T22:00:00"/>
    <s v="Cisco Associate-level Certification"/>
    <s v="CCNA R&amp;S"/>
    <x v="4"/>
    <s v="CCNA 2 v7 - 03 Sep 2024 - remote"/>
    <s v="English"/>
    <s v="7.02"/>
    <s v="50664416"/>
    <s v="Stefan Iulian"/>
    <s v="ENACHE"/>
    <n v="22"/>
    <n v="10"/>
    <n v="0"/>
    <m/>
    <m/>
    <m/>
  </r>
  <r>
    <x v="4"/>
    <x v="4"/>
    <x v="3"/>
    <x v="2"/>
    <m/>
    <m/>
    <m/>
    <m/>
    <x v="2"/>
    <m/>
    <m/>
    <m/>
    <s v="8109010"/>
    <s v="Bogdan"/>
    <s v="Nastase"/>
    <n v="22"/>
    <n v="10"/>
    <n v="0"/>
    <m/>
    <m/>
    <m/>
  </r>
  <r>
    <x v="4"/>
    <x v="4"/>
    <x v="3"/>
    <x v="88"/>
    <d v="2024-08-08T21:00:00"/>
    <d v="2024-11-29T22:00:00"/>
    <s v="Cisco Associate-level Certification"/>
    <s v="CCNA R&amp;S"/>
    <x v="4"/>
    <s v="CCNA 2 v7 - Aug 2024 - online"/>
    <s v="English"/>
    <s v="7.02"/>
    <s v="8109010"/>
    <s v="Bogdan"/>
    <s v="Nastase"/>
    <n v="3"/>
    <n v="1"/>
    <n v="0"/>
    <m/>
    <m/>
    <m/>
  </r>
  <r>
    <x v="4"/>
    <x v="4"/>
    <x v="3"/>
    <x v="89"/>
    <d v="2024-08-11T21:00:00"/>
    <d v="2024-11-29T22:00:00"/>
    <s v="3rd Party Technical Certification"/>
    <s v="Linux"/>
    <x v="21"/>
    <s v="Linux Essentials (LPI Essentials) - Aug 2024 - online"/>
    <s v="English"/>
    <s v="2.21 - Instructor - "/>
    <s v="1000958607"/>
    <s v="Denisa"/>
    <s v="Hriscu"/>
    <n v="2"/>
    <n v="2"/>
    <n v="1"/>
    <m/>
    <m/>
    <m/>
  </r>
  <r>
    <x v="4"/>
    <x v="4"/>
    <x v="3"/>
    <x v="2"/>
    <m/>
    <m/>
    <m/>
    <m/>
    <x v="2"/>
    <m/>
    <m/>
    <m/>
    <s v="8109010"/>
    <s v="Bogdan"/>
    <s v="Nastase"/>
    <n v="2"/>
    <n v="2"/>
    <n v="1"/>
    <m/>
    <m/>
    <m/>
  </r>
  <r>
    <x v="4"/>
    <x v="4"/>
    <x v="3"/>
    <x v="90"/>
    <d v="2024-08-18T10:00:00"/>
    <d v="2025-02-06T10:00:00"/>
    <s v="Cisco Associate-level Certification"/>
    <s v="CCNA R&amp;S"/>
    <x v="5"/>
    <s v="CCNA 1 v7 - 19 Aug 2024 - remote"/>
    <s v="English"/>
    <s v="7.02"/>
    <s v="8109010"/>
    <s v="Bogdan"/>
    <s v="Nastase"/>
    <n v="16"/>
    <n v="14"/>
    <n v="10"/>
    <m/>
    <m/>
    <m/>
  </r>
  <r>
    <x v="4"/>
    <x v="4"/>
    <x v="3"/>
    <x v="91"/>
    <d v="2024-09-18T11:50:44"/>
    <d v="2024-12-31T21:59:59"/>
    <s v="3rd Party Technical Certification"/>
    <s v="Python"/>
    <x v="16"/>
    <s v="Python Essentials 1"/>
    <s v="English"/>
    <s v="1"/>
    <s v="8109010"/>
    <s v="Bogdan"/>
    <s v="Nastase"/>
    <n v="1"/>
    <n v="1"/>
    <n v="0"/>
    <m/>
    <m/>
    <m/>
  </r>
  <r>
    <x v="4"/>
    <x v="4"/>
    <x v="3"/>
    <x v="92"/>
    <d v="2024-09-02T11:26:51"/>
    <d v="2024-12-31T21:59:59"/>
    <s v="Cisco Associate-level Certification"/>
    <s v="CCNA R&amp;S"/>
    <x v="8"/>
    <s v="CCNA 2 v7 - Sep 2024 - online"/>
    <s v="English"/>
    <s v="7"/>
    <s v="8109010"/>
    <s v="Bogdan"/>
    <s v="Nastase"/>
    <n v="1"/>
    <n v="1"/>
    <n v="0"/>
    <m/>
    <m/>
    <m/>
  </r>
  <r>
    <x v="4"/>
    <x v="4"/>
    <x v="3"/>
    <x v="93"/>
    <d v="2024-09-20T05:30:05"/>
    <d v="2024-12-31T21:59:59"/>
    <s v="3rd Party Technical Certification"/>
    <s v="C"/>
    <x v="24"/>
    <s v="C Programming - Modul 1 - Sep 2024 - online (Part 1)"/>
    <s v="English"/>
    <s v="1"/>
    <s v="8109010"/>
    <s v="Bogdan"/>
    <s v="Nastase"/>
    <n v="1"/>
    <n v="1"/>
    <n v="0"/>
    <m/>
    <m/>
    <m/>
  </r>
  <r>
    <x v="4"/>
    <x v="4"/>
    <x v="3"/>
    <x v="94"/>
    <d v="2024-08-26T08:04:08"/>
    <d v="2025-12-31T21:59:59"/>
    <s v="Cisco Associate-level Certification"/>
    <s v="CCNA R&amp;S"/>
    <x v="9"/>
    <s v="CCNA 1 TEST STEFAN"/>
    <s v="English"/>
    <s v="7"/>
    <s v="50664416"/>
    <s v="Stefan Iulian"/>
    <s v="ENACHE"/>
    <n v="1"/>
    <n v="1"/>
    <n v="0"/>
    <m/>
    <m/>
    <m/>
  </r>
  <r>
    <x v="4"/>
    <x v="4"/>
    <x v="3"/>
    <x v="2"/>
    <m/>
    <m/>
    <m/>
    <m/>
    <x v="2"/>
    <m/>
    <m/>
    <m/>
    <s v="8109010"/>
    <s v="Bogdan"/>
    <s v="Nastase"/>
    <n v="1"/>
    <n v="1"/>
    <n v="0"/>
    <m/>
    <m/>
    <m/>
  </r>
  <r>
    <x v="4"/>
    <x v="4"/>
    <x v="3"/>
    <x v="95"/>
    <d v="2024-09-20T05:41:28"/>
    <d v="2024-12-31T21:59:59"/>
    <s v="3rd Party Technical Certification"/>
    <s v="C"/>
    <x v="25"/>
    <s v="C Programming - Modul 1 - Sep 2024 - online (Part 2)"/>
    <s v="English"/>
    <s v="1"/>
    <s v="8109010"/>
    <s v="Bogdan"/>
    <s v="Nastase"/>
    <n v="1"/>
    <n v="1"/>
    <n v="0"/>
    <m/>
    <m/>
    <m/>
  </r>
  <r>
    <x v="4"/>
    <x v="4"/>
    <x v="3"/>
    <x v="96"/>
    <d v="2024-09-24T12:47:30"/>
    <d v="2024-12-31T21:59:59"/>
    <s v="3rd Party Technical Certification"/>
    <s v="C++"/>
    <x v="26"/>
    <s v="C++ Programming - Modul 1 - Sep 2024 - online (Part 1)"/>
    <s v="English"/>
    <s v="1"/>
    <s v="8109010"/>
    <s v="Bogdan"/>
    <s v="Nastase"/>
    <n v="1"/>
    <n v="1"/>
    <n v="0"/>
    <m/>
    <m/>
    <m/>
  </r>
  <r>
    <x v="4"/>
    <x v="4"/>
    <x v="3"/>
    <x v="97"/>
    <d v="2024-10-07T06:45:21"/>
    <d v="2025-01-31T21:59:59"/>
    <s v="3rd Party Technical Certification"/>
    <s v="C"/>
    <x v="24"/>
    <s v="C Programming - Modul 1 - Oct 2024 - online (Part 1)"/>
    <s v="English"/>
    <s v="1"/>
    <s v="8109010"/>
    <s v="Bogdan"/>
    <s v="Nastase"/>
    <n v="3"/>
    <n v="2"/>
    <n v="0"/>
    <m/>
    <m/>
    <m/>
  </r>
  <r>
    <x v="4"/>
    <x v="4"/>
    <x v="3"/>
    <x v="98"/>
    <d v="2024-11-04T06:41:00"/>
    <d v="2025-02-28T21:59:59"/>
    <s v="3rd Party Technical Certification"/>
    <s v="IT Essentials"/>
    <x v="13"/>
    <s v="IT Essentials - Noi 2024 - online"/>
    <s v="English"/>
    <s v="8"/>
    <s v="8109010"/>
    <s v="Bogdan"/>
    <s v="Nastase"/>
    <n v="1"/>
    <n v="0"/>
    <n v="0"/>
    <m/>
    <m/>
    <m/>
  </r>
  <r>
    <x v="4"/>
    <x v="4"/>
    <x v="3"/>
    <x v="99"/>
    <d v="2024-11-08T19:50:53"/>
    <d v="2025-02-28T21:59:59"/>
    <s v="3rd Party Technical Certification"/>
    <s v="C"/>
    <x v="25"/>
    <s v="C Programming - Modul 1 - Noi 2024 - online (Part 2)"/>
    <s v="English"/>
    <s v="1"/>
    <s v="8109010"/>
    <s v="Bogdan"/>
    <s v="Nastase"/>
    <n v="1"/>
    <n v="1"/>
    <n v="0"/>
    <m/>
    <m/>
    <m/>
  </r>
  <r>
    <x v="4"/>
    <x v="4"/>
    <x v="3"/>
    <x v="100"/>
    <d v="2024-11-08T19:48:18"/>
    <d v="2025-02-28T21:59:59"/>
    <s v="3rd Party Technical Certification"/>
    <s v="C"/>
    <x v="24"/>
    <s v="C Programming - Modul 1 - Noi 2024 - online (Part 1)"/>
    <s v="English"/>
    <s v="1"/>
    <s v="8109010"/>
    <s v="Bogdan"/>
    <s v="Nastase"/>
    <n v="1"/>
    <n v="1"/>
    <n v="0"/>
    <m/>
    <m/>
    <m/>
  </r>
  <r>
    <x v="4"/>
    <x v="4"/>
    <x v="3"/>
    <x v="101"/>
    <d v="2024-11-04T07:07:20"/>
    <d v="2025-03-04T21:59:59"/>
    <s v="Cisco Associate-level Certification"/>
    <s v="CCNA R&amp;S"/>
    <x v="10"/>
    <s v="CCNA 3 v7 - Noi 2024 - online"/>
    <s v="English"/>
    <s v="1"/>
    <s v="8109010"/>
    <s v="Bogdan"/>
    <s v="Nastase"/>
    <n v="5"/>
    <n v="5"/>
    <n v="5"/>
    <m/>
    <m/>
    <m/>
  </r>
  <r>
    <x v="4"/>
    <x v="4"/>
    <x v="3"/>
    <x v="102"/>
    <d v="2024-09-06T10:58:05"/>
    <d v="2024-12-31T23:59:59"/>
    <s v="3rd Party Technical Certification"/>
    <s v="Linux"/>
    <x v="27"/>
    <s v="Linux Advanced (LPIC1 - examen 2) - Sep 2024 - online"/>
    <s v="English"/>
    <s v="1"/>
    <s v="8109010"/>
    <s v="Bogdan"/>
    <s v="Nastase"/>
    <n v="1"/>
    <n v="0"/>
    <n v="0"/>
    <m/>
    <m/>
    <m/>
  </r>
  <r>
    <x v="4"/>
    <x v="4"/>
    <x v="3"/>
    <x v="103"/>
    <d v="2024-10-03T11:59:51"/>
    <d v="2025-07-31T20:59:59"/>
    <s v="3rd Party Technical Certification"/>
    <s v="Python"/>
    <x v="16"/>
    <s v="Python Fundamentals - 03 Oct 2024 - remote (Part 1)"/>
    <s v="English"/>
    <s v="1"/>
    <s v="1000958607"/>
    <s v="Denisa"/>
    <s v="Hriscu"/>
    <n v="17"/>
    <n v="15"/>
    <n v="9"/>
    <m/>
    <m/>
    <m/>
  </r>
  <r>
    <x v="4"/>
    <x v="4"/>
    <x v="3"/>
    <x v="2"/>
    <m/>
    <m/>
    <m/>
    <m/>
    <x v="2"/>
    <m/>
    <m/>
    <m/>
    <s v="8109010"/>
    <s v="Bogdan"/>
    <s v="Nastase"/>
    <n v="17"/>
    <n v="15"/>
    <n v="9"/>
    <m/>
    <m/>
    <m/>
  </r>
  <r>
    <x v="4"/>
    <x v="4"/>
    <x v="3"/>
    <x v="104"/>
    <d v="2024-12-09T11:04:02"/>
    <d v="2025-03-31T20:59:59"/>
    <s v="Cisco Associate-level Certification"/>
    <s v="CCNA R&amp;S"/>
    <x v="9"/>
    <s v="CCNA 1 v7 - Dec 2024 - online"/>
    <s v="English"/>
    <s v="7"/>
    <s v="8109010"/>
    <s v="Bogdan"/>
    <s v="Nastase"/>
    <n v="6"/>
    <n v="6"/>
    <n v="0"/>
    <m/>
    <m/>
    <m/>
  </r>
  <r>
    <x v="4"/>
    <x v="4"/>
    <x v="3"/>
    <x v="105"/>
    <d v="2024-09-18T12:01:02"/>
    <d v="2024-12-31T21:59:59"/>
    <s v="3rd Party Technical Certification"/>
    <s v="Python"/>
    <x v="28"/>
    <s v="Python Essentials 2"/>
    <s v="English"/>
    <s v="1"/>
    <s v="8109010"/>
    <s v="Bogdan"/>
    <s v="Nastase"/>
    <n v="1"/>
    <n v="1"/>
    <n v="0"/>
    <m/>
    <m/>
    <m/>
  </r>
  <r>
    <x v="4"/>
    <x v="4"/>
    <x v="3"/>
    <x v="106"/>
    <d v="2024-11-13T17:32:31"/>
    <d v="2025-02-28T21:59:59"/>
    <s v="3rd Party Technical Certification"/>
    <s v="C++"/>
    <x v="26"/>
    <s v="C++ Programming - Modul 1 - Noi 2024 online (Part 1)"/>
    <s v="English"/>
    <s v="1"/>
    <s v="8109010"/>
    <s v="Bogdan"/>
    <s v="Nastase"/>
    <n v="1"/>
    <n v="0"/>
    <n v="0"/>
    <m/>
    <m/>
    <m/>
  </r>
  <r>
    <x v="4"/>
    <x v="4"/>
    <x v="3"/>
    <x v="107"/>
    <d v="2024-09-10T17:31:56"/>
    <d v="2025-09-10T20:59:59"/>
    <s v="Cisco Associate-level Certification"/>
    <s v="CCNP R&amp;S"/>
    <x v="29"/>
    <s v="CCNP ENARSI v8.0 - 11 Sep 2024 - remote"/>
    <s v="English"/>
    <s v="1"/>
    <s v="50664416"/>
    <s v="Stefan Iulian"/>
    <s v="ENACHE"/>
    <n v="13"/>
    <n v="12"/>
    <n v="3"/>
    <m/>
    <m/>
    <m/>
  </r>
  <r>
    <x v="4"/>
    <x v="4"/>
    <x v="3"/>
    <x v="108"/>
    <d v="2024-10-07T05:33:11"/>
    <d v="2025-01-31T21:59:59"/>
    <s v="Cisco Associate-level Certification"/>
    <s v="CCNA R&amp;S"/>
    <x v="10"/>
    <s v="CCNA 3 v7 - Oct 2024 - online"/>
    <s v="English"/>
    <s v="1"/>
    <s v="8109010"/>
    <s v="Bogdan"/>
    <s v="Nastase"/>
    <n v="1"/>
    <n v="1"/>
    <n v="0"/>
    <m/>
    <m/>
    <m/>
  </r>
  <r>
    <x v="4"/>
    <x v="4"/>
    <x v="3"/>
    <x v="109"/>
    <d v="2024-09-05T06:31:29"/>
    <d v="2024-12-31T21:59:59"/>
    <s v="3rd Party Technical Certification"/>
    <s v="Linux"/>
    <x v="27"/>
    <s v="Linux Advanced (LPIC1 - examen 2) - Sep 2024 - online"/>
    <s v="English"/>
    <s v="1"/>
    <s v="8109010"/>
    <s v="Bogdan"/>
    <s v="Nastase"/>
    <n v="1"/>
    <n v="0"/>
    <n v="0"/>
    <m/>
    <m/>
    <m/>
  </r>
  <r>
    <x v="4"/>
    <x v="4"/>
    <x v="3"/>
    <x v="110"/>
    <d v="2024-10-07T07:01:43"/>
    <d v="2025-01-31T21:59:59"/>
    <s v="Cisco Associate-level Certification"/>
    <s v="CCNA R&amp;S"/>
    <x v="9"/>
    <s v="CCNA 1 v7 - Oct 2024 - online"/>
    <s v="English"/>
    <s v="7"/>
    <s v="8109010"/>
    <s v="Bogdan"/>
    <s v="Nastase"/>
    <n v="8"/>
    <n v="5"/>
    <n v="0"/>
    <m/>
    <m/>
    <m/>
  </r>
  <r>
    <x v="4"/>
    <x v="4"/>
    <x v="3"/>
    <x v="111"/>
    <d v="2024-10-01T06:59:50"/>
    <d v="2025-01-31T21:59:59"/>
    <s v="Cisco Associate-level Certification"/>
    <s v="CCNA R&amp;S"/>
    <x v="8"/>
    <s v="CCNA 2 v7 - Oct 2024 - online"/>
    <s v="English"/>
    <s v="7"/>
    <s v="8109010"/>
    <s v="Bogdan"/>
    <s v="Nastase"/>
    <n v="2"/>
    <n v="2"/>
    <n v="1"/>
    <m/>
    <m/>
    <m/>
  </r>
  <r>
    <x v="4"/>
    <x v="4"/>
    <x v="3"/>
    <x v="112"/>
    <d v="2024-11-06T22:00:00"/>
    <d v="2025-05-27T20:59:59"/>
    <s v="Cisco Associate-level Certification"/>
    <s v="CCNA R&amp;S"/>
    <x v="9"/>
    <s v="CCNA 1 v7 - 07 Noi 2024 - remote"/>
    <s v="English"/>
    <s v="7"/>
    <s v="8109010"/>
    <s v="Bogdan"/>
    <s v="Nastase"/>
    <n v="13"/>
    <n v="12"/>
    <n v="3"/>
    <m/>
    <m/>
    <m/>
  </r>
  <r>
    <x v="4"/>
    <x v="4"/>
    <x v="3"/>
    <x v="113"/>
    <d v="2024-10-02T05:47:01"/>
    <d v="2025-01-31T21:59:59"/>
    <s v="3rd Party Technical Certification"/>
    <s v="Linux"/>
    <x v="17"/>
    <s v="Linux Essentials (LPI Essentials) - Oct 2024 - online"/>
    <s v="English"/>
    <s v="2"/>
    <s v="8109010"/>
    <s v="Bogdan"/>
    <s v="Nastase"/>
    <n v="1"/>
    <n v="1"/>
    <n v="0"/>
    <m/>
    <m/>
    <m/>
  </r>
  <r>
    <x v="4"/>
    <x v="4"/>
    <x v="3"/>
    <x v="114"/>
    <d v="2024-12-05T15:53:33"/>
    <d v="2025-11-30T21:59:59"/>
    <s v="Cisco Associate-level Certification"/>
    <s v="CCNA R&amp;S"/>
    <x v="8"/>
    <s v="CCNA 2 v7 - 05 Dec 2024 - remote"/>
    <s v="English"/>
    <s v="7"/>
    <s v="50664416"/>
    <s v="Stefan Iulian"/>
    <s v="ENACHE"/>
    <n v="20"/>
    <n v="18"/>
    <n v="11"/>
    <m/>
    <m/>
    <m/>
  </r>
  <r>
    <x v="4"/>
    <x v="4"/>
    <x v="3"/>
    <x v="2"/>
    <m/>
    <m/>
    <m/>
    <m/>
    <x v="2"/>
    <m/>
    <m/>
    <m/>
    <s v="8109010"/>
    <s v="Bogdan"/>
    <s v="Nastase"/>
    <n v="20"/>
    <n v="18"/>
    <n v="11"/>
    <m/>
    <m/>
    <m/>
  </r>
  <r>
    <x v="4"/>
    <x v="4"/>
    <x v="3"/>
    <x v="115"/>
    <d v="2024-09-20T08:43:58"/>
    <d v="2024-12-31T21:59:59"/>
    <s v="3rd Party Technical Certification"/>
    <s v="Linux"/>
    <x v="17"/>
    <s v="Linux Essentials (LPI Essentials) - Sep 2024 - online"/>
    <s v="English"/>
    <s v="2"/>
    <s v="8109010"/>
    <s v="Bogdan"/>
    <s v="Nastase"/>
    <n v="2"/>
    <n v="1"/>
    <n v="1"/>
    <m/>
    <m/>
    <m/>
  </r>
  <r>
    <x v="4"/>
    <x v="4"/>
    <x v="3"/>
    <x v="116"/>
    <d v="2024-09-20T08:45:44"/>
    <d v="2025-03-25T21:59:59"/>
    <s v="Cisco Associate-level Certification"/>
    <s v="CCNA R&amp;S"/>
    <x v="9"/>
    <s v="CCNA 1 v7 - 23 Sep 2024 - remote"/>
    <s v="English"/>
    <s v="7"/>
    <s v="50664416"/>
    <s v="Stefan Iulian"/>
    <s v="ENACHE"/>
    <n v="22"/>
    <n v="22"/>
    <n v="14"/>
    <m/>
    <m/>
    <m/>
  </r>
  <r>
    <x v="4"/>
    <x v="4"/>
    <x v="3"/>
    <x v="2"/>
    <m/>
    <m/>
    <m/>
    <m/>
    <x v="2"/>
    <m/>
    <m/>
    <m/>
    <s v="8109010"/>
    <s v="Bogdan"/>
    <s v="Nastase"/>
    <n v="22"/>
    <n v="22"/>
    <n v="14"/>
    <m/>
    <m/>
    <m/>
  </r>
  <r>
    <x v="4"/>
    <x v="4"/>
    <x v="3"/>
    <x v="117"/>
    <d v="2024-10-04T06:59:48"/>
    <d v="2025-01-31T21:59:59"/>
    <s v="3rd Party Technical Certification"/>
    <s v="C++"/>
    <x v="26"/>
    <s v="C++ Programming - Modul 1 - Oct 2024 - online (Part 1)"/>
    <s v="English"/>
    <s v="1"/>
    <s v="8109010"/>
    <s v="Bogdan"/>
    <s v="Nastase"/>
    <n v="1"/>
    <n v="1"/>
    <n v="1"/>
    <m/>
    <m/>
    <m/>
  </r>
  <r>
    <x v="4"/>
    <x v="4"/>
    <x v="3"/>
    <x v="118"/>
    <d v="2024-10-12T07:55:10"/>
    <d v="2025-10-31T21:59:59"/>
    <s v="Cisco Associate-level Certification"/>
    <s v="CCNA R&amp;S"/>
    <x v="10"/>
    <s v="CCNA 3 TEST STEFAN"/>
    <s v="English"/>
    <s v="1"/>
    <s v="50664416"/>
    <s v="Stefan Iulian"/>
    <s v="ENACHE"/>
    <n v="2"/>
    <n v="2"/>
    <n v="0"/>
    <m/>
    <m/>
    <m/>
  </r>
  <r>
    <x v="4"/>
    <x v="4"/>
    <x v="3"/>
    <x v="2"/>
    <m/>
    <m/>
    <m/>
    <m/>
    <x v="2"/>
    <m/>
    <m/>
    <m/>
    <s v="8109010"/>
    <s v="Bogdan"/>
    <s v="Nastase"/>
    <n v="2"/>
    <n v="2"/>
    <n v="0"/>
    <m/>
    <m/>
    <m/>
  </r>
  <r>
    <x v="4"/>
    <x v="4"/>
    <x v="3"/>
    <x v="119"/>
    <d v="2024-08-27T09:45:15"/>
    <d v="2024-09-30T22:59:59"/>
    <s v="Cisco Associate-level Certification"/>
    <s v="CCNA R&amp;S"/>
    <x v="10"/>
    <s v="CCNA: Enterprise Networking, Security, and Automation"/>
    <s v="English"/>
    <s v="1"/>
    <s v="8109010"/>
    <s v="Bogdan"/>
    <s v="Nastase"/>
    <n v="3"/>
    <n v="0"/>
    <n v="0"/>
    <m/>
    <m/>
    <m/>
  </r>
  <r>
    <x v="4"/>
    <x v="4"/>
    <x v="3"/>
    <x v="120"/>
    <d v="2024-10-24T10:50:23"/>
    <d v="2025-10-24T20:59:59"/>
    <s v="Cisco Associate-level Certification"/>
    <s v="CCNA R&amp;S"/>
    <x v="9"/>
    <s v="CCNA 1 v7 - 26 Oct 2024 - remote"/>
    <s v="English"/>
    <s v="7"/>
    <s v="50664416"/>
    <s v="Stefan Iulian"/>
    <s v="ENACHE"/>
    <n v="19"/>
    <n v="19"/>
    <n v="12"/>
    <m/>
    <m/>
    <m/>
  </r>
  <r>
    <x v="4"/>
    <x v="4"/>
    <x v="3"/>
    <x v="2"/>
    <m/>
    <m/>
    <m/>
    <m/>
    <x v="2"/>
    <m/>
    <m/>
    <m/>
    <s v="8109010"/>
    <s v="Bogdan"/>
    <s v="Nastase"/>
    <n v="19"/>
    <n v="19"/>
    <n v="12"/>
    <m/>
    <m/>
    <m/>
  </r>
  <r>
    <x v="4"/>
    <x v="4"/>
    <x v="3"/>
    <x v="121"/>
    <d v="2024-10-03T12:06:16"/>
    <d v="2025-03-18T21:59:59"/>
    <s v="3rd Party Technical Certification"/>
    <s v="Python"/>
    <x v="28"/>
    <s v="Python Fundamentals - 03 Oct 2024 - remote (Part 2)"/>
    <s v="English"/>
    <s v="1"/>
    <s v="1000958607"/>
    <s v="Denisa"/>
    <s v="Hriscu"/>
    <n v="17"/>
    <n v="11"/>
    <n v="7"/>
    <m/>
    <m/>
    <m/>
  </r>
  <r>
    <x v="4"/>
    <x v="4"/>
    <x v="3"/>
    <x v="2"/>
    <m/>
    <m/>
    <m/>
    <m/>
    <x v="2"/>
    <m/>
    <m/>
    <m/>
    <s v="8109010"/>
    <s v="Bogdan"/>
    <s v="Nastase"/>
    <n v="17"/>
    <n v="11"/>
    <n v="7"/>
    <m/>
    <m/>
    <m/>
  </r>
  <r>
    <x v="4"/>
    <x v="4"/>
    <x v="3"/>
    <x v="122"/>
    <d v="2024-11-04T07:21:44"/>
    <d v="2025-02-28T21:59:59"/>
    <s v="Cisco Associate-level Certification"/>
    <s v="CCNA R&amp;S"/>
    <x v="9"/>
    <s v="CCNA 1 v7 - Noi 2024 - online"/>
    <s v="English"/>
    <s v="7"/>
    <s v="8109010"/>
    <s v="Bogdan"/>
    <s v="Nastase"/>
    <n v="7"/>
    <n v="7"/>
    <n v="2"/>
    <m/>
    <m/>
    <m/>
  </r>
  <r>
    <x v="4"/>
    <x v="4"/>
    <x v="3"/>
    <x v="123"/>
    <d v="2024-08-28T15:09:12"/>
    <d v="2024-11-30T21:59:59"/>
    <s v="Cisco Associate-level Certification"/>
    <s v="CCNA R&amp;S"/>
    <x v="9"/>
    <s v="CCNA 1 v7 - Aug 2024 - online"/>
    <s v="English"/>
    <s v="7"/>
    <s v="8109010"/>
    <s v="Bogdan"/>
    <s v="Nastase"/>
    <n v="2"/>
    <n v="2"/>
    <n v="0"/>
    <m/>
    <m/>
    <m/>
  </r>
  <r>
    <x v="4"/>
    <x v="4"/>
    <x v="3"/>
    <x v="124"/>
    <d v="2024-09-24T12:50:12"/>
    <d v="2024-12-31T21:59:59"/>
    <s v="3rd Party Technical Certification"/>
    <s v="C++"/>
    <x v="18"/>
    <s v="C++ Programming - Modul 1 - Sep 2024 - online (Part 2)"/>
    <s v="English"/>
    <s v="1"/>
    <s v="8109010"/>
    <s v="Bogdan"/>
    <s v="Nastase"/>
    <n v="1"/>
    <n v="1"/>
    <n v="0"/>
    <m/>
    <m/>
    <m/>
  </r>
  <r>
    <x v="4"/>
    <x v="4"/>
    <x v="3"/>
    <x v="125"/>
    <d v="2024-10-04T07:01:16"/>
    <d v="2025-01-31T21:59:59"/>
    <s v="3rd Party Technical Certification"/>
    <s v="C++"/>
    <x v="18"/>
    <s v="C++ Programming - Modul 1 - Oct 2024 - online (Part 2)"/>
    <s v="English"/>
    <s v="1"/>
    <s v="8109010"/>
    <s v="Bogdan"/>
    <s v="Nastase"/>
    <n v="1"/>
    <n v="1"/>
    <n v="0"/>
    <m/>
    <m/>
    <m/>
  </r>
  <r>
    <x v="4"/>
    <x v="4"/>
    <x v="3"/>
    <x v="126"/>
    <d v="2024-09-17T08:30:28"/>
    <d v="2024-12-31T21:59:59"/>
    <s v="Cisco Associate-level Certification"/>
    <s v="CCNA R&amp;S"/>
    <x v="9"/>
    <s v="CCNA 1 v7 - Sep 2024 - online"/>
    <s v="English"/>
    <s v="7"/>
    <s v="8109010"/>
    <s v="Bogdan"/>
    <s v="Nastase"/>
    <n v="6"/>
    <n v="5"/>
    <n v="1"/>
    <m/>
    <m/>
    <m/>
  </r>
  <r>
    <x v="4"/>
    <x v="4"/>
    <x v="3"/>
    <x v="127"/>
    <d v="2024-10-07T06:47:10"/>
    <d v="2025-01-31T21:59:59"/>
    <s v="3rd Party Technical Certification"/>
    <s v="C"/>
    <x v="25"/>
    <s v="C Programming - Modul 1 - Oct 2024 - online (Part 2)"/>
    <s v="English"/>
    <s v="1"/>
    <s v="8109010"/>
    <s v="Bogdan"/>
    <s v="Nastase"/>
    <n v="4"/>
    <n v="1"/>
    <n v="0"/>
    <m/>
    <m/>
    <m/>
  </r>
  <r>
    <x v="4"/>
    <x v="4"/>
    <x v="3"/>
    <x v="128"/>
    <d v="2024-08-27T10:51:32"/>
    <d v="2024-11-23T23:59:59"/>
    <s v="Cisco Associate-level Certification"/>
    <s v="CCNA R&amp;S"/>
    <x v="10"/>
    <s v="CCNA 3 v7 - Aug 2024 - online"/>
    <s v="English"/>
    <s v="1"/>
    <s v="8109010"/>
    <s v="Bogdan"/>
    <s v="Nastase"/>
    <n v="1"/>
    <n v="1"/>
    <n v="0"/>
    <m/>
    <m/>
    <m/>
  </r>
  <r>
    <x v="5"/>
    <x v="5"/>
    <x v="0"/>
    <x v="129"/>
    <d v="2024-08-28T09:24:51"/>
    <d v="2024-12-31T22:59:59"/>
    <s v="Cisco Associate-level Certification"/>
    <s v="CCNA R&amp;S"/>
    <x v="8"/>
    <s v="CCNA: Switching, Routing, and Wireless Essentials"/>
    <s v="English"/>
    <s v="7"/>
    <s v="4427147"/>
    <s v="Ing. Štefan"/>
    <s v="Gajdoš, PhD."/>
    <n v="1"/>
    <n v="1"/>
    <n v="0"/>
    <m/>
    <m/>
    <m/>
  </r>
  <r>
    <x v="5"/>
    <x v="5"/>
    <x v="0"/>
    <x v="130"/>
    <d v="2024-09-06T07:00:45"/>
    <d v="2025-06-30T21:59:59"/>
    <s v="Cisco Associate-level Certification"/>
    <s v="CCNA R&amp;S"/>
    <x v="9"/>
    <s v="CCNA1 - I.A (2024/25)"/>
    <s v="English"/>
    <s v="7"/>
    <s v="4427147"/>
    <s v="Ing. Štefan"/>
    <s v="Gajdoš, PhD."/>
    <n v="24"/>
    <n v="23"/>
    <n v="13"/>
    <m/>
    <m/>
    <m/>
  </r>
  <r>
    <x v="5"/>
    <x v="5"/>
    <x v="0"/>
    <x v="131"/>
    <d v="2024-08-28T14:50:10"/>
    <d v="2025-08-28T21:59:59"/>
    <s v="Cisco Entry-level Certification"/>
    <s v="Cybersecurity"/>
    <x v="30"/>
    <s v="4C-CyberEss-2sk"/>
    <s v="English"/>
    <s v="3"/>
    <s v="3083943"/>
    <s v="IGOR"/>
    <s v="GRELLNETH"/>
    <n v="16"/>
    <n v="15"/>
    <n v="0"/>
    <m/>
    <m/>
    <m/>
  </r>
  <r>
    <x v="5"/>
    <x v="5"/>
    <x v="0"/>
    <x v="132"/>
    <d v="2024-08-12T22:00:00"/>
    <d v="2024-12-29T23:00:00"/>
    <s v="Cisco Associate-level Certification"/>
    <s v="CCNA R&amp;S"/>
    <x v="5"/>
    <s v="moji ludia"/>
    <s v="English"/>
    <s v="7.02"/>
    <s v="43173501"/>
    <s v="Martin"/>
    <s v="Šatara"/>
    <n v="1"/>
    <n v="0"/>
    <n v="0"/>
    <m/>
    <m/>
    <m/>
  </r>
  <r>
    <x v="5"/>
    <x v="5"/>
    <x v="0"/>
    <x v="133"/>
    <d v="2024-09-11T05:49:02"/>
    <d v="2025-06-30T21:59:59"/>
    <s v="Cisco Associate-level Certification"/>
    <s v="CCNA R&amp;S"/>
    <x v="8"/>
    <s v="CCNA2 2024/25"/>
    <s v="English"/>
    <s v="7"/>
    <s v="4427147"/>
    <s v="Ing. Štefan"/>
    <s v="Gajdoš, PhD."/>
    <n v="1"/>
    <n v="1"/>
    <n v="0"/>
    <m/>
    <m/>
    <m/>
  </r>
  <r>
    <x v="5"/>
    <x v="5"/>
    <x v="0"/>
    <x v="134"/>
    <d v="2024-11-20T10:00:16"/>
    <d v="2025-11-19T22:59:59"/>
    <s v="Cisco Associate-level Certification"/>
    <s v="CCNA R&amp;S"/>
    <x v="8"/>
    <s v="2A-2sk"/>
    <s v="English"/>
    <s v="7"/>
    <s v="3214130"/>
    <s v="Ing. Blažena"/>
    <s v="Čonková"/>
    <n v="15"/>
    <n v="15"/>
    <n v="11"/>
    <m/>
    <m/>
    <m/>
  </r>
  <r>
    <x v="5"/>
    <x v="5"/>
    <x v="0"/>
    <x v="2"/>
    <m/>
    <m/>
    <m/>
    <m/>
    <x v="2"/>
    <m/>
    <m/>
    <m/>
    <s v="4427147"/>
    <s v="Ing. Štefan"/>
    <s v="Gajdoš, PhD."/>
    <n v="15"/>
    <n v="15"/>
    <n v="11"/>
    <m/>
    <m/>
    <m/>
  </r>
  <r>
    <x v="5"/>
    <x v="5"/>
    <x v="0"/>
    <x v="135"/>
    <d v="2024-09-18T07:04:36"/>
    <d v="2025-06-30T21:59:59"/>
    <s v="Cisco Associate-level Certification"/>
    <s v="CCNA R&amp;S"/>
    <x v="10"/>
    <s v="CCNA3 - III.A (2024/25)"/>
    <s v="English"/>
    <s v="1"/>
    <s v="4427147"/>
    <s v="Ing. Štefan"/>
    <s v="Gajdoš, PhD."/>
    <n v="30"/>
    <n v="30"/>
    <n v="0"/>
    <m/>
    <m/>
    <m/>
  </r>
  <r>
    <x v="5"/>
    <x v="5"/>
    <x v="0"/>
    <x v="136"/>
    <d v="2024-10-25T07:20:54"/>
    <d v="2025-09-30T21:59:59"/>
    <s v="Cisco Associate-level Certification"/>
    <s v="CCNA R&amp;S"/>
    <x v="8"/>
    <s v="CCNA2 Peto Jurcik"/>
    <s v="English"/>
    <s v="7"/>
    <s v="4427147"/>
    <s v="Ing. Štefan"/>
    <s v="Gajdoš, PhD."/>
    <n v="1"/>
    <n v="1"/>
    <n v="0"/>
    <m/>
    <m/>
    <m/>
  </r>
  <r>
    <x v="5"/>
    <x v="5"/>
    <x v="0"/>
    <x v="137"/>
    <d v="2024-09-09T20:13:29"/>
    <d v="2025-09-30T21:59:59"/>
    <s v="Cisco Associate-level Certification"/>
    <s v="CCNA R&amp;S"/>
    <x v="9"/>
    <s v="1.C, 2.skupina, 2024/2025, CCNA: Introduction to Networks"/>
    <s v="English"/>
    <s v="7"/>
    <s v="1029670634"/>
    <s v="Peter"/>
    <s v="Jurčík"/>
    <n v="12"/>
    <n v="12"/>
    <n v="4"/>
    <m/>
    <m/>
    <m/>
  </r>
  <r>
    <x v="5"/>
    <x v="5"/>
    <x v="0"/>
    <x v="138"/>
    <d v="2024-09-11T11:48:10"/>
    <d v="2026-05-31T21:59:59"/>
    <s v="Cisco Associate-level Certification"/>
    <s v="CCNA R&amp;S"/>
    <x v="9"/>
    <s v="CCNA1 - III.E (2024/25) CCNA: Introduction to Networks"/>
    <s v="English"/>
    <s v="7"/>
    <s v="4427147"/>
    <s v="Ing. Štefan"/>
    <s v="Gajdoš, PhD."/>
    <n v="31"/>
    <n v="31"/>
    <n v="0"/>
    <m/>
    <m/>
    <m/>
  </r>
  <r>
    <x v="5"/>
    <x v="5"/>
    <x v="0"/>
    <x v="139"/>
    <d v="2024-09-02T16:16:32"/>
    <d v="2025-09-30T21:59:59"/>
    <s v="Cisco Associate-level Certification"/>
    <s v="CCNA R&amp;S"/>
    <x v="9"/>
    <s v="1.D, 2.skupina, 2024/2025, CCNA: Introduction to Networks"/>
    <s v="English"/>
    <s v="7"/>
    <s v="1029670634"/>
    <s v="Peter"/>
    <s v="Jurčík"/>
    <n v="16"/>
    <n v="16"/>
    <n v="3"/>
    <m/>
    <m/>
    <m/>
  </r>
  <r>
    <x v="5"/>
    <x v="5"/>
    <x v="0"/>
    <x v="140"/>
    <d v="2024-09-18T08:51:44"/>
    <d v="2025-06-30T21:59:59"/>
    <s v="Cisco Associate-level Certification"/>
    <s v="CCNA R&amp;S"/>
    <x v="8"/>
    <s v="CCNA2 - IV.C (2024/25)"/>
    <s v="English"/>
    <s v="7"/>
    <s v="4427147"/>
    <s v="Ing. Štefan"/>
    <s v="Gajdoš, PhD."/>
    <n v="30"/>
    <n v="30"/>
    <n v="6"/>
    <m/>
    <m/>
    <m/>
  </r>
  <r>
    <x v="5"/>
    <x v="5"/>
    <x v="0"/>
    <x v="141"/>
    <d v="2024-11-27T07:17:09"/>
    <d v="2025-09-27T21:59:59"/>
    <s v="Cisco Associate-level Certification"/>
    <s v="CCNA R&amp;S"/>
    <x v="8"/>
    <s v="2A-1SK"/>
    <s v="English"/>
    <s v="7"/>
    <s v="3214130"/>
    <s v="Ing. Blažena"/>
    <s v="Čonková"/>
    <n v="12"/>
    <n v="12"/>
    <n v="11"/>
    <m/>
    <m/>
    <m/>
  </r>
  <r>
    <x v="5"/>
    <x v="5"/>
    <x v="0"/>
    <x v="2"/>
    <m/>
    <m/>
    <m/>
    <m/>
    <x v="2"/>
    <m/>
    <m/>
    <m/>
    <s v="4427147"/>
    <s v="Ing. Štefan"/>
    <s v="Gajdoš, PhD."/>
    <n v="12"/>
    <n v="12"/>
    <n v="11"/>
    <m/>
    <m/>
    <m/>
  </r>
  <r>
    <x v="5"/>
    <x v="5"/>
    <x v="0"/>
    <x v="142"/>
    <d v="2024-08-31T16:00:23"/>
    <d v="2025-08-31T21:59:59"/>
    <s v="Cisco Associate-level Certification"/>
    <s v="CCNA R&amp;S"/>
    <x v="10"/>
    <s v="3S-SPSE-24/25-Sk2"/>
    <s v="English"/>
    <s v="1"/>
    <s v="3083943"/>
    <s v="IGOR"/>
    <s v="GRELLNETH"/>
    <n v="14"/>
    <n v="14"/>
    <n v="0"/>
    <m/>
    <m/>
    <m/>
  </r>
  <r>
    <x v="5"/>
    <x v="5"/>
    <x v="0"/>
    <x v="143"/>
    <d v="2024-08-28T10:38:30"/>
    <d v="2025-08-28T21:59:59"/>
    <s v="Cisco Entry-level Certification"/>
    <s v="Cybersecurity"/>
    <x v="30"/>
    <s v="4C-CyberEss-1sk"/>
    <s v="English"/>
    <s v="3"/>
    <s v="3083943"/>
    <s v="IGOR"/>
    <s v="GRELLNETH"/>
    <n v="15"/>
    <n v="15"/>
    <n v="0"/>
    <m/>
    <m/>
    <m/>
  </r>
  <r>
    <x v="5"/>
    <x v="5"/>
    <x v="0"/>
    <x v="144"/>
    <d v="2024-08-28T08:51:33"/>
    <d v="2025-06-30T21:59:59"/>
    <s v="Cisco Associate-level Certification"/>
    <s v="CCNA R&amp;S"/>
    <x v="10"/>
    <s v="3.C CCNA: Enterprise Networking, Security, and Automation"/>
    <s v="English"/>
    <s v="1"/>
    <s v="4427147"/>
    <s v="Ing. Štefan"/>
    <s v="Gajdoš, PhD."/>
    <n v="30"/>
    <n v="30"/>
    <n v="0"/>
    <m/>
    <m/>
    <m/>
  </r>
  <r>
    <x v="5"/>
    <x v="5"/>
    <x v="0"/>
    <x v="145"/>
    <d v="2024-09-08T19:25:31"/>
    <d v="2025-09-30T21:59:59"/>
    <s v="Cisco Associate-level Certification"/>
    <s v="CCNA R&amp;S"/>
    <x v="9"/>
    <s v="1.B, 2.skupina, 2024/2025, CCNA: Introduction to Networks"/>
    <s v="English"/>
    <s v="7"/>
    <s v="1029670634"/>
    <s v="Peter"/>
    <s v="Jurčík"/>
    <n v="13"/>
    <n v="13"/>
    <n v="7"/>
    <m/>
    <m/>
    <m/>
  </r>
  <r>
    <x v="5"/>
    <x v="5"/>
    <x v="0"/>
    <x v="146"/>
    <d v="2024-08-31T15:39:23"/>
    <d v="2025-08-31T21:59:59"/>
    <s v="Cisco Associate-level Certification"/>
    <s v="CCNA R&amp;S"/>
    <x v="10"/>
    <s v="3S-SPSE-24/25-Sk1"/>
    <s v="English"/>
    <s v="1"/>
    <s v="3083943"/>
    <s v="IGOR"/>
    <s v="GRELLNETH"/>
    <n v="14"/>
    <n v="14"/>
    <n v="0"/>
    <m/>
    <m/>
    <m/>
  </r>
  <r>
    <x v="5"/>
    <x v="5"/>
    <x v="0"/>
    <x v="147"/>
    <d v="2024-08-28T10:02:28"/>
    <d v="2025-06-30T21:59:59"/>
    <s v="Cisco Associate-level Certification"/>
    <s v="CCNA R&amp;S"/>
    <x v="9"/>
    <s v="1.B, 1.skupina, CCNA: Introduction to Networks"/>
    <s v="English"/>
    <s v="7"/>
    <s v="1029670634"/>
    <s v="Peter"/>
    <s v="Jurčík"/>
    <n v="1"/>
    <n v="1"/>
    <n v="0"/>
    <m/>
    <m/>
    <m/>
  </r>
  <r>
    <x v="5"/>
    <x v="5"/>
    <x v="0"/>
    <x v="148"/>
    <d v="2024-09-08T19:39:41"/>
    <d v="2025-09-30T21:59:59"/>
    <s v="Cisco Associate-level Certification"/>
    <s v="CCNA R&amp;S"/>
    <x v="9"/>
    <s v="1.B, 1.skupina, 2024/2025, CCNA: Introduction to Networks"/>
    <s v="English"/>
    <s v="7"/>
    <s v="1029670634"/>
    <s v="Peter"/>
    <s v="Jurčík"/>
    <n v="12"/>
    <n v="12"/>
    <n v="9"/>
    <m/>
    <m/>
    <m/>
  </r>
  <r>
    <x v="5"/>
    <x v="5"/>
    <x v="0"/>
    <x v="149"/>
    <d v="2024-09-11T19:55:28"/>
    <d v="2025-09-30T21:59:59"/>
    <s v="Cisco Associate-level Certification"/>
    <s v="CCNA R&amp;S"/>
    <x v="9"/>
    <s v="1.D, 1.skupina, 2024/2025, CCNA: Introduction to Networks"/>
    <s v="English"/>
    <s v="7"/>
    <s v="1029670634"/>
    <s v="Peter"/>
    <s v="Jurčík"/>
    <n v="15"/>
    <n v="15"/>
    <n v="9"/>
    <m/>
    <m/>
    <m/>
  </r>
  <r>
    <x v="5"/>
    <x v="5"/>
    <x v="0"/>
    <x v="150"/>
    <d v="2024-09-09T20:09:49"/>
    <d v="2025-09-30T21:59:59"/>
    <s v="Cisco Associate-level Certification"/>
    <s v="CCNA R&amp;S"/>
    <x v="9"/>
    <s v="1.C, 1.skupina, 2024/2025, CCNA: Introduction to Networks"/>
    <s v="English"/>
    <s v="7"/>
    <s v="1029670634"/>
    <s v="Peter"/>
    <s v="Jurčík"/>
    <n v="13"/>
    <n v="13"/>
    <n v="2"/>
    <m/>
    <m/>
    <m/>
  </r>
  <r>
    <x v="5"/>
    <x v="5"/>
    <x v="0"/>
    <x v="151"/>
    <d v="2024-09-07T22:00:00"/>
    <d v="2025-06-30T21:59:59"/>
    <s v="Cisco Associate-level Certification"/>
    <s v="CCNA R&amp;S"/>
    <x v="8"/>
    <s v="2.A_2sem_2024/25"/>
    <s v="English"/>
    <s v="7"/>
    <s v="3214130"/>
    <s v="Ing. Blažena"/>
    <s v="Čonková"/>
    <n v="20"/>
    <n v="20"/>
    <n v="0"/>
    <m/>
    <m/>
    <m/>
  </r>
  <r>
    <x v="5"/>
    <x v="5"/>
    <x v="0"/>
    <x v="2"/>
    <m/>
    <m/>
    <m/>
    <m/>
    <x v="2"/>
    <m/>
    <m/>
    <m/>
    <s v="4427147"/>
    <s v="Ing. Štefan"/>
    <s v="Gajdoš, PhD."/>
    <n v="20"/>
    <n v="20"/>
    <n v="0"/>
    <m/>
    <m/>
    <m/>
  </r>
  <r>
    <x v="5"/>
    <x v="5"/>
    <x v="0"/>
    <x v="152"/>
    <d v="2024-09-05T09:04:35"/>
    <d v="2025-06-30T21:59:59"/>
    <s v="Cisco Associate-level Certification"/>
    <s v="CCNA R&amp;S"/>
    <x v="9"/>
    <s v="CCNA1 - IV.E (2024/25)"/>
    <s v="English"/>
    <s v="7"/>
    <s v="4427147"/>
    <s v="Ing. Štefan"/>
    <s v="Gajdoš, PhD."/>
    <n v="8"/>
    <n v="8"/>
    <n v="0"/>
    <m/>
    <m/>
    <m/>
  </r>
  <r>
    <x v="5"/>
    <x v="5"/>
    <x v="0"/>
    <x v="153"/>
    <d v="2024-09-05T08:58:18"/>
    <d v="2025-06-30T21:59:59"/>
    <s v="Cisco Associate-level Certification"/>
    <s v="CCNA R&amp;S"/>
    <x v="8"/>
    <s v="CCNA2 - IV.E (2024/25)"/>
    <s v="English"/>
    <s v="7"/>
    <s v="4427147"/>
    <s v="Ing. Štefan"/>
    <s v="Gajdoš, PhD."/>
    <n v="30"/>
    <n v="30"/>
    <n v="0"/>
    <m/>
    <m/>
    <m/>
  </r>
  <r>
    <x v="5"/>
    <x v="5"/>
    <x v="0"/>
    <x v="154"/>
    <d v="2024-09-20T05:25:23"/>
    <d v="2025-06-30T21:59:59"/>
    <s v="Cisco Associate-level Certification"/>
    <s v="CCNA R&amp;S"/>
    <x v="8"/>
    <s v="CCNA2 - II.C (2024/25)"/>
    <s v="English"/>
    <s v="7"/>
    <s v="4427147"/>
    <s v="Ing. Štefan"/>
    <s v="Gajdoš, PhD."/>
    <n v="25"/>
    <n v="25"/>
    <n v="18"/>
    <m/>
    <m/>
    <m/>
  </r>
  <r>
    <x v="6"/>
    <x v="6"/>
    <x v="0"/>
    <x v="155"/>
    <d v="2024-02-06T23:00:00"/>
    <d v="2025-02-05T23:00:00"/>
    <s v="3rd Party Technical Certification"/>
    <s v="Linux"/>
    <x v="22"/>
    <s v="3A-Linux4"/>
    <s v="English"/>
    <s v="2.21 - Instructor - "/>
    <s v="1004873937"/>
    <s v="Miroslav"/>
    <s v="Malacha"/>
    <n v="29"/>
    <n v="0"/>
    <n v="0"/>
    <n v="29"/>
    <n v="0"/>
    <n v="0"/>
  </r>
  <r>
    <x v="6"/>
    <x v="6"/>
    <x v="0"/>
    <x v="156"/>
    <d v="2024-02-06T23:00:00"/>
    <d v="2025-02-05T23:00:00"/>
    <s v="Introductory Technical Skills"/>
    <s v="Linux"/>
    <x v="19"/>
    <s v="3A-Linux1"/>
    <s v="English"/>
    <s v="2.1"/>
    <s v="1004873937"/>
    <s v="Miroslav"/>
    <s v="Malacha"/>
    <n v="29"/>
    <n v="2"/>
    <n v="0"/>
    <n v="29"/>
    <n v="2"/>
    <n v="0"/>
  </r>
  <r>
    <x v="6"/>
    <x v="6"/>
    <x v="0"/>
    <x v="157"/>
    <d v="2024-02-06T23:00:00"/>
    <d v="2025-02-05T23:00:00"/>
    <s v="3rd Party Technical Certification"/>
    <s v="Linux"/>
    <x v="23"/>
    <s v="3A-Linux3"/>
    <s v="English"/>
    <s v="2.21 - Instructor - "/>
    <s v="1004873937"/>
    <s v="Miroslav"/>
    <s v="Malacha"/>
    <n v="29"/>
    <n v="0"/>
    <n v="0"/>
    <n v="29"/>
    <n v="0"/>
    <n v="0"/>
  </r>
  <r>
    <x v="6"/>
    <x v="6"/>
    <x v="0"/>
    <x v="158"/>
    <d v="2024-02-07T23:00:00"/>
    <d v="2025-02-06T23:00:00"/>
    <s v="3rd Party Technical Certification"/>
    <s v="Python"/>
    <x v="12"/>
    <s v="python"/>
    <s v="English"/>
    <s v="2.10 - Self-Paced"/>
    <s v="1004873937"/>
    <s v="Miroslav"/>
    <s v="Malacha"/>
    <n v="29"/>
    <n v="1"/>
    <n v="0"/>
    <n v="29"/>
    <n v="1"/>
    <n v="0"/>
  </r>
  <r>
    <x v="6"/>
    <x v="6"/>
    <x v="0"/>
    <x v="159"/>
    <d v="2024-02-06T23:00:00"/>
    <d v="2025-02-05T23:00:00"/>
    <s v="3rd Party Technical Certification"/>
    <s v="Linux"/>
    <x v="21"/>
    <s v="3A-Linux2"/>
    <s v="English"/>
    <s v="2.21 - Instructor - "/>
    <s v="1004873937"/>
    <s v="Miroslav"/>
    <s v="Malacha"/>
    <n v="29"/>
    <n v="0"/>
    <n v="0"/>
    <n v="29"/>
    <n v="0"/>
    <n v="0"/>
  </r>
  <r>
    <x v="6"/>
    <x v="6"/>
    <x v="0"/>
    <x v="160"/>
    <d v="2024-09-02T22:00:00"/>
    <d v="2025-09-02T21:59:59"/>
    <s v="Cisco Associate-level Certification"/>
    <s v="CCNA R&amp;S"/>
    <x v="9"/>
    <s v="CCNA: Introduction to Networks"/>
    <s v="English"/>
    <s v="7"/>
    <s v="1004873937"/>
    <s v="Miroslav"/>
    <s v="Malacha"/>
    <n v="26"/>
    <n v="26"/>
    <n v="0"/>
    <n v="26"/>
    <n v="26"/>
    <n v="0"/>
  </r>
  <r>
    <x v="7"/>
    <x v="7"/>
    <x v="0"/>
    <x v="161"/>
    <d v="2024-09-01T22:00:00"/>
    <d v="2025-07-03T21:59:59"/>
    <s v="Cisco Associate-level Certification"/>
    <s v="CCNA R&amp;S"/>
    <x v="8"/>
    <s v="CCNA: Switching, Routing, and Wireless Essentials"/>
    <s v="English"/>
    <s v="7"/>
    <s v="52318445"/>
    <s v="Jakub"/>
    <s v="Grohoľ"/>
    <n v="13"/>
    <n v="13"/>
    <n v="13"/>
    <n v="13"/>
    <n v="13"/>
    <n v="13"/>
  </r>
  <r>
    <x v="7"/>
    <x v="7"/>
    <x v="0"/>
    <x v="2"/>
    <m/>
    <m/>
    <m/>
    <m/>
    <x v="2"/>
    <m/>
    <m/>
    <m/>
    <s v="54906844"/>
    <s v="Jana"/>
    <s v="Furmanova"/>
    <n v="13"/>
    <n v="13"/>
    <n v="13"/>
    <n v="13"/>
    <n v="13"/>
    <n v="13"/>
  </r>
  <r>
    <x v="7"/>
    <x v="7"/>
    <x v="0"/>
    <x v="162"/>
    <d v="2024-09-11T22:00:00"/>
    <d v="2025-08-31T21:59:59"/>
    <s v="Cisco Associate-level Certification"/>
    <s v="CCNA R&amp;S"/>
    <x v="9"/>
    <s v="III_B_ELE_1_sk_24_25_CCNA: Introduction to Networks"/>
    <s v="English"/>
    <s v="7"/>
    <s v="1017453519"/>
    <s v="Lenka"/>
    <s v="Mizíková"/>
    <n v="12"/>
    <n v="12"/>
    <n v="3"/>
    <n v="12"/>
    <n v="12"/>
    <n v="3"/>
  </r>
  <r>
    <x v="7"/>
    <x v="7"/>
    <x v="0"/>
    <x v="163"/>
    <d v="2024-09-04T05:55:30"/>
    <d v="2025-09-04T21:59:59"/>
    <s v="Cisco Associate-level Certification"/>
    <s v="CCNA R&amp;S"/>
    <x v="10"/>
    <s v="3.C sk.2 - CCNA: Enterprise Networking, Security, and Automation"/>
    <s v="English"/>
    <s v="1"/>
    <s v="52318445"/>
    <s v="Jakub"/>
    <s v="Grohoľ"/>
    <n v="15"/>
    <n v="15"/>
    <n v="12"/>
    <n v="15"/>
    <n v="15"/>
    <n v="12"/>
  </r>
  <r>
    <x v="7"/>
    <x v="7"/>
    <x v="0"/>
    <x v="2"/>
    <m/>
    <m/>
    <m/>
    <m/>
    <x v="2"/>
    <m/>
    <m/>
    <m/>
    <s v="54906844"/>
    <s v="Jana"/>
    <s v="Furmanova"/>
    <n v="15"/>
    <n v="15"/>
    <n v="12"/>
    <n v="15"/>
    <n v="15"/>
    <n v="12"/>
  </r>
  <r>
    <x v="7"/>
    <x v="7"/>
    <x v="0"/>
    <x v="164"/>
    <d v="2024-09-03T08:01:21"/>
    <d v="2025-06-08T21:59:59"/>
    <s v="Cisco Entry-level Certification"/>
    <s v="Cybersecurity"/>
    <x v="30"/>
    <s v="Cybersecurity Essentials"/>
    <s v="English"/>
    <s v="3"/>
    <s v="54906844"/>
    <s v="Jana"/>
    <s v="Furmanova"/>
    <n v="15"/>
    <n v="14"/>
    <n v="5"/>
    <n v="15"/>
    <n v="14"/>
    <n v="5"/>
  </r>
  <r>
    <x v="7"/>
    <x v="7"/>
    <x v="0"/>
    <x v="165"/>
    <d v="2024-03-05T23:00:00"/>
    <d v="2024-08-30T22:00:00"/>
    <s v="Introductory Technical Skills"/>
    <s v="Linux"/>
    <x v="19"/>
    <s v="Linux II.D TPD"/>
    <s v="English"/>
    <s v="2.1"/>
    <s v="1032013018"/>
    <s v="Patrícia"/>
    <s v="Stracenská"/>
    <n v="9"/>
    <n v="7"/>
    <n v="0"/>
    <n v="9"/>
    <n v="7"/>
    <n v="0"/>
  </r>
  <r>
    <x v="7"/>
    <x v="7"/>
    <x v="0"/>
    <x v="166"/>
    <d v="2024-03-05T23:00:00"/>
    <d v="2024-08-30T22:00:00"/>
    <s v="Introductory Technical Skills"/>
    <s v="Linux"/>
    <x v="19"/>
    <s v="Linux II.C 2.skupina"/>
    <s v="English"/>
    <s v="2.1"/>
    <s v="1032013018"/>
    <s v="Patrícia"/>
    <s v="Stracenská"/>
    <n v="14"/>
    <n v="11"/>
    <n v="4"/>
    <n v="14"/>
    <n v="11"/>
    <n v="4"/>
  </r>
  <r>
    <x v="7"/>
    <x v="7"/>
    <x v="0"/>
    <x v="167"/>
    <d v="2024-03-06T23:00:00"/>
    <d v="2024-08-30T22:00:00"/>
    <s v="Introductory Technical Skills"/>
    <s v="Linux"/>
    <x v="19"/>
    <s v="Linux II.D"/>
    <s v="English"/>
    <s v="2.1"/>
    <s v="1032013018"/>
    <s v="Patrícia"/>
    <s v="Stracenská"/>
    <n v="14"/>
    <n v="12"/>
    <n v="2"/>
    <n v="14"/>
    <n v="12"/>
    <n v="2"/>
  </r>
  <r>
    <x v="7"/>
    <x v="7"/>
    <x v="0"/>
    <x v="168"/>
    <d v="2024-03-11T23:00:00"/>
    <d v="2024-08-13T22:00:00"/>
    <s v="Cisco Associate-level Certification"/>
    <s v="CCNA R&amp;S"/>
    <x v="11"/>
    <s v="3D_24"/>
    <s v="English"/>
    <s v="7.02"/>
    <s v="1001132357"/>
    <s v="Juraj"/>
    <s v="Pavlisin"/>
    <n v="16"/>
    <n v="16"/>
    <n v="14"/>
    <n v="16"/>
    <n v="16"/>
    <n v="14"/>
  </r>
  <r>
    <x v="7"/>
    <x v="7"/>
    <x v="0"/>
    <x v="169"/>
    <d v="2024-06-05T22:00:00"/>
    <d v="2024-09-05T22:00:00"/>
    <s v="Cisco Associate-level Certification"/>
    <s v="CCNA R&amp;S"/>
    <x v="4"/>
    <s v="2.C SIE 2.sk."/>
    <s v="English"/>
    <s v="7.02"/>
    <s v="52318445"/>
    <s v="Jakub"/>
    <s v="Grohoľ"/>
    <n v="14"/>
    <n v="14"/>
    <n v="14"/>
    <n v="14"/>
    <n v="14"/>
    <n v="14"/>
  </r>
  <r>
    <x v="7"/>
    <x v="7"/>
    <x v="0"/>
    <x v="170"/>
    <d v="2024-09-05T06:35:36"/>
    <d v="2025-06-30T21:59:59"/>
    <s v="Cisco Associate-level Certification"/>
    <s v="CCNA R&amp;S"/>
    <x v="9"/>
    <s v="1.C-CCNA: Introduction to Networks"/>
    <s v="English"/>
    <s v="7"/>
    <s v="52318445"/>
    <s v="Jakub"/>
    <s v="Grohoľ"/>
    <n v="21"/>
    <n v="21"/>
    <n v="0"/>
    <n v="21"/>
    <n v="21"/>
    <n v="0"/>
  </r>
  <r>
    <x v="7"/>
    <x v="7"/>
    <x v="0"/>
    <x v="2"/>
    <m/>
    <m/>
    <m/>
    <m/>
    <x v="2"/>
    <m/>
    <m/>
    <m/>
    <s v="8315504"/>
    <s v="Dana"/>
    <s v="Janeckova"/>
    <n v="21"/>
    <n v="21"/>
    <n v="0"/>
    <n v="21"/>
    <n v="21"/>
    <n v="0"/>
  </r>
  <r>
    <x v="7"/>
    <x v="7"/>
    <x v="0"/>
    <x v="171"/>
    <d v="2024-11-18T10:28:23"/>
    <d v="2025-06-30T21:59:59"/>
    <s v="3rd Party Technical Certification"/>
    <s v="Linux"/>
    <x v="17"/>
    <s v="Linux Essentials"/>
    <s v="English"/>
    <s v="2"/>
    <s v="1042865910"/>
    <s v="IGOR"/>
    <s v="Obšasník"/>
    <n v="14"/>
    <n v="14"/>
    <n v="6"/>
    <n v="14"/>
    <n v="14"/>
    <n v="6"/>
  </r>
  <r>
    <x v="7"/>
    <x v="7"/>
    <x v="0"/>
    <x v="172"/>
    <d v="2024-09-06T09:34:33"/>
    <d v="2025-06-30T21:59:59"/>
    <s v="Cisco Associate-level Certification"/>
    <s v="CCNA R&amp;S"/>
    <x v="8"/>
    <s v="CCNA: Switching, Routing, and Wireless Essentials"/>
    <s v="English"/>
    <s v="7"/>
    <s v="1001132357"/>
    <s v="Juraj"/>
    <s v="Pavlisin"/>
    <n v="16"/>
    <n v="16"/>
    <n v="14"/>
    <n v="16"/>
    <n v="16"/>
    <n v="14"/>
  </r>
  <r>
    <x v="7"/>
    <x v="7"/>
    <x v="0"/>
    <x v="173"/>
    <d v="2024-09-05T05:56:54"/>
    <d v="2025-09-05T21:59:59"/>
    <s v="Cisco Associate-level Certification"/>
    <s v="CCNA R&amp;S"/>
    <x v="10"/>
    <s v="3.D - CCNA: Enterprise Networking, Security, and Automation"/>
    <s v="English"/>
    <s v="1"/>
    <s v="52318445"/>
    <s v="Jakub"/>
    <s v="Grohoľ"/>
    <n v="15"/>
    <n v="15"/>
    <n v="13"/>
    <n v="15"/>
    <n v="15"/>
    <n v="13"/>
  </r>
  <r>
    <x v="7"/>
    <x v="7"/>
    <x v="0"/>
    <x v="174"/>
    <d v="2024-09-06T06:03:24"/>
    <d v="2025-06-01T21:59:59"/>
    <s v="Cisco Entry-level Certification"/>
    <s v="Cybersecurity"/>
    <x v="30"/>
    <s v="Cybersecurity Essentials II.sk"/>
    <s v="English"/>
    <s v="3"/>
    <s v="54906844"/>
    <s v="Jana"/>
    <s v="Furmanova"/>
    <n v="15"/>
    <n v="15"/>
    <n v="7"/>
    <n v="15"/>
    <n v="15"/>
    <n v="7"/>
  </r>
  <r>
    <x v="7"/>
    <x v="7"/>
    <x v="0"/>
    <x v="175"/>
    <d v="2024-11-29T11:52:03"/>
    <d v="2025-06-30T21:59:59"/>
    <s v="3rd Party Technical Certification"/>
    <s v="Linux"/>
    <x v="17"/>
    <s v="II.C 2.sk. Linux Essentials 2024/2025"/>
    <s v="English"/>
    <s v="2"/>
    <s v="1032013018"/>
    <s v="Patrícia"/>
    <s v="Stracenská"/>
    <n v="14"/>
    <n v="14"/>
    <n v="14"/>
    <n v="14"/>
    <n v="14"/>
    <n v="14"/>
  </r>
  <r>
    <x v="7"/>
    <x v="7"/>
    <x v="0"/>
    <x v="176"/>
    <d v="2024-09-16T07:44:48"/>
    <d v="2025-08-30T21:59:59"/>
    <s v="Cisco Associate-level Certification"/>
    <s v="CCNA R&amp;S"/>
    <x v="9"/>
    <s v="I_D_IST_24_25_CCNA: Introduction to Networks"/>
    <s v="English"/>
    <s v="7"/>
    <s v="1017453519"/>
    <s v="Lenka"/>
    <s v="Mizíková"/>
    <n v="19"/>
    <n v="18"/>
    <n v="17"/>
    <n v="19"/>
    <n v="18"/>
    <n v="17"/>
  </r>
  <r>
    <x v="7"/>
    <x v="7"/>
    <x v="0"/>
    <x v="177"/>
    <d v="2024-09-11T11:13:47"/>
    <d v="2025-06-30T21:59:59"/>
    <s v="Intermediate Technical Skills"/>
    <s v="Cybersecurity"/>
    <x v="0"/>
    <s v="Ethical Hacker"/>
    <s v="English"/>
    <s v="1"/>
    <s v="1032013018"/>
    <s v="Patrícia"/>
    <s v="Stracenská"/>
    <n v="1"/>
    <n v="1"/>
    <n v="0"/>
    <n v="1"/>
    <n v="1"/>
    <n v="0"/>
  </r>
  <r>
    <x v="7"/>
    <x v="7"/>
    <x v="0"/>
    <x v="178"/>
    <d v="2024-09-05T09:05:57"/>
    <d v="2024-11-15T22:59:59"/>
    <s v="Cisco Associate-level Certification"/>
    <s v="CCNA R&amp;S"/>
    <x v="10"/>
    <s v="CCNA: Enterprise Networking, Security, and Automation"/>
    <s v="English"/>
    <s v="1"/>
    <s v="1001132357"/>
    <s v="Juraj"/>
    <s v="Pavlisin"/>
    <n v="2"/>
    <n v="0"/>
    <n v="0"/>
    <n v="2"/>
    <n v="0"/>
    <n v="0"/>
  </r>
  <r>
    <x v="7"/>
    <x v="7"/>
    <x v="0"/>
    <x v="179"/>
    <d v="2024-09-04T07:36:41"/>
    <d v="2025-08-31T21:59:59"/>
    <s v="Cisco Associate-level Certification"/>
    <s v="CCNA R&amp;S"/>
    <x v="9"/>
    <s v="III_B_ELE_2_sk_24_25_CCNA: Introduction to Networks"/>
    <s v="English"/>
    <s v="7"/>
    <s v="1017453519"/>
    <s v="Lenka"/>
    <s v="Mizíková"/>
    <n v="12"/>
    <n v="12"/>
    <n v="4"/>
    <n v="12"/>
    <n v="12"/>
    <n v="4"/>
  </r>
  <r>
    <x v="7"/>
    <x v="7"/>
    <x v="0"/>
    <x v="180"/>
    <d v="2024-09-06T08:38:24"/>
    <d v="2025-09-05T21:59:59"/>
    <s v="Cisco Associate-level Certification"/>
    <s v="CCNA R&amp;S"/>
    <x v="10"/>
    <s v="3.C 1.sk-CCNA: Enterprise Networking, Security, and Automation"/>
    <s v="English"/>
    <s v="1"/>
    <s v="52318445"/>
    <s v="Jakub"/>
    <s v="Grohoľ"/>
    <n v="14"/>
    <n v="14"/>
    <n v="2"/>
    <n v="14"/>
    <n v="14"/>
    <n v="2"/>
  </r>
  <r>
    <x v="7"/>
    <x v="7"/>
    <x v="0"/>
    <x v="181"/>
    <d v="2024-09-06T06:31:22"/>
    <d v="2025-06-01T21:59:59"/>
    <s v="Intermediate Technical Skills"/>
    <s v="Cybersecurity"/>
    <x v="0"/>
    <s v="Ethical Hacker II.sk"/>
    <s v="English"/>
    <s v="1"/>
    <s v="54906844"/>
    <s v="Jana"/>
    <s v="Furmanova"/>
    <n v="15"/>
    <n v="12"/>
    <n v="9"/>
    <n v="15"/>
    <n v="12"/>
    <n v="9"/>
  </r>
  <r>
    <x v="7"/>
    <x v="7"/>
    <x v="0"/>
    <x v="182"/>
    <d v="2024-11-29T09:44:02"/>
    <d v="2025-06-30T21:59:59"/>
    <s v="3rd Party Technical Certification"/>
    <s v="Linux"/>
    <x v="17"/>
    <s v="II.C 1.sk. Linux Essentials 2024/2025"/>
    <s v="English"/>
    <s v="2"/>
    <s v="1032013018"/>
    <s v="Patrícia"/>
    <s v="Stracenská"/>
    <n v="13"/>
    <n v="13"/>
    <n v="13"/>
    <n v="13"/>
    <n v="13"/>
    <n v="13"/>
  </r>
  <r>
    <x v="7"/>
    <x v="7"/>
    <x v="0"/>
    <x v="183"/>
    <d v="2024-09-01T22:00:00"/>
    <d v="2025-07-04T21:59:59"/>
    <s v="Cisco Associate-level Certification"/>
    <s v="CCNA R&amp;S"/>
    <x v="8"/>
    <s v="CCNA: Switching, Routing, and Wireless Essentials II.C. 2.sk"/>
    <s v="English"/>
    <s v="7"/>
    <s v="54906844"/>
    <s v="Jana"/>
    <s v="Furmanova"/>
    <n v="14"/>
    <n v="14"/>
    <n v="14"/>
    <n v="14"/>
    <n v="14"/>
    <n v="14"/>
  </r>
  <r>
    <x v="8"/>
    <x v="8"/>
    <x v="4"/>
    <x v="184"/>
    <d v="2024-09-16T08:42:31"/>
    <d v="2025-09-10T21:59:59"/>
    <s v="Cisco Associate-level Certification"/>
    <s v="CCNA R&amp;S"/>
    <x v="8"/>
    <s v="CCNA: Switching, Routing, and Wireless Essentials"/>
    <s v="English"/>
    <s v="7"/>
    <s v="46471229"/>
    <s v="Alena"/>
    <s v="Pakosová"/>
    <n v="34"/>
    <n v="34"/>
    <n v="30"/>
    <n v="34"/>
    <n v="34"/>
    <n v="30"/>
  </r>
  <r>
    <x v="8"/>
    <x v="8"/>
    <x v="4"/>
    <x v="185"/>
    <d v="2024-09-27T08:17:01"/>
    <d v="2025-09-25T21:59:59"/>
    <s v="Cisco Associate-level Certification"/>
    <s v="CCNA R&amp;S"/>
    <x v="10"/>
    <s v="CCNA: Enterprise Networking, Security, and Automation"/>
    <s v="English"/>
    <s v="1"/>
    <s v="1001054017"/>
    <s v="Miroslava"/>
    <s v="Svetláková"/>
    <n v="13"/>
    <n v="13"/>
    <n v="10"/>
    <n v="13"/>
    <n v="13"/>
    <n v="10"/>
  </r>
  <r>
    <x v="8"/>
    <x v="8"/>
    <x v="4"/>
    <x v="2"/>
    <m/>
    <m/>
    <m/>
    <m/>
    <x v="2"/>
    <m/>
    <m/>
    <m/>
    <s v="46471229"/>
    <s v="Alena"/>
    <s v="Pakosová"/>
    <n v="13"/>
    <n v="13"/>
    <n v="10"/>
    <n v="13"/>
    <n v="13"/>
    <n v="10"/>
  </r>
  <r>
    <x v="8"/>
    <x v="8"/>
    <x v="4"/>
    <x v="186"/>
    <d v="2024-09-08T22:00:00"/>
    <d v="2025-06-30T21:59:59"/>
    <s v="Cisco Entry-level Certification"/>
    <s v="Networking Essentials"/>
    <x v="6"/>
    <s v="Networking Basics_1E_SIE_2sk_2024_2025"/>
    <s v="English"/>
    <s v="1"/>
    <s v="588121"/>
    <s v="Milan"/>
    <s v="Miksovsky"/>
    <n v="12"/>
    <n v="12"/>
    <n v="11"/>
    <n v="12"/>
    <n v="12"/>
    <n v="11"/>
  </r>
  <r>
    <x v="8"/>
    <x v="8"/>
    <x v="4"/>
    <x v="187"/>
    <d v="2024-09-13T11:07:14"/>
    <d v="2025-05-31T21:59:59"/>
    <s v="Cisco Entry-level Certification"/>
    <s v="Networking Essentials"/>
    <x v="6"/>
    <s v="Networking Basics_1E_SIE_1sk_2024_2025"/>
    <s v="English"/>
    <s v="1"/>
    <s v="1011637596"/>
    <s v="Elza"/>
    <s v="Kočíková"/>
    <n v="12"/>
    <n v="6"/>
    <n v="0"/>
    <n v="12"/>
    <n v="6"/>
    <n v="0"/>
  </r>
  <r>
    <x v="8"/>
    <x v="8"/>
    <x v="4"/>
    <x v="2"/>
    <m/>
    <m/>
    <m/>
    <m/>
    <x v="2"/>
    <m/>
    <m/>
    <m/>
    <s v="588121"/>
    <s v="Milan"/>
    <s v="Miksovsky"/>
    <n v="12"/>
    <n v="6"/>
    <n v="0"/>
    <n v="12"/>
    <n v="6"/>
    <n v="0"/>
  </r>
  <r>
    <x v="8"/>
    <x v="8"/>
    <x v="4"/>
    <x v="188"/>
    <d v="2024-09-08T22:00:00"/>
    <d v="2025-06-30T21:59:59"/>
    <s v="Cisco Entry-level Certification"/>
    <s v="Networking Essentials"/>
    <x v="6"/>
    <s v="Networking Basics_1D_SIE_2024_2025"/>
    <s v="English"/>
    <s v="1"/>
    <s v="588121"/>
    <s v="Milan"/>
    <s v="Miksovsky"/>
    <n v="19"/>
    <n v="19"/>
    <n v="19"/>
    <n v="19"/>
    <n v="19"/>
    <n v="19"/>
  </r>
  <r>
    <x v="8"/>
    <x v="8"/>
    <x v="4"/>
    <x v="189"/>
    <d v="2024-09-10T07:38:21"/>
    <d v="2025-05-31T21:59:59"/>
    <s v="Introductory Technical Skills"/>
    <s v="Cybersecurity"/>
    <x v="31"/>
    <s v="Introduction to Cybersecurity_3E_2sk_2024_2025"/>
    <s v="English"/>
    <s v="7.1"/>
    <s v="588121"/>
    <s v="Milan"/>
    <s v="Miksovsky"/>
    <n v="9"/>
    <n v="9"/>
    <n v="9"/>
    <n v="9"/>
    <n v="9"/>
    <n v="9"/>
  </r>
  <r>
    <x v="8"/>
    <x v="8"/>
    <x v="4"/>
    <x v="190"/>
    <d v="2024-09-10T06:08:42"/>
    <d v="2025-07-31T21:59:59"/>
    <s v="Cisco Associate-level Certification"/>
    <s v="CCNA R&amp;S"/>
    <x v="9"/>
    <s v="CCNA: Introduction to Networks"/>
    <s v="English"/>
    <s v="7"/>
    <s v="46471229"/>
    <s v="Alena"/>
    <s v="Pakosová"/>
    <n v="15"/>
    <n v="15"/>
    <n v="10"/>
    <n v="15"/>
    <n v="15"/>
    <n v="10"/>
  </r>
  <r>
    <x v="8"/>
    <x v="8"/>
    <x v="4"/>
    <x v="191"/>
    <d v="2024-09-05T09:52:37"/>
    <d v="2025-05-31T21:59:59"/>
    <s v="Introductory Technical Skills"/>
    <s v="Cybersecurity"/>
    <x v="31"/>
    <s v="Introduction to Cybersecurity_3E_1sk_2024_2025"/>
    <s v="English"/>
    <s v="7.1"/>
    <s v="588121"/>
    <s v="Milan"/>
    <s v="Miksovsky"/>
    <n v="13"/>
    <n v="11"/>
    <n v="8"/>
    <n v="13"/>
    <n v="11"/>
    <n v="8"/>
  </r>
  <r>
    <x v="8"/>
    <x v="8"/>
    <x v="4"/>
    <x v="192"/>
    <d v="2024-09-06T06:18:26"/>
    <d v="2025-05-31T21:59:59"/>
    <s v="Introductory Technical Skills"/>
    <s v="Cybersecurity"/>
    <x v="31"/>
    <s v="IIntroduction to Cybersecurity_3D_2sk_2024_2025"/>
    <s v="English"/>
    <s v="7.1"/>
    <s v="588121"/>
    <s v="Milan"/>
    <s v="Miksovsky"/>
    <n v="13"/>
    <n v="12"/>
    <n v="12"/>
    <n v="13"/>
    <n v="12"/>
    <n v="12"/>
  </r>
  <r>
    <x v="8"/>
    <x v="8"/>
    <x v="4"/>
    <x v="193"/>
    <d v="2024-09-06T07:57:41"/>
    <d v="2025-05-31T21:59:59"/>
    <s v="Introductory Technical Skills"/>
    <s v="Cybersecurity"/>
    <x v="31"/>
    <s v="Cybersecurity_3D_1sk_2024_2025"/>
    <s v="English"/>
    <s v="7.1"/>
    <s v="588121"/>
    <s v="Milan"/>
    <s v="Miksovsky"/>
    <n v="15"/>
    <n v="12"/>
    <n v="12"/>
    <n v="15"/>
    <n v="12"/>
    <n v="12"/>
  </r>
  <r>
    <x v="9"/>
    <x v="9"/>
    <x v="2"/>
    <x v="194"/>
    <d v="2024-12-07T17:30:17"/>
    <d v="2025-06-30T21:59:59"/>
    <s v="Professional Skills"/>
    <s v="English for IT"/>
    <x v="32"/>
    <s v="1B2_English for IT 1"/>
    <s v="English"/>
    <s v="1"/>
    <s v="40202895"/>
    <s v="Marian"/>
    <s v="Petrik"/>
    <n v="27"/>
    <n v="7"/>
    <n v="0"/>
    <n v="27"/>
    <n v="7"/>
    <n v="0"/>
  </r>
  <r>
    <x v="9"/>
    <x v="9"/>
    <x v="2"/>
    <x v="195"/>
    <d v="2024-09-09T07:08:02"/>
    <d v="2025-06-30T21:59:59"/>
    <s v="Professional Skills"/>
    <s v="English for IT"/>
    <x v="32"/>
    <s v="2B 1sk 2024_2025 English for IT 1"/>
    <s v="English"/>
    <s v="1"/>
    <s v="40202895"/>
    <s v="Marian"/>
    <s v="Petrik"/>
    <n v="10"/>
    <n v="10"/>
    <n v="9"/>
    <n v="10"/>
    <n v="10"/>
    <n v="9"/>
  </r>
  <r>
    <x v="9"/>
    <x v="9"/>
    <x v="2"/>
    <x v="196"/>
    <d v="2024-09-09T05:35:30"/>
    <d v="2025-06-30T21:59:59"/>
    <s v="Cisco Associate-level Certification"/>
    <s v="Cybersecurity"/>
    <x v="33"/>
    <s v="CyberOps Associate IVA"/>
    <s v="English"/>
    <s v="1"/>
    <s v="4874700"/>
    <s v="Marcela"/>
    <s v="Timková"/>
    <n v="24"/>
    <n v="24"/>
    <n v="10"/>
    <n v="24"/>
    <n v="24"/>
    <n v="10"/>
  </r>
  <r>
    <x v="9"/>
    <x v="9"/>
    <x v="2"/>
    <x v="197"/>
    <d v="2024-09-10T10:37:29"/>
    <d v="2025-05-31T21:59:59"/>
    <s v="Cisco Associate-level Certification"/>
    <s v="Cybersecurity"/>
    <x v="33"/>
    <s v="CyberOps Associate IVD"/>
    <s v="English"/>
    <s v="1"/>
    <s v="4874700"/>
    <s v="Marcela"/>
    <s v="Timková"/>
    <n v="13"/>
    <n v="11"/>
    <n v="0"/>
    <n v="13"/>
    <n v="11"/>
    <n v="0"/>
  </r>
  <r>
    <x v="9"/>
    <x v="9"/>
    <x v="2"/>
    <x v="198"/>
    <d v="2024-09-11T07:48:03"/>
    <d v="2025-06-30T21:59:59"/>
    <s v="Cisco Associate-level Certification"/>
    <s v="CCNA R&amp;S"/>
    <x v="8"/>
    <s v="CCNA: Switching, Routing, and Wireless Essentials IIB"/>
    <s v="English"/>
    <s v="7"/>
    <s v="4874700"/>
    <s v="Marcela"/>
    <s v="Timková"/>
    <n v="29"/>
    <n v="29"/>
    <n v="14"/>
    <n v="29"/>
    <n v="29"/>
    <n v="14"/>
  </r>
  <r>
    <x v="9"/>
    <x v="9"/>
    <x v="2"/>
    <x v="199"/>
    <d v="2024-10-11T11:30:22"/>
    <d v="2025-05-31T21:59:59"/>
    <s v="3rd Party Technical Certification"/>
    <s v="Linux"/>
    <x v="17"/>
    <s v="Linux Essentials - 4D"/>
    <s v="English"/>
    <s v="2"/>
    <s v="35471307"/>
    <s v="Lukas"/>
    <s v="Zmuda"/>
    <n v="24"/>
    <n v="0"/>
    <n v="0"/>
    <n v="24"/>
    <n v="0"/>
    <n v="0"/>
  </r>
  <r>
    <x v="9"/>
    <x v="9"/>
    <x v="2"/>
    <x v="2"/>
    <m/>
    <m/>
    <m/>
    <m/>
    <x v="2"/>
    <m/>
    <m/>
    <m/>
    <s v="47991594"/>
    <s v="Katarína"/>
    <s v="Zmudová"/>
    <n v="24"/>
    <n v="0"/>
    <n v="0"/>
    <n v="24"/>
    <n v="0"/>
    <n v="0"/>
  </r>
  <r>
    <x v="9"/>
    <x v="9"/>
    <x v="2"/>
    <x v="2"/>
    <m/>
    <m/>
    <m/>
    <m/>
    <x v="2"/>
    <m/>
    <m/>
    <m/>
    <s v="4874700"/>
    <s v="Marcela"/>
    <s v="Timková"/>
    <n v="24"/>
    <n v="0"/>
    <n v="0"/>
    <n v="24"/>
    <n v="0"/>
    <n v="0"/>
  </r>
  <r>
    <x v="9"/>
    <x v="9"/>
    <x v="2"/>
    <x v="200"/>
    <d v="2024-09-12T10:05:04"/>
    <d v="2025-06-30T21:59:59"/>
    <s v="3rd Party Technical Certification"/>
    <s v="IT Essentials"/>
    <x v="34"/>
    <s v="3B 1sk 2024_2025 IT Essentials 7"/>
    <s v="English"/>
    <s v="7.02"/>
    <s v="40202895"/>
    <s v="Marian"/>
    <s v="Petrik"/>
    <n v="24"/>
    <n v="15"/>
    <n v="12"/>
    <n v="24"/>
    <n v="15"/>
    <n v="12"/>
  </r>
  <r>
    <x v="9"/>
    <x v="9"/>
    <x v="2"/>
    <x v="201"/>
    <d v="2024-02-05T23:00:00"/>
    <d v="2024-08-30T22:00:00"/>
    <s v="3rd Party Technical Certification"/>
    <s v="C"/>
    <x v="35"/>
    <s v="II.A Programovanie IaST"/>
    <s v="English"/>
    <s v="1.1"/>
    <s v="47991594"/>
    <s v="Katarína"/>
    <s v="Zmudová"/>
    <n v="16"/>
    <n v="14"/>
    <n v="0"/>
    <n v="16"/>
    <n v="14"/>
    <n v="0"/>
  </r>
  <r>
    <x v="9"/>
    <x v="9"/>
    <x v="2"/>
    <x v="202"/>
    <d v="2024-07-30T22:00:00"/>
    <d v="2025-02-23T23:00:00"/>
    <s v="Cisco Associate-level Certification"/>
    <s v="CCNA R&amp;S"/>
    <x v="4"/>
    <s v="CCNA-2"/>
    <s v="English"/>
    <s v="7.02"/>
    <s v="35471307"/>
    <s v="Lukas"/>
    <s v="Zmuda"/>
    <n v="1"/>
    <n v="0"/>
    <n v="1"/>
    <n v="1"/>
    <n v="0"/>
    <n v="1"/>
  </r>
  <r>
    <x v="9"/>
    <x v="9"/>
    <x v="2"/>
    <x v="203"/>
    <d v="2024-07-30T22:00:00"/>
    <d v="2025-02-23T23:00:00"/>
    <s v="Cisco Associate-level Certification"/>
    <s v="CCNA R&amp;S"/>
    <x v="11"/>
    <s v="CCNA-3"/>
    <s v="English"/>
    <s v="7.02"/>
    <s v="35471307"/>
    <s v="Lukas"/>
    <s v="Zmuda"/>
    <n v="1"/>
    <n v="0"/>
    <n v="0"/>
    <n v="1"/>
    <n v="0"/>
    <n v="0"/>
  </r>
  <r>
    <x v="9"/>
    <x v="9"/>
    <x v="2"/>
    <x v="204"/>
    <d v="2024-07-30T22:00:00"/>
    <d v="2025-02-23T23:00:00"/>
    <s v="Cisco Associate-level Certification"/>
    <s v="CCNA R&amp;S"/>
    <x v="5"/>
    <s v="CCNA-1"/>
    <s v="English"/>
    <s v="7.02"/>
    <s v="35471307"/>
    <s v="Lukas"/>
    <s v="Zmuda"/>
    <n v="1"/>
    <n v="1"/>
    <n v="1"/>
    <n v="1"/>
    <n v="1"/>
    <n v="1"/>
  </r>
  <r>
    <x v="9"/>
    <x v="9"/>
    <x v="2"/>
    <x v="205"/>
    <d v="2024-09-11T09:13:25"/>
    <d v="2025-06-30T21:59:59"/>
    <s v="Professional Skills"/>
    <s v="English for IT"/>
    <x v="32"/>
    <s v="3B 2sk 2024_2025 English for IT 1"/>
    <s v="English"/>
    <s v="1"/>
    <s v="40202895"/>
    <s v="Marian"/>
    <s v="Petrik"/>
    <n v="14"/>
    <n v="14"/>
    <n v="11"/>
    <n v="14"/>
    <n v="14"/>
    <n v="11"/>
  </r>
  <r>
    <x v="9"/>
    <x v="9"/>
    <x v="2"/>
    <x v="206"/>
    <d v="2024-09-11T10:35:34"/>
    <d v="2025-09-03T21:59:59"/>
    <s v="Cisco Associate-level Certification"/>
    <s v="CCNA R&amp;S"/>
    <x v="8"/>
    <s v="CCNA2 II.C"/>
    <s v="English"/>
    <s v="7"/>
    <s v="4874969"/>
    <s v="Martina"/>
    <s v="Santova"/>
    <n v="25"/>
    <n v="25"/>
    <n v="3"/>
    <n v="25"/>
    <n v="25"/>
    <n v="3"/>
  </r>
  <r>
    <x v="9"/>
    <x v="9"/>
    <x v="2"/>
    <x v="207"/>
    <d v="2024-09-03T15:04:45"/>
    <d v="2025-06-30T21:59:59"/>
    <s v="Cisco Associate-level Certification"/>
    <s v="Cybersecurity"/>
    <x v="33"/>
    <s v="CyberOps Associate IVB"/>
    <s v="English"/>
    <s v="1"/>
    <s v="4874969"/>
    <s v="Martina"/>
    <s v="Santova"/>
    <n v="25"/>
    <n v="15"/>
    <n v="8"/>
    <n v="25"/>
    <n v="15"/>
    <n v="8"/>
  </r>
  <r>
    <x v="9"/>
    <x v="9"/>
    <x v="2"/>
    <x v="208"/>
    <d v="2024-09-12T07:08:10"/>
    <d v="2025-06-30T21:59:59"/>
    <s v="3rd Party Technical Certification"/>
    <s v="C"/>
    <x v="24"/>
    <s v="C Essentials 1 - II.B"/>
    <s v="English"/>
    <s v="1"/>
    <s v="47991594"/>
    <s v="Katarína"/>
    <s v="Zmudová"/>
    <n v="29"/>
    <n v="29"/>
    <n v="0"/>
    <n v="29"/>
    <n v="29"/>
    <n v="0"/>
  </r>
  <r>
    <x v="9"/>
    <x v="9"/>
    <x v="2"/>
    <x v="209"/>
    <d v="2024-09-16T06:03:27"/>
    <d v="2025-06-30T21:59:59"/>
    <s v="Professional Skills"/>
    <s v="English for IT"/>
    <x v="32"/>
    <s v="2G 2024_2025 English for IT 1"/>
    <s v="English"/>
    <s v="1"/>
    <s v="40202895"/>
    <s v="Marian"/>
    <s v="Petrik"/>
    <n v="13"/>
    <n v="12"/>
    <n v="8"/>
    <n v="13"/>
    <n v="12"/>
    <n v="8"/>
  </r>
  <r>
    <x v="9"/>
    <x v="9"/>
    <x v="2"/>
    <x v="210"/>
    <d v="2024-09-16T06:10:33"/>
    <d v="2025-06-30T21:59:59"/>
    <s v="Cisco Associate-level Certification"/>
    <s v="CCNA R&amp;S"/>
    <x v="9"/>
    <s v="2G 2024_2025 CCNA: Introduction to Networks"/>
    <s v="English"/>
    <s v="7"/>
    <s v="40202895"/>
    <s v="Marian"/>
    <s v="Petrik"/>
    <n v="10"/>
    <n v="10"/>
    <n v="5"/>
    <n v="10"/>
    <n v="10"/>
    <n v="5"/>
  </r>
  <r>
    <x v="9"/>
    <x v="9"/>
    <x v="2"/>
    <x v="211"/>
    <d v="2024-09-17T09:04:32"/>
    <d v="2025-06-30T21:59:59"/>
    <s v="3rd Party Technical Certification"/>
    <s v="C"/>
    <x v="24"/>
    <s v="C Essentials 1 - II.C"/>
    <s v="English"/>
    <s v="1"/>
    <s v="47991594"/>
    <s v="Katarína"/>
    <s v="Zmudová"/>
    <n v="28"/>
    <n v="28"/>
    <n v="0"/>
    <n v="28"/>
    <n v="28"/>
    <n v="0"/>
  </r>
  <r>
    <x v="9"/>
    <x v="9"/>
    <x v="2"/>
    <x v="212"/>
    <d v="2024-09-04T06:44:28"/>
    <d v="2025-06-30T21:59:59"/>
    <s v="Cisco Associate-level Certification"/>
    <s v="CCNA R&amp;S"/>
    <x v="10"/>
    <s v="CCNA: Enterprise Networking, Security, and Automation"/>
    <s v="English"/>
    <s v="1"/>
    <s v="4874700"/>
    <s v="Marcela"/>
    <s v="Timková"/>
    <n v="40"/>
    <n v="36"/>
    <n v="23"/>
    <n v="40"/>
    <n v="36"/>
    <n v="23"/>
  </r>
  <r>
    <x v="9"/>
    <x v="9"/>
    <x v="2"/>
    <x v="213"/>
    <d v="2024-09-10T10:36:23"/>
    <d v="2025-08-31T21:59:59"/>
    <s v="3rd Party Technical Certification"/>
    <s v="C"/>
    <x v="24"/>
    <s v="C Essentials 1 /2.A 1. skupina"/>
    <s v="English"/>
    <s v="1"/>
    <s v="47991622"/>
    <s v="Jana"/>
    <s v="Chudá"/>
    <n v="17"/>
    <n v="15"/>
    <n v="0"/>
    <n v="17"/>
    <n v="15"/>
    <n v="0"/>
  </r>
  <r>
    <x v="9"/>
    <x v="9"/>
    <x v="2"/>
    <x v="214"/>
    <d v="2024-09-09T11:06:46"/>
    <d v="2025-09-08T21:59:59"/>
    <s v="Cisco Associate-level Certification"/>
    <s v="CCNA R&amp;S"/>
    <x v="10"/>
    <s v="CCNA3 IIIC"/>
    <s v="English"/>
    <s v="1"/>
    <s v="4874969"/>
    <s v="Martina"/>
    <s v="Santova"/>
    <n v="25"/>
    <n v="23"/>
    <n v="9"/>
    <n v="25"/>
    <n v="23"/>
    <n v="9"/>
  </r>
  <r>
    <x v="9"/>
    <x v="9"/>
    <x v="2"/>
    <x v="215"/>
    <d v="2024-09-03T09:17:38"/>
    <d v="2025-08-31T21:59:59"/>
    <s v="Cisco Associate-level Certification"/>
    <s v="CCNA R&amp;S"/>
    <x v="9"/>
    <s v="CCNA1 Int to Net IB"/>
    <s v="English"/>
    <s v="7"/>
    <s v="4874969"/>
    <s v="Martina"/>
    <s v="Santova"/>
    <n v="30"/>
    <n v="30"/>
    <n v="3"/>
    <n v="30"/>
    <n v="30"/>
    <n v="3"/>
  </r>
  <r>
    <x v="9"/>
    <x v="9"/>
    <x v="2"/>
    <x v="216"/>
    <d v="2024-09-27T05:38:59"/>
    <d v="2025-06-30T21:59:59"/>
    <s v="Introductory Technical Skills"/>
    <s v="OS &amp; IT"/>
    <x v="36"/>
    <s v="3A 2sk 2024_2025 Computer Hardware Basics"/>
    <s v="English"/>
    <s v="1"/>
    <s v="40202895"/>
    <s v="Marian"/>
    <s v="Petrik"/>
    <n v="14"/>
    <n v="14"/>
    <n v="13"/>
    <n v="14"/>
    <n v="14"/>
    <n v="13"/>
  </r>
  <r>
    <x v="9"/>
    <x v="9"/>
    <x v="2"/>
    <x v="217"/>
    <d v="2024-09-27T05:32:46"/>
    <d v="2025-06-30T21:59:59"/>
    <s v="Professional Skills"/>
    <s v="English for IT"/>
    <x v="32"/>
    <s v="3.A 2sk 2024_2025 English for IT 1"/>
    <s v="English"/>
    <s v="1"/>
    <s v="40202895"/>
    <s v="Marian"/>
    <s v="Petrik"/>
    <n v="14"/>
    <n v="14"/>
    <n v="13"/>
    <n v="14"/>
    <n v="14"/>
    <n v="13"/>
  </r>
  <r>
    <x v="9"/>
    <x v="9"/>
    <x v="2"/>
    <x v="218"/>
    <d v="2024-09-16T06:14:14"/>
    <d v="2025-06-30T21:59:59"/>
    <s v="Introductory Technical Skills"/>
    <s v="OS &amp; IT"/>
    <x v="36"/>
    <s v="2G 2024_2025 Computer Hardware Basics"/>
    <s v="English"/>
    <s v="1"/>
    <s v="40202895"/>
    <s v="Marian"/>
    <s v="Petrik"/>
    <n v="12"/>
    <n v="12"/>
    <n v="9"/>
    <n v="12"/>
    <n v="12"/>
    <n v="9"/>
  </r>
  <r>
    <x v="9"/>
    <x v="9"/>
    <x v="2"/>
    <x v="219"/>
    <d v="2024-09-12T09:59:33"/>
    <d v="2025-06-30T21:59:59"/>
    <s v="Professional Skills"/>
    <s v="English for IT"/>
    <x v="32"/>
    <s v="3B 1sk 2024_2025 English for IT 1"/>
    <s v="English"/>
    <s v="1"/>
    <s v="40202895"/>
    <s v="Marian"/>
    <s v="Petrik"/>
    <n v="26"/>
    <n v="26"/>
    <n v="14"/>
    <n v="26"/>
    <n v="26"/>
    <n v="14"/>
  </r>
  <r>
    <x v="9"/>
    <x v="9"/>
    <x v="2"/>
    <x v="220"/>
    <d v="2024-11-12T07:15:16"/>
    <d v="2025-07-31T21:59:59"/>
    <s v="Cisco Associate-level Certification"/>
    <s v="CCNA R&amp;S"/>
    <x v="10"/>
    <s v="CCNA: Enterprise Networking, Security, and Automation 3.B"/>
    <s v="English"/>
    <s v="1"/>
    <s v="43991239"/>
    <s v="Aleš"/>
    <s v="Chovanec"/>
    <n v="26"/>
    <n v="26"/>
    <n v="23"/>
    <n v="26"/>
    <n v="26"/>
    <n v="23"/>
  </r>
  <r>
    <x v="9"/>
    <x v="9"/>
    <x v="2"/>
    <x v="221"/>
    <d v="2024-09-11T06:53:44"/>
    <d v="2025-06-30T21:59:59"/>
    <s v="Professional Skills"/>
    <s v="English for IT"/>
    <x v="32"/>
    <s v="2C 2sk 2024_2025 English for IT 1"/>
    <s v="English"/>
    <s v="1"/>
    <s v="40202895"/>
    <s v="Marian"/>
    <s v="Petrik"/>
    <n v="15"/>
    <n v="14"/>
    <n v="8"/>
    <n v="15"/>
    <n v="14"/>
    <n v="8"/>
  </r>
  <r>
    <x v="9"/>
    <x v="9"/>
    <x v="2"/>
    <x v="222"/>
    <d v="2024-09-19T06:07:46"/>
    <d v="2025-05-28T21:59:59"/>
    <s v="Cisco Associate-level Certification"/>
    <s v="Cybersecurity"/>
    <x v="33"/>
    <s v="CyberOps Associate IVC"/>
    <s v="English"/>
    <s v="1"/>
    <s v="4874969"/>
    <s v="Martina"/>
    <s v="Santova"/>
    <n v="24"/>
    <n v="4"/>
    <n v="1"/>
    <n v="24"/>
    <n v="4"/>
    <n v="1"/>
  </r>
  <r>
    <x v="9"/>
    <x v="9"/>
    <x v="2"/>
    <x v="223"/>
    <d v="2024-09-20T08:09:32"/>
    <d v="2025-06-30T21:59:59"/>
    <s v="3rd Party Technical Certification"/>
    <s v="IT Essentials"/>
    <x v="34"/>
    <s v="2A 2sk 2024_2025 IT Essentials 7"/>
    <s v="English"/>
    <s v="7.02"/>
    <s v="40202895"/>
    <s v="Marian"/>
    <s v="Petrik"/>
    <n v="16"/>
    <n v="15"/>
    <n v="14"/>
    <n v="16"/>
    <n v="15"/>
    <n v="14"/>
  </r>
  <r>
    <x v="9"/>
    <x v="9"/>
    <x v="2"/>
    <x v="224"/>
    <d v="2024-08-27T09:25:36"/>
    <d v="2025-07-15T21:59:59"/>
    <s v="Cisco Associate-level Certification"/>
    <s v="CCNA R&amp;S"/>
    <x v="10"/>
    <s v="CCNA: Enterprise Networking, Securand aut. III.F"/>
    <s v="English"/>
    <s v="1"/>
    <s v="43991239"/>
    <s v="Aleš"/>
    <s v="Chovanec"/>
    <n v="21"/>
    <n v="21"/>
    <n v="0"/>
    <n v="21"/>
    <n v="21"/>
    <n v="0"/>
  </r>
  <r>
    <x v="9"/>
    <x v="9"/>
    <x v="2"/>
    <x v="225"/>
    <d v="2024-09-20T08:07:01"/>
    <d v="2025-06-30T21:59:59"/>
    <s v="Professional Skills"/>
    <s v="English for IT"/>
    <x v="32"/>
    <s v="2A 2sk 2024_2025 English for IT 1"/>
    <s v="English"/>
    <s v="1"/>
    <s v="40202895"/>
    <s v="Marian"/>
    <s v="Petrik"/>
    <n v="15"/>
    <n v="15"/>
    <n v="15"/>
    <n v="15"/>
    <n v="15"/>
    <n v="15"/>
  </r>
  <r>
    <x v="9"/>
    <x v="9"/>
    <x v="2"/>
    <x v="226"/>
    <d v="2024-09-17T05:15:35"/>
    <d v="2025-06-30T21:59:59"/>
    <s v="Cisco Associate-level Certification"/>
    <s v="CCNA R&amp;S"/>
    <x v="9"/>
    <s v="CCNA1 I.G"/>
    <s v="English"/>
    <s v="7"/>
    <s v="4874969"/>
    <s v="Martina"/>
    <s v="Santova"/>
    <n v="15"/>
    <n v="15"/>
    <n v="0"/>
    <n v="15"/>
    <n v="15"/>
    <n v="0"/>
  </r>
  <r>
    <x v="9"/>
    <x v="9"/>
    <x v="2"/>
    <x v="227"/>
    <d v="2024-09-09T07:19:59"/>
    <d v="2025-06-30T21:59:59"/>
    <s v="3rd Party Technical Certification"/>
    <s v="IT Essentials"/>
    <x v="34"/>
    <s v="2B 1.sk 2024_2025 IT Essentials 7"/>
    <s v="English"/>
    <s v="7.02"/>
    <s v="40202895"/>
    <s v="Marian"/>
    <s v="Petrik"/>
    <n v="15"/>
    <n v="14"/>
    <n v="8"/>
    <n v="15"/>
    <n v="14"/>
    <n v="8"/>
  </r>
  <r>
    <x v="9"/>
    <x v="9"/>
    <x v="2"/>
    <x v="228"/>
    <d v="2024-09-04T07:05:36"/>
    <d v="2025-09-03T21:59:59"/>
    <s v="Cisco Associate-level Certification"/>
    <s v="CCNA R&amp;S"/>
    <x v="8"/>
    <s v="CCNA2: IIA a IIG"/>
    <s v="English"/>
    <s v="7"/>
    <s v="4874969"/>
    <s v="Martina"/>
    <s v="Santova"/>
    <n v="55"/>
    <n v="55"/>
    <n v="9"/>
    <n v="55"/>
    <n v="55"/>
    <n v="9"/>
  </r>
  <r>
    <x v="9"/>
    <x v="9"/>
    <x v="2"/>
    <x v="229"/>
    <d v="2024-09-09T09:04:45"/>
    <d v="2025-07-04T21:59:59"/>
    <s v="Cisco Associate-level Certification"/>
    <s v="CCNA R&amp;S"/>
    <x v="9"/>
    <s v="CCNA: Introduction to Networks IA"/>
    <s v="English"/>
    <s v="7"/>
    <s v="4874700"/>
    <s v="Marcela"/>
    <s v="Timková"/>
    <n v="34"/>
    <n v="33"/>
    <n v="27"/>
    <n v="34"/>
    <n v="33"/>
    <n v="27"/>
  </r>
  <r>
    <x v="9"/>
    <x v="9"/>
    <x v="2"/>
    <x v="230"/>
    <d v="2024-11-12T07:06:46"/>
    <d v="2025-07-15T21:59:59"/>
    <s v="Cisco Associate-level Certification"/>
    <s v="CCNA R&amp;S"/>
    <x v="9"/>
    <s v="CCNA: Introduction to Networks I.C"/>
    <s v="English"/>
    <s v="7"/>
    <s v="43991239"/>
    <s v="Aleš"/>
    <s v="Chovanec"/>
    <n v="30"/>
    <n v="29"/>
    <n v="21"/>
    <n v="30"/>
    <n v="29"/>
    <n v="21"/>
  </r>
  <r>
    <x v="9"/>
    <x v="9"/>
    <x v="2"/>
    <x v="2"/>
    <m/>
    <m/>
    <m/>
    <m/>
    <x v="2"/>
    <m/>
    <m/>
    <m/>
    <s v="4874969"/>
    <s v="Martina"/>
    <s v="Santova"/>
    <n v="30"/>
    <n v="29"/>
    <n v="21"/>
    <n v="30"/>
    <n v="29"/>
    <n v="21"/>
  </r>
  <r>
    <x v="9"/>
    <x v="9"/>
    <x v="2"/>
    <x v="231"/>
    <d v="2024-09-11T07:03:18"/>
    <d v="2025-06-30T21:59:59"/>
    <s v="3rd Party Technical Certification"/>
    <s v="IT Essentials"/>
    <x v="34"/>
    <s v="2C 2sk 2024_2025 IT Essentials 7"/>
    <s v="English"/>
    <s v="7.02"/>
    <s v="40202895"/>
    <s v="Marian"/>
    <s v="Petrik"/>
    <n v="15"/>
    <n v="14"/>
    <n v="3"/>
    <n v="15"/>
    <n v="14"/>
    <n v="3"/>
  </r>
  <r>
    <x v="9"/>
    <x v="9"/>
    <x v="2"/>
    <x v="232"/>
    <d v="2024-09-11T09:16:24"/>
    <d v="2025-06-30T21:59:59"/>
    <s v="3rd Party Technical Certification"/>
    <s v="IT Essentials"/>
    <x v="34"/>
    <s v="3B 2sk 2024_2025 IT Essentials 7"/>
    <s v="English"/>
    <s v="7.02"/>
    <s v="40202895"/>
    <s v="Marian"/>
    <s v="Petrik"/>
    <n v="14"/>
    <n v="14"/>
    <n v="11"/>
    <n v="14"/>
    <n v="14"/>
    <n v="11"/>
  </r>
  <r>
    <x v="9"/>
    <x v="9"/>
    <x v="2"/>
    <x v="233"/>
    <d v="2024-09-16T10:52:17"/>
    <d v="2025-06-30T21:59:59"/>
    <s v="Introductory Technical Skills"/>
    <s v="OS &amp; IT"/>
    <x v="36"/>
    <s v="3B 1sk 2024_2025 Computer Hardware Basics"/>
    <s v="English"/>
    <s v="1"/>
    <s v="40202895"/>
    <s v="Marian"/>
    <s v="Petrik"/>
    <n v="13"/>
    <n v="13"/>
    <n v="13"/>
    <n v="13"/>
    <n v="13"/>
    <n v="13"/>
  </r>
  <r>
    <x v="9"/>
    <x v="9"/>
    <x v="2"/>
    <x v="234"/>
    <d v="2024-12-16T07:32:58"/>
    <d v="2025-06-30T21:59:59"/>
    <s v="Introductory Technical Skills"/>
    <s v="Digital Literacy"/>
    <x v="37"/>
    <s v="Computer and Mobile Devices"/>
    <s v="English"/>
    <s v="1"/>
    <s v="35492121"/>
    <s v="Ivana"/>
    <s v="Jasanova"/>
    <n v="1"/>
    <n v="1"/>
    <n v="0"/>
    <n v="1"/>
    <n v="1"/>
    <n v="0"/>
  </r>
  <r>
    <x v="9"/>
    <x v="9"/>
    <x v="2"/>
    <x v="235"/>
    <d v="2024-09-13T07:05:15"/>
    <d v="2025-08-31T21:59:59"/>
    <s v="3rd Party Technical Certification"/>
    <s v="C"/>
    <x v="24"/>
    <s v="C Essentials 1/ 2.A 2. skupina"/>
    <s v="English"/>
    <s v="1"/>
    <s v="47991622"/>
    <s v="Jana"/>
    <s v="Chudá"/>
    <n v="16"/>
    <n v="15"/>
    <n v="0"/>
    <n v="16"/>
    <n v="15"/>
    <n v="0"/>
  </r>
  <r>
    <x v="9"/>
    <x v="9"/>
    <x v="2"/>
    <x v="236"/>
    <d v="2024-09-10T09:40:39"/>
    <d v="2025-06-30T21:59:59"/>
    <s v="3rd Party Technical Certification"/>
    <s v="IT Essentials"/>
    <x v="13"/>
    <s v="IT Essentials 8"/>
    <s v="English"/>
    <s v="8"/>
    <s v="4874700"/>
    <s v="Marcela"/>
    <s v="Timková"/>
    <n v="15"/>
    <n v="15"/>
    <n v="12"/>
    <n v="15"/>
    <n v="15"/>
    <n v="12"/>
  </r>
  <r>
    <x v="9"/>
    <x v="9"/>
    <x v="2"/>
    <x v="237"/>
    <d v="2024-09-27T05:36:00"/>
    <d v="2025-06-30T21:59:59"/>
    <s v="3rd Party Technical Certification"/>
    <s v="IT Essentials"/>
    <x v="34"/>
    <s v="3A 2.sk 2024_2025 IT Essentials 7"/>
    <s v="English"/>
    <s v="7.02"/>
    <s v="40202895"/>
    <s v="Marian"/>
    <s v="Petrik"/>
    <n v="16"/>
    <n v="15"/>
    <n v="9"/>
    <n v="16"/>
    <n v="15"/>
    <n v="9"/>
  </r>
  <r>
    <x v="10"/>
    <x v="10"/>
    <x v="0"/>
    <x v="238"/>
    <d v="2024-09-07T22:00:00"/>
    <d v="2024-12-22T22:59:59"/>
    <s v="Cisco Associate-level Certification"/>
    <s v="CCNA R&amp;S"/>
    <x v="9"/>
    <s v="CCNA: Introduction to Networks"/>
    <s v="English"/>
    <s v="7"/>
    <s v="43974284"/>
    <s v="Milan"/>
    <s v="Sramko"/>
    <n v="1"/>
    <n v="1"/>
    <n v="0"/>
    <n v="1"/>
    <n v="1"/>
    <n v="0"/>
  </r>
  <r>
    <x v="10"/>
    <x v="10"/>
    <x v="0"/>
    <x v="239"/>
    <d v="2024-09-11T07:27:18"/>
    <d v="2025-06-15T21:59:59"/>
    <s v="Cisco Associate-level Certification"/>
    <s v="CCNA R&amp;S"/>
    <x v="9"/>
    <s v="CCNA: Introduction to Networks"/>
    <s v="English"/>
    <s v="7"/>
    <s v="43974284"/>
    <s v="Milan"/>
    <s v="Sramko"/>
    <n v="23"/>
    <n v="23"/>
    <n v="21"/>
    <n v="23"/>
    <n v="23"/>
    <n v="21"/>
  </r>
  <r>
    <x v="11"/>
    <x v="11"/>
    <x v="2"/>
    <x v="240"/>
    <d v="2024-09-13T08:09:28"/>
    <d v="2025-07-31T21:59:59"/>
    <s v="Cisco Associate-level Certification"/>
    <s v="CCNA R&amp;S"/>
    <x v="8"/>
    <s v="2024_2025 II.D CCNA: Switching, Routing, and Wireless Essentials"/>
    <s v="English"/>
    <s v="7"/>
    <s v="1024075773"/>
    <s v="Jozef"/>
    <s v="Novák"/>
    <n v="30"/>
    <n v="30"/>
    <n v="30"/>
    <n v="30"/>
    <n v="30"/>
    <n v="30"/>
  </r>
  <r>
    <x v="11"/>
    <x v="11"/>
    <x v="2"/>
    <x v="2"/>
    <m/>
    <m/>
    <m/>
    <m/>
    <x v="2"/>
    <m/>
    <m/>
    <m/>
    <s v="6183054"/>
    <s v="Martin"/>
    <s v="Pagáč"/>
    <n v="30"/>
    <n v="30"/>
    <n v="30"/>
    <n v="30"/>
    <n v="30"/>
    <n v="30"/>
  </r>
  <r>
    <x v="11"/>
    <x v="11"/>
    <x v="2"/>
    <x v="241"/>
    <d v="2024-09-12T09:33:32"/>
    <d v="2025-06-30T21:59:59"/>
    <s v="Cisco Associate-level Certification"/>
    <s v="CCNA R&amp;S"/>
    <x v="9"/>
    <s v="I.C/2 2024-2025 CCNA1: Introduction to Networks"/>
    <s v="English"/>
    <s v="7"/>
    <s v="1053317386"/>
    <s v="Michal"/>
    <s v="Ďuriš"/>
    <n v="9"/>
    <n v="9"/>
    <n v="8"/>
    <n v="9"/>
    <n v="9"/>
    <n v="8"/>
  </r>
  <r>
    <x v="11"/>
    <x v="11"/>
    <x v="2"/>
    <x v="242"/>
    <d v="2024-12-13T07:26:47"/>
    <d v="2025-10-30T22:59:59"/>
    <s v="Cisco Associate-level Certification"/>
    <s v="CCNA R&amp;S"/>
    <x v="8"/>
    <s v="2.C/3.sk_24-25_CCNA: Switching, Routing, and Wireless Essentials"/>
    <s v="English"/>
    <s v="7"/>
    <s v="4475541"/>
    <s v="Radoslav"/>
    <s v="Sanitra"/>
    <n v="7"/>
    <n v="7"/>
    <n v="0"/>
    <n v="7"/>
    <n v="7"/>
    <n v="0"/>
  </r>
  <r>
    <x v="11"/>
    <x v="11"/>
    <x v="2"/>
    <x v="243"/>
    <d v="2024-01-16T23:00:00"/>
    <d v="2024-08-27T22:00:00"/>
    <s v="Cisco Associate-level Certification"/>
    <s v="CCNA R&amp;S"/>
    <x v="11"/>
    <s v="III.D OVY1 SOS-IT 2023_2024"/>
    <s v="English"/>
    <s v="7.02"/>
    <s v="1024075773"/>
    <s v="Jozef"/>
    <s v="Novák"/>
    <n v="10"/>
    <n v="10"/>
    <n v="10"/>
    <n v="10"/>
    <n v="10"/>
    <n v="10"/>
  </r>
  <r>
    <x v="11"/>
    <x v="11"/>
    <x v="2"/>
    <x v="2"/>
    <m/>
    <m/>
    <m/>
    <m/>
    <x v="2"/>
    <m/>
    <m/>
    <m/>
    <s v="6183054"/>
    <s v="Martin"/>
    <s v="Pagáč"/>
    <n v="10"/>
    <n v="10"/>
    <n v="10"/>
    <n v="10"/>
    <n v="10"/>
    <n v="10"/>
  </r>
  <r>
    <x v="11"/>
    <x v="11"/>
    <x v="2"/>
    <x v="244"/>
    <d v="2024-04-08T22:00:00"/>
    <d v="2024-08-30T22:00:00"/>
    <s v="Intermediate Technical Skills"/>
    <s v="Cybersecurity"/>
    <x v="14"/>
    <s v="CCNA NS test"/>
    <s v="English"/>
    <s v="1"/>
    <s v="6183054"/>
    <s v="Martin"/>
    <s v="Pagáč"/>
    <n v="1"/>
    <n v="1"/>
    <n v="0"/>
    <n v="1"/>
    <n v="1"/>
    <n v="0"/>
  </r>
  <r>
    <x v="11"/>
    <x v="11"/>
    <x v="2"/>
    <x v="245"/>
    <d v="2024-04-17T22:00:00"/>
    <d v="2024-08-29T22:00:00"/>
    <s v="Cisco Associate-level Certification"/>
    <s v="CCNA R&amp;S"/>
    <x v="4"/>
    <s v="III.C OVY 2 SOS-IT 2023_2024"/>
    <s v="English"/>
    <s v="7.02"/>
    <s v="1024075773"/>
    <s v="Jozef"/>
    <s v="Novák"/>
    <n v="8"/>
    <n v="8"/>
    <n v="8"/>
    <n v="8"/>
    <n v="8"/>
    <n v="8"/>
  </r>
  <r>
    <x v="11"/>
    <x v="11"/>
    <x v="2"/>
    <x v="2"/>
    <m/>
    <m/>
    <m/>
    <m/>
    <x v="2"/>
    <m/>
    <m/>
    <m/>
    <s v="6183054"/>
    <s v="Martin"/>
    <s v="Pagáč"/>
    <n v="8"/>
    <n v="8"/>
    <n v="8"/>
    <n v="8"/>
    <n v="8"/>
    <n v="8"/>
  </r>
  <r>
    <x v="11"/>
    <x v="11"/>
    <x v="2"/>
    <x v="246"/>
    <d v="2024-05-08T22:00:00"/>
    <d v="2024-08-30T22:00:00"/>
    <s v="Cisco Associate-level Certification"/>
    <s v="CCNA R&amp;S"/>
    <x v="11"/>
    <s v="III.D OVY2 SOS-IT 2023_2024"/>
    <s v="English"/>
    <s v="7.02"/>
    <s v="1024075773"/>
    <s v="Jozef"/>
    <s v="Novák"/>
    <n v="10"/>
    <n v="10"/>
    <n v="10"/>
    <n v="10"/>
    <n v="10"/>
    <n v="10"/>
  </r>
  <r>
    <x v="11"/>
    <x v="11"/>
    <x v="2"/>
    <x v="247"/>
    <d v="2024-09-09T06:55:32"/>
    <d v="2025-07-09T21:59:59"/>
    <s v="Cisco Associate-level Certification"/>
    <s v="CCNA R&amp;S"/>
    <x v="9"/>
    <s v="24/25 I.A CCNA: Introduction to Networks"/>
    <s v="English"/>
    <s v="7"/>
    <s v="1053317386"/>
    <s v="Michal"/>
    <s v="Ďuriš"/>
    <n v="30"/>
    <n v="30"/>
    <n v="0"/>
    <n v="30"/>
    <n v="30"/>
    <n v="0"/>
  </r>
  <r>
    <x v="11"/>
    <x v="11"/>
    <x v="2"/>
    <x v="2"/>
    <m/>
    <m/>
    <m/>
    <m/>
    <x v="2"/>
    <m/>
    <m/>
    <m/>
    <s v="3067396"/>
    <s v="Katarina"/>
    <s v="Stronerova"/>
    <n v="30"/>
    <n v="30"/>
    <n v="0"/>
    <n v="30"/>
    <n v="30"/>
    <n v="0"/>
  </r>
  <r>
    <x v="11"/>
    <x v="11"/>
    <x v="2"/>
    <x v="248"/>
    <d v="2024-09-23T06:37:42"/>
    <d v="2025-07-10T21:59:59"/>
    <s v="Cisco Associate-level Certification"/>
    <s v="CCNA R&amp;S"/>
    <x v="10"/>
    <s v="2024-2025 CCNA3 III.A CCNA: Enterprise Networking, Security, and Automation"/>
    <s v="English"/>
    <s v="1"/>
    <s v="1024075773"/>
    <s v="Jozef"/>
    <s v="Novák"/>
    <n v="29"/>
    <n v="29"/>
    <n v="26"/>
    <n v="29"/>
    <n v="29"/>
    <n v="26"/>
  </r>
  <r>
    <x v="11"/>
    <x v="11"/>
    <x v="2"/>
    <x v="2"/>
    <m/>
    <m/>
    <m/>
    <m/>
    <x v="2"/>
    <m/>
    <m/>
    <m/>
    <s v="6183054"/>
    <s v="Martin"/>
    <s v="Pagáč"/>
    <n v="29"/>
    <n v="29"/>
    <n v="26"/>
    <n v="29"/>
    <n v="29"/>
    <n v="26"/>
  </r>
  <r>
    <x v="11"/>
    <x v="11"/>
    <x v="2"/>
    <x v="249"/>
    <d v="2024-09-12T09:38:47"/>
    <d v="2025-06-30T21:59:59"/>
    <s v="Cisco Associate-level Certification"/>
    <s v="CCNA R&amp;S"/>
    <x v="9"/>
    <s v="I.C/1 2024-2025 CCNA1: Introduction to Networks"/>
    <s v="English"/>
    <s v="7"/>
    <s v="1053317386"/>
    <s v="Michal"/>
    <s v="Ďuriš"/>
    <n v="8"/>
    <n v="8"/>
    <n v="7"/>
    <n v="8"/>
    <n v="8"/>
    <n v="7"/>
  </r>
  <r>
    <x v="11"/>
    <x v="11"/>
    <x v="2"/>
    <x v="250"/>
    <d v="2024-09-19T06:04:21"/>
    <d v="2025-07-31T21:59:59"/>
    <s v="Cisco Associate-level Certification"/>
    <s v="CCNA R&amp;S"/>
    <x v="10"/>
    <s v="2024_2025 III.D/3 CCNA: Enterprise Networking, Security, and Automation"/>
    <s v="English"/>
    <s v="1"/>
    <s v="1024075773"/>
    <s v="Jozef"/>
    <s v="Novák"/>
    <n v="10"/>
    <n v="10"/>
    <n v="10"/>
    <n v="10"/>
    <n v="10"/>
    <n v="10"/>
  </r>
  <r>
    <x v="11"/>
    <x v="11"/>
    <x v="2"/>
    <x v="2"/>
    <m/>
    <m/>
    <m/>
    <m/>
    <x v="2"/>
    <m/>
    <m/>
    <m/>
    <s v="6183054"/>
    <s v="Martin"/>
    <s v="Pagáč"/>
    <n v="10"/>
    <n v="10"/>
    <n v="10"/>
    <n v="10"/>
    <n v="10"/>
    <n v="10"/>
  </r>
  <r>
    <x v="11"/>
    <x v="11"/>
    <x v="2"/>
    <x v="251"/>
    <d v="2024-10-11T06:25:14"/>
    <d v="2025-10-11T21:59:59"/>
    <s v="Cisco Associate-level Certification"/>
    <s v="CCNA R&amp;S"/>
    <x v="8"/>
    <s v="2.C/1.sk_24-25_CCNA: Switching, Routing, and Wireless Essentials"/>
    <s v="English"/>
    <s v="7"/>
    <s v="4475541"/>
    <s v="Radoslav"/>
    <s v="Sanitra"/>
    <n v="12"/>
    <n v="12"/>
    <n v="0"/>
    <n v="12"/>
    <n v="12"/>
    <n v="0"/>
  </r>
  <r>
    <x v="11"/>
    <x v="11"/>
    <x v="2"/>
    <x v="252"/>
    <d v="2024-09-12T09:37:40"/>
    <d v="2025-06-30T21:59:59"/>
    <s v="Cisco Associate-level Certification"/>
    <s v="CCNA R&amp;S"/>
    <x v="9"/>
    <s v="I.C/3 2024-2025 CCNA1: Introduction to Networks"/>
    <s v="English"/>
    <s v="7"/>
    <s v="1053317386"/>
    <s v="Michal"/>
    <s v="Ďuriš"/>
    <n v="9"/>
    <n v="9"/>
    <n v="6"/>
    <n v="9"/>
    <n v="9"/>
    <n v="6"/>
  </r>
  <r>
    <x v="11"/>
    <x v="11"/>
    <x v="2"/>
    <x v="253"/>
    <d v="2024-10-21T08:43:05"/>
    <d v="2025-10-21T21:59:59"/>
    <s v="Cisco Associate-level Certification"/>
    <s v="CCNA R&amp;S"/>
    <x v="10"/>
    <s v="24-25 IV.C CCNA: Enterprise Networking, Security, and Automation"/>
    <s v="English"/>
    <s v="1"/>
    <s v="4475541"/>
    <s v="Radoslav"/>
    <s v="Sanitra"/>
    <n v="21"/>
    <n v="17"/>
    <n v="16"/>
    <n v="21"/>
    <n v="17"/>
    <n v="16"/>
  </r>
  <r>
    <x v="11"/>
    <x v="11"/>
    <x v="2"/>
    <x v="254"/>
    <d v="2024-12-09T09:27:21"/>
    <d v="2025-07-31T21:59:59"/>
    <s v="Cisco Associate-level Certification"/>
    <s v="CCNA R&amp;S"/>
    <x v="10"/>
    <s v="III.C_OVY3_CCNA: Enterprise Networking, Security, and Automation"/>
    <s v="English"/>
    <s v="1"/>
    <s v="1024075773"/>
    <s v="Jozef"/>
    <s v="Novák"/>
    <n v="7"/>
    <n v="7"/>
    <n v="7"/>
    <n v="7"/>
    <n v="7"/>
    <n v="7"/>
  </r>
  <r>
    <x v="11"/>
    <x v="11"/>
    <x v="2"/>
    <x v="255"/>
    <d v="2024-10-09T12:48:49"/>
    <d v="2025-07-05T21:59:59"/>
    <s v="Cisco Associate-level Certification"/>
    <s v="CCNA R&amp;S"/>
    <x v="9"/>
    <s v="2024-2025 CCNA1 II.A-1 CCNA: Introduction to Networks"/>
    <s v="English"/>
    <s v="7"/>
    <s v="6183054"/>
    <s v="Martin"/>
    <s v="Pagáč"/>
    <n v="28"/>
    <n v="28"/>
    <n v="10"/>
    <n v="28"/>
    <n v="28"/>
    <n v="10"/>
  </r>
  <r>
    <x v="11"/>
    <x v="11"/>
    <x v="2"/>
    <x v="256"/>
    <d v="2024-09-23T07:04:07"/>
    <d v="2025-07-10T21:59:59"/>
    <s v="Intermediate Technical Skills"/>
    <s v="Cybersecurity"/>
    <x v="14"/>
    <s v="2024-2025 III.A-3 CCNA Network Security"/>
    <s v="English"/>
    <s v="1"/>
    <s v="6183054"/>
    <s v="Martin"/>
    <s v="Pagáč"/>
    <n v="20"/>
    <n v="19"/>
    <n v="6"/>
    <n v="20"/>
    <n v="19"/>
    <n v="6"/>
  </r>
  <r>
    <x v="11"/>
    <x v="11"/>
    <x v="2"/>
    <x v="257"/>
    <d v="2024-09-20T07:16:26"/>
    <d v="2025-09-20T21:59:59"/>
    <s v="Cisco Associate-level Certification"/>
    <s v="CCNA R&amp;S"/>
    <x v="8"/>
    <s v="2.C/2.sk_24-25_CCNA: Switching, Routing, and Wireless Essentials"/>
    <s v="English"/>
    <s v="7"/>
    <s v="4475541"/>
    <s v="Radoslav"/>
    <s v="Sanitra"/>
    <n v="16"/>
    <n v="13"/>
    <n v="0"/>
    <n v="16"/>
    <n v="13"/>
    <n v="0"/>
  </r>
  <r>
    <x v="11"/>
    <x v="11"/>
    <x v="2"/>
    <x v="258"/>
    <d v="2024-09-23T08:28:19"/>
    <d v="2025-07-31T21:59:59"/>
    <s v="Cisco Associate-level Certification"/>
    <s v="CCNA R&amp;S"/>
    <x v="10"/>
    <s v="2024_2025 III.C/2 CCNA: Enterprise Networking, Security, and Automation"/>
    <s v="English"/>
    <s v="1"/>
    <s v="1024075773"/>
    <s v="Jozef"/>
    <s v="Novák"/>
    <n v="9"/>
    <n v="9"/>
    <n v="8"/>
    <n v="9"/>
    <n v="9"/>
    <n v="8"/>
  </r>
  <r>
    <x v="11"/>
    <x v="11"/>
    <x v="2"/>
    <x v="2"/>
    <m/>
    <m/>
    <m/>
    <m/>
    <x v="2"/>
    <m/>
    <m/>
    <m/>
    <s v="6183054"/>
    <s v="Martin"/>
    <s v="Pagáč"/>
    <n v="9"/>
    <n v="9"/>
    <n v="8"/>
    <n v="9"/>
    <n v="9"/>
    <n v="8"/>
  </r>
  <r>
    <x v="11"/>
    <x v="11"/>
    <x v="2"/>
    <x v="259"/>
    <d v="2024-09-17T11:18:34"/>
    <d v="2025-07-10T21:59:59"/>
    <s v="Cisco Associate-level Certification"/>
    <s v="CCNA R&amp;S"/>
    <x v="10"/>
    <s v="2024-2025 III.A CCNA3 CCNA: Enterprise Networking, Security, and Automation"/>
    <s v="English"/>
    <s v="1"/>
    <s v="1024075773"/>
    <s v="Jozef"/>
    <s v="Novák"/>
    <n v="15"/>
    <n v="15"/>
    <n v="0"/>
    <n v="15"/>
    <n v="15"/>
    <n v="0"/>
  </r>
  <r>
    <x v="11"/>
    <x v="11"/>
    <x v="2"/>
    <x v="2"/>
    <m/>
    <m/>
    <m/>
    <m/>
    <x v="2"/>
    <m/>
    <m/>
    <m/>
    <s v="6183054"/>
    <s v="Martin"/>
    <s v="Pagáč"/>
    <n v="15"/>
    <n v="15"/>
    <n v="0"/>
    <n v="15"/>
    <n v="15"/>
    <n v="0"/>
  </r>
  <r>
    <x v="11"/>
    <x v="11"/>
    <x v="2"/>
    <x v="260"/>
    <d v="2024-09-09T22:00:00"/>
    <d v="2025-06-30T21:59:59"/>
    <s v="Cisco Associate-level Certification"/>
    <s v="CCNA R&amp;S"/>
    <x v="9"/>
    <s v="2024_2025 I.D CCNA: Introduction to Networks"/>
    <s v="English"/>
    <s v="7"/>
    <s v="1024075773"/>
    <s v="Jozef"/>
    <s v="Novák"/>
    <n v="30"/>
    <n v="30"/>
    <n v="29"/>
    <n v="30"/>
    <n v="30"/>
    <n v="29"/>
  </r>
  <r>
    <x v="11"/>
    <x v="11"/>
    <x v="2"/>
    <x v="2"/>
    <m/>
    <m/>
    <m/>
    <m/>
    <x v="2"/>
    <m/>
    <m/>
    <m/>
    <s v="6183054"/>
    <s v="Martin"/>
    <s v="Pagáč"/>
    <n v="30"/>
    <n v="30"/>
    <n v="29"/>
    <n v="30"/>
    <n v="30"/>
    <n v="29"/>
  </r>
  <r>
    <x v="11"/>
    <x v="11"/>
    <x v="2"/>
    <x v="261"/>
    <d v="2024-12-06T13:11:26"/>
    <d v="2025-05-31T21:59:59"/>
    <s v="Cisco Associate-level Certification"/>
    <s v="CCNA R&amp;S"/>
    <x v="10"/>
    <s v="CCNA3 Suja MP CCNA: Enterprise Networking, Security, and Automation"/>
    <s v="English"/>
    <s v="1"/>
    <s v="6183054"/>
    <s v="Martin"/>
    <s v="Pagáč"/>
    <n v="1"/>
    <n v="1"/>
    <n v="0"/>
    <n v="1"/>
    <n v="1"/>
    <n v="0"/>
  </r>
  <r>
    <x v="12"/>
    <x v="12"/>
    <x v="0"/>
    <x v="262"/>
    <d v="2024-06-30T22:00:00"/>
    <d v="2025-02-23T23:00:00"/>
    <s v="Cisco Associate-level Certification"/>
    <s v="CCNA R&amp;S"/>
    <x v="5"/>
    <s v="2023/2024-1.semester"/>
    <s v="English"/>
    <s v="7.02"/>
    <s v="5383759"/>
    <s v="Mgr. Michal"/>
    <s v="Mikita"/>
    <n v="18"/>
    <n v="2"/>
    <n v="0"/>
    <n v="18"/>
    <n v="2"/>
    <n v="0"/>
  </r>
  <r>
    <x v="13"/>
    <x v="13"/>
    <x v="5"/>
    <x v="263"/>
    <d v="2024-06-04T22:00:00"/>
    <d v="2024-11-29T23:00:00"/>
    <s v="Cisco Associate-level Certification"/>
    <s v="CCNA R&amp;S"/>
    <x v="5"/>
    <s v="20244CKruzok"/>
    <s v="English"/>
    <s v="7.02"/>
    <s v="7578101"/>
    <s v="Mojmir"/>
    <s v="Vrana"/>
    <n v="1"/>
    <n v="1"/>
    <n v="0"/>
    <n v="1"/>
    <n v="1"/>
    <n v="0"/>
  </r>
  <r>
    <x v="13"/>
    <x v="13"/>
    <x v="5"/>
    <x v="264"/>
    <d v="2024-09-26T10:00:29"/>
    <d v="2025-08-02T21:59:59"/>
    <s v="Cisco Associate-level Certification"/>
    <s v="CCNA R&amp;S"/>
    <x v="9"/>
    <s v="CCNA: Introduction to Networks"/>
    <s v="English"/>
    <s v="7"/>
    <s v="7578101"/>
    <s v="Mojmir"/>
    <s v="Vrana"/>
    <n v="6"/>
    <n v="4"/>
    <n v="1"/>
    <n v="6"/>
    <n v="4"/>
    <n v="1"/>
  </r>
  <r>
    <x v="14"/>
    <x v="14"/>
    <x v="0"/>
    <x v="265"/>
    <d v="2024-09-04T07:57:18"/>
    <d v="2025-06-30T21:59:59"/>
    <s v="Cisco Associate-level Certification"/>
    <s v="CCNA R&amp;S"/>
    <x v="8"/>
    <s v="CCNA: Switching, Routing, and Wireless Essentials"/>
    <s v="English"/>
    <s v="7"/>
    <s v="38990760"/>
    <s v="Jozef"/>
    <s v="Dobias"/>
    <n v="23"/>
    <n v="23"/>
    <n v="2"/>
    <n v="23"/>
    <n v="23"/>
    <n v="2"/>
  </r>
  <r>
    <x v="14"/>
    <x v="14"/>
    <x v="0"/>
    <x v="2"/>
    <m/>
    <m/>
    <m/>
    <m/>
    <x v="2"/>
    <m/>
    <m/>
    <m/>
    <s v="39040547"/>
    <s v="Jozef"/>
    <s v="Kocis"/>
    <n v="23"/>
    <n v="23"/>
    <n v="2"/>
    <n v="23"/>
    <n v="23"/>
    <n v="2"/>
  </r>
  <r>
    <x v="14"/>
    <x v="14"/>
    <x v="0"/>
    <x v="266"/>
    <d v="2024-09-04T09:39:32"/>
    <d v="2025-06-30T21:59:59"/>
    <s v="Cisco Associate-level Certification"/>
    <s v="CCNA R&amp;S"/>
    <x v="10"/>
    <s v="CCNA: Enterprise Networking, Security, and Automation"/>
    <s v="English"/>
    <s v="1"/>
    <s v="38990760"/>
    <s v="Jozef"/>
    <s v="Dobias"/>
    <n v="40"/>
    <n v="40"/>
    <n v="10"/>
    <n v="40"/>
    <n v="40"/>
    <n v="10"/>
  </r>
  <r>
    <x v="14"/>
    <x v="14"/>
    <x v="0"/>
    <x v="267"/>
    <d v="2024-04-14T22:00:00"/>
    <d v="2024-10-14T22:00:00"/>
    <s v="Cisco Associate-level Certification"/>
    <s v="CCNA R&amp;S"/>
    <x v="5"/>
    <s v="II.BP-4"/>
    <s v="English"/>
    <s v="7.02"/>
    <s v="38990760"/>
    <s v="Jozef"/>
    <s v="Dobias"/>
    <n v="8"/>
    <n v="8"/>
    <n v="0"/>
    <n v="8"/>
    <n v="8"/>
    <n v="0"/>
  </r>
  <r>
    <x v="14"/>
    <x v="14"/>
    <x v="0"/>
    <x v="268"/>
    <d v="2024-08-31T22:00:00"/>
    <d v="2025-06-30T21:59:59"/>
    <s v="Cisco Associate-level Certification"/>
    <s v="CCNA R&amp;S"/>
    <x v="9"/>
    <s v="CCNA: Introduction to Networks"/>
    <s v="English"/>
    <s v="7"/>
    <s v="38990760"/>
    <s v="Jozef"/>
    <s v="Dobias"/>
    <n v="35"/>
    <n v="35"/>
    <n v="6"/>
    <n v="35"/>
    <n v="35"/>
    <n v="6"/>
  </r>
  <r>
    <x v="14"/>
    <x v="14"/>
    <x v="0"/>
    <x v="2"/>
    <m/>
    <m/>
    <m/>
    <m/>
    <x v="2"/>
    <m/>
    <m/>
    <m/>
    <s v="39040547"/>
    <s v="Jozef"/>
    <s v="Kocis"/>
    <n v="35"/>
    <n v="35"/>
    <n v="6"/>
    <n v="35"/>
    <n v="35"/>
    <n v="6"/>
  </r>
  <r>
    <x v="14"/>
    <x v="14"/>
    <x v="0"/>
    <x v="269"/>
    <d v="2024-11-05T07:24:13"/>
    <d v="2025-11-04T22:59:59"/>
    <s v="Cisco Associate-level Certification"/>
    <s v="CCNA R&amp;S"/>
    <x v="9"/>
    <s v="CCNA: Introduction to Networks 2AP"/>
    <s v="English"/>
    <s v="7"/>
    <s v="39040547"/>
    <s v="Jozef"/>
    <s v="Kocis"/>
    <n v="9"/>
    <n v="9"/>
    <n v="2"/>
    <n v="9"/>
    <n v="9"/>
    <n v="2"/>
  </r>
  <r>
    <x v="15"/>
    <x v="15"/>
    <x v="0"/>
    <x v="270"/>
    <d v="2024-11-19T20:01:17"/>
    <d v="2025-11-18T22:59:59"/>
    <s v="Cisco Associate-level Certification"/>
    <s v="CCNA R&amp;S"/>
    <x v="8"/>
    <s v="CCNA: Switching, Routing, and Wireless Essentials"/>
    <s v="English"/>
    <s v="7"/>
    <s v="1002106561"/>
    <s v="Vladimir"/>
    <s v="Vesely"/>
    <n v="1"/>
    <n v="0"/>
    <n v="0"/>
    <n v="1"/>
    <n v="0"/>
    <n v="0"/>
  </r>
  <r>
    <x v="15"/>
    <x v="15"/>
    <x v="0"/>
    <x v="2"/>
    <m/>
    <m/>
    <m/>
    <m/>
    <x v="2"/>
    <m/>
    <m/>
    <m/>
    <s v="1036883352"/>
    <s v="Miroslav"/>
    <s v="Klimčík"/>
    <n v="1"/>
    <n v="0"/>
    <n v="0"/>
    <n v="1"/>
    <n v="0"/>
    <n v="0"/>
  </r>
  <r>
    <x v="15"/>
    <x v="15"/>
    <x v="0"/>
    <x v="2"/>
    <m/>
    <m/>
    <m/>
    <m/>
    <x v="2"/>
    <m/>
    <m/>
    <m/>
    <s v="1174596"/>
    <s v="Jana"/>
    <s v="Lengyelova"/>
    <n v="1"/>
    <n v="0"/>
    <n v="0"/>
    <n v="1"/>
    <n v="0"/>
    <n v="0"/>
  </r>
  <r>
    <x v="15"/>
    <x v="15"/>
    <x v="0"/>
    <x v="2"/>
    <m/>
    <m/>
    <m/>
    <m/>
    <x v="2"/>
    <m/>
    <m/>
    <m/>
    <s v="37725539"/>
    <s v="Jana"/>
    <s v="Staronova"/>
    <n v="1"/>
    <n v="0"/>
    <n v="0"/>
    <n v="1"/>
    <n v="0"/>
    <n v="0"/>
  </r>
  <r>
    <x v="15"/>
    <x v="15"/>
    <x v="0"/>
    <x v="2"/>
    <m/>
    <m/>
    <m/>
    <m/>
    <x v="2"/>
    <m/>
    <m/>
    <m/>
    <s v="4144651"/>
    <s v="Koloman"/>
    <s v="Baďo"/>
    <n v="1"/>
    <n v="0"/>
    <n v="0"/>
    <n v="1"/>
    <n v="0"/>
    <n v="0"/>
  </r>
  <r>
    <x v="15"/>
    <x v="15"/>
    <x v="0"/>
    <x v="2"/>
    <m/>
    <m/>
    <m/>
    <m/>
    <x v="2"/>
    <m/>
    <m/>
    <m/>
    <s v="43110443"/>
    <s v="Tomas"/>
    <s v="Vondrak"/>
    <n v="1"/>
    <n v="0"/>
    <n v="0"/>
    <n v="1"/>
    <n v="0"/>
    <n v="0"/>
  </r>
  <r>
    <x v="15"/>
    <x v="15"/>
    <x v="0"/>
    <x v="2"/>
    <m/>
    <m/>
    <m/>
    <m/>
    <x v="2"/>
    <m/>
    <m/>
    <m/>
    <s v="4900460"/>
    <s v="Martin"/>
    <s v="Gabauer"/>
    <n v="1"/>
    <n v="0"/>
    <n v="0"/>
    <n v="1"/>
    <n v="0"/>
    <n v="0"/>
  </r>
  <r>
    <x v="15"/>
    <x v="15"/>
    <x v="0"/>
    <x v="271"/>
    <d v="2024-09-18T05:48:42"/>
    <d v="2025-09-18T21:59:59"/>
    <s v="Cisco Associate-level Certification"/>
    <s v="CCNA R&amp;S"/>
    <x v="9"/>
    <s v="III.A. - ITN - 2024/25 - MK"/>
    <s v="English"/>
    <s v="7"/>
    <s v="1002106561"/>
    <s v="Vladimir"/>
    <s v="Vesely"/>
    <n v="9"/>
    <n v="3"/>
    <n v="0"/>
    <n v="9"/>
    <n v="3"/>
    <n v="0"/>
  </r>
  <r>
    <x v="15"/>
    <x v="15"/>
    <x v="0"/>
    <x v="2"/>
    <m/>
    <m/>
    <m/>
    <m/>
    <x v="2"/>
    <m/>
    <m/>
    <m/>
    <s v="1036883352"/>
    <s v="Miroslav"/>
    <s v="Klimčík"/>
    <n v="9"/>
    <n v="3"/>
    <n v="0"/>
    <n v="9"/>
    <n v="3"/>
    <n v="0"/>
  </r>
  <r>
    <x v="15"/>
    <x v="15"/>
    <x v="0"/>
    <x v="272"/>
    <d v="2024-01-26T23:00:00"/>
    <d v="2024-11-30T23:00:00"/>
    <s v="Introductory Technical Skills"/>
    <s v="Cybersecurity"/>
    <x v="38"/>
    <s v="Bezpečnosť PC"/>
    <s v="English"/>
    <s v="1.13"/>
    <s v="4144651"/>
    <s v="Koloman"/>
    <s v="Baďo"/>
    <n v="1"/>
    <n v="1"/>
    <n v="1"/>
    <n v="1"/>
    <n v="1"/>
    <n v="1"/>
  </r>
  <r>
    <x v="15"/>
    <x v="15"/>
    <x v="0"/>
    <x v="273"/>
    <d v="2024-04-04T22:00:00"/>
    <d v="2024-12-30T23:00:00"/>
    <s v="Cisco Associate-level Certification"/>
    <s v="CCNA R&amp;S"/>
    <x v="11"/>
    <s v="SOSE_3B_3S_2024"/>
    <s v="English"/>
    <s v="7.02"/>
    <s v="1002106561"/>
    <s v="Vladimir"/>
    <s v="Vesely"/>
    <n v="30"/>
    <n v="7"/>
    <n v="0"/>
    <n v="30"/>
    <n v="7"/>
    <n v="0"/>
  </r>
  <r>
    <x v="15"/>
    <x v="15"/>
    <x v="0"/>
    <x v="2"/>
    <m/>
    <m/>
    <m/>
    <m/>
    <x v="2"/>
    <m/>
    <m/>
    <m/>
    <s v="1174596"/>
    <s v="Jana"/>
    <s v="Lengyelova"/>
    <n v="30"/>
    <n v="7"/>
    <n v="0"/>
    <n v="30"/>
    <n v="7"/>
    <n v="0"/>
  </r>
  <r>
    <x v="15"/>
    <x v="15"/>
    <x v="0"/>
    <x v="274"/>
    <d v="2024-04-08T22:00:00"/>
    <d v="2024-12-30T23:00:00"/>
    <s v="Cisco Associate-level Certification"/>
    <s v="CCNA R&amp;S"/>
    <x v="4"/>
    <s v="SOSE_3B_2S_2024"/>
    <s v="English"/>
    <s v="7.02"/>
    <s v="1002106561"/>
    <s v="Vladimir"/>
    <s v="Vesely"/>
    <n v="30"/>
    <n v="11"/>
    <n v="0"/>
    <n v="30"/>
    <n v="11"/>
    <n v="0"/>
  </r>
  <r>
    <x v="15"/>
    <x v="15"/>
    <x v="0"/>
    <x v="2"/>
    <m/>
    <m/>
    <m/>
    <m/>
    <x v="2"/>
    <m/>
    <m/>
    <m/>
    <s v="1174596"/>
    <s v="Jana"/>
    <s v="Lengyelova"/>
    <n v="30"/>
    <n v="11"/>
    <n v="0"/>
    <n v="30"/>
    <n v="11"/>
    <n v="0"/>
  </r>
  <r>
    <x v="15"/>
    <x v="15"/>
    <x v="0"/>
    <x v="275"/>
    <d v="2024-06-09T22:00:00"/>
    <d v="2025-02-12T23:00:00"/>
    <s v="3rd Party Technical Certification"/>
    <s v="JavaScript"/>
    <x v="39"/>
    <s v="Javascript"/>
    <s v="English"/>
    <s v="1.00 - Instructor-Le"/>
    <s v="4144651"/>
    <s v="Koloman"/>
    <s v="Baďo"/>
    <n v="1"/>
    <n v="0"/>
    <n v="0"/>
    <n v="1"/>
    <n v="0"/>
    <n v="0"/>
  </r>
  <r>
    <x v="15"/>
    <x v="15"/>
    <x v="0"/>
    <x v="276"/>
    <d v="2024-05-17T00:00:00"/>
    <d v="2025-02-01T00:00:00"/>
    <s v="Cisco Associate-level Certification"/>
    <s v="CCNA R&amp;S"/>
    <x v="5"/>
    <s v="SOSELH_2B_2024_IntroToNet"/>
    <s v="English"/>
    <s v="7.02"/>
    <s v="37725539"/>
    <s v="Jana"/>
    <s v="Staronova"/>
    <n v="13"/>
    <n v="13"/>
    <n v="0"/>
    <n v="13"/>
    <n v="13"/>
    <n v="0"/>
  </r>
  <r>
    <x v="15"/>
    <x v="15"/>
    <x v="0"/>
    <x v="277"/>
    <d v="2024-10-02T05:29:53"/>
    <d v="2025-12-31T22:59:59"/>
    <s v="Cisco Associate-level Certification"/>
    <s v="CCNA R&amp;S"/>
    <x v="9"/>
    <s v="III.A-2-ITTN-2024/25"/>
    <s v="English"/>
    <s v="7"/>
    <s v="1002106561"/>
    <s v="Vladimir"/>
    <s v="Vesely"/>
    <n v="9"/>
    <n v="9"/>
    <n v="0"/>
    <n v="9"/>
    <n v="9"/>
    <n v="0"/>
  </r>
  <r>
    <x v="15"/>
    <x v="15"/>
    <x v="0"/>
    <x v="2"/>
    <m/>
    <m/>
    <m/>
    <m/>
    <x v="2"/>
    <m/>
    <m/>
    <m/>
    <s v="1036883352"/>
    <s v="Miroslav"/>
    <s v="Klimčík"/>
    <n v="9"/>
    <n v="9"/>
    <n v="0"/>
    <n v="9"/>
    <n v="9"/>
    <n v="0"/>
  </r>
  <r>
    <x v="15"/>
    <x v="15"/>
    <x v="0"/>
    <x v="278"/>
    <d v="2024-10-23T10:44:54"/>
    <d v="2025-09-30T21:59:59"/>
    <s v="Cisco Associate-level Certification"/>
    <s v="CCNA R&amp;S"/>
    <x v="8"/>
    <s v="SOSELH_2B_CCNA2: Switching, Routing, and Wireless Essentials"/>
    <s v="English"/>
    <s v="7"/>
    <s v="37725539"/>
    <s v="Jana"/>
    <s v="Staronova"/>
    <n v="19"/>
    <n v="19"/>
    <n v="0"/>
    <n v="19"/>
    <n v="19"/>
    <n v="0"/>
  </r>
  <r>
    <x v="15"/>
    <x v="15"/>
    <x v="0"/>
    <x v="279"/>
    <d v="2024-09-18T08:38:59"/>
    <d v="2025-09-18T21:59:59"/>
    <s v="Cisco Associate-level Certification"/>
    <s v="CCNA R&amp;S"/>
    <x v="9"/>
    <s v="I.C - ITN - 2024/25 - MK"/>
    <s v="English"/>
    <s v="7"/>
    <s v="1002106561"/>
    <s v="Vladimir"/>
    <s v="Vesely"/>
    <n v="11"/>
    <n v="7"/>
    <n v="0"/>
    <n v="11"/>
    <n v="7"/>
    <n v="0"/>
  </r>
  <r>
    <x v="15"/>
    <x v="15"/>
    <x v="0"/>
    <x v="2"/>
    <m/>
    <m/>
    <m/>
    <m/>
    <x v="2"/>
    <m/>
    <m/>
    <m/>
    <s v="1036883352"/>
    <s v="Miroslav"/>
    <s v="Klimčík"/>
    <n v="11"/>
    <n v="7"/>
    <n v="0"/>
    <n v="11"/>
    <n v="7"/>
    <n v="0"/>
  </r>
  <r>
    <x v="15"/>
    <x v="15"/>
    <x v="0"/>
    <x v="280"/>
    <d v="2024-09-09T06:42:49"/>
    <d v="2025-01-31T22:59:59"/>
    <s v="3rd Party Technical Certification"/>
    <s v="IT Essentials"/>
    <x v="13"/>
    <s v="3.B_1.sk_2024_2024"/>
    <s v="English"/>
    <s v="8"/>
    <s v="43110443"/>
    <s v="Tomas"/>
    <s v="Vondrak"/>
    <n v="13"/>
    <n v="13"/>
    <n v="5"/>
    <n v="13"/>
    <n v="13"/>
    <n v="5"/>
  </r>
  <r>
    <x v="15"/>
    <x v="15"/>
    <x v="0"/>
    <x v="281"/>
    <d v="2024-09-11T09:10:54"/>
    <d v="2025-05-31T21:59:59"/>
    <s v="Cisco Associate-level Certification"/>
    <s v="CCNA R&amp;S"/>
    <x v="10"/>
    <s v="SOSELH_4B_2024_CCNA: Enterprise Networking, Security, and Automation"/>
    <s v="English"/>
    <s v="1"/>
    <s v="37725539"/>
    <s v="Jana"/>
    <s v="Staronova"/>
    <n v="27"/>
    <n v="15"/>
    <n v="1"/>
    <n v="27"/>
    <n v="15"/>
    <n v="1"/>
  </r>
  <r>
    <x v="15"/>
    <x v="15"/>
    <x v="0"/>
    <x v="282"/>
    <d v="2024-08-31T14:05:55"/>
    <d v="2025-08-30T21:59:59"/>
    <s v="Intermediate Technical Skills"/>
    <s v="IoT"/>
    <x v="40"/>
    <s v="[BETA] Industrial Networking Essentials"/>
    <s v="English"/>
    <s v="1"/>
    <s v="4144651"/>
    <s v="Koloman"/>
    <s v="Baďo"/>
    <n v="1"/>
    <n v="1"/>
    <n v="0"/>
    <n v="1"/>
    <n v="1"/>
    <n v="0"/>
  </r>
  <r>
    <x v="15"/>
    <x v="15"/>
    <x v="0"/>
    <x v="283"/>
    <d v="2024-09-13T08:03:44"/>
    <d v="2025-05-31T21:59:59"/>
    <s v="Cisco Associate-level Certification"/>
    <s v="CCNA R&amp;S"/>
    <x v="8"/>
    <s v="SOSELH_4D_CCNA: Switching, Routing, and Wireless Essentials"/>
    <s v="English"/>
    <s v="7"/>
    <s v="37725539"/>
    <s v="Jana"/>
    <s v="Staronova"/>
    <n v="10"/>
    <n v="10"/>
    <n v="0"/>
    <n v="10"/>
    <n v="10"/>
    <n v="0"/>
  </r>
  <r>
    <x v="15"/>
    <x v="15"/>
    <x v="0"/>
    <x v="284"/>
    <d v="2024-10-02T07:49:02"/>
    <d v="2025-12-31T22:59:59"/>
    <s v="Cisco Associate-level Certification"/>
    <s v="CCNA R&amp;S"/>
    <x v="9"/>
    <s v="I.C-2-ITN-2024/25"/>
    <s v="English"/>
    <s v="7"/>
    <s v="1002106561"/>
    <s v="Vladimir"/>
    <s v="Vesely"/>
    <n v="12"/>
    <n v="11"/>
    <n v="0"/>
    <n v="12"/>
    <n v="11"/>
    <n v="0"/>
  </r>
  <r>
    <x v="15"/>
    <x v="15"/>
    <x v="0"/>
    <x v="2"/>
    <m/>
    <m/>
    <m/>
    <m/>
    <x v="2"/>
    <m/>
    <m/>
    <m/>
    <s v="1036883352"/>
    <s v="Miroslav"/>
    <s v="Klimčík"/>
    <n v="12"/>
    <n v="11"/>
    <n v="0"/>
    <n v="12"/>
    <n v="11"/>
    <n v="0"/>
  </r>
  <r>
    <x v="15"/>
    <x v="15"/>
    <x v="0"/>
    <x v="285"/>
    <d v="2024-10-25T05:11:57"/>
    <d v="2025-07-01T21:59:59"/>
    <s v="Cisco Associate-level Certification"/>
    <s v="CCNA R&amp;S"/>
    <x v="9"/>
    <s v="SOSELH 4B 2024 CCNA: Introduction to Networks"/>
    <s v="English"/>
    <s v="7"/>
    <s v="37725539"/>
    <s v="Jana"/>
    <s v="Staronova"/>
    <n v="24"/>
    <n v="24"/>
    <n v="0"/>
    <n v="24"/>
    <n v="24"/>
    <n v="0"/>
  </r>
  <r>
    <x v="15"/>
    <x v="15"/>
    <x v="0"/>
    <x v="286"/>
    <d v="2024-12-04T20:01:01"/>
    <d v="2025-01-03T22:59:59"/>
    <s v="Cisco Entry-level Certification"/>
    <s v="Cybersecurity"/>
    <x v="41"/>
    <s v="Endpoint Security"/>
    <s v="English"/>
    <s v="1"/>
    <s v="4144651"/>
    <s v="Koloman"/>
    <s v="Baďo"/>
    <n v="1"/>
    <n v="1"/>
    <n v="0"/>
    <n v="1"/>
    <n v="1"/>
    <n v="0"/>
  </r>
  <r>
    <x v="15"/>
    <x v="15"/>
    <x v="0"/>
    <x v="287"/>
    <d v="2024-09-13T08:55:02"/>
    <d v="2025-05-31T21:59:59"/>
    <s v="Cisco Entry-level Certification"/>
    <s v="Cybersecurity"/>
    <x v="30"/>
    <s v="SOSELH_4B-2024_Cybersecurity Essentials"/>
    <s v="English"/>
    <s v="3"/>
    <s v="37725539"/>
    <s v="Jana"/>
    <s v="Staronova"/>
    <n v="15"/>
    <n v="15"/>
    <n v="4"/>
    <n v="15"/>
    <n v="15"/>
    <n v="4"/>
  </r>
  <r>
    <x v="15"/>
    <x v="15"/>
    <x v="0"/>
    <x v="288"/>
    <d v="2024-10-10T08:16:30"/>
    <d v="2025-08-31T21:59:59"/>
    <s v="Cisco Associate-level Certification"/>
    <s v="CCNA R&amp;S"/>
    <x v="9"/>
    <s v="IV.A-ITN-2024/25"/>
    <s v="English"/>
    <s v="7"/>
    <s v="1002106561"/>
    <s v="Vladimir"/>
    <s v="Vesely"/>
    <n v="7"/>
    <n v="4"/>
    <n v="0"/>
    <n v="7"/>
    <n v="4"/>
    <n v="0"/>
  </r>
  <r>
    <x v="15"/>
    <x v="15"/>
    <x v="0"/>
    <x v="289"/>
    <d v="2024-09-13T15:48:16"/>
    <d v="2025-09-12T21:59:59"/>
    <s v="3rd Party Technical Certification"/>
    <s v="Linux"/>
    <x v="42"/>
    <s v="Linux 1"/>
    <s v="English"/>
    <s v="1"/>
    <s v="37725539"/>
    <s v="Jana"/>
    <s v="Staronova"/>
    <n v="1"/>
    <n v="0"/>
    <n v="0"/>
    <n v="1"/>
    <n v="0"/>
    <n v="0"/>
  </r>
  <r>
    <x v="15"/>
    <x v="15"/>
    <x v="0"/>
    <x v="290"/>
    <d v="2024-10-23T10:41:27"/>
    <d v="2025-08-31T21:59:59"/>
    <s v="Cisco Associate-level Certification"/>
    <s v="CCNA R&amp;S"/>
    <x v="9"/>
    <s v="SOSELH 2B CCNA1: Introduction to Networks"/>
    <s v="English"/>
    <s v="7"/>
    <s v="37725539"/>
    <s v="Jana"/>
    <s v="Staronova"/>
    <n v="23"/>
    <n v="23"/>
    <n v="0"/>
    <n v="23"/>
    <n v="23"/>
    <n v="0"/>
  </r>
  <r>
    <x v="15"/>
    <x v="15"/>
    <x v="0"/>
    <x v="291"/>
    <d v="2024-09-13T07:59:36"/>
    <d v="2025-05-31T21:59:59"/>
    <s v="Cisco Associate-level Certification"/>
    <s v="CCNA R&amp;S"/>
    <x v="9"/>
    <s v="SOSELH_4D_2024_CCNA: Introduction to Networks"/>
    <s v="English"/>
    <s v="7"/>
    <s v="37725539"/>
    <s v="Jana"/>
    <s v="Staronova"/>
    <n v="10"/>
    <n v="10"/>
    <n v="0"/>
    <n v="10"/>
    <n v="10"/>
    <n v="0"/>
  </r>
  <r>
    <x v="15"/>
    <x v="15"/>
    <x v="0"/>
    <x v="292"/>
    <d v="2024-08-27T15:49:13"/>
    <d v="2025-07-26T21:59:59"/>
    <s v="Introductory Technical Skills"/>
    <s v="Digital Literacy"/>
    <x v="43"/>
    <s v="Digital Awareness"/>
    <s v="English"/>
    <s v="1"/>
    <s v="4144651"/>
    <s v="Koloman"/>
    <s v="Baďo"/>
    <n v="1"/>
    <n v="1"/>
    <n v="0"/>
    <n v="1"/>
    <n v="1"/>
    <n v="0"/>
  </r>
  <r>
    <x v="15"/>
    <x v="15"/>
    <x v="0"/>
    <x v="293"/>
    <d v="2024-12-04T19:57:29"/>
    <d v="2025-01-03T22:59:59"/>
    <s v="3rd Party Technical Certification"/>
    <s v="Linux"/>
    <x v="17"/>
    <s v="Linux Essentials"/>
    <s v="English"/>
    <s v="2"/>
    <s v="4144651"/>
    <s v="Koloman"/>
    <s v="Baďo"/>
    <n v="1"/>
    <n v="0"/>
    <n v="0"/>
    <n v="1"/>
    <n v="0"/>
    <n v="0"/>
  </r>
  <r>
    <x v="15"/>
    <x v="15"/>
    <x v="0"/>
    <x v="294"/>
    <d v="2024-08-27T15:58:20"/>
    <d v="2025-08-26T21:59:59"/>
    <s v="Cisco Associate-level Certification"/>
    <s v="CCNA R&amp;S"/>
    <x v="9"/>
    <s v="CCNA: Introduction to Networks"/>
    <s v="English"/>
    <s v="7"/>
    <s v="4144651"/>
    <s v="Koloman"/>
    <s v="Baďo"/>
    <n v="2"/>
    <n v="1"/>
    <n v="0"/>
    <n v="2"/>
    <n v="1"/>
    <n v="0"/>
  </r>
  <r>
    <x v="15"/>
    <x v="15"/>
    <x v="0"/>
    <x v="295"/>
    <d v="2024-09-18T08:42:51"/>
    <d v="2025-09-17T21:59:59"/>
    <s v="3rd Party Technical Certification"/>
    <s v="Linux"/>
    <x v="17"/>
    <s v="Linux Essentials"/>
    <s v="English"/>
    <s v="2"/>
    <s v="37725539"/>
    <s v="Jana"/>
    <s v="Staronova"/>
    <n v="1"/>
    <n v="0"/>
    <n v="0"/>
    <n v="1"/>
    <n v="0"/>
    <n v="0"/>
  </r>
  <r>
    <x v="15"/>
    <x v="15"/>
    <x v="0"/>
    <x v="296"/>
    <d v="2024-09-16T10:17:56"/>
    <d v="2025-01-31T22:59:59"/>
    <s v="3rd Party Technical Certification"/>
    <s v="IT Essentials"/>
    <x v="13"/>
    <s v="3.C_OSY_2.sk"/>
    <s v="English"/>
    <s v="8"/>
    <s v="43110443"/>
    <s v="Tomas"/>
    <s v="Vondrak"/>
    <n v="10"/>
    <n v="10"/>
    <n v="9"/>
    <n v="10"/>
    <n v="10"/>
    <n v="9"/>
  </r>
  <r>
    <x v="15"/>
    <x v="15"/>
    <x v="0"/>
    <x v="297"/>
    <d v="2024-10-24T11:29:05"/>
    <d v="2025-12-23T22:59:59"/>
    <s v="Cisco Associate-level Certification"/>
    <s v="CCNA R&amp;S"/>
    <x v="9"/>
    <s v="2c1"/>
    <s v="English"/>
    <s v="7"/>
    <s v="1002106561"/>
    <s v="Vladimir"/>
    <s v="Vesely"/>
    <n v="10"/>
    <n v="10"/>
    <n v="0"/>
    <n v="10"/>
    <n v="10"/>
    <n v="0"/>
  </r>
  <r>
    <x v="15"/>
    <x v="15"/>
    <x v="0"/>
    <x v="2"/>
    <m/>
    <m/>
    <m/>
    <m/>
    <x v="2"/>
    <m/>
    <m/>
    <m/>
    <s v="1174596"/>
    <s v="Jana"/>
    <s v="Lengyelova"/>
    <n v="10"/>
    <n v="10"/>
    <n v="0"/>
    <n v="10"/>
    <n v="10"/>
    <n v="0"/>
  </r>
  <r>
    <x v="15"/>
    <x v="15"/>
    <x v="0"/>
    <x v="298"/>
    <d v="2024-09-10T08:20:35"/>
    <d v="2025-06-05T21:59:59"/>
    <s v="Introductory Technical Skills"/>
    <s v="Cybersecurity"/>
    <x v="31"/>
    <s v="SOSELH_4A_2024_Introduction to Cybersecurity"/>
    <s v="English"/>
    <s v="7.1"/>
    <s v="37725539"/>
    <s v="Jana"/>
    <s v="Staronova"/>
    <n v="29"/>
    <n v="26"/>
    <n v="11"/>
    <n v="29"/>
    <n v="26"/>
    <n v="11"/>
  </r>
  <r>
    <x v="15"/>
    <x v="15"/>
    <x v="0"/>
    <x v="299"/>
    <d v="2024-09-13T08:05:25"/>
    <d v="2025-05-31T21:59:59"/>
    <s v="Cisco Associate-level Certification"/>
    <s v="CCNA R&amp;S"/>
    <x v="10"/>
    <s v="SOSELH_4D_2024_CCNA: Enterprise Networking, Security, and Automation"/>
    <s v="English"/>
    <s v="1"/>
    <s v="37725539"/>
    <s v="Jana"/>
    <s v="Staronova"/>
    <n v="11"/>
    <n v="11"/>
    <n v="0"/>
    <n v="11"/>
    <n v="11"/>
    <n v="0"/>
  </r>
  <r>
    <x v="15"/>
    <x v="15"/>
    <x v="0"/>
    <x v="300"/>
    <d v="2024-09-10T09:58:17"/>
    <d v="2025-09-09T21:59:59"/>
    <s v="Cisco Associate-level Certification"/>
    <s v="CCNA R&amp;S"/>
    <x v="8"/>
    <s v="SOSELH_3B_2024_CCNA: Switching, Routing, and Wireless Essentials"/>
    <s v="English"/>
    <s v="7"/>
    <s v="37725539"/>
    <s v="Jana"/>
    <s v="Staronova"/>
    <n v="26"/>
    <n v="26"/>
    <n v="0"/>
    <n v="26"/>
    <n v="26"/>
    <n v="0"/>
  </r>
  <r>
    <x v="15"/>
    <x v="15"/>
    <x v="0"/>
    <x v="301"/>
    <d v="2024-09-19T08:59:46"/>
    <d v="2025-09-19T21:59:59"/>
    <s v="Cisco Associate-level Certification"/>
    <s v="CCNA R&amp;S"/>
    <x v="9"/>
    <s v="II.E - ITN - 2024/25 - MK"/>
    <s v="English"/>
    <s v="7"/>
    <s v="1036883352"/>
    <s v="Miroslav"/>
    <s v="Klimčík"/>
    <n v="16"/>
    <n v="14"/>
    <n v="0"/>
    <n v="16"/>
    <n v="14"/>
    <n v="0"/>
  </r>
  <r>
    <x v="15"/>
    <x v="15"/>
    <x v="0"/>
    <x v="302"/>
    <d v="2024-12-04T19:52:16"/>
    <d v="2025-01-03T22:59:59"/>
    <s v="3rd Party Technical Certification"/>
    <s v="C++"/>
    <x v="44"/>
    <s v="C++ Advanced"/>
    <s v="English"/>
    <s v="1"/>
    <s v="3678742"/>
    <s v="Peter"/>
    <s v="Fecilak"/>
    <n v="1"/>
    <n v="0"/>
    <n v="0"/>
    <n v="1"/>
    <n v="0"/>
    <n v="0"/>
  </r>
  <r>
    <x v="15"/>
    <x v="15"/>
    <x v="0"/>
    <x v="2"/>
    <m/>
    <m/>
    <m/>
    <m/>
    <x v="2"/>
    <m/>
    <m/>
    <m/>
    <s v="4144651"/>
    <s v="Koloman"/>
    <s v="Baďo"/>
    <n v="1"/>
    <n v="0"/>
    <n v="0"/>
    <n v="1"/>
    <n v="0"/>
    <n v="0"/>
  </r>
  <r>
    <x v="15"/>
    <x v="15"/>
    <x v="0"/>
    <x v="2"/>
    <m/>
    <m/>
    <m/>
    <m/>
    <x v="2"/>
    <m/>
    <m/>
    <m/>
    <s v="4900460"/>
    <s v="Martin"/>
    <s v="Gabauer"/>
    <n v="1"/>
    <n v="0"/>
    <n v="0"/>
    <n v="1"/>
    <n v="0"/>
    <n v="0"/>
  </r>
  <r>
    <x v="15"/>
    <x v="15"/>
    <x v="0"/>
    <x v="303"/>
    <d v="2024-09-01T17:09:14"/>
    <d v="2025-08-31T21:59:59"/>
    <s v="Intermediate Technical Skills"/>
    <s v="Cybersecurity"/>
    <x v="0"/>
    <s v="Ethical Hacker"/>
    <s v="English"/>
    <s v="1"/>
    <s v="4144651"/>
    <s v="Koloman"/>
    <s v="Baďo"/>
    <n v="1"/>
    <n v="1"/>
    <n v="0"/>
    <n v="1"/>
    <n v="1"/>
    <n v="0"/>
  </r>
  <r>
    <x v="15"/>
    <x v="15"/>
    <x v="0"/>
    <x v="304"/>
    <d v="2024-09-10T09:54:41"/>
    <d v="2025-09-09T21:59:59"/>
    <s v="Cisco Associate-level Certification"/>
    <s v="CCNA R&amp;S"/>
    <x v="9"/>
    <s v="SOSELH_3B_2024_CCNA: Introduction to Networks"/>
    <s v="English"/>
    <s v="7"/>
    <s v="37725539"/>
    <s v="Jana"/>
    <s v="Staronova"/>
    <n v="28"/>
    <n v="27"/>
    <n v="23"/>
    <n v="28"/>
    <n v="27"/>
    <n v="23"/>
  </r>
  <r>
    <x v="15"/>
    <x v="15"/>
    <x v="0"/>
    <x v="305"/>
    <d v="2024-09-13T08:51:36"/>
    <d v="2025-07-01T21:59:59"/>
    <s v="Introductory Technical Skills"/>
    <s v="Cybersecurity"/>
    <x v="31"/>
    <s v="SOSELH_4B_2024_Introduction to Cybersecurity"/>
    <s v="English"/>
    <s v="7.1"/>
    <s v="37725539"/>
    <s v="Jana"/>
    <s v="Staronova"/>
    <n v="17"/>
    <n v="17"/>
    <n v="16"/>
    <n v="17"/>
    <n v="17"/>
    <n v="16"/>
  </r>
  <r>
    <x v="15"/>
    <x v="15"/>
    <x v="0"/>
    <x v="306"/>
    <d v="2024-09-12T07:10:03"/>
    <d v="2025-09-12T21:59:59"/>
    <s v="Cisco Associate-level Certification"/>
    <s v="CCNA R&amp;S"/>
    <x v="9"/>
    <s v="1.E_MPS_2024_2025"/>
    <s v="English"/>
    <s v="7"/>
    <s v="43110443"/>
    <s v="Tomas"/>
    <s v="Vondrak"/>
    <n v="12"/>
    <n v="11"/>
    <n v="0"/>
    <n v="12"/>
    <n v="11"/>
    <n v="0"/>
  </r>
  <r>
    <x v="15"/>
    <x v="15"/>
    <x v="0"/>
    <x v="307"/>
    <d v="2024-12-04T19:54:59"/>
    <d v="2025-01-03T22:59:59"/>
    <s v="Cisco Associate-level Certification"/>
    <s v="CCNA R&amp;S"/>
    <x v="10"/>
    <s v="CCNA: Enterprise Networking, Security, and Automation"/>
    <s v="English"/>
    <s v="1"/>
    <s v="3678742"/>
    <s v="Peter"/>
    <s v="Fecilak"/>
    <n v="1"/>
    <n v="0"/>
    <n v="0"/>
    <n v="1"/>
    <n v="0"/>
    <n v="0"/>
  </r>
  <r>
    <x v="15"/>
    <x v="15"/>
    <x v="0"/>
    <x v="2"/>
    <m/>
    <m/>
    <m/>
    <m/>
    <x v="2"/>
    <m/>
    <m/>
    <m/>
    <s v="4144651"/>
    <s v="Koloman"/>
    <s v="Baďo"/>
    <n v="1"/>
    <n v="0"/>
    <n v="0"/>
    <n v="1"/>
    <n v="0"/>
    <n v="0"/>
  </r>
  <r>
    <x v="15"/>
    <x v="15"/>
    <x v="0"/>
    <x v="2"/>
    <m/>
    <m/>
    <m/>
    <m/>
    <x v="2"/>
    <m/>
    <m/>
    <m/>
    <s v="4900460"/>
    <s v="Martin"/>
    <s v="Gabauer"/>
    <n v="1"/>
    <n v="0"/>
    <n v="0"/>
    <n v="1"/>
    <n v="0"/>
    <n v="0"/>
  </r>
  <r>
    <x v="15"/>
    <x v="15"/>
    <x v="0"/>
    <x v="308"/>
    <d v="2024-10-04T06:25:51"/>
    <d v="2025-12-31T22:59:59"/>
    <s v="Cisco Associate-level Certification"/>
    <s v="CCNA R&amp;S"/>
    <x v="9"/>
    <s v="I.B-2-ITN2024/25"/>
    <s v="English"/>
    <s v="7"/>
    <s v="1002106561"/>
    <s v="Vladimir"/>
    <s v="Vesely"/>
    <n v="12"/>
    <n v="12"/>
    <n v="0"/>
    <n v="12"/>
    <n v="12"/>
    <n v="0"/>
  </r>
  <r>
    <x v="15"/>
    <x v="15"/>
    <x v="0"/>
    <x v="2"/>
    <m/>
    <m/>
    <m/>
    <m/>
    <x v="2"/>
    <m/>
    <m/>
    <m/>
    <s v="1036883352"/>
    <s v="Miroslav"/>
    <s v="Klimčík"/>
    <n v="12"/>
    <n v="12"/>
    <n v="0"/>
    <n v="12"/>
    <n v="12"/>
    <n v="0"/>
  </r>
  <r>
    <x v="15"/>
    <x v="15"/>
    <x v="0"/>
    <x v="309"/>
    <d v="2024-09-27T06:09:35"/>
    <d v="2025-09-26T21:59:59"/>
    <s v="Cisco Associate-level Certification"/>
    <s v="CCNA R&amp;S"/>
    <x v="9"/>
    <s v="I.B - ITN - 2024/25 - MK"/>
    <s v="English"/>
    <s v="7"/>
    <s v="1002106561"/>
    <s v="Vladimir"/>
    <s v="Vesely"/>
    <n v="10"/>
    <n v="1"/>
    <n v="0"/>
    <n v="10"/>
    <n v="1"/>
    <n v="0"/>
  </r>
  <r>
    <x v="15"/>
    <x v="15"/>
    <x v="0"/>
    <x v="2"/>
    <m/>
    <m/>
    <m/>
    <m/>
    <x v="2"/>
    <m/>
    <m/>
    <m/>
    <s v="1036883352"/>
    <s v="Miroslav"/>
    <s v="Klimčík"/>
    <n v="10"/>
    <n v="1"/>
    <n v="0"/>
    <n v="10"/>
    <n v="1"/>
    <n v="0"/>
  </r>
  <r>
    <x v="15"/>
    <x v="15"/>
    <x v="0"/>
    <x v="310"/>
    <d v="2024-09-27T06:10:51"/>
    <d v="2025-01-31T22:59:59"/>
    <s v="3rd Party Technical Certification"/>
    <s v="IT Essentials"/>
    <x v="13"/>
    <s v="1.E_OVY_MPS"/>
    <s v="English"/>
    <s v="8"/>
    <s v="43110443"/>
    <s v="Tomas"/>
    <s v="Vondrak"/>
    <n v="10"/>
    <n v="10"/>
    <n v="0"/>
    <n v="10"/>
    <n v="10"/>
    <n v="0"/>
  </r>
  <r>
    <x v="15"/>
    <x v="15"/>
    <x v="0"/>
    <x v="311"/>
    <d v="2024-09-11T09:05:11"/>
    <d v="2025-05-31T21:59:59"/>
    <s v="Cisco Associate-level Certification"/>
    <s v="CCNA R&amp;S"/>
    <x v="8"/>
    <s v="SOSELH_4B_2024_CCNA: Switching, Routing, and Wireless Essentials"/>
    <s v="English"/>
    <s v="7"/>
    <s v="37725539"/>
    <s v="Jana"/>
    <s v="Staronova"/>
    <n v="30"/>
    <n v="30"/>
    <n v="29"/>
    <n v="30"/>
    <n v="30"/>
    <n v="29"/>
  </r>
  <r>
    <x v="15"/>
    <x v="15"/>
    <x v="0"/>
    <x v="2"/>
    <m/>
    <m/>
    <m/>
    <m/>
    <x v="2"/>
    <m/>
    <m/>
    <m/>
    <s v="4900460"/>
    <s v="Martin"/>
    <s v="Gabauer"/>
    <n v="30"/>
    <n v="30"/>
    <n v="29"/>
    <n v="30"/>
    <n v="30"/>
    <n v="29"/>
  </r>
  <r>
    <x v="15"/>
    <x v="15"/>
    <x v="0"/>
    <x v="312"/>
    <d v="2024-10-09T11:56:19"/>
    <d v="2025-06-30T21:59:59"/>
    <s v="Cisco Associate-level Certification"/>
    <s v="CCNA R&amp;S"/>
    <x v="8"/>
    <s v="3c1"/>
    <s v="English"/>
    <s v="7"/>
    <s v="1036883352"/>
    <s v="Miroslav"/>
    <s v="Klimčík"/>
    <n v="9"/>
    <n v="9"/>
    <n v="6"/>
    <n v="9"/>
    <n v="9"/>
    <n v="6"/>
  </r>
  <r>
    <x v="15"/>
    <x v="15"/>
    <x v="0"/>
    <x v="2"/>
    <m/>
    <m/>
    <m/>
    <m/>
    <x v="2"/>
    <m/>
    <m/>
    <m/>
    <s v="1174596"/>
    <s v="Jana"/>
    <s v="Lengyelova"/>
    <n v="9"/>
    <n v="9"/>
    <n v="6"/>
    <n v="9"/>
    <n v="9"/>
    <n v="6"/>
  </r>
  <r>
    <x v="16"/>
    <x v="16"/>
    <x v="2"/>
    <x v="313"/>
    <d v="2024-09-09T06:43:06"/>
    <d v="2025-06-29T21:59:59"/>
    <s v="Cisco Associate-level Certification"/>
    <s v="CCNA R&amp;S"/>
    <x v="8"/>
    <s v="CCNA2-3B-2024"/>
    <s v="English"/>
    <s v="7"/>
    <s v="3529022"/>
    <s v="Janka"/>
    <s v="Jurkovičová"/>
    <n v="27"/>
    <n v="27"/>
    <n v="26"/>
    <n v="27"/>
    <n v="27"/>
    <n v="26"/>
  </r>
  <r>
    <x v="16"/>
    <x v="16"/>
    <x v="2"/>
    <x v="314"/>
    <d v="2024-01-10T00:00:00"/>
    <d v="2025-01-08T00:00:00"/>
    <s v="Cisco Associate-level Certification"/>
    <s v="CCNA R&amp;S"/>
    <x v="5"/>
    <s v="CCNA1 - 1A 2023/24"/>
    <s v="English"/>
    <s v="7.02"/>
    <s v="27549722"/>
    <s v="Ján"/>
    <s v="Kovalčík"/>
    <n v="29"/>
    <n v="29"/>
    <n v="29"/>
    <n v="29"/>
    <n v="29"/>
    <n v="29"/>
  </r>
  <r>
    <x v="16"/>
    <x v="16"/>
    <x v="2"/>
    <x v="315"/>
    <d v="2024-03-27T00:00:00"/>
    <d v="2024-09-24T00:00:00"/>
    <s v="Cisco Associate-level Certification"/>
    <s v="CCNA R&amp;S"/>
    <x v="5"/>
    <s v="CCNA1"/>
    <s v="English"/>
    <s v="7.02"/>
    <s v="27549722"/>
    <s v="Ján"/>
    <s v="Kovalčík"/>
    <n v="29"/>
    <n v="3"/>
    <n v="0"/>
    <n v="29"/>
    <n v="3"/>
    <n v="0"/>
  </r>
  <r>
    <x v="16"/>
    <x v="16"/>
    <x v="2"/>
    <x v="316"/>
    <d v="2024-09-09T07:09:50"/>
    <d v="2025-09-08T21:59:59"/>
    <s v="Cisco Associate-level Certification"/>
    <s v="CCNA R&amp;S"/>
    <x v="10"/>
    <s v="CCNA 3: Enterprise Networking, Security, and Automation"/>
    <s v="English"/>
    <s v="1"/>
    <s v="27549722"/>
    <s v="Ján"/>
    <s v="Kovalčík"/>
    <n v="18"/>
    <n v="18"/>
    <n v="9"/>
    <n v="18"/>
    <n v="18"/>
    <n v="9"/>
  </r>
  <r>
    <x v="16"/>
    <x v="16"/>
    <x v="2"/>
    <x v="317"/>
    <d v="2024-09-09T22:00:00"/>
    <d v="2025-06-29T21:59:59"/>
    <s v="3rd Party Technical Certification"/>
    <s v="IT Essentials"/>
    <x v="13"/>
    <s v="IT-1A-2024"/>
    <s v="English"/>
    <s v="8"/>
    <s v="3529022"/>
    <s v="Janka"/>
    <s v="Jurkovičová"/>
    <n v="32"/>
    <n v="31"/>
    <n v="30"/>
    <n v="32"/>
    <n v="31"/>
    <n v="30"/>
  </r>
  <r>
    <x v="16"/>
    <x v="16"/>
    <x v="2"/>
    <x v="318"/>
    <d v="2024-09-03T08:41:36"/>
    <d v="2025-06-30T21:59:59"/>
    <s v="Cisco Associate-level Certification"/>
    <s v="CCNA R&amp;S"/>
    <x v="9"/>
    <s v="CCNA1-2B-2024"/>
    <s v="English"/>
    <s v="7"/>
    <s v="3529022"/>
    <s v="Janka"/>
    <s v="Jurkovičová"/>
    <n v="30"/>
    <n v="30"/>
    <n v="28"/>
    <n v="30"/>
    <n v="30"/>
    <n v="28"/>
  </r>
  <r>
    <x v="16"/>
    <x v="16"/>
    <x v="2"/>
    <x v="319"/>
    <d v="2024-09-09T07:08:24"/>
    <d v="2025-09-08T21:59:59"/>
    <s v="Cisco Associate-level Certification"/>
    <s v="CCNA R&amp;S"/>
    <x v="8"/>
    <s v="CCNA 2: Switching, Routing, and Wireless Essentials"/>
    <s v="English"/>
    <s v="7"/>
    <s v="27549722"/>
    <s v="Ján"/>
    <s v="Kovalčík"/>
    <n v="76"/>
    <n v="76"/>
    <n v="38"/>
    <n v="76"/>
    <n v="76"/>
    <n v="38"/>
  </r>
  <r>
    <x v="16"/>
    <x v="16"/>
    <x v="2"/>
    <x v="320"/>
    <d v="2024-09-11T11:23:54"/>
    <d v="2025-09-10T21:59:59"/>
    <s v="Cisco Associate-level Certification"/>
    <s v="CCNA R&amp;S"/>
    <x v="9"/>
    <s v="CCNA 1: Introduction to Networks"/>
    <s v="English"/>
    <s v="7"/>
    <s v="27549722"/>
    <s v="Ján"/>
    <s v="Kovalčík"/>
    <n v="31"/>
    <n v="31"/>
    <n v="0"/>
    <n v="31"/>
    <n v="31"/>
    <n v="0"/>
  </r>
  <r>
    <x v="16"/>
    <x v="16"/>
    <x v="2"/>
    <x v="321"/>
    <d v="2024-09-09T22:00:00"/>
    <d v="2025-06-29T21:59:59"/>
    <s v="3rd Party Technical Certification"/>
    <s v="IT Essentials"/>
    <x v="13"/>
    <s v="IT-1B-2024"/>
    <s v="English"/>
    <s v="8"/>
    <s v="3529022"/>
    <s v="Janka"/>
    <s v="Jurkovičová"/>
    <n v="35"/>
    <n v="33"/>
    <n v="30"/>
    <n v="35"/>
    <n v="33"/>
    <n v="30"/>
  </r>
  <r>
    <x v="16"/>
    <x v="16"/>
    <x v="2"/>
    <x v="322"/>
    <d v="2024-09-05T10:33:24"/>
    <d v="2025-05-31T21:59:59"/>
    <s v="Cisco Associate-level Certification"/>
    <s v="CCNA R&amp;S"/>
    <x v="10"/>
    <s v="CCNA3-4B-2024"/>
    <s v="English"/>
    <s v="1"/>
    <s v="3529022"/>
    <s v="Janka"/>
    <s v="Jurkovičová"/>
    <n v="27"/>
    <n v="27"/>
    <n v="27"/>
    <n v="27"/>
    <n v="27"/>
    <n v="27"/>
  </r>
  <r>
    <x v="17"/>
    <x v="4"/>
    <x v="3"/>
    <x v="323"/>
    <d v="2024-06-29T22:00:00"/>
    <d v="2024-09-29T22:00:00"/>
    <s v="Cisco Associate-level Certification"/>
    <s v="CCNA R&amp;S"/>
    <x v="5"/>
    <s v="1SMH12"/>
    <s v="English"/>
    <s v="7.02"/>
    <s v="7496090"/>
    <s v="Marian"/>
    <s v="HOSTOVECKY"/>
    <n v="1"/>
    <n v="1"/>
    <n v="0"/>
    <m/>
    <m/>
    <m/>
  </r>
  <r>
    <x v="18"/>
    <x v="17"/>
    <x v="1"/>
    <x v="324"/>
    <d v="2024-09-26T12:33:59"/>
    <d v="2025-05-31T21:59:59"/>
    <s v="Cisco Associate-level Certification"/>
    <s v="CCNA R&amp;S"/>
    <x v="9"/>
    <s v="CCNA: Introduction to Networks"/>
    <s v="English"/>
    <s v="7"/>
    <s v="32419925"/>
    <s v="Marián"/>
    <s v="Rura"/>
    <n v="2"/>
    <n v="2"/>
    <n v="1"/>
    <n v="2"/>
    <n v="2"/>
    <n v="1"/>
  </r>
  <r>
    <x v="18"/>
    <x v="17"/>
    <x v="1"/>
    <x v="325"/>
    <d v="2024-09-25T22:00:00"/>
    <d v="2025-06-25T21:59:59"/>
    <s v="Intermediate Technical Skills"/>
    <s v="IoT"/>
    <x v="40"/>
    <s v="[BETA] Industrial Networking Essentials"/>
    <s v="English"/>
    <s v="1"/>
    <s v="32419925"/>
    <s v="Marián"/>
    <s v="Rura"/>
    <n v="2"/>
    <n v="1"/>
    <n v="0"/>
    <n v="2"/>
    <n v="1"/>
    <n v="0"/>
  </r>
  <r>
    <x v="18"/>
    <x v="17"/>
    <x v="1"/>
    <x v="326"/>
    <d v="2024-10-07T12:06:31"/>
    <d v="2025-06-25T21:59:59"/>
    <s v="3rd Party Technical Certification"/>
    <s v="C"/>
    <x v="24"/>
    <s v="C Essentials 1"/>
    <s v="English"/>
    <s v="1"/>
    <s v="32419925"/>
    <s v="Marián"/>
    <s v="Rura"/>
    <n v="3"/>
    <n v="2"/>
    <n v="1"/>
    <n v="3"/>
    <n v="2"/>
    <n v="1"/>
  </r>
  <r>
    <x v="19"/>
    <x v="18"/>
    <x v="0"/>
    <x v="327"/>
    <d v="2024-10-02T18:09:24"/>
    <d v="2025-08-31T21:59:59"/>
    <s v="Cisco Associate-level Certification"/>
    <s v="CCNA R&amp;S"/>
    <x v="10"/>
    <s v="CCNA: 3 - Enterprise Networking, Security, and Automation (2024/2025)"/>
    <s v="English"/>
    <s v="1"/>
    <s v="48091207"/>
    <s v="Dušan"/>
    <s v="Zervan"/>
    <n v="17"/>
    <n v="1"/>
    <n v="0"/>
    <n v="17"/>
    <n v="1"/>
    <n v="0"/>
  </r>
  <r>
    <x v="19"/>
    <x v="18"/>
    <x v="0"/>
    <x v="328"/>
    <d v="2024-10-02T17:59:14"/>
    <d v="2025-08-31T21:59:59"/>
    <s v="Cisco Associate-level Certification"/>
    <s v="CCNA R&amp;S"/>
    <x v="8"/>
    <s v="CCNA: 2 - Switching, Routing, and Wireless Essentials (2024/2025)"/>
    <s v="English"/>
    <s v="7"/>
    <s v="48091207"/>
    <s v="Dušan"/>
    <s v="Zervan"/>
    <n v="63"/>
    <n v="24"/>
    <n v="0"/>
    <n v="63"/>
    <n v="24"/>
    <n v="0"/>
  </r>
  <r>
    <x v="19"/>
    <x v="18"/>
    <x v="0"/>
    <x v="329"/>
    <d v="2024-10-02T16:50:19"/>
    <d v="2025-08-31T21:59:59"/>
    <s v="Cisco Associate-level Certification"/>
    <s v="CCNA R&amp;S"/>
    <x v="9"/>
    <s v="CCNA: 1 - Introduction to Networks (2024/2025)"/>
    <s v="English"/>
    <s v="7"/>
    <s v="48091207"/>
    <s v="Dušan"/>
    <s v="Zervan"/>
    <n v="47"/>
    <n v="46"/>
    <n v="0"/>
    <n v="47"/>
    <n v="46"/>
    <n v="0"/>
  </r>
  <r>
    <x v="20"/>
    <x v="19"/>
    <x v="5"/>
    <x v="330"/>
    <d v="2024-01-08T23:00:00"/>
    <d v="2025-01-08T23:00:00"/>
    <s v="Cisco Associate-level Certification"/>
    <s v="CCNA R&amp;S"/>
    <x v="5"/>
    <s v="s1sB23_2024"/>
    <s v="English"/>
    <s v="7.02"/>
    <s v="31300392"/>
    <s v="Miroslav"/>
    <s v="Dulik"/>
    <n v="21"/>
    <n v="21"/>
    <n v="21"/>
    <n v="21"/>
    <n v="21"/>
    <n v="21"/>
  </r>
  <r>
    <x v="20"/>
    <x v="19"/>
    <x v="5"/>
    <x v="2"/>
    <m/>
    <m/>
    <m/>
    <m/>
    <x v="2"/>
    <m/>
    <m/>
    <m/>
    <s v="446177"/>
    <s v="Julius"/>
    <s v="Barath"/>
    <n v="21"/>
    <n v="21"/>
    <n v="21"/>
    <n v="21"/>
    <n v="21"/>
    <n v="21"/>
  </r>
  <r>
    <x v="20"/>
    <x v="19"/>
    <x v="5"/>
    <x v="331"/>
    <d v="2024-01-08T23:00:00"/>
    <d v="2025-01-08T23:00:00"/>
    <s v="Cisco Associate-level Certification"/>
    <s v="CCNA R&amp;S"/>
    <x v="4"/>
    <s v="s2sB23_2024"/>
    <s v="English"/>
    <s v="7.02"/>
    <s v="31300392"/>
    <s v="Miroslav"/>
    <s v="Dulik"/>
    <n v="23"/>
    <n v="22"/>
    <n v="21"/>
    <n v="23"/>
    <n v="22"/>
    <n v="21"/>
  </r>
  <r>
    <x v="20"/>
    <x v="19"/>
    <x v="5"/>
    <x v="2"/>
    <m/>
    <m/>
    <m/>
    <m/>
    <x v="2"/>
    <m/>
    <m/>
    <m/>
    <s v="446177"/>
    <s v="Julius"/>
    <s v="Barath"/>
    <n v="23"/>
    <n v="22"/>
    <n v="21"/>
    <n v="23"/>
    <n v="22"/>
    <n v="21"/>
  </r>
  <r>
    <x v="20"/>
    <x v="19"/>
    <x v="5"/>
    <x v="332"/>
    <d v="2024-01-08T23:00:00"/>
    <d v="2025-01-08T23:00:00"/>
    <s v="Cisco Associate-level Certification"/>
    <s v="CCNA R&amp;S"/>
    <x v="11"/>
    <s v="s3sB33_2024"/>
    <s v="English"/>
    <s v="7.02"/>
    <s v="31300392"/>
    <s v="Miroslav"/>
    <s v="Dulik"/>
    <n v="21"/>
    <n v="21"/>
    <n v="21"/>
    <n v="21"/>
    <n v="21"/>
    <n v="21"/>
  </r>
  <r>
    <x v="20"/>
    <x v="19"/>
    <x v="5"/>
    <x v="2"/>
    <m/>
    <m/>
    <m/>
    <m/>
    <x v="2"/>
    <m/>
    <m/>
    <m/>
    <s v="446177"/>
    <s v="Julius"/>
    <s v="Barath"/>
    <n v="21"/>
    <n v="21"/>
    <n v="21"/>
    <n v="21"/>
    <n v="21"/>
    <n v="21"/>
  </r>
  <r>
    <x v="20"/>
    <x v="19"/>
    <x v="5"/>
    <x v="333"/>
    <d v="2024-11-18T13:02:19"/>
    <d v="2026-03-31T21:59:59"/>
    <s v="Cisco Associate-level Certification"/>
    <s v="CCNA R&amp;S"/>
    <x v="9"/>
    <s v="S1other-2024: CCNA: Introduction to Networks"/>
    <s v="English"/>
    <s v="7"/>
    <s v="31300392"/>
    <s v="Miroslav"/>
    <s v="Dulik"/>
    <n v="1"/>
    <n v="1"/>
    <n v="0"/>
    <n v="1"/>
    <n v="1"/>
    <n v="0"/>
  </r>
  <r>
    <x v="20"/>
    <x v="19"/>
    <x v="5"/>
    <x v="334"/>
    <d v="2024-10-07T11:32:42"/>
    <d v="2025-02-04T22:59:59"/>
    <s v="Cisco Associate-level Certification"/>
    <s v="CCNA R&amp;S"/>
    <x v="9"/>
    <s v="S1B23_2025 - CCNA: Introduction to Networks"/>
    <s v="English"/>
    <s v="7"/>
    <s v="31300392"/>
    <s v="Miroslav"/>
    <s v="Dulik"/>
    <n v="1"/>
    <n v="1"/>
    <n v="1"/>
    <n v="1"/>
    <n v="1"/>
    <n v="1"/>
  </r>
  <r>
    <x v="20"/>
    <x v="19"/>
    <x v="5"/>
    <x v="2"/>
    <m/>
    <m/>
    <m/>
    <m/>
    <x v="2"/>
    <m/>
    <m/>
    <m/>
    <s v="446177"/>
    <s v="Julius"/>
    <s v="Barath"/>
    <n v="1"/>
    <n v="1"/>
    <n v="1"/>
    <n v="1"/>
    <n v="1"/>
    <n v="1"/>
  </r>
  <r>
    <x v="20"/>
    <x v="19"/>
    <x v="5"/>
    <x v="335"/>
    <d v="2024-10-07T11:45:31"/>
    <d v="2025-02-04T22:59:59"/>
    <s v="Cisco Associate-level Certification"/>
    <s v="CCNA R&amp;S"/>
    <x v="8"/>
    <s v="S2B23_2025 - CCNA: Switching, Routing, and Wireless Essentials"/>
    <s v="English"/>
    <s v="7"/>
    <s v="31300392"/>
    <s v="Miroslav"/>
    <s v="Dulik"/>
    <n v="1"/>
    <n v="1"/>
    <n v="1"/>
    <n v="1"/>
    <n v="1"/>
    <n v="1"/>
  </r>
  <r>
    <x v="20"/>
    <x v="19"/>
    <x v="5"/>
    <x v="2"/>
    <m/>
    <m/>
    <m/>
    <m/>
    <x v="2"/>
    <m/>
    <m/>
    <m/>
    <s v="446177"/>
    <s v="Julius"/>
    <s v="Barath"/>
    <n v="1"/>
    <n v="1"/>
    <n v="1"/>
    <n v="1"/>
    <n v="1"/>
    <n v="1"/>
  </r>
  <r>
    <x v="20"/>
    <x v="19"/>
    <x v="5"/>
    <x v="336"/>
    <d v="2024-10-07T11:46:54"/>
    <d v="2025-02-04T22:59:59"/>
    <s v="Cisco Associate-level Certification"/>
    <s v="CCNA R&amp;S"/>
    <x v="10"/>
    <s v="S3B23_2025 - CCNA: Enterprise Networking, Security, and Automation"/>
    <s v="English"/>
    <s v="1"/>
    <s v="31300392"/>
    <s v="Miroslav"/>
    <s v="Dulik"/>
    <n v="1"/>
    <n v="1"/>
    <n v="1"/>
    <n v="1"/>
    <n v="1"/>
    <n v="1"/>
  </r>
  <r>
    <x v="20"/>
    <x v="19"/>
    <x v="5"/>
    <x v="2"/>
    <m/>
    <m/>
    <m/>
    <m/>
    <x v="2"/>
    <m/>
    <m/>
    <m/>
    <s v="446177"/>
    <s v="Julius"/>
    <s v="Barath"/>
    <n v="1"/>
    <n v="1"/>
    <n v="1"/>
    <n v="1"/>
    <n v="1"/>
    <n v="1"/>
  </r>
  <r>
    <x v="20"/>
    <x v="19"/>
    <x v="5"/>
    <x v="337"/>
    <d v="2024-10-07T13:17:18"/>
    <d v="2025-08-31T21:59:59"/>
    <s v="Introductory Technical Skills"/>
    <s v="Cybersecurity"/>
    <x v="31"/>
    <s v="test01 - Introduction to Cybersecurity"/>
    <s v="English"/>
    <s v="7.1"/>
    <s v="31300392"/>
    <s v="Miroslav"/>
    <s v="Dulik"/>
    <n v="1"/>
    <n v="1"/>
    <n v="1"/>
    <n v="1"/>
    <n v="1"/>
    <n v="1"/>
  </r>
  <r>
    <x v="21"/>
    <x v="20"/>
    <x v="6"/>
    <x v="338"/>
    <d v="2024-09-24T07:15:31"/>
    <d v="2025-02-24T22:59:59"/>
    <s v="Cisco Associate-level Certification"/>
    <s v="CCNA R&amp;S"/>
    <x v="8"/>
    <s v="2024_cna2_str12.00_PS"/>
    <s v="English"/>
    <s v="7"/>
    <s v="278326"/>
    <s v="Pavel"/>
    <s v="Segec"/>
    <n v="18"/>
    <n v="18"/>
    <n v="17"/>
    <n v="18"/>
    <n v="18"/>
    <n v="17"/>
  </r>
  <r>
    <x v="21"/>
    <x v="20"/>
    <x v="6"/>
    <x v="2"/>
    <m/>
    <m/>
    <m/>
    <m/>
    <x v="2"/>
    <m/>
    <m/>
    <m/>
    <s v="3327200"/>
    <s v="Jana"/>
    <s v="Uramová"/>
    <n v="18"/>
    <n v="18"/>
    <n v="17"/>
    <n v="18"/>
    <n v="18"/>
    <n v="17"/>
  </r>
  <r>
    <x v="21"/>
    <x v="20"/>
    <x v="6"/>
    <x v="2"/>
    <m/>
    <m/>
    <m/>
    <m/>
    <x v="2"/>
    <m/>
    <m/>
    <m/>
    <s v="36641768"/>
    <s v="Marek"/>
    <s v="Moravcik"/>
    <n v="18"/>
    <n v="18"/>
    <n v="17"/>
    <n v="18"/>
    <n v="18"/>
    <n v="17"/>
  </r>
  <r>
    <x v="21"/>
    <x v="20"/>
    <x v="6"/>
    <x v="339"/>
    <d v="2024-09-23T07:48:17"/>
    <d v="2025-01-31T22:59:59"/>
    <s v="Introductory Technical Skills"/>
    <s v="Cybersecurity"/>
    <x v="31"/>
    <s v="Introduction to Cybersecurity-PIS-Uto-2B"/>
    <s v="English"/>
    <s v="7.1"/>
    <s v="3277372"/>
    <s v="Milan"/>
    <s v="Kubina"/>
    <n v="18"/>
    <n v="18"/>
    <n v="11"/>
    <n v="18"/>
    <n v="18"/>
    <n v="11"/>
  </r>
  <r>
    <x v="21"/>
    <x v="20"/>
    <x v="6"/>
    <x v="340"/>
    <d v="2024-09-19T08:33:18"/>
    <d v="2025-02-28T22:59:59"/>
    <s v="3rd Party Technical Certification"/>
    <s v="Linux"/>
    <x v="17"/>
    <s v="SOS-LE-2024"/>
    <s v="English"/>
    <s v="2"/>
    <s v="23623420"/>
    <s v="Martin"/>
    <s v="Kontsek"/>
    <n v="28"/>
    <n v="22"/>
    <n v="14"/>
    <n v="28"/>
    <n v="22"/>
    <n v="14"/>
  </r>
  <r>
    <x v="21"/>
    <x v="20"/>
    <x v="6"/>
    <x v="2"/>
    <m/>
    <m/>
    <m/>
    <m/>
    <x v="2"/>
    <m/>
    <m/>
    <m/>
    <s v="36641768"/>
    <s v="Marek"/>
    <s v="Moravcik"/>
    <n v="28"/>
    <n v="22"/>
    <n v="14"/>
    <n v="28"/>
    <n v="22"/>
    <n v="14"/>
  </r>
  <r>
    <x v="21"/>
    <x v="20"/>
    <x v="6"/>
    <x v="341"/>
    <d v="2024-10-04T10:39:16"/>
    <d v="2024-12-31T22:59:59"/>
    <s v="Introductory Technical Skills"/>
    <s v="Cybersecurity"/>
    <x v="31"/>
    <s v="Introduction to Cybersecurity-MIB_2024"/>
    <s v="English"/>
    <s v="7.1"/>
    <s v="37904197"/>
    <s v="Gabriel"/>
    <s v="Koman"/>
    <n v="11"/>
    <n v="11"/>
    <n v="7"/>
    <n v="11"/>
    <n v="11"/>
    <n v="7"/>
  </r>
  <r>
    <x v="21"/>
    <x v="20"/>
    <x v="6"/>
    <x v="342"/>
    <d v="2024-10-02T05:53:10"/>
    <d v="2025-02-28T22:59:59"/>
    <s v="3rd Party Technical Certification"/>
    <s v="C++"/>
    <x v="26"/>
    <s v="2024_C++_Essentials_01_Vrican"/>
    <s v="English"/>
    <s v="1"/>
    <s v="1046216128"/>
    <s v="Matus"/>
    <s v="Madlenak"/>
    <n v="1"/>
    <n v="1"/>
    <n v="1"/>
    <n v="1"/>
    <n v="1"/>
    <n v="1"/>
  </r>
  <r>
    <x v="21"/>
    <x v="20"/>
    <x v="6"/>
    <x v="343"/>
    <d v="2024-09-24T07:33:52"/>
    <d v="2025-02-28T22:59:59"/>
    <s v="3rd Party Technical Certification"/>
    <s v="Python"/>
    <x v="28"/>
    <s v="PVSA-PE2-2024-ut8-MK"/>
    <s v="English"/>
    <s v="1"/>
    <s v="23623420"/>
    <s v="Martin"/>
    <s v="Kontsek"/>
    <n v="16"/>
    <n v="16"/>
    <n v="10"/>
    <n v="16"/>
    <n v="16"/>
    <n v="10"/>
  </r>
  <r>
    <x v="21"/>
    <x v="20"/>
    <x v="6"/>
    <x v="2"/>
    <m/>
    <m/>
    <m/>
    <m/>
    <x v="2"/>
    <m/>
    <m/>
    <m/>
    <s v="36641768"/>
    <s v="Marek"/>
    <s v="Moravcik"/>
    <n v="16"/>
    <n v="16"/>
    <n v="10"/>
    <n v="16"/>
    <n v="16"/>
    <n v="10"/>
  </r>
  <r>
    <x v="21"/>
    <x v="20"/>
    <x v="6"/>
    <x v="344"/>
    <d v="2024-09-13T08:30:24"/>
    <d v="2025-07-31T21:59:59"/>
    <s v="Cisco Associate-level Certification"/>
    <s v="CCNA R&amp;S"/>
    <x v="8"/>
    <s v="2024_cna2_ut_08_OS"/>
    <s v="English"/>
    <s v="7"/>
    <s v="278325"/>
    <s v="Ondrej"/>
    <s v="Skvarek"/>
    <n v="13"/>
    <n v="13"/>
    <n v="12"/>
    <n v="13"/>
    <n v="13"/>
    <n v="12"/>
  </r>
  <r>
    <x v="21"/>
    <x v="20"/>
    <x v="6"/>
    <x v="2"/>
    <m/>
    <m/>
    <m/>
    <m/>
    <x v="2"/>
    <m/>
    <m/>
    <m/>
    <s v="3327200"/>
    <s v="Jana"/>
    <s v="Uramová"/>
    <n v="13"/>
    <n v="13"/>
    <n v="12"/>
    <n v="13"/>
    <n v="13"/>
    <n v="12"/>
  </r>
  <r>
    <x v="21"/>
    <x v="20"/>
    <x v="6"/>
    <x v="345"/>
    <d v="2024-09-21T22:00:00"/>
    <d v="2025-03-31T21:59:59"/>
    <s v="Cisco Associate-level Certification"/>
    <s v="CCNA R&amp;S"/>
    <x v="8"/>
    <s v="2024_ZS_CCNA2_01_D_Madlenak"/>
    <s v="English"/>
    <s v="7"/>
    <s v="1046216128"/>
    <s v="Matus"/>
    <s v="Madlenak"/>
    <n v="8"/>
    <n v="8"/>
    <n v="6"/>
    <n v="8"/>
    <n v="8"/>
    <n v="6"/>
  </r>
  <r>
    <x v="21"/>
    <x v="20"/>
    <x v="6"/>
    <x v="2"/>
    <m/>
    <m/>
    <m/>
    <m/>
    <x v="2"/>
    <m/>
    <m/>
    <m/>
    <s v="6222458"/>
    <s v="Ivan"/>
    <s v="Dolnak"/>
    <n v="8"/>
    <n v="8"/>
    <n v="6"/>
    <n v="8"/>
    <n v="8"/>
    <n v="6"/>
  </r>
  <r>
    <x v="21"/>
    <x v="20"/>
    <x v="6"/>
    <x v="346"/>
    <d v="2024-01-28T23:00:00"/>
    <d v="2024-12-30T23:00:00"/>
    <s v="Cisco Associate-level Certification"/>
    <s v="CCNA R&amp;S"/>
    <x v="5"/>
    <s v="PIKS_2024"/>
    <s v="English"/>
    <s v="7.02"/>
    <s v="1007193775"/>
    <s v="Ivana"/>
    <s v="Bridova"/>
    <n v="251"/>
    <n v="232"/>
    <n v="211"/>
    <n v="251"/>
    <n v="232"/>
    <n v="211"/>
  </r>
  <r>
    <x v="21"/>
    <x v="20"/>
    <x v="6"/>
    <x v="2"/>
    <m/>
    <m/>
    <m/>
    <m/>
    <x v="2"/>
    <m/>
    <m/>
    <m/>
    <s v="278325"/>
    <s v="Ondrej"/>
    <s v="Skvarek"/>
    <n v="251"/>
    <n v="232"/>
    <n v="211"/>
    <n v="251"/>
    <n v="232"/>
    <n v="211"/>
  </r>
  <r>
    <x v="21"/>
    <x v="20"/>
    <x v="6"/>
    <x v="2"/>
    <m/>
    <m/>
    <m/>
    <m/>
    <x v="2"/>
    <m/>
    <m/>
    <m/>
    <s v="28509693"/>
    <s v="Jozef"/>
    <s v="Papan"/>
    <n v="251"/>
    <n v="232"/>
    <n v="211"/>
    <n v="251"/>
    <n v="232"/>
    <n v="211"/>
  </r>
  <r>
    <x v="21"/>
    <x v="20"/>
    <x v="6"/>
    <x v="2"/>
    <m/>
    <m/>
    <m/>
    <m/>
    <x v="2"/>
    <m/>
    <m/>
    <m/>
    <s v="3327200"/>
    <s v="Jana"/>
    <s v="Uramová"/>
    <n v="251"/>
    <n v="232"/>
    <n v="211"/>
    <n v="251"/>
    <n v="232"/>
    <n v="211"/>
  </r>
  <r>
    <x v="21"/>
    <x v="20"/>
    <x v="6"/>
    <x v="2"/>
    <m/>
    <m/>
    <m/>
    <m/>
    <x v="2"/>
    <m/>
    <m/>
    <m/>
    <s v="43080202"/>
    <s v="Michal"/>
    <s v="Šterbák"/>
    <n v="251"/>
    <n v="232"/>
    <n v="211"/>
    <n v="251"/>
    <n v="232"/>
    <n v="211"/>
  </r>
  <r>
    <x v="21"/>
    <x v="20"/>
    <x v="6"/>
    <x v="347"/>
    <d v="2024-02-02T23:00:00"/>
    <d v="2024-09-29T22:00:00"/>
    <s v="Cisco Associate-level Certification"/>
    <s v="CCNA R&amp;S"/>
    <x v="5"/>
    <s v="2024_LS_CCNA1_01Se-Madlenak"/>
    <s v="English"/>
    <s v="7.02"/>
    <s v="1046216128"/>
    <s v="Matus"/>
    <s v="Madlenak"/>
    <n v="19"/>
    <n v="13"/>
    <n v="8"/>
    <n v="19"/>
    <n v="13"/>
    <n v="8"/>
  </r>
  <r>
    <x v="21"/>
    <x v="20"/>
    <x v="6"/>
    <x v="2"/>
    <m/>
    <m/>
    <m/>
    <m/>
    <x v="2"/>
    <m/>
    <m/>
    <m/>
    <s v="6222458"/>
    <s v="Ivan"/>
    <s v="Dolnak"/>
    <n v="19"/>
    <n v="13"/>
    <n v="8"/>
    <n v="19"/>
    <n v="13"/>
    <n v="8"/>
  </r>
  <r>
    <x v="21"/>
    <x v="20"/>
    <x v="6"/>
    <x v="348"/>
    <d v="2024-02-18T23:00:00"/>
    <d v="2024-08-30T22:00:00"/>
    <s v="3rd Party Technical Certification"/>
    <s v="Linux"/>
    <x v="21"/>
    <s v="2024_q1_Linux-zaklady"/>
    <s v="English"/>
    <s v="2.20 - Self-Paced"/>
    <s v="23623420"/>
    <s v="Martin"/>
    <s v="Kontsek"/>
    <n v="284"/>
    <n v="279"/>
    <n v="231"/>
    <n v="284"/>
    <n v="279"/>
    <n v="231"/>
  </r>
  <r>
    <x v="21"/>
    <x v="20"/>
    <x v="6"/>
    <x v="2"/>
    <m/>
    <m/>
    <m/>
    <m/>
    <x v="2"/>
    <m/>
    <m/>
    <m/>
    <s v="36641768"/>
    <s v="Marek"/>
    <s v="Moravcik"/>
    <n v="284"/>
    <n v="279"/>
    <n v="231"/>
    <n v="284"/>
    <n v="279"/>
    <n v="231"/>
  </r>
  <r>
    <x v="21"/>
    <x v="20"/>
    <x v="6"/>
    <x v="349"/>
    <d v="2024-02-13T23:00:00"/>
    <d v="2024-09-29T22:00:00"/>
    <s v="Introductory Technical Skills"/>
    <s v="Cybersecurity"/>
    <x v="38"/>
    <s v="MK-CybSecEssen-2-2024"/>
    <s v="English"/>
    <s v="1.13"/>
    <s v="3277372"/>
    <s v="Milan"/>
    <s v="Kubina"/>
    <n v="5"/>
    <n v="5"/>
    <n v="4"/>
    <n v="5"/>
    <n v="5"/>
    <n v="4"/>
  </r>
  <r>
    <x v="21"/>
    <x v="20"/>
    <x v="6"/>
    <x v="350"/>
    <d v="2024-02-14T23:00:00"/>
    <d v="2024-12-30T23:00:00"/>
    <s v="Cisco Associate-level Certification"/>
    <s v="CCNA R&amp;S"/>
    <x v="5"/>
    <s v="2024_OS_ucitelia"/>
    <s v="English"/>
    <s v="7.02"/>
    <s v="278325"/>
    <s v="Ondrej"/>
    <s v="Skvarek"/>
    <n v="1"/>
    <n v="1"/>
    <n v="0"/>
    <n v="1"/>
    <n v="1"/>
    <n v="0"/>
  </r>
  <r>
    <x v="21"/>
    <x v="20"/>
    <x v="6"/>
    <x v="351"/>
    <d v="2024-02-17T23:00:00"/>
    <d v="2024-09-20T22:00:00"/>
    <s v="Cisco Associate-level Certification"/>
    <s v="CCNA R&amp;S"/>
    <x v="11"/>
    <s v="2024_cna3_po10_OS"/>
    <s v="English"/>
    <s v="7.02"/>
    <s v="278325"/>
    <s v="Ondrej"/>
    <s v="Skvarek"/>
    <n v="20"/>
    <n v="19"/>
    <n v="19"/>
    <n v="20"/>
    <n v="19"/>
    <n v="19"/>
  </r>
  <r>
    <x v="21"/>
    <x v="20"/>
    <x v="6"/>
    <x v="2"/>
    <m/>
    <m/>
    <m/>
    <m/>
    <x v="2"/>
    <m/>
    <m/>
    <m/>
    <s v="3327200"/>
    <s v="Jana"/>
    <s v="Uramová"/>
    <n v="20"/>
    <n v="19"/>
    <n v="19"/>
    <n v="20"/>
    <n v="19"/>
    <n v="19"/>
  </r>
  <r>
    <x v="21"/>
    <x v="20"/>
    <x v="6"/>
    <x v="352"/>
    <d v="2024-02-18T23:00:00"/>
    <d v="2024-08-30T22:00:00"/>
    <s v="Cisco Associate-level Certification"/>
    <s v="CCNA R&amp;S"/>
    <x v="11"/>
    <s v="2023_cna3_po14_MK"/>
    <s v="English"/>
    <s v="7.02"/>
    <s v="23623420"/>
    <s v="Martin"/>
    <s v="Kontsek"/>
    <n v="15"/>
    <n v="15"/>
    <n v="15"/>
    <n v="15"/>
    <n v="15"/>
    <n v="15"/>
  </r>
  <r>
    <x v="21"/>
    <x v="20"/>
    <x v="6"/>
    <x v="2"/>
    <m/>
    <m/>
    <m/>
    <m/>
    <x v="2"/>
    <m/>
    <m/>
    <m/>
    <s v="278325"/>
    <s v="Ondrej"/>
    <s v="Skvarek"/>
    <n v="15"/>
    <n v="15"/>
    <n v="15"/>
    <n v="15"/>
    <n v="15"/>
    <n v="15"/>
  </r>
  <r>
    <x v="21"/>
    <x v="20"/>
    <x v="6"/>
    <x v="2"/>
    <m/>
    <m/>
    <m/>
    <m/>
    <x v="2"/>
    <m/>
    <m/>
    <m/>
    <s v="36641768"/>
    <s v="Marek"/>
    <s v="Moravcik"/>
    <n v="15"/>
    <n v="15"/>
    <n v="15"/>
    <n v="15"/>
    <n v="15"/>
    <n v="15"/>
  </r>
  <r>
    <x v="21"/>
    <x v="20"/>
    <x v="6"/>
    <x v="353"/>
    <d v="2024-02-18T23:00:00"/>
    <d v="2024-08-30T22:00:00"/>
    <s v="Cisco Associate-level Certification"/>
    <s v="CCNA R&amp;S"/>
    <x v="11"/>
    <s v="2024_cna3_v7.02_ut16.00_MM"/>
    <s v="English"/>
    <s v="7.02"/>
    <s v="23623420"/>
    <s v="Martin"/>
    <s v="Kontsek"/>
    <n v="26"/>
    <n v="24"/>
    <n v="24"/>
    <n v="26"/>
    <n v="24"/>
    <n v="24"/>
  </r>
  <r>
    <x v="21"/>
    <x v="20"/>
    <x v="6"/>
    <x v="2"/>
    <m/>
    <m/>
    <m/>
    <m/>
    <x v="2"/>
    <m/>
    <m/>
    <m/>
    <s v="278325"/>
    <s v="Ondrej"/>
    <s v="Skvarek"/>
    <n v="26"/>
    <n v="24"/>
    <n v="24"/>
    <n v="26"/>
    <n v="24"/>
    <n v="24"/>
  </r>
  <r>
    <x v="21"/>
    <x v="20"/>
    <x v="6"/>
    <x v="2"/>
    <m/>
    <m/>
    <m/>
    <m/>
    <x v="2"/>
    <m/>
    <m/>
    <m/>
    <s v="36641768"/>
    <s v="Marek"/>
    <s v="Moravcik"/>
    <n v="26"/>
    <n v="24"/>
    <n v="24"/>
    <n v="26"/>
    <n v="24"/>
    <n v="24"/>
  </r>
  <r>
    <x v="21"/>
    <x v="20"/>
    <x v="6"/>
    <x v="354"/>
    <d v="2024-02-18T23:00:00"/>
    <d v="2024-10-30T23:00:00"/>
    <s v="Cisco Associate-level Certification"/>
    <s v="CCNA R&amp;S"/>
    <x v="5"/>
    <s v="2024_LS_CCNA1_01Si-Madlenak"/>
    <s v="English"/>
    <s v="7.02"/>
    <s v="1046216128"/>
    <s v="Matus"/>
    <s v="Madlenak"/>
    <n v="61"/>
    <n v="29"/>
    <n v="18"/>
    <n v="61"/>
    <n v="29"/>
    <n v="18"/>
  </r>
  <r>
    <x v="21"/>
    <x v="20"/>
    <x v="6"/>
    <x v="2"/>
    <m/>
    <m/>
    <m/>
    <m/>
    <x v="2"/>
    <m/>
    <m/>
    <m/>
    <s v="6222458"/>
    <s v="Ivan"/>
    <s v="Dolnak"/>
    <n v="61"/>
    <n v="29"/>
    <n v="18"/>
    <n v="61"/>
    <n v="29"/>
    <n v="18"/>
  </r>
  <r>
    <x v="21"/>
    <x v="20"/>
    <x v="6"/>
    <x v="355"/>
    <d v="2024-02-20T23:00:00"/>
    <d v="2025-01-30T23:00:00"/>
    <s v="Cisco Associate-level Certification"/>
    <s v="CCNA R&amp;S"/>
    <x v="11"/>
    <s v="2024_cna3_JU"/>
    <s v="English"/>
    <s v="7.02"/>
    <s v="23623420"/>
    <s v="Martin"/>
    <s v="Kontsek"/>
    <n v="18"/>
    <n v="18"/>
    <n v="17"/>
    <n v="18"/>
    <n v="18"/>
    <n v="17"/>
  </r>
  <r>
    <x v="21"/>
    <x v="20"/>
    <x v="6"/>
    <x v="2"/>
    <m/>
    <m/>
    <m/>
    <m/>
    <x v="2"/>
    <m/>
    <m/>
    <m/>
    <s v="278325"/>
    <s v="Ondrej"/>
    <s v="Skvarek"/>
    <n v="18"/>
    <n v="18"/>
    <n v="17"/>
    <n v="18"/>
    <n v="18"/>
    <n v="17"/>
  </r>
  <r>
    <x v="21"/>
    <x v="20"/>
    <x v="6"/>
    <x v="2"/>
    <m/>
    <m/>
    <m/>
    <m/>
    <x v="2"/>
    <m/>
    <m/>
    <m/>
    <s v="3327200"/>
    <s v="Jana"/>
    <s v="Uramová"/>
    <n v="18"/>
    <n v="18"/>
    <n v="17"/>
    <n v="18"/>
    <n v="18"/>
    <n v="17"/>
  </r>
  <r>
    <x v="21"/>
    <x v="20"/>
    <x v="6"/>
    <x v="2"/>
    <m/>
    <m/>
    <m/>
    <m/>
    <x v="2"/>
    <m/>
    <m/>
    <m/>
    <s v="36641768"/>
    <s v="Marek"/>
    <s v="Moravcik"/>
    <n v="18"/>
    <n v="18"/>
    <n v="17"/>
    <n v="18"/>
    <n v="18"/>
    <n v="17"/>
  </r>
  <r>
    <x v="21"/>
    <x v="20"/>
    <x v="6"/>
    <x v="356"/>
    <d v="2024-02-20T23:00:00"/>
    <d v="2024-08-30T22:00:00"/>
    <s v="Cisco Associate-level Certification"/>
    <s v="CCNA R&amp;S"/>
    <x v="11"/>
    <s v="2024_cna3_we8.00_Erasmus"/>
    <s v="English"/>
    <s v="7.02"/>
    <s v="23623420"/>
    <s v="Martin"/>
    <s v="Kontsek"/>
    <n v="6"/>
    <n v="6"/>
    <n v="6"/>
    <n v="6"/>
    <n v="6"/>
    <n v="6"/>
  </r>
  <r>
    <x v="21"/>
    <x v="20"/>
    <x v="6"/>
    <x v="2"/>
    <m/>
    <m/>
    <m/>
    <m/>
    <x v="2"/>
    <m/>
    <m/>
    <m/>
    <s v="36641768"/>
    <s v="Marek"/>
    <s v="Moravcik"/>
    <n v="6"/>
    <n v="6"/>
    <n v="6"/>
    <n v="6"/>
    <n v="6"/>
    <n v="6"/>
  </r>
  <r>
    <x v="21"/>
    <x v="20"/>
    <x v="6"/>
    <x v="357"/>
    <d v="2024-02-25T23:00:00"/>
    <d v="2024-09-29T22:00:00"/>
    <s v="Introductory Technical Skills"/>
    <s v="Cybersecurity"/>
    <x v="31"/>
    <s v="MK-IntCybSec-2-2024-10:00"/>
    <s v="English"/>
    <s v="2.13"/>
    <s v="3277372"/>
    <s v="Milan"/>
    <s v="Kubina"/>
    <n v="17"/>
    <n v="17"/>
    <n v="17"/>
    <n v="17"/>
    <n v="17"/>
    <n v="17"/>
  </r>
  <r>
    <x v="21"/>
    <x v="20"/>
    <x v="6"/>
    <x v="358"/>
    <d v="2024-02-25T23:00:00"/>
    <d v="2024-10-30T23:00:00"/>
    <s v="Cisco Associate-level Certification"/>
    <s v="CCNA R&amp;S"/>
    <x v="5"/>
    <s v="2024_LS_CCNA1_02Si-Madlenak"/>
    <s v="English"/>
    <s v="7.02"/>
    <s v="1046216128"/>
    <s v="Matus"/>
    <s v="Madlenak"/>
    <n v="28"/>
    <n v="25"/>
    <n v="16"/>
    <n v="28"/>
    <n v="25"/>
    <n v="16"/>
  </r>
  <r>
    <x v="21"/>
    <x v="20"/>
    <x v="6"/>
    <x v="2"/>
    <m/>
    <m/>
    <m/>
    <m/>
    <x v="2"/>
    <m/>
    <m/>
    <m/>
    <s v="6222458"/>
    <s v="Ivan"/>
    <s v="Dolnak"/>
    <n v="28"/>
    <n v="25"/>
    <n v="16"/>
    <n v="28"/>
    <n v="25"/>
    <n v="16"/>
  </r>
  <r>
    <x v="21"/>
    <x v="20"/>
    <x v="6"/>
    <x v="359"/>
    <d v="2024-04-28T22:00:00"/>
    <d v="2024-10-30T23:00:00"/>
    <s v="Cisco Associate-level Certification"/>
    <s v="Cybersecurity"/>
    <x v="33"/>
    <s v="2024_q2_cyberops_01p"/>
    <s v="English"/>
    <s v="1.02"/>
    <s v="3327200"/>
    <s v="Jana"/>
    <s v="Uramová"/>
    <n v="6"/>
    <n v="6"/>
    <n v="6"/>
    <n v="6"/>
    <n v="6"/>
    <n v="6"/>
  </r>
  <r>
    <x v="21"/>
    <x v="20"/>
    <x v="6"/>
    <x v="360"/>
    <d v="2024-05-05T22:00:00"/>
    <d v="2024-08-19T22:00:00"/>
    <s v="Cisco Associate-level Certification"/>
    <s v="CCNA R&amp;S"/>
    <x v="11"/>
    <s v="2024_Q2_CCNA3_Vrican-Dolnak"/>
    <s v="English"/>
    <s v="7.02"/>
    <s v="6222458"/>
    <s v="Ivan"/>
    <s v="Dolnak"/>
    <n v="2"/>
    <n v="2"/>
    <n v="1"/>
    <n v="2"/>
    <n v="2"/>
    <n v="1"/>
  </r>
  <r>
    <x v="21"/>
    <x v="20"/>
    <x v="6"/>
    <x v="361"/>
    <d v="2024-05-19T22:00:00"/>
    <d v="2025-02-23T23:00:00"/>
    <s v="Introductory Technical Skills"/>
    <s v="Cybersecurity"/>
    <x v="31"/>
    <s v="2024_Introduction_to_cybersecurity_Chovan"/>
    <s v="English"/>
    <s v="2.13"/>
    <s v="1046216128"/>
    <s v="Matus"/>
    <s v="Madlenak"/>
    <n v="1"/>
    <n v="1"/>
    <n v="0"/>
    <n v="1"/>
    <n v="1"/>
    <n v="0"/>
  </r>
  <r>
    <x v="21"/>
    <x v="20"/>
    <x v="6"/>
    <x v="362"/>
    <d v="2024-06-01T22:00:00"/>
    <d v="2024-09-01T22:00:00"/>
    <s v="Cisco Associate-level Certification"/>
    <s v="CCNA R&amp;S"/>
    <x v="11"/>
    <s v="2024-ccna3-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3"/>
    <d v="2024-06-01T22:00:00"/>
    <d v="2024-09-01T22:00:00"/>
    <s v="Cisco Associate-level Certification"/>
    <s v="CCNA R&amp;S"/>
    <x v="4"/>
    <s v="2024-ccna2-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4"/>
    <d v="2024-05-30T22:00:00"/>
    <d v="2024-08-30T22:00:00"/>
    <s v="Introductory Technical Skills"/>
    <s v="Cybersecurity"/>
    <x v="38"/>
    <s v="CybeSecEss"/>
    <s v="English"/>
    <s v="1.13"/>
    <s v="37904197"/>
    <s v="Gabriel"/>
    <s v="Koman"/>
    <n v="2"/>
    <n v="2"/>
    <n v="1"/>
    <n v="2"/>
    <n v="2"/>
    <n v="1"/>
  </r>
  <r>
    <x v="21"/>
    <x v="20"/>
    <x v="6"/>
    <x v="365"/>
    <d v="2024-06-01T22:00:00"/>
    <d v="2024-09-01T22:00:00"/>
    <s v="Cisco Associate-level Certification"/>
    <s v="CCNA R&amp;S"/>
    <x v="5"/>
    <s v="2024-ccna1-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6"/>
    <d v="2024-07-10T22:00:00"/>
    <d v="2025-02-23T23:00:00"/>
    <s v="Cisco Associate-level Certification"/>
    <s v="CCNA R&amp;S"/>
    <x v="11"/>
    <s v="2024_Q3_CCNA3_Krug-Dolnak"/>
    <s v="English"/>
    <s v="7.02"/>
    <s v="6222458"/>
    <s v="Ivan"/>
    <s v="Dolnak"/>
    <n v="1"/>
    <n v="1"/>
    <n v="0"/>
    <n v="1"/>
    <n v="1"/>
    <n v="0"/>
  </r>
  <r>
    <x v="21"/>
    <x v="20"/>
    <x v="6"/>
    <x v="367"/>
    <d v="2024-08-06T22:00:00"/>
    <d v="2024-12-30T23:00:00"/>
    <s v="3rd Party Technical Certification"/>
    <s v="Linux"/>
    <x v="21"/>
    <s v="2024_Linux_Essentials_Hubocan"/>
    <s v="English"/>
    <s v="2.20 - Self-Paced"/>
    <s v="1046216128"/>
    <s v="Matus"/>
    <s v="Madlenak"/>
    <n v="1"/>
    <n v="1"/>
    <n v="0"/>
    <n v="1"/>
    <n v="1"/>
    <n v="0"/>
  </r>
  <r>
    <x v="21"/>
    <x v="20"/>
    <x v="6"/>
    <x v="368"/>
    <d v="2024-07-25T22:00:00"/>
    <d v="2024-12-30T22:59:59"/>
    <s v="Introductory Technical Skills"/>
    <s v="Cybersecurity"/>
    <x v="31"/>
    <s v="2024_Betka_Introduction to Cybersecurity"/>
    <s v="English"/>
    <s v="7.1"/>
    <s v="278326"/>
    <s v="Pavel"/>
    <s v="Segec"/>
    <n v="1"/>
    <n v="1"/>
    <n v="0"/>
    <n v="1"/>
    <n v="1"/>
    <n v="0"/>
  </r>
  <r>
    <x v="21"/>
    <x v="20"/>
    <x v="6"/>
    <x v="369"/>
    <d v="2024-10-01T14:44:02"/>
    <d v="2025-04-30T21:59:59"/>
    <s v="Cisco Associate-level Certification"/>
    <s v="CCNA R&amp;S"/>
    <x v="9"/>
    <s v="2024_Erasmus_winter CCNA1: Introduction to Networks"/>
    <s v="English"/>
    <s v="7"/>
    <s v="278325"/>
    <s v="Ondrej"/>
    <s v="Skvarek"/>
    <n v="5"/>
    <n v="5"/>
    <n v="2"/>
    <n v="5"/>
    <n v="5"/>
    <n v="2"/>
  </r>
  <r>
    <x v="21"/>
    <x v="20"/>
    <x v="6"/>
    <x v="2"/>
    <m/>
    <m/>
    <m/>
    <m/>
    <x v="2"/>
    <m/>
    <m/>
    <m/>
    <s v="3327200"/>
    <s v="Jana"/>
    <s v="Uramová"/>
    <n v="5"/>
    <n v="5"/>
    <n v="2"/>
    <n v="5"/>
    <n v="5"/>
    <n v="2"/>
  </r>
  <r>
    <x v="21"/>
    <x v="20"/>
    <x v="6"/>
    <x v="370"/>
    <d v="2024-09-24T07:29:01"/>
    <d v="2025-02-28T22:59:59"/>
    <s v="3rd Party Technical Certification"/>
    <s v="Python"/>
    <x v="16"/>
    <s v="PvSA-PE1-2024-ut8-MM"/>
    <s v="English"/>
    <s v="1"/>
    <s v="23623420"/>
    <s v="Martin"/>
    <s v="Kontsek"/>
    <n v="31"/>
    <n v="30"/>
    <n v="15"/>
    <n v="31"/>
    <n v="30"/>
    <n v="15"/>
  </r>
  <r>
    <x v="21"/>
    <x v="20"/>
    <x v="6"/>
    <x v="2"/>
    <m/>
    <m/>
    <m/>
    <m/>
    <x v="2"/>
    <m/>
    <m/>
    <m/>
    <s v="36641768"/>
    <s v="Marek"/>
    <s v="Moravcik"/>
    <n v="31"/>
    <n v="30"/>
    <n v="15"/>
    <n v="31"/>
    <n v="30"/>
    <n v="15"/>
  </r>
  <r>
    <x v="21"/>
    <x v="20"/>
    <x v="6"/>
    <x v="371"/>
    <d v="2024-10-02T10:32:57"/>
    <d v="2025-03-14T22:59:59"/>
    <s v="Cisco Associate-level Certification"/>
    <s v="CCNA R&amp;S"/>
    <x v="9"/>
    <s v="2024_ZS_CCNA1-Erasmus-Litvik"/>
    <s v="English"/>
    <s v="7"/>
    <s v="1030863898"/>
    <s v="Michaela"/>
    <s v="Hola"/>
    <n v="2"/>
    <n v="2"/>
    <n v="1"/>
    <n v="2"/>
    <n v="2"/>
    <n v="1"/>
  </r>
  <r>
    <x v="21"/>
    <x v="20"/>
    <x v="6"/>
    <x v="2"/>
    <m/>
    <m/>
    <m/>
    <m/>
    <x v="2"/>
    <m/>
    <m/>
    <m/>
    <s v="1035539796"/>
    <s v="Lukas"/>
    <s v="Sevcik"/>
    <n v="2"/>
    <n v="2"/>
    <n v="1"/>
    <n v="2"/>
    <n v="2"/>
    <n v="1"/>
  </r>
  <r>
    <x v="21"/>
    <x v="20"/>
    <x v="6"/>
    <x v="372"/>
    <d v="2024-09-23T07:53:23"/>
    <d v="2025-09-23T21:59:59"/>
    <s v="Cisco Entry-level Certification"/>
    <s v="Cybersecurity"/>
    <x v="45"/>
    <s v="Cyber Threat Management-KmNT-2024"/>
    <s v="English"/>
    <s v="1"/>
    <s v="3277372"/>
    <s v="Milan"/>
    <s v="Kubina"/>
    <n v="1"/>
    <n v="1"/>
    <n v="0"/>
    <n v="1"/>
    <n v="1"/>
    <n v="0"/>
  </r>
  <r>
    <x v="21"/>
    <x v="20"/>
    <x v="6"/>
    <x v="373"/>
    <d v="2024-09-10T11:25:33"/>
    <d v="2025-09-30T21:59:59"/>
    <s v="Cisco Associate-level Certification"/>
    <s v="CCNA R&amp;S"/>
    <x v="10"/>
    <s v="2024-cna3-ALL"/>
    <s v="English"/>
    <s v="1"/>
    <s v="278325"/>
    <s v="Ondrej"/>
    <s v="Skvarek"/>
    <n v="68"/>
    <n v="62"/>
    <n v="0"/>
    <n v="68"/>
    <n v="62"/>
    <n v="0"/>
  </r>
  <r>
    <x v="21"/>
    <x v="20"/>
    <x v="6"/>
    <x v="2"/>
    <m/>
    <m/>
    <m/>
    <m/>
    <x v="2"/>
    <m/>
    <m/>
    <m/>
    <s v="278326"/>
    <s v="Pavel"/>
    <s v="Segec"/>
    <n v="68"/>
    <n v="62"/>
    <n v="0"/>
    <n v="68"/>
    <n v="62"/>
    <n v="0"/>
  </r>
  <r>
    <x v="21"/>
    <x v="20"/>
    <x v="6"/>
    <x v="2"/>
    <m/>
    <m/>
    <m/>
    <m/>
    <x v="2"/>
    <m/>
    <m/>
    <m/>
    <s v="3327200"/>
    <s v="Jana"/>
    <s v="Uramová"/>
    <n v="68"/>
    <n v="62"/>
    <n v="0"/>
    <n v="68"/>
    <n v="62"/>
    <n v="0"/>
  </r>
  <r>
    <x v="21"/>
    <x v="20"/>
    <x v="6"/>
    <x v="374"/>
    <d v="2024-09-20T08:21:18"/>
    <d v="2025-01-31T22:59:59"/>
    <s v="Introductory Technical Skills"/>
    <s v="Cybersecurity"/>
    <x v="31"/>
    <s v="Introduction to Cybersecurity-PIS-Pon-4B"/>
    <s v="English"/>
    <s v="7.1"/>
    <s v="3277372"/>
    <s v="Milan"/>
    <s v="Kubina"/>
    <n v="30"/>
    <n v="26"/>
    <n v="17"/>
    <n v="30"/>
    <n v="26"/>
    <n v="17"/>
  </r>
  <r>
    <x v="21"/>
    <x v="20"/>
    <x v="6"/>
    <x v="375"/>
    <d v="2024-09-19T08:31:21"/>
    <d v="2025-02-28T22:59:59"/>
    <s v="Cisco Associate-level Certification"/>
    <s v="DevNet Associate"/>
    <x v="46"/>
    <s v="VaCT-2024-str16-MK"/>
    <s v="English"/>
    <s v="1"/>
    <s v="23623420"/>
    <s v="Martin"/>
    <s v="Kontsek"/>
    <n v="27"/>
    <n v="27"/>
    <n v="23"/>
    <n v="27"/>
    <n v="27"/>
    <n v="23"/>
  </r>
  <r>
    <x v="21"/>
    <x v="20"/>
    <x v="6"/>
    <x v="376"/>
    <d v="2024-09-17T07:38:36"/>
    <d v="2025-09-30T21:59:59"/>
    <s v="Cisco Associate-level Certification"/>
    <s v="CCNA R&amp;S"/>
    <x v="8"/>
    <s v="2024-cna2-IB"/>
    <s v="English"/>
    <s v="7"/>
    <s v="1007193775"/>
    <s v="Ivana"/>
    <s v="Bridova"/>
    <n v="23"/>
    <n v="23"/>
    <n v="20"/>
    <n v="23"/>
    <n v="23"/>
    <n v="20"/>
  </r>
  <r>
    <x v="21"/>
    <x v="20"/>
    <x v="6"/>
    <x v="2"/>
    <m/>
    <m/>
    <m/>
    <m/>
    <x v="2"/>
    <m/>
    <m/>
    <m/>
    <s v="278325"/>
    <s v="Ondrej"/>
    <s v="Skvarek"/>
    <n v="23"/>
    <n v="23"/>
    <n v="20"/>
    <n v="23"/>
    <n v="23"/>
    <n v="20"/>
  </r>
  <r>
    <x v="21"/>
    <x v="20"/>
    <x v="6"/>
    <x v="2"/>
    <m/>
    <m/>
    <m/>
    <m/>
    <x v="2"/>
    <m/>
    <m/>
    <m/>
    <s v="278326"/>
    <s v="Pavel"/>
    <s v="Segec"/>
    <n v="23"/>
    <n v="23"/>
    <n v="20"/>
    <n v="23"/>
    <n v="23"/>
    <n v="20"/>
  </r>
  <r>
    <x v="21"/>
    <x v="20"/>
    <x v="6"/>
    <x v="2"/>
    <m/>
    <m/>
    <m/>
    <m/>
    <x v="2"/>
    <m/>
    <m/>
    <m/>
    <s v="3327200"/>
    <s v="Jana"/>
    <s v="Uramová"/>
    <n v="23"/>
    <n v="23"/>
    <n v="20"/>
    <n v="23"/>
    <n v="23"/>
    <n v="20"/>
  </r>
  <r>
    <x v="21"/>
    <x v="20"/>
    <x v="6"/>
    <x v="377"/>
    <d v="2024-09-23T07:45:49"/>
    <d v="2025-01-31T22:59:59"/>
    <s v="Introductory Technical Skills"/>
    <s v="Cybersecurity"/>
    <x v="31"/>
    <s v="Introduction to Cybersecurity-PIS-Pon-6B"/>
    <s v="English"/>
    <s v="7.1"/>
    <s v="3277372"/>
    <s v="Milan"/>
    <s v="Kubina"/>
    <n v="25"/>
    <n v="25"/>
    <n v="21"/>
    <n v="25"/>
    <n v="25"/>
    <n v="21"/>
  </r>
  <r>
    <x v="21"/>
    <x v="20"/>
    <x v="6"/>
    <x v="378"/>
    <d v="2024-08-31T22:00:00"/>
    <d v="2024-12-31T22:59:59"/>
    <s v="Cisco Associate-level Certification"/>
    <s v="CCNA R&amp;S"/>
    <x v="8"/>
    <s v="2024_ZS_CCNA2_01_E_Madlenak"/>
    <s v="English"/>
    <s v="7"/>
    <s v="1046216128"/>
    <s v="Matus"/>
    <s v="Madlenak"/>
    <n v="1"/>
    <n v="1"/>
    <n v="1"/>
    <n v="1"/>
    <n v="1"/>
    <n v="1"/>
  </r>
  <r>
    <x v="21"/>
    <x v="20"/>
    <x v="6"/>
    <x v="2"/>
    <m/>
    <m/>
    <m/>
    <m/>
    <x v="2"/>
    <m/>
    <m/>
    <m/>
    <s v="6222458"/>
    <s v="Ivan"/>
    <s v="Dolnak"/>
    <n v="1"/>
    <n v="1"/>
    <n v="1"/>
    <n v="1"/>
    <n v="1"/>
    <n v="1"/>
  </r>
  <r>
    <x v="21"/>
    <x v="20"/>
    <x v="6"/>
    <x v="379"/>
    <d v="2024-11-19T09:43:24"/>
    <d v="2025-03-31T21:59:59"/>
    <s v="Cisco Associate-level Certification"/>
    <s v="CCNA R&amp;S"/>
    <x v="8"/>
    <s v="CCNA2_2024_WE: Switching, Routing, and Wireless Essentials"/>
    <s v="English"/>
    <s v="7"/>
    <s v="1035539796"/>
    <s v="Lukas"/>
    <s v="Sevcik"/>
    <n v="10"/>
    <n v="10"/>
    <n v="8"/>
    <n v="10"/>
    <n v="10"/>
    <n v="8"/>
  </r>
  <r>
    <x v="21"/>
    <x v="20"/>
    <x v="6"/>
    <x v="380"/>
    <d v="2024-11-18T12:34:14"/>
    <d v="2025-03-31T21:59:59"/>
    <s v="Cisco Associate-level Certification"/>
    <s v="CCNA R&amp;S"/>
    <x v="8"/>
    <s v="CCNA2_2024_MO: Switching, Routing, and Wireless Essentials"/>
    <s v="English"/>
    <s v="7"/>
    <s v="1035539796"/>
    <s v="Lukas"/>
    <s v="Sevcik"/>
    <n v="11"/>
    <n v="11"/>
    <n v="10"/>
    <n v="11"/>
    <n v="11"/>
    <n v="10"/>
  </r>
  <r>
    <x v="21"/>
    <x v="20"/>
    <x v="6"/>
    <x v="381"/>
    <d v="2024-09-19T08:28:23"/>
    <d v="2025-02-28T22:59:59"/>
    <s v="Cisco Associate-level Certification"/>
    <s v="DevNet Associate"/>
    <x v="46"/>
    <s v="VaCT-2024-po18-MM"/>
    <s v="English"/>
    <s v="1"/>
    <s v="23623420"/>
    <s v="Martin"/>
    <s v="Kontsek"/>
    <n v="38"/>
    <n v="38"/>
    <n v="26"/>
    <n v="38"/>
    <n v="38"/>
    <n v="26"/>
  </r>
  <r>
    <x v="21"/>
    <x v="20"/>
    <x v="6"/>
    <x v="382"/>
    <d v="2024-09-03T09:26:49"/>
    <d v="2025-01-18T22:59:59"/>
    <s v="Introductory Technical Skills"/>
    <s v="Cybersecurity"/>
    <x v="31"/>
    <s v="Introduction to Cybersecurity"/>
    <s v="English"/>
    <s v="7.1"/>
    <s v="278326"/>
    <s v="Pavel"/>
    <s v="Segec"/>
    <n v="1"/>
    <n v="1"/>
    <n v="0"/>
    <n v="1"/>
    <n v="1"/>
    <n v="0"/>
  </r>
  <r>
    <x v="21"/>
    <x v="20"/>
    <x v="6"/>
    <x v="383"/>
    <d v="2024-09-24T07:33:00"/>
    <d v="2025-02-28T22:59:59"/>
    <s v="3rd Party Technical Certification"/>
    <s v="Python"/>
    <x v="16"/>
    <s v="PVSA-PE1-2024-ut8-MK"/>
    <s v="English"/>
    <s v="1"/>
    <s v="23623420"/>
    <s v="Martin"/>
    <s v="Kontsek"/>
    <n v="16"/>
    <n v="16"/>
    <n v="12"/>
    <n v="16"/>
    <n v="16"/>
    <n v="12"/>
  </r>
  <r>
    <x v="21"/>
    <x v="20"/>
    <x v="6"/>
    <x v="2"/>
    <m/>
    <m/>
    <m/>
    <m/>
    <x v="2"/>
    <m/>
    <m/>
    <m/>
    <s v="36641768"/>
    <s v="Marek"/>
    <s v="Moravcik"/>
    <n v="16"/>
    <n v="16"/>
    <n v="12"/>
    <n v="16"/>
    <n v="16"/>
    <n v="12"/>
  </r>
  <r>
    <x v="21"/>
    <x v="20"/>
    <x v="6"/>
    <x v="384"/>
    <d v="2024-09-05T10:42:58"/>
    <d v="2025-09-30T21:59:59"/>
    <s v="Cisco Associate-level Certification"/>
    <s v="CCNA R&amp;S"/>
    <x v="8"/>
    <s v="2024-cna2-JU"/>
    <s v="English"/>
    <s v="7"/>
    <s v="278325"/>
    <s v="Ondrej"/>
    <s v="Skvarek"/>
    <n v="17"/>
    <n v="16"/>
    <n v="11"/>
    <n v="17"/>
    <n v="16"/>
    <n v="11"/>
  </r>
  <r>
    <x v="21"/>
    <x v="20"/>
    <x v="6"/>
    <x v="2"/>
    <m/>
    <m/>
    <m/>
    <m/>
    <x v="2"/>
    <m/>
    <m/>
    <m/>
    <s v="278326"/>
    <s v="Pavel"/>
    <s v="Segec"/>
    <n v="17"/>
    <n v="16"/>
    <n v="11"/>
    <n v="17"/>
    <n v="16"/>
    <n v="11"/>
  </r>
  <r>
    <x v="21"/>
    <x v="20"/>
    <x v="6"/>
    <x v="2"/>
    <m/>
    <m/>
    <m/>
    <m/>
    <x v="2"/>
    <m/>
    <m/>
    <m/>
    <s v="3327200"/>
    <s v="Jana"/>
    <s v="Uramová"/>
    <n v="17"/>
    <n v="16"/>
    <n v="11"/>
    <n v="17"/>
    <n v="16"/>
    <n v="11"/>
  </r>
  <r>
    <x v="21"/>
    <x v="20"/>
    <x v="6"/>
    <x v="2"/>
    <m/>
    <m/>
    <m/>
    <m/>
    <x v="2"/>
    <m/>
    <m/>
    <m/>
    <s v="36641768"/>
    <s v="Marek"/>
    <s v="Moravcik"/>
    <n v="17"/>
    <n v="16"/>
    <n v="11"/>
    <n v="17"/>
    <n v="16"/>
    <n v="11"/>
  </r>
  <r>
    <x v="21"/>
    <x v="20"/>
    <x v="6"/>
    <x v="385"/>
    <d v="2024-09-24T07:31:41"/>
    <d v="2025-02-28T22:59:59"/>
    <s v="3rd Party Technical Certification"/>
    <s v="Python"/>
    <x v="28"/>
    <s v="PvSA-PE2-2024-ut8-MM"/>
    <s v="English"/>
    <s v="1"/>
    <s v="23623420"/>
    <s v="Martin"/>
    <s v="Kontsek"/>
    <n v="30"/>
    <n v="30"/>
    <n v="19"/>
    <n v="30"/>
    <n v="30"/>
    <n v="19"/>
  </r>
  <r>
    <x v="21"/>
    <x v="20"/>
    <x v="6"/>
    <x v="2"/>
    <m/>
    <m/>
    <m/>
    <m/>
    <x v="2"/>
    <m/>
    <m/>
    <m/>
    <s v="36641768"/>
    <s v="Marek"/>
    <s v="Moravcik"/>
    <n v="30"/>
    <n v="30"/>
    <n v="19"/>
    <n v="30"/>
    <n v="30"/>
    <n v="19"/>
  </r>
  <r>
    <x v="21"/>
    <x v="20"/>
    <x v="6"/>
    <x v="386"/>
    <d v="2024-12-09T11:33:56"/>
    <d v="2025-04-30T21:59:59"/>
    <s v="Cisco Associate-level Certification"/>
    <s v="CCNA R&amp;S"/>
    <x v="10"/>
    <s v="CCNA3_IaKT3: Enterprise Networking, Security, and Automation"/>
    <s v="English"/>
    <s v="1"/>
    <s v="1035539796"/>
    <s v="Lukas"/>
    <s v="Sevcik"/>
    <n v="7"/>
    <n v="7"/>
    <n v="7"/>
    <n v="7"/>
    <n v="7"/>
    <n v="7"/>
  </r>
  <r>
    <x v="21"/>
    <x v="20"/>
    <x v="6"/>
    <x v="387"/>
    <d v="2024-09-19T07:29:07"/>
    <d v="2025-02-28T22:59:59"/>
    <s v="3rd Party Technical Certification"/>
    <s v="Python"/>
    <x v="28"/>
    <s v="PVSA-PE2-2024-ut8-MK"/>
    <s v="English"/>
    <s v="1"/>
    <s v="23623420"/>
    <s v="Martin"/>
    <s v="Kontsek"/>
    <n v="11"/>
    <n v="10"/>
    <n v="0"/>
    <n v="11"/>
    <n v="10"/>
    <n v="0"/>
  </r>
  <r>
    <x v="21"/>
    <x v="20"/>
    <x v="6"/>
    <x v="2"/>
    <m/>
    <m/>
    <m/>
    <m/>
    <x v="2"/>
    <m/>
    <m/>
    <m/>
    <s v="36641768"/>
    <s v="Marek"/>
    <s v="Moravcik"/>
    <n v="11"/>
    <n v="10"/>
    <n v="0"/>
    <n v="11"/>
    <n v="10"/>
    <n v="0"/>
  </r>
  <r>
    <x v="21"/>
    <x v="20"/>
    <x v="6"/>
    <x v="388"/>
    <d v="2024-09-24T16:31:49"/>
    <d v="2025-02-28T22:59:59"/>
    <s v="Intermediate Technical Skills"/>
    <s v="Cybersecurity"/>
    <x v="14"/>
    <s v="2024_BIS"/>
    <s v="English"/>
    <s v="1"/>
    <s v="278326"/>
    <s v="Pavel"/>
    <s v="Segec"/>
    <n v="30"/>
    <n v="30"/>
    <n v="29"/>
    <n v="30"/>
    <n v="30"/>
    <n v="29"/>
  </r>
  <r>
    <x v="21"/>
    <x v="20"/>
    <x v="6"/>
    <x v="2"/>
    <m/>
    <m/>
    <m/>
    <m/>
    <x v="2"/>
    <m/>
    <m/>
    <m/>
    <s v="3327200"/>
    <s v="Jana"/>
    <s v="Uramová"/>
    <n v="30"/>
    <n v="30"/>
    <n v="29"/>
    <n v="30"/>
    <n v="30"/>
    <n v="29"/>
  </r>
  <r>
    <x v="21"/>
    <x v="20"/>
    <x v="6"/>
    <x v="389"/>
    <d v="2024-12-04T09:34:30"/>
    <d v="2025-08-31T21:59:59"/>
    <s v="Cisco Associate-level Certification"/>
    <s v="CCNA R&amp;S"/>
    <x v="9"/>
    <s v="CCNA: Introduction to Networks-KMnT-2024"/>
    <s v="English"/>
    <s v="7"/>
    <s v="3277372"/>
    <s v="Milan"/>
    <s v="Kubina"/>
    <n v="1"/>
    <n v="1"/>
    <n v="0"/>
    <n v="1"/>
    <n v="1"/>
    <n v="0"/>
  </r>
  <r>
    <x v="21"/>
    <x v="20"/>
    <x v="6"/>
    <x v="390"/>
    <d v="2024-09-19T07:22:31"/>
    <d v="2025-02-28T22:59:59"/>
    <s v="3rd Party Technical Certification"/>
    <s v="Python"/>
    <x v="16"/>
    <s v="PVSA-PE1-2024-ut8-MK"/>
    <s v="English"/>
    <s v="1"/>
    <s v="23623420"/>
    <s v="Martin"/>
    <s v="Kontsek"/>
    <n v="11"/>
    <n v="11"/>
    <n v="0"/>
    <n v="11"/>
    <n v="11"/>
    <n v="0"/>
  </r>
  <r>
    <x v="21"/>
    <x v="20"/>
    <x v="6"/>
    <x v="2"/>
    <m/>
    <m/>
    <m/>
    <m/>
    <x v="2"/>
    <m/>
    <m/>
    <m/>
    <s v="36641768"/>
    <s v="Marek"/>
    <s v="Moravcik"/>
    <n v="11"/>
    <n v="11"/>
    <n v="0"/>
    <n v="11"/>
    <n v="11"/>
    <n v="0"/>
  </r>
  <r>
    <x v="21"/>
    <x v="20"/>
    <x v="6"/>
    <x v="391"/>
    <d v="2024-09-23T07:38:52"/>
    <d v="2025-09-23T21:59:59"/>
    <s v="Cisco Entry-level Certification"/>
    <s v="Cybersecurity"/>
    <x v="30"/>
    <s v="Cybersecurity Essentials-new-KmNT-2024"/>
    <s v="English"/>
    <s v="3"/>
    <s v="3277372"/>
    <s v="Milan"/>
    <s v="Kubina"/>
    <n v="2"/>
    <n v="2"/>
    <n v="0"/>
    <n v="2"/>
    <n v="2"/>
    <n v="0"/>
  </r>
  <r>
    <x v="21"/>
    <x v="20"/>
    <x v="6"/>
    <x v="392"/>
    <d v="2024-11-19T09:48:27"/>
    <d v="2025-03-31T21:59:59"/>
    <s v="Cisco Associate-level Certification"/>
    <s v="CCNA R&amp;S"/>
    <x v="8"/>
    <s v="CCNA2_2024_TH: Switching, Routing, and Wireless Essentials"/>
    <s v="English"/>
    <s v="7"/>
    <s v="1035539796"/>
    <s v="Lukas"/>
    <s v="Sevcik"/>
    <n v="7"/>
    <n v="6"/>
    <n v="5"/>
    <n v="7"/>
    <n v="6"/>
    <n v="5"/>
  </r>
  <r>
    <x v="21"/>
    <x v="20"/>
    <x v="6"/>
    <x v="393"/>
    <d v="2024-09-24T06:45:24"/>
    <d v="2025-09-30T21:59:59"/>
    <s v="Cisco Associate-level Certification"/>
    <s v="Cybersecurity"/>
    <x v="33"/>
    <s v="2024-CyberOps"/>
    <s v="English"/>
    <s v="1"/>
    <s v="3327200"/>
    <s v="Jana"/>
    <s v="Uramová"/>
    <n v="41"/>
    <n v="41"/>
    <n v="31"/>
    <n v="41"/>
    <n v="41"/>
    <n v="31"/>
  </r>
  <r>
    <x v="21"/>
    <x v="20"/>
    <x v="6"/>
    <x v="394"/>
    <d v="2024-09-23T07:51:26"/>
    <d v="2025-01-31T22:59:59"/>
    <s v="Introductory Technical Skills"/>
    <s v="Cybersecurity"/>
    <x v="31"/>
    <s v="Introduction to Cybersecurity-PIS-Pia-2B"/>
    <s v="English"/>
    <s v="7.1"/>
    <s v="3277372"/>
    <s v="Milan"/>
    <s v="Kubina"/>
    <n v="21"/>
    <n v="20"/>
    <n v="19"/>
    <n v="21"/>
    <n v="20"/>
    <n v="19"/>
  </r>
  <r>
    <x v="22"/>
    <x v="21"/>
    <x v="0"/>
    <x v="395"/>
    <d v="2024-09-12T16:13:59"/>
    <d v="2025-09-12T21:59:59"/>
    <s v="Cisco Associate-level Certification"/>
    <s v="CCNA R&amp;S"/>
    <x v="10"/>
    <s v="Test - CCNA: Enterprise Networking, Security, and Automation"/>
    <s v="English"/>
    <s v="1"/>
    <s v="3233760"/>
    <s v="Eduard"/>
    <s v="Jadron"/>
    <n v="2"/>
    <n v="2"/>
    <n v="0"/>
    <n v="2"/>
    <n v="2"/>
    <n v="0"/>
  </r>
  <r>
    <x v="22"/>
    <x v="21"/>
    <x v="0"/>
    <x v="396"/>
    <d v="2024-01-09T23:00:00"/>
    <d v="2024-09-29T22:00:00"/>
    <s v="Cisco Associate-level Certification"/>
    <s v="CCNA R&amp;S"/>
    <x v="4"/>
    <s v="IIID IST SN 2023_2024"/>
    <s v="English"/>
    <s v="7.02"/>
    <s v="3233760"/>
    <s v="Eduard"/>
    <s v="Jadron"/>
    <n v="28"/>
    <n v="16"/>
    <n v="0"/>
    <n v="28"/>
    <n v="16"/>
    <n v="0"/>
  </r>
  <r>
    <x v="22"/>
    <x v="21"/>
    <x v="0"/>
    <x v="397"/>
    <d v="2024-01-09T23:00:00"/>
    <d v="2024-08-31T22:00:00"/>
    <s v="Cisco Associate-level Certification"/>
    <s v="CCNA R&amp;S"/>
    <x v="4"/>
    <s v="IIICI SN 2023_2024"/>
    <s v="English"/>
    <s v="7.02"/>
    <s v="3233760"/>
    <s v="Eduard"/>
    <s v="Jadron"/>
    <n v="11"/>
    <n v="11"/>
    <n v="0"/>
    <n v="11"/>
    <n v="11"/>
    <n v="0"/>
  </r>
  <r>
    <x v="22"/>
    <x v="21"/>
    <x v="0"/>
    <x v="398"/>
    <d v="2024-02-27T23:00:00"/>
    <d v="2025-02-24T00:00:00"/>
    <s v="Cisco Associate-level Certification"/>
    <s v="CCNA R&amp;S"/>
    <x v="4"/>
    <s v="Absolvent 2"/>
    <s v="English"/>
    <s v="7.02"/>
    <s v="3233760"/>
    <s v="Eduard"/>
    <s v="Jadron"/>
    <n v="2"/>
    <n v="1"/>
    <n v="0"/>
    <n v="2"/>
    <n v="1"/>
    <n v="0"/>
  </r>
  <r>
    <x v="22"/>
    <x v="21"/>
    <x v="0"/>
    <x v="399"/>
    <d v="2024-02-27T23:00:00"/>
    <d v="2025-02-24T00:00:00"/>
    <s v="Cisco Associate-level Certification"/>
    <s v="CCNA R&amp;S"/>
    <x v="5"/>
    <s v="Absolvent 1"/>
    <s v="English"/>
    <s v="7.02"/>
    <s v="3233760"/>
    <s v="Eduard"/>
    <s v="Jadron"/>
    <n v="2"/>
    <n v="2"/>
    <n v="0"/>
    <n v="2"/>
    <n v="2"/>
    <n v="0"/>
  </r>
  <r>
    <x v="22"/>
    <x v="21"/>
    <x v="0"/>
    <x v="400"/>
    <d v="2024-09-09T13:06:40"/>
    <d v="2025-09-09T21:59:59"/>
    <s v="Cisco Associate-level Certification"/>
    <s v="CCNA R&amp;S"/>
    <x v="8"/>
    <s v="IVC IST 2024 CCNA: Switching, Routing, and Wireless Essentials"/>
    <s v="English"/>
    <s v="7"/>
    <s v="3233760"/>
    <s v="Eduard"/>
    <s v="Jadron"/>
    <n v="11"/>
    <n v="11"/>
    <n v="6"/>
    <n v="11"/>
    <n v="11"/>
    <n v="6"/>
  </r>
  <r>
    <x v="22"/>
    <x v="21"/>
    <x v="0"/>
    <x v="401"/>
    <d v="2024-09-09T05:38:37"/>
    <d v="2026-09-30T21:59:59"/>
    <s v="Cisco Associate-level Certification"/>
    <s v="CCNA R&amp;S"/>
    <x v="9"/>
    <s v="2CD 2024_2025 CCNA: Introduction to Networks."/>
    <s v="English"/>
    <s v="7"/>
    <s v="3233760"/>
    <s v="Eduard"/>
    <s v="Jadron"/>
    <n v="35"/>
    <n v="32"/>
    <n v="0"/>
    <n v="35"/>
    <n v="32"/>
    <n v="0"/>
  </r>
  <r>
    <x v="22"/>
    <x v="21"/>
    <x v="0"/>
    <x v="2"/>
    <m/>
    <m/>
    <m/>
    <m/>
    <x v="2"/>
    <m/>
    <m/>
    <m/>
    <s v="48144732"/>
    <s v="Iveta"/>
    <s v="Chmelikova"/>
    <n v="35"/>
    <n v="32"/>
    <n v="0"/>
    <n v="35"/>
    <n v="32"/>
    <n v="0"/>
  </r>
  <r>
    <x v="22"/>
    <x v="21"/>
    <x v="0"/>
    <x v="402"/>
    <d v="2024-09-05T11:06:48"/>
    <d v="2026-09-30T21:59:59"/>
    <s v="Cisco Associate-level Certification"/>
    <s v="CCNA R&amp;S"/>
    <x v="9"/>
    <s v="1CD 2024_2025 CCNA: Introduction to Networks."/>
    <s v="English"/>
    <s v="7"/>
    <s v="3233760"/>
    <s v="Eduard"/>
    <s v="Jadron"/>
    <n v="51"/>
    <n v="51"/>
    <n v="0"/>
    <n v="51"/>
    <n v="51"/>
    <n v="0"/>
  </r>
  <r>
    <x v="22"/>
    <x v="21"/>
    <x v="0"/>
    <x v="2"/>
    <m/>
    <m/>
    <m/>
    <m/>
    <x v="2"/>
    <m/>
    <m/>
    <m/>
    <s v="48144732"/>
    <s v="Iveta"/>
    <s v="Chmelikova"/>
    <n v="51"/>
    <n v="51"/>
    <n v="0"/>
    <n v="51"/>
    <n v="51"/>
    <n v="0"/>
  </r>
  <r>
    <x v="22"/>
    <x v="21"/>
    <x v="0"/>
    <x v="403"/>
    <d v="2024-09-13T09:58:17"/>
    <d v="2025-09-13T21:59:59"/>
    <s v="Cisco Associate-level Certification"/>
    <s v="CCNA R&amp;S"/>
    <x v="8"/>
    <s v="IIIC - CCNA: Switching, Routing, and Wireless Essentials"/>
    <s v="English"/>
    <s v="7"/>
    <s v="3233760"/>
    <s v="Eduard"/>
    <s v="Jadron"/>
    <n v="25"/>
    <n v="23"/>
    <n v="1"/>
    <n v="25"/>
    <n v="23"/>
    <n v="1"/>
  </r>
  <r>
    <x v="22"/>
    <x v="21"/>
    <x v="0"/>
    <x v="404"/>
    <d v="2024-09-13T08:26:46"/>
    <d v="2025-09-13T21:59:59"/>
    <s v="Cisco Entry-level Certification"/>
    <s v="Cybersecurity"/>
    <x v="30"/>
    <s v="Test - Cybersecurity Essentials"/>
    <s v="English"/>
    <s v="3"/>
    <s v="3233760"/>
    <s v="Eduard"/>
    <s v="Jadron"/>
    <n v="2"/>
    <n v="2"/>
    <n v="0"/>
    <n v="2"/>
    <n v="2"/>
    <n v="0"/>
  </r>
  <r>
    <x v="22"/>
    <x v="21"/>
    <x v="0"/>
    <x v="405"/>
    <d v="2024-09-09T13:28:09"/>
    <d v="2025-09-09T21:59:59"/>
    <s v="Cisco Associate-level Certification"/>
    <s v="CCNA R&amp;S"/>
    <x v="8"/>
    <s v="IVD IST 2024 CCNA: Switching, Routing, and Wireless Essentials"/>
    <s v="English"/>
    <s v="7"/>
    <s v="3233760"/>
    <s v="Eduard"/>
    <s v="Jadron"/>
    <n v="30"/>
    <n v="29"/>
    <n v="2"/>
    <n v="30"/>
    <n v="29"/>
    <n v="2"/>
  </r>
  <r>
    <x v="23"/>
    <x v="22"/>
    <x v="0"/>
    <x v="406"/>
    <d v="2024-09-30T22:00:00"/>
    <d v="2025-01-31T22:59:59"/>
    <s v="Cisco Associate-level Certification"/>
    <s v="CCNA R&amp;S"/>
    <x v="9"/>
    <s v="1.polrok_2024_CCNA1"/>
    <s v="English"/>
    <s v="7"/>
    <s v="50211287"/>
    <s v="Ing. Roman"/>
    <s v="Žák"/>
    <n v="5"/>
    <n v="1"/>
    <n v="1"/>
    <n v="5"/>
    <n v="1"/>
    <n v="1"/>
  </r>
  <r>
    <x v="24"/>
    <x v="23"/>
    <x v="2"/>
    <x v="407"/>
    <d v="2024-09-12T10:22:42"/>
    <d v="2025-08-31T21:59:59"/>
    <s v="Cisco Associate-level Certification"/>
    <s v="CCNA R&amp;S"/>
    <x v="9"/>
    <s v="2425_3c_pci_ITN_GAS"/>
    <s v="English"/>
    <s v="7"/>
    <s v="281054"/>
    <s v="Martin"/>
    <s v="Vujcik"/>
    <n v="20"/>
    <n v="20"/>
    <n v="19"/>
    <n v="20"/>
    <n v="20"/>
    <n v="19"/>
  </r>
  <r>
    <x v="24"/>
    <x v="23"/>
    <x v="2"/>
    <x v="2"/>
    <m/>
    <m/>
    <m/>
    <m/>
    <x v="2"/>
    <m/>
    <m/>
    <m/>
    <s v="47996400"/>
    <s v="Peter"/>
    <s v="Gašparik"/>
    <n v="20"/>
    <n v="20"/>
    <n v="19"/>
    <n v="20"/>
    <n v="20"/>
    <n v="19"/>
  </r>
  <r>
    <x v="24"/>
    <x v="23"/>
    <x v="2"/>
    <x v="408"/>
    <d v="2024-09-04T07:50:32"/>
    <d v="2025-06-30T21:59:59"/>
    <s v="3rd Party Technical Certification"/>
    <s v="IT Essentials"/>
    <x v="34"/>
    <s v="2425_1sc_zit_ITE_kul"/>
    <s v="English"/>
    <s v="7.02"/>
    <s v="281054"/>
    <s v="Martin"/>
    <s v="Vujcik"/>
    <n v="35"/>
    <n v="32"/>
    <n v="29"/>
    <n v="35"/>
    <n v="32"/>
    <n v="29"/>
  </r>
  <r>
    <x v="24"/>
    <x v="23"/>
    <x v="2"/>
    <x v="2"/>
    <m/>
    <m/>
    <m/>
    <m/>
    <x v="2"/>
    <m/>
    <m/>
    <m/>
    <s v="28220946"/>
    <s v="Michal"/>
    <s v="Kulbaga"/>
    <n v="35"/>
    <n v="32"/>
    <n v="29"/>
    <n v="35"/>
    <n v="32"/>
    <n v="29"/>
  </r>
  <r>
    <x v="24"/>
    <x v="23"/>
    <x v="2"/>
    <x v="2"/>
    <m/>
    <m/>
    <m/>
    <m/>
    <x v="2"/>
    <m/>
    <m/>
    <m/>
    <s v="8402826"/>
    <s v="Ján"/>
    <s v="Vavrek"/>
    <n v="35"/>
    <n v="32"/>
    <n v="29"/>
    <n v="35"/>
    <n v="32"/>
    <n v="29"/>
  </r>
  <r>
    <x v="24"/>
    <x v="23"/>
    <x v="2"/>
    <x v="409"/>
    <d v="2024-09-10T07:09:03"/>
    <d v="2025-06-30T21:59:59"/>
    <s v="3rd Party Technical Certification"/>
    <s v="IT Essentials"/>
    <x v="34"/>
    <s v="2425_1sa_zit_ITE_NEV_2.skupina"/>
    <s v="English"/>
    <s v="7.02"/>
    <s v="35910753"/>
    <s v="Viliam"/>
    <s v="Nehila"/>
    <n v="16"/>
    <n v="16"/>
    <n v="16"/>
    <n v="16"/>
    <n v="16"/>
    <n v="16"/>
  </r>
  <r>
    <x v="24"/>
    <x v="23"/>
    <x v="2"/>
    <x v="410"/>
    <d v="2024-10-01T09:00:27"/>
    <d v="2025-06-30T21:59:59"/>
    <s v="Cisco Associate-level Certification"/>
    <s v="CCNA R&amp;S"/>
    <x v="8"/>
    <s v="2425_2sa_sie2_srwe_kul"/>
    <s v="English"/>
    <s v="7"/>
    <s v="281054"/>
    <s v="Martin"/>
    <s v="Vujcik"/>
    <n v="30"/>
    <n v="30"/>
    <n v="8"/>
    <n v="30"/>
    <n v="30"/>
    <n v="8"/>
  </r>
  <r>
    <x v="24"/>
    <x v="23"/>
    <x v="2"/>
    <x v="2"/>
    <m/>
    <m/>
    <m/>
    <m/>
    <x v="2"/>
    <m/>
    <m/>
    <m/>
    <s v="28220946"/>
    <s v="Michal"/>
    <s v="Kulbaga"/>
    <n v="30"/>
    <n v="30"/>
    <n v="8"/>
    <n v="30"/>
    <n v="30"/>
    <n v="8"/>
  </r>
  <r>
    <x v="24"/>
    <x v="23"/>
    <x v="2"/>
    <x v="2"/>
    <m/>
    <m/>
    <m/>
    <m/>
    <x v="2"/>
    <m/>
    <m/>
    <m/>
    <s v="8402826"/>
    <s v="Ján"/>
    <s v="Vavrek"/>
    <n v="30"/>
    <n v="30"/>
    <n v="8"/>
    <n v="30"/>
    <n v="30"/>
    <n v="8"/>
  </r>
  <r>
    <x v="24"/>
    <x v="23"/>
    <x v="2"/>
    <x v="411"/>
    <d v="2024-09-12T09:08:18"/>
    <d v="2025-08-31T21:59:59"/>
    <s v="Cisco Associate-level Certification"/>
    <s v="CCNA R&amp;S"/>
    <x v="9"/>
    <s v="2425_1sb_sie1_ITN_GAS"/>
    <s v="English"/>
    <s v="7"/>
    <s v="281054"/>
    <s v="Martin"/>
    <s v="Vujcik"/>
    <n v="31"/>
    <n v="31"/>
    <n v="30"/>
    <n v="31"/>
    <n v="31"/>
    <n v="30"/>
  </r>
  <r>
    <x v="24"/>
    <x v="23"/>
    <x v="2"/>
    <x v="2"/>
    <m/>
    <m/>
    <m/>
    <m/>
    <x v="2"/>
    <m/>
    <m/>
    <m/>
    <s v="47996400"/>
    <s v="Peter"/>
    <s v="Gašparik"/>
    <n v="31"/>
    <n v="31"/>
    <n v="30"/>
    <n v="31"/>
    <n v="31"/>
    <n v="30"/>
  </r>
  <r>
    <x v="24"/>
    <x v="23"/>
    <x v="2"/>
    <x v="412"/>
    <d v="2024-09-10T15:10:09"/>
    <d v="2025-06-30T21:59:59"/>
    <s v="Cisco Associate-level Certification"/>
    <s v="CCNA R&amp;S"/>
    <x v="8"/>
    <s v="2425_3sc_sie3_SRWE_VUJ"/>
    <s v="English"/>
    <s v="7"/>
    <s v="281054"/>
    <s v="Martin"/>
    <s v="Vujcik"/>
    <n v="30"/>
    <n v="30"/>
    <n v="20"/>
    <n v="30"/>
    <n v="30"/>
    <n v="20"/>
  </r>
  <r>
    <x v="24"/>
    <x v="23"/>
    <x v="2"/>
    <x v="2"/>
    <m/>
    <m/>
    <m/>
    <m/>
    <x v="2"/>
    <m/>
    <m/>
    <m/>
    <s v="8402826"/>
    <s v="Ján"/>
    <s v="Vavrek"/>
    <n v="30"/>
    <n v="30"/>
    <n v="20"/>
    <n v="30"/>
    <n v="30"/>
    <n v="20"/>
  </r>
  <r>
    <x v="24"/>
    <x v="23"/>
    <x v="2"/>
    <x v="413"/>
    <d v="2024-09-12T09:35:33"/>
    <d v="2025-08-31T21:59:59"/>
    <s v="Cisco Associate-level Certification"/>
    <s v="CCNA R&amp;S"/>
    <x v="9"/>
    <s v="2425_3b_pci_ITN_GAS"/>
    <s v="English"/>
    <s v="7"/>
    <s v="281054"/>
    <s v="Martin"/>
    <s v="Vujcik"/>
    <n v="28"/>
    <n v="27"/>
    <n v="22"/>
    <n v="28"/>
    <n v="27"/>
    <n v="22"/>
  </r>
  <r>
    <x v="24"/>
    <x v="23"/>
    <x v="2"/>
    <x v="2"/>
    <m/>
    <m/>
    <m/>
    <m/>
    <x v="2"/>
    <m/>
    <m/>
    <m/>
    <s v="47996400"/>
    <s v="Peter"/>
    <s v="Gašparik"/>
    <n v="28"/>
    <n v="27"/>
    <n v="22"/>
    <n v="28"/>
    <n v="27"/>
    <n v="22"/>
  </r>
  <r>
    <x v="24"/>
    <x v="23"/>
    <x v="2"/>
    <x v="414"/>
    <d v="2024-09-20T06:57:55"/>
    <d v="2025-06-30T21:59:59"/>
    <s v="Cisco Associate-level Certification"/>
    <s v="CCNA R&amp;S"/>
    <x v="8"/>
    <s v="2425_2sb_sie2_srwe_kul"/>
    <s v="English"/>
    <s v="7"/>
    <s v="281054"/>
    <s v="Martin"/>
    <s v="Vujcik"/>
    <n v="30"/>
    <n v="30"/>
    <n v="25"/>
    <n v="30"/>
    <n v="30"/>
    <n v="25"/>
  </r>
  <r>
    <x v="24"/>
    <x v="23"/>
    <x v="2"/>
    <x v="2"/>
    <m/>
    <m/>
    <m/>
    <m/>
    <x v="2"/>
    <m/>
    <m/>
    <m/>
    <s v="28220946"/>
    <s v="Michal"/>
    <s v="Kulbaga"/>
    <n v="30"/>
    <n v="30"/>
    <n v="25"/>
    <n v="30"/>
    <n v="30"/>
    <n v="25"/>
  </r>
  <r>
    <x v="24"/>
    <x v="23"/>
    <x v="2"/>
    <x v="2"/>
    <m/>
    <m/>
    <m/>
    <m/>
    <x v="2"/>
    <m/>
    <m/>
    <m/>
    <s v="8402826"/>
    <s v="Ján"/>
    <s v="Vavrek"/>
    <n v="30"/>
    <n v="30"/>
    <n v="25"/>
    <n v="30"/>
    <n v="30"/>
    <n v="25"/>
  </r>
  <r>
    <x v="24"/>
    <x v="23"/>
    <x v="2"/>
    <x v="415"/>
    <d v="2024-09-10T15:03:15"/>
    <d v="2025-05-31T21:59:59"/>
    <s v="Cisco Entry-level Certification"/>
    <s v="Cybersecurity"/>
    <x v="30"/>
    <s v="2425_4sabc_kyb_CSE_VUJ"/>
    <s v="English"/>
    <s v="3"/>
    <s v="281054"/>
    <s v="Martin"/>
    <s v="Vujcik"/>
    <n v="80"/>
    <n v="79"/>
    <n v="71"/>
    <n v="80"/>
    <n v="79"/>
    <n v="71"/>
  </r>
  <r>
    <x v="24"/>
    <x v="23"/>
    <x v="2"/>
    <x v="416"/>
    <d v="2024-09-26T19:34:18"/>
    <d v="2025-06-30T21:59:59"/>
    <s v="Cisco Associate-level Certification"/>
    <s v="CCNA R&amp;S"/>
    <x v="8"/>
    <s v="2425_2sc_sie2_srwe_nev"/>
    <s v="English"/>
    <s v="7"/>
    <s v="281054"/>
    <s v="Martin"/>
    <s v="Vujcik"/>
    <n v="31"/>
    <n v="31"/>
    <n v="16"/>
    <n v="31"/>
    <n v="31"/>
    <n v="16"/>
  </r>
  <r>
    <x v="24"/>
    <x v="23"/>
    <x v="2"/>
    <x v="2"/>
    <m/>
    <m/>
    <m/>
    <m/>
    <x v="2"/>
    <m/>
    <m/>
    <m/>
    <s v="28220946"/>
    <s v="Michal"/>
    <s v="Kulbaga"/>
    <n v="31"/>
    <n v="31"/>
    <n v="16"/>
    <n v="31"/>
    <n v="31"/>
    <n v="16"/>
  </r>
  <r>
    <x v="24"/>
    <x v="23"/>
    <x v="2"/>
    <x v="2"/>
    <m/>
    <m/>
    <m/>
    <m/>
    <x v="2"/>
    <m/>
    <m/>
    <m/>
    <s v="35910753"/>
    <s v="Viliam"/>
    <s v="Nehila"/>
    <n v="31"/>
    <n v="31"/>
    <n v="16"/>
    <n v="31"/>
    <n v="31"/>
    <n v="16"/>
  </r>
  <r>
    <x v="24"/>
    <x v="23"/>
    <x v="2"/>
    <x v="2"/>
    <m/>
    <m/>
    <m/>
    <m/>
    <x v="2"/>
    <m/>
    <m/>
    <m/>
    <s v="8402826"/>
    <s v="Ján"/>
    <s v="Vavrek"/>
    <n v="31"/>
    <n v="31"/>
    <n v="16"/>
    <n v="31"/>
    <n v="31"/>
    <n v="16"/>
  </r>
  <r>
    <x v="24"/>
    <x v="23"/>
    <x v="2"/>
    <x v="417"/>
    <d v="2024-09-10T14:29:32"/>
    <d v="2025-05-31T21:59:59"/>
    <s v="Cisco Associate-level Certification"/>
    <s v="CCNA R&amp;S"/>
    <x v="10"/>
    <s v="2425_4sc_sie4_ENSA_VUJ"/>
    <s v="English"/>
    <s v="1"/>
    <s v="281054"/>
    <s v="Martin"/>
    <s v="Vujcik"/>
    <n v="30"/>
    <n v="29"/>
    <n v="28"/>
    <n v="30"/>
    <n v="29"/>
    <n v="28"/>
  </r>
  <r>
    <x v="24"/>
    <x v="23"/>
    <x v="2"/>
    <x v="2"/>
    <m/>
    <m/>
    <m/>
    <m/>
    <x v="2"/>
    <m/>
    <m/>
    <m/>
    <s v="47996400"/>
    <s v="Peter"/>
    <s v="Gašparik"/>
    <n v="30"/>
    <n v="29"/>
    <n v="28"/>
    <n v="30"/>
    <n v="29"/>
    <n v="28"/>
  </r>
  <r>
    <x v="24"/>
    <x v="23"/>
    <x v="2"/>
    <x v="418"/>
    <d v="2024-09-05T06:03:32"/>
    <d v="2025-07-31T21:59:59"/>
    <s v="Cisco Associate-level Certification"/>
    <s v="CCNA R&amp;S"/>
    <x v="9"/>
    <s v="2425_1sa_sie1_ITN_KAC"/>
    <s v="English"/>
    <s v="7"/>
    <s v="281054"/>
    <s v="Martin"/>
    <s v="Vujcik"/>
    <n v="33"/>
    <n v="33"/>
    <n v="30"/>
    <n v="33"/>
    <n v="33"/>
    <n v="30"/>
  </r>
  <r>
    <x v="24"/>
    <x v="23"/>
    <x v="2"/>
    <x v="2"/>
    <m/>
    <m/>
    <m/>
    <m/>
    <x v="2"/>
    <m/>
    <m/>
    <m/>
    <s v="48090686"/>
    <s v="Ing. Peter"/>
    <s v="Kačur"/>
    <n v="33"/>
    <n v="33"/>
    <n v="30"/>
    <n v="33"/>
    <n v="33"/>
    <n v="30"/>
  </r>
  <r>
    <x v="24"/>
    <x v="23"/>
    <x v="2"/>
    <x v="419"/>
    <d v="2024-09-15T18:38:43"/>
    <d v="2025-05-31T21:59:59"/>
    <s v="Intermediate Technical Skills"/>
    <s v="Cybersecurity"/>
    <x v="0"/>
    <s v="2425_4sabc_kyb_EtHack_VUJ"/>
    <s v="English"/>
    <s v="1"/>
    <s v="281054"/>
    <s v="Martin"/>
    <s v="Vujcik"/>
    <n v="27"/>
    <n v="23"/>
    <n v="11"/>
    <n v="27"/>
    <n v="23"/>
    <n v="11"/>
  </r>
  <r>
    <x v="24"/>
    <x v="23"/>
    <x v="2"/>
    <x v="2"/>
    <m/>
    <m/>
    <m/>
    <m/>
    <x v="2"/>
    <m/>
    <m/>
    <m/>
    <s v="8402826"/>
    <s v="Ján"/>
    <s v="Vavrek"/>
    <n v="27"/>
    <n v="23"/>
    <n v="11"/>
    <n v="27"/>
    <n v="23"/>
    <n v="11"/>
  </r>
  <r>
    <x v="24"/>
    <x v="23"/>
    <x v="2"/>
    <x v="420"/>
    <d v="2024-09-09T08:05:42"/>
    <d v="2025-06-30T21:59:59"/>
    <s v="Cisco Associate-level Certification"/>
    <s v="CCNA R&amp;S"/>
    <x v="9"/>
    <s v="2425_1sc_sie1_ItN_Kul"/>
    <s v="English"/>
    <s v="7"/>
    <s v="281054"/>
    <s v="Martin"/>
    <s v="Vujcik"/>
    <n v="34"/>
    <n v="33"/>
    <n v="30"/>
    <n v="34"/>
    <n v="33"/>
    <n v="30"/>
  </r>
  <r>
    <x v="24"/>
    <x v="23"/>
    <x v="2"/>
    <x v="2"/>
    <m/>
    <m/>
    <m/>
    <m/>
    <x v="2"/>
    <m/>
    <m/>
    <m/>
    <s v="28220946"/>
    <s v="Michal"/>
    <s v="Kulbaga"/>
    <n v="34"/>
    <n v="33"/>
    <n v="30"/>
    <n v="34"/>
    <n v="33"/>
    <n v="30"/>
  </r>
  <r>
    <x v="24"/>
    <x v="23"/>
    <x v="2"/>
    <x v="2"/>
    <m/>
    <m/>
    <m/>
    <m/>
    <x v="2"/>
    <m/>
    <m/>
    <m/>
    <s v="8402826"/>
    <s v="Ján"/>
    <s v="Vavrek"/>
    <n v="34"/>
    <n v="33"/>
    <n v="30"/>
    <n v="34"/>
    <n v="33"/>
    <n v="30"/>
  </r>
  <r>
    <x v="24"/>
    <x v="23"/>
    <x v="2"/>
    <x v="421"/>
    <d v="2024-09-04T09:16:20"/>
    <d v="2025-06-26T21:59:59"/>
    <s v="Cisco Associate-level Certification"/>
    <s v="CCNA R&amp;S"/>
    <x v="8"/>
    <s v="2425_3sb_sie3_SRWE_VAV"/>
    <s v="English"/>
    <s v="7"/>
    <s v="281054"/>
    <s v="Martin"/>
    <s v="Vujcik"/>
    <n v="29"/>
    <n v="29"/>
    <n v="26"/>
    <n v="29"/>
    <n v="29"/>
    <n v="26"/>
  </r>
  <r>
    <x v="24"/>
    <x v="23"/>
    <x v="2"/>
    <x v="2"/>
    <m/>
    <m/>
    <m/>
    <m/>
    <x v="2"/>
    <m/>
    <m/>
    <m/>
    <s v="28220946"/>
    <s v="Michal"/>
    <s v="Kulbaga"/>
    <n v="29"/>
    <n v="29"/>
    <n v="26"/>
    <n v="29"/>
    <n v="29"/>
    <n v="26"/>
  </r>
  <r>
    <x v="24"/>
    <x v="23"/>
    <x v="2"/>
    <x v="2"/>
    <m/>
    <m/>
    <m/>
    <m/>
    <x v="2"/>
    <m/>
    <m/>
    <m/>
    <s v="8402826"/>
    <s v="Ján"/>
    <s v="Vavrek"/>
    <n v="29"/>
    <n v="29"/>
    <n v="26"/>
    <n v="29"/>
    <n v="29"/>
    <n v="26"/>
  </r>
  <r>
    <x v="24"/>
    <x v="23"/>
    <x v="2"/>
    <x v="422"/>
    <d v="2024-09-10T14:58:06"/>
    <d v="2025-05-31T21:59:59"/>
    <s v="Cisco Associate-level Certification"/>
    <s v="CCNA R&amp;S"/>
    <x v="10"/>
    <s v="2425_4sa_sie4_ENSA_VUJ_VAV"/>
    <s v="English"/>
    <s v="1"/>
    <s v="281054"/>
    <s v="Martin"/>
    <s v="Vujcik"/>
    <n v="25"/>
    <n v="23"/>
    <n v="22"/>
    <n v="25"/>
    <n v="23"/>
    <n v="22"/>
  </r>
  <r>
    <x v="24"/>
    <x v="23"/>
    <x v="2"/>
    <x v="423"/>
    <d v="2024-09-10T14:41:32"/>
    <d v="2025-05-31T21:59:59"/>
    <s v="Introductory Technical Skills"/>
    <s v="Cybersecurity"/>
    <x v="31"/>
    <s v="2425_4sabc_kyb_ItCS_VUJ"/>
    <s v="English"/>
    <s v="7.1"/>
    <s v="281054"/>
    <s v="Martin"/>
    <s v="Vujcik"/>
    <n v="80"/>
    <n v="79"/>
    <n v="76"/>
    <n v="80"/>
    <n v="79"/>
    <n v="76"/>
  </r>
  <r>
    <x v="24"/>
    <x v="23"/>
    <x v="2"/>
    <x v="2"/>
    <m/>
    <m/>
    <m/>
    <m/>
    <x v="2"/>
    <m/>
    <m/>
    <m/>
    <s v="8402826"/>
    <s v="Ján"/>
    <s v="Vavrek"/>
    <n v="80"/>
    <n v="79"/>
    <n v="76"/>
    <n v="80"/>
    <n v="79"/>
    <n v="76"/>
  </r>
  <r>
    <x v="24"/>
    <x v="23"/>
    <x v="2"/>
    <x v="424"/>
    <d v="2024-09-10T15:08:35"/>
    <d v="2025-06-30T21:59:59"/>
    <s v="Cisco Associate-level Certification"/>
    <s v="CCNA R&amp;S"/>
    <x v="8"/>
    <s v="2425_3sa_sie3_SRWE_VUJ"/>
    <s v="English"/>
    <s v="7"/>
    <s v="281054"/>
    <s v="Martin"/>
    <s v="Vujcik"/>
    <n v="28"/>
    <n v="28"/>
    <n v="28"/>
    <n v="28"/>
    <n v="28"/>
    <n v="28"/>
  </r>
  <r>
    <x v="24"/>
    <x v="23"/>
    <x v="2"/>
    <x v="425"/>
    <d v="2024-09-12T06:10:54"/>
    <d v="2025-06-30T21:59:59"/>
    <s v="3rd Party Technical Certification"/>
    <s v="IT Essentials"/>
    <x v="34"/>
    <s v="2425_1sb_ZIT_ITE_kul"/>
    <s v="English"/>
    <s v="7.02"/>
    <s v="281054"/>
    <s v="Martin"/>
    <s v="Vujcik"/>
    <n v="31"/>
    <n v="30"/>
    <n v="28"/>
    <n v="31"/>
    <n v="30"/>
    <n v="28"/>
  </r>
  <r>
    <x v="24"/>
    <x v="23"/>
    <x v="2"/>
    <x v="2"/>
    <m/>
    <m/>
    <m/>
    <m/>
    <x v="2"/>
    <m/>
    <m/>
    <m/>
    <s v="28220946"/>
    <s v="Michal"/>
    <s v="Kulbaga"/>
    <n v="31"/>
    <n v="30"/>
    <n v="28"/>
    <n v="31"/>
    <n v="30"/>
    <n v="28"/>
  </r>
  <r>
    <x v="24"/>
    <x v="23"/>
    <x v="2"/>
    <x v="2"/>
    <m/>
    <m/>
    <m/>
    <m/>
    <x v="2"/>
    <m/>
    <m/>
    <m/>
    <s v="8402826"/>
    <s v="Ján"/>
    <s v="Vavrek"/>
    <n v="31"/>
    <n v="30"/>
    <n v="28"/>
    <n v="31"/>
    <n v="30"/>
    <n v="28"/>
  </r>
  <r>
    <x v="24"/>
    <x v="23"/>
    <x v="2"/>
    <x v="426"/>
    <d v="2024-09-10T14:56:02"/>
    <d v="2025-05-31T21:59:59"/>
    <s v="Cisco Associate-level Certification"/>
    <s v="CCNA R&amp;S"/>
    <x v="10"/>
    <s v="2425_4sb_sie4_ENSA_VUJ_VAV"/>
    <s v="English"/>
    <s v="1"/>
    <s v="281054"/>
    <s v="Martin"/>
    <s v="Vujcik"/>
    <n v="27"/>
    <n v="27"/>
    <n v="24"/>
    <n v="27"/>
    <n v="27"/>
    <n v="24"/>
  </r>
  <r>
    <x v="24"/>
    <x v="23"/>
    <x v="2"/>
    <x v="427"/>
    <d v="2024-09-06T06:34:18"/>
    <d v="2025-06-26T21:59:59"/>
    <s v="Cisco Associate-level Certification"/>
    <s v="CCNA R&amp;S"/>
    <x v="8"/>
    <s v="2425_3sb_sie3_SRWE_VAV_2sk"/>
    <s v="English"/>
    <s v="7"/>
    <s v="281054"/>
    <s v="Martin"/>
    <s v="Vujcik"/>
    <n v="10"/>
    <n v="8"/>
    <n v="0"/>
    <n v="10"/>
    <n v="8"/>
    <n v="0"/>
  </r>
  <r>
    <x v="24"/>
    <x v="23"/>
    <x v="2"/>
    <x v="2"/>
    <m/>
    <m/>
    <m/>
    <m/>
    <x v="2"/>
    <m/>
    <m/>
    <m/>
    <s v="28220946"/>
    <s v="Michal"/>
    <s v="Kulbaga"/>
    <n v="10"/>
    <n v="8"/>
    <n v="0"/>
    <n v="10"/>
    <n v="8"/>
    <n v="0"/>
  </r>
  <r>
    <x v="24"/>
    <x v="23"/>
    <x v="2"/>
    <x v="2"/>
    <m/>
    <m/>
    <m/>
    <m/>
    <x v="2"/>
    <m/>
    <m/>
    <m/>
    <s v="8402826"/>
    <s v="Ján"/>
    <s v="Vavrek"/>
    <n v="10"/>
    <n v="8"/>
    <n v="0"/>
    <n v="10"/>
    <n v="8"/>
    <n v="0"/>
  </r>
  <r>
    <x v="24"/>
    <x v="23"/>
    <x v="2"/>
    <x v="428"/>
    <d v="2024-09-04T11:14:51"/>
    <d v="2025-06-30T21:59:59"/>
    <s v="3rd Party Technical Certification"/>
    <s v="IT Essentials"/>
    <x v="34"/>
    <s v="2425_1sa_zit_ITE_NEV_1.skupina"/>
    <s v="English"/>
    <s v="7.02"/>
    <s v="281054"/>
    <s v="Martin"/>
    <s v="Vujcik"/>
    <n v="15"/>
    <n v="15"/>
    <n v="15"/>
    <n v="15"/>
    <n v="15"/>
    <n v="15"/>
  </r>
  <r>
    <x v="24"/>
    <x v="23"/>
    <x v="2"/>
    <x v="2"/>
    <m/>
    <m/>
    <m/>
    <m/>
    <x v="2"/>
    <m/>
    <m/>
    <m/>
    <s v="28220946"/>
    <s v="Michal"/>
    <s v="Kulbaga"/>
    <n v="15"/>
    <n v="15"/>
    <n v="15"/>
    <n v="15"/>
    <n v="15"/>
    <n v="15"/>
  </r>
  <r>
    <x v="24"/>
    <x v="23"/>
    <x v="2"/>
    <x v="2"/>
    <m/>
    <m/>
    <m/>
    <m/>
    <x v="2"/>
    <m/>
    <m/>
    <m/>
    <s v="35910753"/>
    <s v="Viliam"/>
    <s v="Nehila"/>
    <n v="15"/>
    <n v="15"/>
    <n v="15"/>
    <n v="15"/>
    <n v="15"/>
    <n v="15"/>
  </r>
  <r>
    <x v="24"/>
    <x v="23"/>
    <x v="2"/>
    <x v="2"/>
    <m/>
    <m/>
    <m/>
    <m/>
    <x v="2"/>
    <m/>
    <m/>
    <m/>
    <s v="8402826"/>
    <s v="Ján"/>
    <s v="Vavrek"/>
    <n v="15"/>
    <n v="15"/>
    <n v="15"/>
    <n v="15"/>
    <n v="15"/>
    <n v="15"/>
  </r>
  <r>
    <x v="25"/>
    <x v="24"/>
    <x v="0"/>
    <x v="429"/>
    <d v="2024-09-09T11:10:40"/>
    <d v="2025-06-29T21:59:59"/>
    <s v="Cisco Associate-level Certification"/>
    <s v="CCNA R&amp;S"/>
    <x v="8"/>
    <s v="CCNA2_2.C ist2: Switching, Routing, and Wireless Essentials"/>
    <s v="English"/>
    <s v="7"/>
    <s v="37030922"/>
    <s v="Peter"/>
    <s v="Fabian"/>
    <n v="10"/>
    <n v="10"/>
    <n v="0"/>
    <n v="10"/>
    <n v="10"/>
    <n v="0"/>
  </r>
  <r>
    <x v="25"/>
    <x v="24"/>
    <x v="0"/>
    <x v="430"/>
    <d v="2024-09-17T08:50:30"/>
    <d v="2025-06-29T21:59:59"/>
    <s v="Cisco Associate-level Certification"/>
    <s v="CCNA R&amp;S"/>
    <x v="9"/>
    <s v="Mažar_4.B_CCNA: Introduction to Networks"/>
    <s v="English"/>
    <s v="7"/>
    <s v="1042030123"/>
    <s v="Janka"/>
    <s v="Ivanova"/>
    <n v="1"/>
    <n v="1"/>
    <n v="0"/>
    <n v="1"/>
    <n v="1"/>
    <n v="0"/>
  </r>
  <r>
    <x v="25"/>
    <x v="24"/>
    <x v="0"/>
    <x v="431"/>
    <d v="2024-09-09T11:01:46"/>
    <d v="2025-06-29T21:59:59"/>
    <s v="Cisco Associate-level Certification"/>
    <s v="CCNA R&amp;S"/>
    <x v="9"/>
    <s v="CCNA1_2.C ist2: Introduction to Networks"/>
    <s v="English"/>
    <s v="7"/>
    <s v="37030922"/>
    <s v="Peter"/>
    <s v="Fabian"/>
    <n v="9"/>
    <n v="9"/>
    <n v="9"/>
    <n v="9"/>
    <n v="9"/>
    <n v="9"/>
  </r>
  <r>
    <x v="25"/>
    <x v="24"/>
    <x v="0"/>
    <x v="432"/>
    <d v="2024-10-10T07:59:13"/>
    <d v="2025-01-31T22:59:59"/>
    <s v="Professional Skills"/>
    <s v="English for IT"/>
    <x v="32"/>
    <s v="English for IT 1"/>
    <s v="English"/>
    <s v="1"/>
    <s v="43435718"/>
    <s v="Stanislav"/>
    <s v="Dolnik"/>
    <n v="1"/>
    <n v="1"/>
    <n v="0"/>
    <n v="1"/>
    <n v="1"/>
    <n v="0"/>
  </r>
  <r>
    <x v="25"/>
    <x v="24"/>
    <x v="0"/>
    <x v="433"/>
    <d v="2024-09-12T06:30:13"/>
    <d v="2025-06-29T21:59:59"/>
    <s v="Cisco Associate-level Certification"/>
    <s v="CCNA R&amp;S"/>
    <x v="10"/>
    <s v="CCNA3_3.C ist1: Enterprise Networking, Security, and Automation"/>
    <s v="English"/>
    <s v="1"/>
    <s v="37030922"/>
    <s v="Peter"/>
    <s v="Fabian"/>
    <n v="9"/>
    <n v="9"/>
    <n v="0"/>
    <n v="9"/>
    <n v="9"/>
    <n v="0"/>
  </r>
  <r>
    <x v="25"/>
    <x v="24"/>
    <x v="0"/>
    <x v="434"/>
    <d v="2024-09-12T12:51:58"/>
    <d v="2025-06-30T21:59:59"/>
    <s v="Cisco Entry-level Certification"/>
    <s v="Cybersecurity"/>
    <x v="30"/>
    <s v="Cybersecurity Essentials"/>
    <s v="English"/>
    <s v="3"/>
    <s v="43435718"/>
    <s v="Stanislav"/>
    <s v="Dolnik"/>
    <n v="1"/>
    <n v="1"/>
    <n v="0"/>
    <n v="1"/>
    <n v="1"/>
    <n v="0"/>
  </r>
  <r>
    <x v="25"/>
    <x v="24"/>
    <x v="0"/>
    <x v="435"/>
    <d v="2024-01-21T23:00:00"/>
    <d v="2024-09-07T22:00:00"/>
    <s v="Cisco Associate-level Certification"/>
    <s v="CCNA R&amp;S"/>
    <x v="5"/>
    <s v="CCNA1_3.B_MPS_MT"/>
    <s v="English"/>
    <s v="7.02"/>
    <s v="36745095"/>
    <s v="Maroš"/>
    <s v="Matejov"/>
    <n v="8"/>
    <n v="7"/>
    <n v="0"/>
    <n v="8"/>
    <n v="7"/>
    <n v="0"/>
  </r>
  <r>
    <x v="25"/>
    <x v="24"/>
    <x v="0"/>
    <x v="2"/>
    <m/>
    <m/>
    <m/>
    <m/>
    <x v="2"/>
    <m/>
    <m/>
    <m/>
    <s v="37030922"/>
    <s v="Peter"/>
    <s v="Fabian"/>
    <n v="8"/>
    <n v="7"/>
    <n v="0"/>
    <n v="8"/>
    <n v="7"/>
    <n v="0"/>
  </r>
  <r>
    <x v="25"/>
    <x v="24"/>
    <x v="0"/>
    <x v="436"/>
    <d v="2024-03-04T23:00:00"/>
    <d v="2025-02-24T00:00:00"/>
    <s v="Cisco Associate-level Certification"/>
    <s v="CCNA R&amp;S"/>
    <x v="4"/>
    <s v="CCNA2_2.B_SIDS_DKA_IV"/>
    <s v="English"/>
    <s v="7.02"/>
    <s v="36745095"/>
    <s v="Maroš"/>
    <s v="Matejov"/>
    <n v="11"/>
    <n v="9"/>
    <n v="0"/>
    <n v="11"/>
    <n v="9"/>
    <n v="0"/>
  </r>
  <r>
    <x v="25"/>
    <x v="24"/>
    <x v="0"/>
    <x v="2"/>
    <m/>
    <m/>
    <m/>
    <m/>
    <x v="2"/>
    <m/>
    <m/>
    <m/>
    <s v="37030922"/>
    <s v="Peter"/>
    <s v="Fabian"/>
    <n v="11"/>
    <n v="9"/>
    <n v="0"/>
    <n v="11"/>
    <n v="9"/>
    <n v="0"/>
  </r>
  <r>
    <x v="25"/>
    <x v="24"/>
    <x v="0"/>
    <x v="437"/>
    <d v="2024-04-05T00:00:00"/>
    <d v="2024-12-31T00:00:00"/>
    <s v="Cisco Associate-level Certification"/>
    <s v="CCNA R&amp;S"/>
    <x v="11"/>
    <s v="CCNA3_J.Masiar, V. Demkova, M. Dolezal, S. Dolnik"/>
    <s v="English"/>
    <s v="7.02"/>
    <s v="37030922"/>
    <s v="Peter"/>
    <s v="Fabian"/>
    <n v="4"/>
    <n v="2"/>
    <n v="1"/>
    <n v="4"/>
    <n v="2"/>
    <n v="1"/>
  </r>
  <r>
    <x v="25"/>
    <x v="24"/>
    <x v="0"/>
    <x v="438"/>
    <d v="2024-04-05T00:00:00"/>
    <d v="2024-08-31T00:00:00"/>
    <s v="Cisco Associate-level Certification"/>
    <s v="CCNA R&amp;S"/>
    <x v="11"/>
    <s v="CCNA3_Michal P."/>
    <s v="English"/>
    <s v="7.02"/>
    <s v="37030922"/>
    <s v="Peter"/>
    <s v="Fabian"/>
    <n v="1"/>
    <n v="1"/>
    <n v="0"/>
    <n v="1"/>
    <n v="1"/>
    <n v="0"/>
  </r>
  <r>
    <x v="25"/>
    <x v="24"/>
    <x v="0"/>
    <x v="439"/>
    <d v="2024-04-05T00:00:00"/>
    <d v="2024-12-31T00:00:00"/>
    <s v="Cisco Associate-level Certification"/>
    <s v="CCNA R&amp;S"/>
    <x v="4"/>
    <s v="CCNA2_J.Masiar, V. Demkova, M. Doležal, M. Cíger, A. Barta, S. Dolnik"/>
    <s v="English"/>
    <s v="7.02"/>
    <s v="37030922"/>
    <s v="Peter"/>
    <s v="Fabian"/>
    <n v="6"/>
    <n v="5"/>
    <n v="1"/>
    <n v="6"/>
    <n v="5"/>
    <n v="1"/>
  </r>
  <r>
    <x v="25"/>
    <x v="24"/>
    <x v="0"/>
    <x v="440"/>
    <d v="2024-04-05T00:00:00"/>
    <d v="2024-08-31T00:00:00"/>
    <s v="Cisco Associate-level Certification"/>
    <s v="CCNA R&amp;S"/>
    <x v="4"/>
    <s v="CCNA2_Michal P."/>
    <s v="English"/>
    <s v="7.02"/>
    <s v="37030922"/>
    <s v="Peter"/>
    <s v="Fabian"/>
    <n v="1"/>
    <n v="1"/>
    <n v="0"/>
    <n v="1"/>
    <n v="1"/>
    <n v="0"/>
  </r>
  <r>
    <x v="25"/>
    <x v="24"/>
    <x v="0"/>
    <x v="441"/>
    <d v="2024-04-05T00:00:00"/>
    <d v="2024-08-31T00:00:00"/>
    <s v="Cisco Associate-level Certification"/>
    <s v="CCNA R&amp;S"/>
    <x v="5"/>
    <s v="CCNA1_Michal P."/>
    <s v="English"/>
    <s v="7.02"/>
    <s v="37030922"/>
    <s v="Peter"/>
    <s v="Fabian"/>
    <n v="1"/>
    <n v="1"/>
    <n v="1"/>
    <n v="1"/>
    <n v="1"/>
    <n v="1"/>
  </r>
  <r>
    <x v="25"/>
    <x v="24"/>
    <x v="0"/>
    <x v="442"/>
    <d v="2024-04-15T22:00:00"/>
    <d v="2024-11-18T23:00:00"/>
    <s v="Cisco Associate-level Certification"/>
    <s v="CCNA R&amp;S"/>
    <x v="5"/>
    <s v="CCNAv7_Viki"/>
    <s v="English"/>
    <s v="7.02"/>
    <s v="1042030123"/>
    <s v="Janka"/>
    <s v="Ivanova"/>
    <n v="1"/>
    <n v="1"/>
    <n v="0"/>
    <n v="1"/>
    <n v="1"/>
    <n v="0"/>
  </r>
  <r>
    <x v="25"/>
    <x v="24"/>
    <x v="0"/>
    <x v="443"/>
    <d v="2024-06-10T00:00:00"/>
    <d v="2024-09-10T00:00:00"/>
    <s v="Intermediate Technical Skills"/>
    <s v="Emerging Technologies Workshops"/>
    <x v="47"/>
    <s v="SDN_pf"/>
    <s v="English"/>
    <s v="1.02"/>
    <s v="37030922"/>
    <s v="Peter"/>
    <s v="Fabian"/>
    <n v="1"/>
    <n v="0"/>
    <n v="0"/>
    <n v="1"/>
    <n v="0"/>
    <n v="0"/>
  </r>
  <r>
    <x v="25"/>
    <x v="24"/>
    <x v="0"/>
    <x v="444"/>
    <d v="2024-05-07T00:00:00"/>
    <d v="2024-08-07T00:00:00"/>
    <s v="Cisco Associate-level Certification"/>
    <s v="CCNA R&amp;S"/>
    <x v="5"/>
    <s v="CCNA1 - 4.C"/>
    <s v="English"/>
    <s v="7.02"/>
    <s v="37030922"/>
    <s v="Peter"/>
    <s v="Fabian"/>
    <n v="20"/>
    <n v="0"/>
    <n v="0"/>
    <n v="20"/>
    <n v="0"/>
    <n v="0"/>
  </r>
  <r>
    <x v="25"/>
    <x v="24"/>
    <x v="0"/>
    <x v="445"/>
    <d v="2024-05-07T00:00:00"/>
    <d v="2024-08-07T00:00:00"/>
    <s v="Cisco Associate-level Certification"/>
    <s v="CCNA R&amp;S"/>
    <x v="4"/>
    <s v="CCNA2 - 4.C"/>
    <s v="English"/>
    <s v="7.02"/>
    <s v="37030922"/>
    <s v="Peter"/>
    <s v="Fabian"/>
    <n v="20"/>
    <n v="0"/>
    <n v="0"/>
    <n v="20"/>
    <n v="0"/>
    <n v="0"/>
  </r>
  <r>
    <x v="25"/>
    <x v="24"/>
    <x v="0"/>
    <x v="446"/>
    <d v="2024-05-24T00:00:00"/>
    <d v="2024-12-31T00:00:00"/>
    <s v="Cisco Associate-level Certification"/>
    <s v="CCNA R&amp;S"/>
    <x v="5"/>
    <s v="CCNA1-Slukova, Adamik, Demkova, Dolezal, Dolnik, Masiar"/>
    <s v="English"/>
    <s v="7.02"/>
    <s v="37030922"/>
    <s v="Peter"/>
    <s v="Fabian"/>
    <n v="6"/>
    <n v="6"/>
    <n v="1"/>
    <n v="6"/>
    <n v="6"/>
    <n v="1"/>
  </r>
  <r>
    <x v="25"/>
    <x v="24"/>
    <x v="0"/>
    <x v="447"/>
    <d v="2024-09-10T07:04:33"/>
    <d v="2025-06-29T21:59:59"/>
    <s v="Cisco Associate-level Certification"/>
    <s v="CCNA R&amp;S"/>
    <x v="10"/>
    <s v="CCNA3_4.C ist1: Enterprise Networking, Security, and Automation"/>
    <s v="English"/>
    <s v="1"/>
    <s v="37030922"/>
    <s v="Peter"/>
    <s v="Fabian"/>
    <n v="11"/>
    <n v="11"/>
    <n v="0"/>
    <n v="11"/>
    <n v="11"/>
    <n v="0"/>
  </r>
  <r>
    <x v="25"/>
    <x v="24"/>
    <x v="0"/>
    <x v="448"/>
    <d v="2024-09-10T06:49:58"/>
    <d v="2025-06-29T21:59:59"/>
    <s v="Cisco Associate-level Certification"/>
    <s v="CCNA R&amp;S"/>
    <x v="9"/>
    <s v="CCNA1_4.C ist1: Introduction to Networks"/>
    <s v="English"/>
    <s v="7"/>
    <s v="37030922"/>
    <s v="Peter"/>
    <s v="Fabian"/>
    <n v="10"/>
    <n v="10"/>
    <n v="0"/>
    <n v="10"/>
    <n v="10"/>
    <n v="0"/>
  </r>
  <r>
    <x v="25"/>
    <x v="24"/>
    <x v="0"/>
    <x v="449"/>
    <d v="2024-09-17T06:11:29"/>
    <d v="2025-06-29T21:59:59"/>
    <s v="Cisco Associate-level Certification"/>
    <s v="CCNA R&amp;S"/>
    <x v="9"/>
    <s v="2.B_mps_CCNA: Introduction to Networks"/>
    <s v="English"/>
    <s v="7"/>
    <s v="1042030123"/>
    <s v="Janka"/>
    <s v="Ivanova"/>
    <n v="10"/>
    <n v="10"/>
    <n v="6"/>
    <n v="10"/>
    <n v="10"/>
    <n v="6"/>
  </r>
  <r>
    <x v="25"/>
    <x v="24"/>
    <x v="0"/>
    <x v="450"/>
    <d v="2024-09-17T10:03:51"/>
    <d v="2025-08-31T21:59:59"/>
    <s v="Cisco Associate-level Certification"/>
    <s v="CCNA R&amp;S"/>
    <x v="8"/>
    <s v="CCNA2_kruh: Switching, Routing, and Wireless Essentials"/>
    <s v="English"/>
    <s v="7"/>
    <s v="36745095"/>
    <s v="Maroš"/>
    <s v="Matejov"/>
    <n v="19"/>
    <n v="19"/>
    <n v="0"/>
    <n v="19"/>
    <n v="19"/>
    <n v="0"/>
  </r>
  <r>
    <x v="25"/>
    <x v="24"/>
    <x v="0"/>
    <x v="2"/>
    <m/>
    <m/>
    <m/>
    <m/>
    <x v="2"/>
    <m/>
    <m/>
    <m/>
    <s v="37030922"/>
    <s v="Peter"/>
    <s v="Fabian"/>
    <n v="19"/>
    <n v="19"/>
    <n v="0"/>
    <n v="19"/>
    <n v="19"/>
    <n v="0"/>
  </r>
  <r>
    <x v="25"/>
    <x v="24"/>
    <x v="0"/>
    <x v="451"/>
    <d v="2024-09-17T05:59:36"/>
    <d v="2025-06-29T21:59:59"/>
    <s v="Cisco Associate-level Certification"/>
    <s v="CCNA R&amp;S"/>
    <x v="9"/>
    <s v="2. B_sids_CCNA: Introduction to Networks"/>
    <s v="English"/>
    <s v="7"/>
    <s v="1042030123"/>
    <s v="Janka"/>
    <s v="Ivanova"/>
    <n v="10"/>
    <n v="10"/>
    <n v="10"/>
    <n v="10"/>
    <n v="10"/>
    <n v="10"/>
  </r>
  <r>
    <x v="25"/>
    <x v="24"/>
    <x v="0"/>
    <x v="452"/>
    <d v="2024-09-30T07:43:37"/>
    <d v="2025-06-29T21:59:59"/>
    <s v="Cisco Associate-level Certification"/>
    <s v="CCNA R&amp;S"/>
    <x v="8"/>
    <s v="CCNA2_4.C ist2: Switching, Routing, and Wireless Essentials"/>
    <s v="English"/>
    <s v="7"/>
    <s v="37030922"/>
    <s v="Peter"/>
    <s v="Fabian"/>
    <n v="5"/>
    <n v="5"/>
    <n v="0"/>
    <n v="5"/>
    <n v="5"/>
    <n v="0"/>
  </r>
  <r>
    <x v="25"/>
    <x v="24"/>
    <x v="0"/>
    <x v="453"/>
    <d v="2024-09-26T07:01:43"/>
    <d v="2025-05-25T21:59:59"/>
    <s v="Cisco Associate-level Certification"/>
    <s v="CCNA R&amp;S"/>
    <x v="9"/>
    <s v="4.B_dka_CCNA: Introduction to Networks"/>
    <s v="English"/>
    <s v="7"/>
    <s v="1042030123"/>
    <s v="Janka"/>
    <s v="Ivanova"/>
    <n v="8"/>
    <n v="8"/>
    <n v="0"/>
    <n v="8"/>
    <n v="8"/>
    <n v="0"/>
  </r>
  <r>
    <x v="25"/>
    <x v="24"/>
    <x v="0"/>
    <x v="454"/>
    <d v="2024-10-18T11:45:16"/>
    <d v="2025-06-29T21:59:59"/>
    <s v="Cisco Associate-level Certification"/>
    <s v="CCNA R&amp;S"/>
    <x v="9"/>
    <s v="CCNA1_1.D: Introduction to Networks"/>
    <s v="English"/>
    <s v="7"/>
    <s v="37030922"/>
    <s v="Peter"/>
    <s v="Fabian"/>
    <n v="11"/>
    <n v="9"/>
    <n v="0"/>
    <n v="11"/>
    <n v="9"/>
    <n v="0"/>
  </r>
  <r>
    <x v="25"/>
    <x v="24"/>
    <x v="0"/>
    <x v="455"/>
    <d v="2024-09-09T08:45:18"/>
    <d v="2025-06-29T21:59:59"/>
    <s v="Cisco Associate-level Certification"/>
    <s v="CCNA R&amp;S"/>
    <x v="8"/>
    <s v="CCNA2_2.C ist1: Switching, Routing, and Wireless Essentials"/>
    <s v="English"/>
    <s v="7"/>
    <s v="37030922"/>
    <s v="Peter"/>
    <s v="Fabian"/>
    <n v="11"/>
    <n v="9"/>
    <n v="0"/>
    <n v="11"/>
    <n v="9"/>
    <n v="0"/>
  </r>
  <r>
    <x v="25"/>
    <x v="24"/>
    <x v="0"/>
    <x v="456"/>
    <d v="2024-09-08T11:14:54"/>
    <d v="2025-06-29T21:59:59"/>
    <s v="Cisco Associate-level Certification"/>
    <s v="CCNA R&amp;S"/>
    <x v="9"/>
    <s v="CCNA1_2.C ist1: Introduction to Networks"/>
    <s v="English"/>
    <s v="7"/>
    <s v="37030922"/>
    <s v="Peter"/>
    <s v="Fabian"/>
    <n v="11"/>
    <n v="11"/>
    <n v="7"/>
    <n v="11"/>
    <n v="11"/>
    <n v="7"/>
  </r>
  <r>
    <x v="25"/>
    <x v="24"/>
    <x v="0"/>
    <x v="457"/>
    <d v="2024-09-11T07:20:20"/>
    <d v="2025-06-29T21:59:59"/>
    <s v="Cisco Associate-level Certification"/>
    <s v="CCNA R&amp;S"/>
    <x v="9"/>
    <s v="CCNA1_1.C ist1: Introduction to Networks"/>
    <s v="English"/>
    <s v="7"/>
    <s v="36745095"/>
    <s v="Maroš"/>
    <s v="Matejov"/>
    <n v="10"/>
    <n v="10"/>
    <n v="1"/>
    <n v="10"/>
    <n v="10"/>
    <n v="1"/>
  </r>
  <r>
    <x v="25"/>
    <x v="24"/>
    <x v="0"/>
    <x v="2"/>
    <m/>
    <m/>
    <m/>
    <m/>
    <x v="2"/>
    <m/>
    <m/>
    <m/>
    <s v="37030922"/>
    <s v="Peter"/>
    <s v="Fabian"/>
    <n v="10"/>
    <n v="10"/>
    <n v="1"/>
    <n v="10"/>
    <n v="10"/>
    <n v="1"/>
  </r>
  <r>
    <x v="25"/>
    <x v="24"/>
    <x v="0"/>
    <x v="458"/>
    <d v="2024-09-17T06:29:55"/>
    <d v="2025-06-29T21:59:59"/>
    <s v="Cisco Associate-level Certification"/>
    <s v="CCNA R&amp;S"/>
    <x v="8"/>
    <s v="CCNA2_3.B mps: Switching, Routing, and Wireless Essentials"/>
    <s v="English"/>
    <s v="7"/>
    <s v="37030922"/>
    <s v="Peter"/>
    <s v="Fabian"/>
    <n v="11"/>
    <n v="11"/>
    <n v="0"/>
    <n v="11"/>
    <n v="11"/>
    <n v="0"/>
  </r>
  <r>
    <x v="25"/>
    <x v="24"/>
    <x v="0"/>
    <x v="459"/>
    <d v="2024-09-17T09:58:15"/>
    <d v="2025-08-31T21:59:59"/>
    <s v="Cisco Associate-level Certification"/>
    <s v="CCNA R&amp;S"/>
    <x v="9"/>
    <s v="CCNA1_kruh: Introduction to Networks"/>
    <s v="English"/>
    <s v="7"/>
    <s v="36745095"/>
    <s v="Maroš"/>
    <s v="Matejov"/>
    <n v="20"/>
    <n v="20"/>
    <n v="1"/>
    <n v="20"/>
    <n v="20"/>
    <n v="1"/>
  </r>
  <r>
    <x v="25"/>
    <x v="24"/>
    <x v="0"/>
    <x v="2"/>
    <m/>
    <m/>
    <m/>
    <m/>
    <x v="2"/>
    <m/>
    <m/>
    <m/>
    <s v="37030922"/>
    <s v="Peter"/>
    <s v="Fabian"/>
    <n v="20"/>
    <n v="20"/>
    <n v="1"/>
    <n v="20"/>
    <n v="20"/>
    <n v="1"/>
  </r>
  <r>
    <x v="25"/>
    <x v="24"/>
    <x v="0"/>
    <x v="460"/>
    <d v="2024-09-11T06:47:42"/>
    <d v="2025-06-29T21:59:59"/>
    <s v="Cisco Associate-level Certification"/>
    <s v="CCNA R&amp;S"/>
    <x v="8"/>
    <s v="CCNA2_3.C ist2: Switching, Routing, and Wireless Essentials"/>
    <s v="English"/>
    <s v="7"/>
    <s v="37030922"/>
    <s v="Peter"/>
    <s v="Fabian"/>
    <n v="10"/>
    <n v="10"/>
    <n v="10"/>
    <n v="10"/>
    <n v="10"/>
    <n v="10"/>
  </r>
  <r>
    <x v="25"/>
    <x v="24"/>
    <x v="0"/>
    <x v="461"/>
    <d v="2024-09-13T07:12:44"/>
    <d v="2025-06-29T21:59:59"/>
    <s v="Introductory Technical Skills"/>
    <s v="IoT"/>
    <x v="48"/>
    <s v="Introduction to IoT and Digital Transformation-3.C ist1"/>
    <s v="English"/>
    <s v="1"/>
    <s v="37030922"/>
    <s v="Peter"/>
    <s v="Fabian"/>
    <n v="10"/>
    <n v="10"/>
    <n v="0"/>
    <n v="10"/>
    <n v="10"/>
    <n v="0"/>
  </r>
  <r>
    <x v="25"/>
    <x v="24"/>
    <x v="0"/>
    <x v="462"/>
    <d v="2024-09-16T06:12:11"/>
    <d v="2025-06-29T21:59:59"/>
    <s v="Introductory Technical Skills"/>
    <s v="IoT"/>
    <x v="48"/>
    <s v="IoT_3.C ist2:Introduction to IoT and Digital Transformation"/>
    <s v="English"/>
    <s v="1"/>
    <s v="37030922"/>
    <s v="Peter"/>
    <s v="Fabian"/>
    <n v="9"/>
    <n v="9"/>
    <n v="0"/>
    <n v="9"/>
    <n v="9"/>
    <n v="0"/>
  </r>
  <r>
    <x v="25"/>
    <x v="24"/>
    <x v="0"/>
    <x v="463"/>
    <d v="2024-09-30T07:41:37"/>
    <d v="2025-06-29T21:59:59"/>
    <s v="Cisco Associate-level Certification"/>
    <s v="CCNA R&amp;S"/>
    <x v="9"/>
    <s v="CCNA1_4.C ist2: Introduction to Networks"/>
    <s v="English"/>
    <s v="7"/>
    <s v="37030922"/>
    <s v="Peter"/>
    <s v="Fabian"/>
    <n v="6"/>
    <n v="6"/>
    <n v="0"/>
    <n v="6"/>
    <n v="6"/>
    <n v="0"/>
  </r>
  <r>
    <x v="25"/>
    <x v="24"/>
    <x v="0"/>
    <x v="464"/>
    <d v="2024-09-13T07:18:34"/>
    <d v="2025-06-29T21:59:59"/>
    <s v="Introductory Technical Skills"/>
    <s v="OS &amp; IT"/>
    <x v="7"/>
    <s v="Operating Systems Basics-3.C ist1"/>
    <s v="English"/>
    <s v="1"/>
    <s v="37030922"/>
    <s v="Peter"/>
    <s v="Fabian"/>
    <n v="14"/>
    <n v="14"/>
    <n v="0"/>
    <n v="14"/>
    <n v="14"/>
    <n v="0"/>
  </r>
  <r>
    <x v="25"/>
    <x v="24"/>
    <x v="0"/>
    <x v="465"/>
    <d v="2024-11-29T09:21:00"/>
    <d v="2025-09-01T21:59:59"/>
    <s v="Cisco Associate-level Certification"/>
    <s v="CCNA R&amp;S"/>
    <x v="9"/>
    <s v="CCNA1_1.C ist2"/>
    <s v="English"/>
    <s v="7"/>
    <s v="1024075889"/>
    <s v="Michal"/>
    <s v="Prno"/>
    <n v="10"/>
    <n v="10"/>
    <n v="0"/>
    <n v="10"/>
    <n v="10"/>
    <n v="0"/>
  </r>
  <r>
    <x v="25"/>
    <x v="24"/>
    <x v="0"/>
    <x v="2"/>
    <m/>
    <m/>
    <m/>
    <m/>
    <x v="2"/>
    <m/>
    <m/>
    <m/>
    <s v="36745095"/>
    <s v="Maroš"/>
    <s v="Matejov"/>
    <n v="10"/>
    <n v="10"/>
    <n v="0"/>
    <n v="10"/>
    <n v="10"/>
    <n v="0"/>
  </r>
  <r>
    <x v="25"/>
    <x v="24"/>
    <x v="0"/>
    <x v="2"/>
    <m/>
    <m/>
    <m/>
    <m/>
    <x v="2"/>
    <m/>
    <m/>
    <m/>
    <s v="37030922"/>
    <s v="Peter"/>
    <s v="Fabian"/>
    <n v="10"/>
    <n v="10"/>
    <n v="0"/>
    <n v="10"/>
    <n v="10"/>
    <n v="0"/>
  </r>
  <r>
    <x v="25"/>
    <x v="24"/>
    <x v="0"/>
    <x v="466"/>
    <d v="2024-11-07T12:29:39"/>
    <d v="2025-06-29T21:59:59"/>
    <s v="Introductory Technical Skills"/>
    <s v="OS &amp; IT"/>
    <x v="7"/>
    <s v="3.B_sids-Operating Systems Basics"/>
    <s v="English"/>
    <s v="1"/>
    <s v="37030922"/>
    <s v="Peter"/>
    <s v="Fabian"/>
    <n v="24"/>
    <n v="22"/>
    <n v="0"/>
    <n v="24"/>
    <n v="22"/>
    <n v="0"/>
  </r>
  <r>
    <x v="25"/>
    <x v="24"/>
    <x v="0"/>
    <x v="467"/>
    <d v="2024-09-16T08:13:25"/>
    <d v="2025-06-30T21:59:59"/>
    <s v="Introductory Technical Skills"/>
    <s v="IoT"/>
    <x v="48"/>
    <s v="Introduction to IoT and Digital Transformation"/>
    <s v="English"/>
    <s v="1"/>
    <s v="43435718"/>
    <s v="Stanislav"/>
    <s v="Dolnik"/>
    <n v="11"/>
    <n v="8"/>
    <n v="0"/>
    <n v="11"/>
    <n v="8"/>
    <n v="0"/>
  </r>
  <r>
    <x v="25"/>
    <x v="24"/>
    <x v="0"/>
    <x v="468"/>
    <d v="2024-09-12T06:28:43"/>
    <d v="2025-06-29T21:59:59"/>
    <s v="Cisco Associate-level Certification"/>
    <s v="CCNA R&amp;S"/>
    <x v="8"/>
    <s v="CCNA2_3.C ist1: Switching, Routing, and Wireless Essentials"/>
    <s v="English"/>
    <s v="7"/>
    <s v="37030922"/>
    <s v="Peter"/>
    <s v="Fabian"/>
    <n v="9"/>
    <n v="9"/>
    <n v="0"/>
    <n v="9"/>
    <n v="9"/>
    <n v="0"/>
  </r>
  <r>
    <x v="25"/>
    <x v="24"/>
    <x v="0"/>
    <x v="469"/>
    <d v="2024-09-13T10:56:16"/>
    <d v="2025-06-29T21:59:59"/>
    <s v="Cisco Associate-level Certification"/>
    <s v="CCNA R&amp;S"/>
    <x v="9"/>
    <s v="CCNA1_1.B sids: Introduction to Networks"/>
    <s v="English"/>
    <s v="7"/>
    <s v="37030922"/>
    <s v="Peter"/>
    <s v="Fabian"/>
    <n v="11"/>
    <n v="11"/>
    <n v="0"/>
    <n v="11"/>
    <n v="11"/>
    <n v="0"/>
  </r>
  <r>
    <x v="25"/>
    <x v="24"/>
    <x v="0"/>
    <x v="470"/>
    <d v="2024-10-03T10:27:18"/>
    <d v="2025-06-30T21:59:59"/>
    <s v="3rd Party Technical Certification"/>
    <s v="IT Essentials"/>
    <x v="13"/>
    <s v="IT Essentials 8"/>
    <s v="English"/>
    <s v="8"/>
    <s v="43435718"/>
    <s v="Stanislav"/>
    <s v="Dolnik"/>
    <n v="2"/>
    <n v="1"/>
    <n v="0"/>
    <n v="2"/>
    <n v="1"/>
    <n v="0"/>
  </r>
  <r>
    <x v="25"/>
    <x v="24"/>
    <x v="0"/>
    <x v="471"/>
    <d v="2024-09-17T10:06:54"/>
    <d v="2025-08-31T21:59:59"/>
    <s v="Cisco Associate-level Certification"/>
    <s v="CCNA R&amp;S"/>
    <x v="10"/>
    <s v="CCNA3_kruh: Enterprise Networking, Security, and Automation"/>
    <s v="English"/>
    <s v="1"/>
    <s v="36745095"/>
    <s v="Maroš"/>
    <s v="Matejov"/>
    <n v="19"/>
    <n v="18"/>
    <n v="2"/>
    <n v="19"/>
    <n v="18"/>
    <n v="2"/>
  </r>
  <r>
    <x v="25"/>
    <x v="24"/>
    <x v="0"/>
    <x v="2"/>
    <m/>
    <m/>
    <m/>
    <m/>
    <x v="2"/>
    <m/>
    <m/>
    <m/>
    <s v="37030922"/>
    <s v="Peter"/>
    <s v="Fabian"/>
    <n v="19"/>
    <n v="18"/>
    <n v="2"/>
    <n v="19"/>
    <n v="18"/>
    <n v="2"/>
  </r>
  <r>
    <x v="25"/>
    <x v="24"/>
    <x v="0"/>
    <x v="472"/>
    <d v="2024-09-20T11:48:38"/>
    <d v="2025-06-29T21:59:59"/>
    <s v="Cisco Associate-level Certification"/>
    <s v="CCNA R&amp;S"/>
    <x v="9"/>
    <s v="CCNA1_majstri: Introduction to Networks"/>
    <s v="English"/>
    <s v="7"/>
    <s v="37030922"/>
    <s v="Peter"/>
    <s v="Fabian"/>
    <n v="8"/>
    <n v="8"/>
    <n v="0"/>
    <n v="8"/>
    <n v="8"/>
    <n v="0"/>
  </r>
  <r>
    <x v="25"/>
    <x v="24"/>
    <x v="0"/>
    <x v="473"/>
    <d v="2024-10-11T08:50:23"/>
    <d v="2025-06-29T21:59:59"/>
    <s v="Cisco Associate-level Certification"/>
    <s v="CCNA R&amp;S"/>
    <x v="8"/>
    <s v="CCNA2_2.C ist1: Switching, Routing, and Wireless Essentials"/>
    <s v="English"/>
    <s v="7"/>
    <s v="37030922"/>
    <s v="Peter"/>
    <s v="Fabian"/>
    <n v="11"/>
    <n v="11"/>
    <n v="0"/>
    <n v="11"/>
    <n v="11"/>
    <n v="0"/>
  </r>
  <r>
    <x v="25"/>
    <x v="24"/>
    <x v="0"/>
    <x v="474"/>
    <d v="2024-09-10T06:59:37"/>
    <d v="2025-06-29T21:59:59"/>
    <s v="Cisco Associate-level Certification"/>
    <s v="CCNA R&amp;S"/>
    <x v="8"/>
    <s v="CCNA2_4.C ist1: Switching, Routing, and Wireless Essentials"/>
    <s v="English"/>
    <s v="7"/>
    <s v="37030922"/>
    <s v="Peter"/>
    <s v="Fabian"/>
    <n v="10"/>
    <n v="9"/>
    <n v="0"/>
    <n v="10"/>
    <n v="9"/>
    <n v="0"/>
  </r>
  <r>
    <x v="25"/>
    <x v="24"/>
    <x v="0"/>
    <x v="475"/>
    <d v="2024-09-09T08:00:48"/>
    <d v="2025-06-27T21:59:59"/>
    <s v="Cisco Associate-level Certification"/>
    <s v="CCNA R&amp;S"/>
    <x v="10"/>
    <s v="CCNA3_4.C ist2: Enterprise Networking, Security, and Automation"/>
    <s v="English"/>
    <s v="1"/>
    <s v="37030922"/>
    <s v="Peter"/>
    <s v="Fabian"/>
    <n v="10"/>
    <n v="10"/>
    <n v="0"/>
    <n v="10"/>
    <n v="10"/>
    <n v="0"/>
  </r>
  <r>
    <x v="26"/>
    <x v="25"/>
    <x v="2"/>
    <x v="476"/>
    <d v="2024-09-17T06:38:50"/>
    <d v="2025-06-30T21:59:59"/>
    <s v="Cisco Entry-level Certification"/>
    <s v="Networking Essentials"/>
    <x v="49"/>
    <s v="Networking Devices and Initial Configuration_I_B"/>
    <s v="English"/>
    <s v="1"/>
    <s v="856716"/>
    <s v="Miroslava"/>
    <s v="Guzlejova"/>
    <n v="27"/>
    <n v="27"/>
    <n v="0"/>
    <n v="27"/>
    <n v="27"/>
    <n v="0"/>
  </r>
  <r>
    <x v="26"/>
    <x v="25"/>
    <x v="2"/>
    <x v="477"/>
    <d v="2024-09-04T06:14:55"/>
    <d v="2025-07-31T21:59:59"/>
    <s v="Cisco Entry-level Certification"/>
    <s v="Networking Essentials"/>
    <x v="6"/>
    <s v="Základy počítačových sietí 1"/>
    <s v="English"/>
    <s v="1"/>
    <s v="1034790638"/>
    <s v="František"/>
    <s v="Kysel"/>
    <n v="27"/>
    <n v="27"/>
    <n v="0"/>
    <n v="27"/>
    <n v="27"/>
    <n v="0"/>
  </r>
  <r>
    <x v="26"/>
    <x v="25"/>
    <x v="2"/>
    <x v="478"/>
    <d v="2024-09-06T06:14:24"/>
    <d v="2025-08-06T21:59:59"/>
    <s v="Introductory Technical Skills"/>
    <s v="OS &amp; IT"/>
    <x v="36"/>
    <s v="Základy informačných technológií 1"/>
    <s v="English"/>
    <s v="1"/>
    <s v="1023188300"/>
    <s v="Jozef"/>
    <s v="Krivek"/>
    <n v="31"/>
    <n v="31"/>
    <n v="17"/>
    <n v="31"/>
    <n v="31"/>
    <n v="17"/>
  </r>
  <r>
    <x v="26"/>
    <x v="25"/>
    <x v="2"/>
    <x v="2"/>
    <m/>
    <m/>
    <m/>
    <m/>
    <x v="2"/>
    <m/>
    <m/>
    <m/>
    <s v="1034790638"/>
    <s v="František"/>
    <s v="Kysel"/>
    <n v="31"/>
    <n v="31"/>
    <n v="17"/>
    <n v="31"/>
    <n v="31"/>
    <n v="17"/>
  </r>
  <r>
    <x v="26"/>
    <x v="25"/>
    <x v="2"/>
    <x v="479"/>
    <d v="2024-09-26T08:18:52"/>
    <d v="2025-02-28T22:59:59"/>
    <s v="Cisco Associate-level Certification"/>
    <s v="CCNA R&amp;S"/>
    <x v="8"/>
    <s v="CCNA: Switching, Routing, and Wireless Essentials"/>
    <s v="English"/>
    <s v="7"/>
    <s v="5536132"/>
    <s v="Dana"/>
    <s v="Juhasova"/>
    <n v="6"/>
    <n v="6"/>
    <n v="6"/>
    <n v="6"/>
    <n v="6"/>
    <n v="6"/>
  </r>
  <r>
    <x v="26"/>
    <x v="25"/>
    <x v="2"/>
    <x v="2"/>
    <m/>
    <m/>
    <m/>
    <m/>
    <x v="2"/>
    <m/>
    <m/>
    <m/>
    <s v="856716"/>
    <s v="Miroslava"/>
    <s v="Guzlejova"/>
    <n v="6"/>
    <n v="6"/>
    <n v="6"/>
    <n v="6"/>
    <n v="6"/>
    <n v="6"/>
  </r>
  <r>
    <x v="26"/>
    <x v="25"/>
    <x v="2"/>
    <x v="480"/>
    <d v="2024-09-04T09:50:08"/>
    <d v="2025-09-04T21:59:59"/>
    <s v="Cisco Entry-level Certification"/>
    <s v="Networking Essentials"/>
    <x v="49"/>
    <s v="Základy počítačových sietí 2."/>
    <s v="English"/>
    <s v="1"/>
    <s v="1034790638"/>
    <s v="František"/>
    <s v="Kysel"/>
    <n v="63"/>
    <n v="62"/>
    <n v="0"/>
    <n v="63"/>
    <n v="62"/>
    <n v="0"/>
  </r>
  <r>
    <x v="26"/>
    <x v="25"/>
    <x v="2"/>
    <x v="481"/>
    <d v="2024-09-15T14:21:20"/>
    <d v="2025-08-31T21:59:59"/>
    <s v="Intermediate Technical Skills"/>
    <s v="Cybersecurity"/>
    <x v="0"/>
    <s v="4BS2KBZ"/>
    <s v="English"/>
    <s v="1"/>
    <s v="1023188300"/>
    <s v="Jozef"/>
    <s v="Krivek"/>
    <n v="14"/>
    <n v="14"/>
    <n v="13"/>
    <n v="14"/>
    <n v="14"/>
    <n v="13"/>
  </r>
  <r>
    <x v="26"/>
    <x v="25"/>
    <x v="2"/>
    <x v="482"/>
    <d v="2024-09-15T14:23:47"/>
    <d v="2025-08-31T21:59:59"/>
    <s v="Intermediate Technical Skills"/>
    <s v="Cybersecurity"/>
    <x v="0"/>
    <s v="4AS2KBZ"/>
    <s v="English"/>
    <s v="1"/>
    <s v="1023188300"/>
    <s v="Jozef"/>
    <s v="Krivek"/>
    <n v="13"/>
    <n v="12"/>
    <n v="12"/>
    <n v="13"/>
    <n v="12"/>
    <n v="12"/>
  </r>
  <r>
    <x v="26"/>
    <x v="25"/>
    <x v="2"/>
    <x v="483"/>
    <d v="2024-09-15T14:22:31"/>
    <d v="2025-08-31T21:59:59"/>
    <s v="Intermediate Technical Skills"/>
    <s v="Cybersecurity"/>
    <x v="0"/>
    <s v="4BS1KBZ"/>
    <s v="English"/>
    <s v="1"/>
    <s v="1023188300"/>
    <s v="Jozef"/>
    <s v="Krivek"/>
    <n v="12"/>
    <n v="12"/>
    <n v="12"/>
    <n v="12"/>
    <n v="12"/>
    <n v="12"/>
  </r>
  <r>
    <x v="26"/>
    <x v="25"/>
    <x v="2"/>
    <x v="484"/>
    <d v="2024-09-15T14:30:23"/>
    <d v="2025-08-31T21:59:59"/>
    <s v="Intermediate Technical Skills"/>
    <s v="Cybersecurity"/>
    <x v="0"/>
    <s v="ETIK"/>
    <s v="English"/>
    <s v="1"/>
    <s v="1023188300"/>
    <s v="Jozef"/>
    <s v="Krivek"/>
    <n v="1"/>
    <n v="1"/>
    <n v="0"/>
    <n v="1"/>
    <n v="1"/>
    <n v="0"/>
  </r>
  <r>
    <x v="26"/>
    <x v="25"/>
    <x v="2"/>
    <x v="485"/>
    <d v="2024-09-09T07:07:57"/>
    <d v="2025-08-31T21:59:59"/>
    <s v="Cisco Entry-level Certification"/>
    <s v="Cybersecurity"/>
    <x v="30"/>
    <s v="Cybersecurity Essentials"/>
    <s v="English"/>
    <s v="3"/>
    <s v="1023188300"/>
    <s v="Jozef"/>
    <s v="Krivek"/>
    <n v="13"/>
    <n v="13"/>
    <n v="0"/>
    <n v="13"/>
    <n v="13"/>
    <n v="0"/>
  </r>
  <r>
    <x v="26"/>
    <x v="25"/>
    <x v="2"/>
    <x v="486"/>
    <d v="2024-09-13T05:37:22"/>
    <d v="2025-02-28T22:59:59"/>
    <s v="3rd Party Technical Certification"/>
    <s v="IT Essentials"/>
    <x v="13"/>
    <s v="2BS1PRAX"/>
    <s v="English"/>
    <s v="8"/>
    <s v="1023188300"/>
    <s v="Jozef"/>
    <s v="Krivek"/>
    <n v="15"/>
    <n v="15"/>
    <n v="14"/>
    <n v="15"/>
    <n v="15"/>
    <n v="14"/>
  </r>
  <r>
    <x v="26"/>
    <x v="25"/>
    <x v="2"/>
    <x v="487"/>
    <d v="2024-12-16T10:12:04"/>
    <d v="2025-09-07T21:59:59"/>
    <s v="Cisco Associate-level Certification"/>
    <s v="CCNA R&amp;S"/>
    <x v="9"/>
    <s v="CCNA: Introduction to Networks"/>
    <s v="English"/>
    <s v="7"/>
    <s v="856716"/>
    <s v="Miroslava"/>
    <s v="Guzlejova"/>
    <n v="3"/>
    <n v="3"/>
    <n v="2"/>
    <n v="3"/>
    <n v="3"/>
    <n v="2"/>
  </r>
  <r>
    <x v="26"/>
    <x v="25"/>
    <x v="2"/>
    <x v="488"/>
    <d v="2024-09-10T05:41:23"/>
    <d v="2025-08-31T21:59:59"/>
    <s v="Cisco Entry-level Certification"/>
    <s v="Networking Essentials"/>
    <x v="50"/>
    <s v="4AS1KBZ Network Support and Security"/>
    <s v="English"/>
    <s v="1"/>
    <s v="1023188300"/>
    <s v="Jozef"/>
    <s v="Krivek"/>
    <n v="13"/>
    <n v="12"/>
    <n v="0"/>
    <n v="13"/>
    <n v="12"/>
    <n v="0"/>
  </r>
  <r>
    <x v="26"/>
    <x v="25"/>
    <x v="2"/>
    <x v="489"/>
    <d v="2024-09-13T05:45:40"/>
    <d v="2025-02-28T22:59:59"/>
    <s v="3rd Party Technical Certification"/>
    <s v="IT Essentials"/>
    <x v="13"/>
    <s v="2AS1PRAX"/>
    <s v="English"/>
    <s v="8"/>
    <s v="1023188300"/>
    <s v="Jozef"/>
    <s v="Krivek"/>
    <n v="15"/>
    <n v="15"/>
    <n v="15"/>
    <n v="15"/>
    <n v="15"/>
    <n v="15"/>
  </r>
  <r>
    <x v="26"/>
    <x v="25"/>
    <x v="2"/>
    <x v="490"/>
    <d v="2024-12-02T10:32:52"/>
    <d v="2025-10-09T21:59:59"/>
    <s v="Cisco Associate-level Certification"/>
    <s v="CCNA R&amp;S"/>
    <x v="8"/>
    <s v="CCNA: Switching, Routing, and Wireless Essentials_IIB_IIIA"/>
    <s v="English"/>
    <s v="7"/>
    <s v="856716"/>
    <s v="Miroslava"/>
    <s v="Guzlejova"/>
    <n v="26"/>
    <n v="25"/>
    <n v="24"/>
    <n v="26"/>
    <n v="25"/>
    <n v="24"/>
  </r>
  <r>
    <x v="26"/>
    <x v="25"/>
    <x v="2"/>
    <x v="491"/>
    <d v="2024-09-19T06:35:46"/>
    <d v="2025-08-31T21:59:59"/>
    <s v="Intermediate Technical Skills"/>
    <s v="Cybersecurity"/>
    <x v="0"/>
    <s v="Club Ethical Hackers"/>
    <s v="English"/>
    <s v="1"/>
    <s v="1023188300"/>
    <s v="Jozef"/>
    <s v="Krivek"/>
    <n v="12"/>
    <n v="12"/>
    <n v="4"/>
    <n v="12"/>
    <n v="12"/>
    <n v="4"/>
  </r>
  <r>
    <x v="26"/>
    <x v="25"/>
    <x v="2"/>
    <x v="492"/>
    <d v="2024-09-14T17:49:50"/>
    <d v="2025-08-31T21:59:59"/>
    <s v="Intermediate Technical Skills"/>
    <s v="Cybersecurity"/>
    <x v="0"/>
    <s v="4AS1KBZ"/>
    <s v="English"/>
    <s v="1"/>
    <s v="1023188300"/>
    <s v="Jozef"/>
    <s v="Krivek"/>
    <n v="13"/>
    <n v="13"/>
    <n v="13"/>
    <n v="13"/>
    <n v="13"/>
    <n v="13"/>
  </r>
  <r>
    <x v="27"/>
    <x v="26"/>
    <x v="1"/>
    <x v="493"/>
    <d v="2024-10-03T13:07:25"/>
    <d v="2025-06-30T21:59:59"/>
    <s v="3rd Party Technical Certification"/>
    <s v="Python"/>
    <x v="16"/>
    <s v="Python Essentials 1"/>
    <s v="English"/>
    <s v="1"/>
    <s v="6484408"/>
    <s v="Marek"/>
    <s v="Farkas"/>
    <n v="5"/>
    <n v="5"/>
    <n v="0"/>
    <m/>
    <m/>
    <m/>
  </r>
  <r>
    <x v="27"/>
    <x v="26"/>
    <x v="1"/>
    <x v="494"/>
    <d v="2024-12-08T23:31:47"/>
    <d v="2025-05-31T21:59:59"/>
    <s v="3rd Party Technical Certification"/>
    <s v="Python"/>
    <x v="28"/>
    <s v="Python Essentials 2"/>
    <s v="English"/>
    <s v="1"/>
    <s v="6484408"/>
    <s v="Marek"/>
    <s v="Farkas"/>
    <n v="6"/>
    <n v="6"/>
    <n v="0"/>
    <m/>
    <m/>
    <m/>
  </r>
  <r>
    <x v="27"/>
    <x v="26"/>
    <x v="1"/>
    <x v="495"/>
    <d v="2024-06-25T22:00:00"/>
    <d v="2024-09-25T22:00:00"/>
    <s v="Cisco Associate-level Certification"/>
    <s v="CCNA R&amp;S"/>
    <x v="5"/>
    <s v="CCNA - Introduction to Networks 2024"/>
    <s v="English"/>
    <s v="7.02"/>
    <s v="6484408"/>
    <s v="Marek"/>
    <s v="Farkas"/>
    <n v="4"/>
    <n v="2"/>
    <n v="0"/>
    <m/>
    <m/>
    <m/>
  </r>
  <r>
    <x v="27"/>
    <x v="26"/>
    <x v="1"/>
    <x v="496"/>
    <d v="2024-06-25T22:00:00"/>
    <d v="2024-09-25T22:00:00"/>
    <s v="3rd Party Technical Certification"/>
    <s v="IT Essentials"/>
    <x v="3"/>
    <s v="IT Essenials 2024"/>
    <s v="English"/>
    <s v="8.01"/>
    <s v="6484408"/>
    <s v="Marek"/>
    <s v="Farkas"/>
    <n v="4"/>
    <n v="3"/>
    <n v="0"/>
    <m/>
    <m/>
    <m/>
  </r>
  <r>
    <x v="27"/>
    <x v="26"/>
    <x v="1"/>
    <x v="497"/>
    <d v="2024-09-10T11:51:17"/>
    <d v="2025-06-30T21:59:59"/>
    <s v="3rd Party Technical Certification"/>
    <s v="IT Essentials"/>
    <x v="13"/>
    <s v="2024-OSP-ITEss8-2"/>
    <s v="English"/>
    <s v="8"/>
    <s v="6484408"/>
    <s v="Marek"/>
    <s v="Farkas"/>
    <n v="8"/>
    <n v="8"/>
    <n v="1"/>
    <m/>
    <m/>
    <m/>
  </r>
  <r>
    <x v="27"/>
    <x v="26"/>
    <x v="1"/>
    <x v="498"/>
    <d v="2024-09-08T22:00:00"/>
    <d v="2025-05-30T21:59:59"/>
    <s v="3rd Party Technical Certification"/>
    <s v="IT Essentials"/>
    <x v="13"/>
    <s v="2024-OSP-ITEss8"/>
    <s v="English"/>
    <s v="8"/>
    <s v="6484408"/>
    <s v="Marek"/>
    <s v="Farkas"/>
    <n v="18"/>
    <n v="18"/>
    <n v="5"/>
    <m/>
    <m/>
    <m/>
  </r>
  <r>
    <x v="28"/>
    <x v="27"/>
    <x v="0"/>
    <x v="499"/>
    <d v="2024-09-12T17:29:01"/>
    <d v="2025-07-31T21:59:59"/>
    <s v="Cisco Associate-level Certification"/>
    <s v="CCNA R&amp;S"/>
    <x v="9"/>
    <s v="2024-25-JH-CCNA1-1B"/>
    <s v="English"/>
    <s v="7"/>
    <s v="52481635"/>
    <s v="Mgr. Zuzana"/>
    <s v="Špilová"/>
    <n v="25"/>
    <n v="24"/>
    <n v="0"/>
    <n v="25"/>
    <n v="24"/>
    <n v="0"/>
  </r>
  <r>
    <x v="28"/>
    <x v="27"/>
    <x v="0"/>
    <x v="500"/>
    <d v="2024-09-19T11:09:49"/>
    <d v="2025-09-16T21:59:59"/>
    <s v="Cisco Associate-level Certification"/>
    <s v="CCNA R&amp;S"/>
    <x v="9"/>
    <s v="CCNA1: Introduction to Networks"/>
    <s v="English"/>
    <s v="7"/>
    <s v="929408"/>
    <s v="Pavol"/>
    <s v="MACUCH"/>
    <n v="1"/>
    <n v="0"/>
    <n v="0"/>
    <n v="1"/>
    <n v="0"/>
    <n v="0"/>
  </r>
  <r>
    <x v="28"/>
    <x v="27"/>
    <x v="0"/>
    <x v="501"/>
    <d v="2024-02-08T23:00:00"/>
    <d v="2024-09-29T22:00:00"/>
    <s v="Cisco Associate-level Certification"/>
    <s v="CCNA R&amp;S"/>
    <x v="5"/>
    <s v="2023-24-ZS-CCNA1-4B"/>
    <s v="English"/>
    <s v="7.02"/>
    <s v="52481635"/>
    <s v="Mgr. Zuzana"/>
    <s v="Špilová"/>
    <n v="13"/>
    <n v="12"/>
    <n v="4"/>
    <n v="13"/>
    <n v="12"/>
    <n v="4"/>
  </r>
  <r>
    <x v="28"/>
    <x v="27"/>
    <x v="0"/>
    <x v="502"/>
    <d v="2024-05-15T22:00:00"/>
    <d v="2024-09-29T22:00:00"/>
    <s v="3rd Party Technical Certification"/>
    <s v="IT Essentials"/>
    <x v="3"/>
    <s v="2024-ZS-2B-ITessentials"/>
    <s v="English"/>
    <s v="8.01"/>
    <s v="52481635"/>
    <s v="Mgr. Zuzana"/>
    <s v="Špilová"/>
    <n v="5"/>
    <n v="3"/>
    <n v="0"/>
    <n v="5"/>
    <n v="3"/>
    <n v="0"/>
  </r>
  <r>
    <x v="28"/>
    <x v="27"/>
    <x v="0"/>
    <x v="503"/>
    <d v="2024-06-09T22:00:00"/>
    <d v="2024-09-29T22:00:00"/>
    <s v="Cisco Associate-level Certification"/>
    <s v="CCNA R&amp;S"/>
    <x v="5"/>
    <s v="2024-ZS-CCNA1-Hikanikova"/>
    <s v="English"/>
    <s v="7.02"/>
    <s v="52481635"/>
    <s v="Mgr. Zuzana"/>
    <s v="Špilová"/>
    <n v="1"/>
    <n v="1"/>
    <n v="0"/>
    <n v="1"/>
    <n v="1"/>
    <n v="0"/>
  </r>
  <r>
    <x v="28"/>
    <x v="27"/>
    <x v="0"/>
    <x v="504"/>
    <d v="2024-09-12T16:37:33"/>
    <d v="2025-07-31T21:59:59"/>
    <s v="Cisco Associate-level Certification"/>
    <s v="CCNA R&amp;S"/>
    <x v="10"/>
    <s v="2024-25-ZS-CCNA3-3B"/>
    <s v="English"/>
    <s v="1"/>
    <s v="52481635"/>
    <s v="Mgr. Zuzana"/>
    <s v="Špilová"/>
    <n v="32"/>
    <n v="12"/>
    <n v="0"/>
    <n v="32"/>
    <n v="12"/>
    <n v="0"/>
  </r>
  <r>
    <x v="28"/>
    <x v="27"/>
    <x v="0"/>
    <x v="505"/>
    <d v="2024-09-12T17:08:55"/>
    <d v="2025-07-31T21:59:59"/>
    <s v="Cisco Associate-level Certification"/>
    <s v="CCNA R&amp;S"/>
    <x v="8"/>
    <s v="2024-25-ZS-CCNA2-2B"/>
    <s v="English"/>
    <s v="7"/>
    <s v="52481635"/>
    <s v="Mgr. Zuzana"/>
    <s v="Špilová"/>
    <n v="33"/>
    <n v="33"/>
    <n v="2"/>
    <n v="33"/>
    <n v="33"/>
    <n v="2"/>
  </r>
  <r>
    <x v="28"/>
    <x v="27"/>
    <x v="0"/>
    <x v="506"/>
    <d v="2024-10-24T08:24:32"/>
    <d v="2025-06-30T21:59:59"/>
    <s v="Cisco Associate-level Certification"/>
    <s v="CCNA R&amp;S"/>
    <x v="9"/>
    <s v="CCNA: Introduction to Networks"/>
    <s v="English"/>
    <s v="7"/>
    <s v="52481635"/>
    <s v="Mgr. Zuzana"/>
    <s v="Špilová"/>
    <n v="8"/>
    <n v="3"/>
    <n v="2"/>
    <n v="8"/>
    <n v="3"/>
    <n v="2"/>
  </r>
  <r>
    <x v="29"/>
    <x v="28"/>
    <x v="5"/>
    <x v="507"/>
    <d v="2024-12-11T11:36:32"/>
    <d v="2025-04-30T21:59:59"/>
    <s v="Cisco Entry-level Certification"/>
    <s v="Networking Essentials"/>
    <x v="6"/>
    <s v="Networking Basics_5.MPS-2024-25"/>
    <s v="English"/>
    <s v="1"/>
    <s v="771404"/>
    <s v="Rudolf"/>
    <s v="MICHALAC"/>
    <n v="2"/>
    <n v="2"/>
    <n v="2"/>
    <m/>
    <m/>
    <m/>
  </r>
  <r>
    <x v="29"/>
    <x v="28"/>
    <x v="5"/>
    <x v="2"/>
    <m/>
    <m/>
    <m/>
    <m/>
    <x v="2"/>
    <m/>
    <m/>
    <m/>
    <s v="772379"/>
    <s v="Marta"/>
    <s v="Magyaricsova"/>
    <n v="2"/>
    <n v="2"/>
    <n v="2"/>
    <m/>
    <m/>
    <m/>
  </r>
  <r>
    <x v="29"/>
    <x v="28"/>
    <x v="5"/>
    <x v="508"/>
    <d v="2024-01-30T23:00:00"/>
    <d v="2024-09-29T22:00:00"/>
    <s v="3rd Party Technical Certification"/>
    <s v="IT Essentials"/>
    <x v="3"/>
    <s v="prvá MPS - druhy pokus"/>
    <s v="English"/>
    <s v="8.01"/>
    <s v="772379"/>
    <s v="Marta"/>
    <s v="Magyaricsova"/>
    <n v="4"/>
    <n v="4"/>
    <n v="3"/>
    <m/>
    <m/>
    <m/>
  </r>
  <r>
    <x v="29"/>
    <x v="28"/>
    <x v="5"/>
    <x v="509"/>
    <d v="2024-02-27T23:00:00"/>
    <d v="2025-01-30T23:00:00"/>
    <s v="Cisco Associate-level Certification"/>
    <s v="CCNA R&amp;S"/>
    <x v="5"/>
    <s v="stvrta MPS - Introduction to Networks CCNAv7"/>
    <s v="English"/>
    <s v="7.02"/>
    <s v="772379"/>
    <s v="Marta"/>
    <s v="Magyaricsova"/>
    <n v="3"/>
    <n v="3"/>
    <n v="2"/>
    <m/>
    <m/>
    <m/>
  </r>
  <r>
    <x v="29"/>
    <x v="28"/>
    <x v="5"/>
    <x v="510"/>
    <d v="2024-11-02T23:00:00"/>
    <d v="2025-05-31T21:59:59"/>
    <s v="Cisco Entry-level Certification"/>
    <s v="Networking Essentials"/>
    <x v="6"/>
    <s v="Networking Basics - 1.MPS_2024-25"/>
    <s v="English"/>
    <s v="1"/>
    <s v="771404"/>
    <s v="Rudolf"/>
    <s v="MICHALAC"/>
    <n v="3"/>
    <n v="3"/>
    <n v="3"/>
    <m/>
    <m/>
    <m/>
  </r>
  <r>
    <x v="29"/>
    <x v="28"/>
    <x v="5"/>
    <x v="2"/>
    <m/>
    <m/>
    <m/>
    <m/>
    <x v="2"/>
    <m/>
    <m/>
    <m/>
    <s v="772379"/>
    <s v="Marta"/>
    <s v="Magyaricsova"/>
    <n v="3"/>
    <n v="3"/>
    <n v="3"/>
    <m/>
    <m/>
    <m/>
  </r>
  <r>
    <x v="29"/>
    <x v="28"/>
    <x v="5"/>
    <x v="511"/>
    <d v="2024-10-17T07:23:25"/>
    <d v="2025-09-30T21:59:59"/>
    <s v="Cisco Associate-level Certification"/>
    <s v="CCNA R&amp;S"/>
    <x v="9"/>
    <s v="CCNA: Introduction to Networks I.GDMPS 1MI069"/>
    <s v="English"/>
    <s v="7"/>
    <s v="1004269791"/>
    <s v="Ján"/>
    <s v="Andel"/>
    <n v="21"/>
    <n v="18"/>
    <n v="0"/>
    <m/>
    <m/>
    <m/>
  </r>
  <r>
    <x v="29"/>
    <x v="28"/>
    <x v="5"/>
    <x v="2"/>
    <m/>
    <m/>
    <m/>
    <m/>
    <x v="2"/>
    <m/>
    <m/>
    <m/>
    <s v="771404"/>
    <s v="Rudolf"/>
    <s v="MICHALAC"/>
    <n v="21"/>
    <n v="18"/>
    <n v="0"/>
    <m/>
    <m/>
    <m/>
  </r>
  <r>
    <x v="29"/>
    <x v="28"/>
    <x v="5"/>
    <x v="512"/>
    <d v="2024-11-02T23:00:00"/>
    <d v="2025-05-30T21:59:59"/>
    <s v="Cisco Entry-level Certification"/>
    <s v="Networking Essentials"/>
    <x v="6"/>
    <s v="Networking Basics 2.MPS_2024-25"/>
    <s v="English"/>
    <s v="1"/>
    <s v="771404"/>
    <s v="Rudolf"/>
    <s v="MICHALAC"/>
    <n v="3"/>
    <n v="3"/>
    <n v="3"/>
    <m/>
    <m/>
    <m/>
  </r>
  <r>
    <x v="29"/>
    <x v="28"/>
    <x v="5"/>
    <x v="2"/>
    <m/>
    <m/>
    <m/>
    <m/>
    <x v="2"/>
    <m/>
    <m/>
    <m/>
    <s v="772379"/>
    <s v="Marta"/>
    <s v="Magyaricsova"/>
    <n v="3"/>
    <n v="3"/>
    <n v="3"/>
    <m/>
    <m/>
    <m/>
  </r>
  <r>
    <x v="29"/>
    <x v="28"/>
    <x v="5"/>
    <x v="513"/>
    <d v="2024-11-02T23:00:00"/>
    <d v="2025-05-30T21:59:59"/>
    <s v="Cisco Entry-level Certification"/>
    <s v="Networking Essentials"/>
    <x v="6"/>
    <s v="Networking Basics 4.MPS_2024-25"/>
    <s v="English"/>
    <s v="1"/>
    <s v="771404"/>
    <s v="Rudolf"/>
    <s v="MICHALAC"/>
    <n v="3"/>
    <n v="3"/>
    <n v="3"/>
    <m/>
    <m/>
    <m/>
  </r>
  <r>
    <x v="29"/>
    <x v="28"/>
    <x v="5"/>
    <x v="2"/>
    <m/>
    <m/>
    <m/>
    <m/>
    <x v="2"/>
    <m/>
    <m/>
    <m/>
    <s v="772379"/>
    <s v="Marta"/>
    <s v="Magyaricsova"/>
    <n v="3"/>
    <n v="3"/>
    <n v="3"/>
    <m/>
    <m/>
    <m/>
  </r>
  <r>
    <x v="30"/>
    <x v="29"/>
    <x v="0"/>
    <x v="514"/>
    <d v="2024-09-06T10:04:24"/>
    <d v="2025-06-30T21:59:59"/>
    <s v="Introductory Technical Skills"/>
    <s v="Packet Tracer"/>
    <x v="15"/>
    <s v="Getting Started with Cisco Packet Tracer"/>
    <s v="English"/>
    <s v="1"/>
    <s v="37679512"/>
    <s v="Maria"/>
    <s v="Bacova"/>
    <n v="13"/>
    <n v="8"/>
    <n v="1"/>
    <n v="13"/>
    <n v="8"/>
    <n v="1"/>
  </r>
  <r>
    <x v="30"/>
    <x v="29"/>
    <x v="0"/>
    <x v="2"/>
    <m/>
    <m/>
    <m/>
    <m/>
    <x v="2"/>
    <m/>
    <m/>
    <m/>
    <s v="5395933"/>
    <s v="Anton"/>
    <s v="Baca"/>
    <n v="13"/>
    <n v="8"/>
    <n v="1"/>
    <n v="13"/>
    <n v="8"/>
    <n v="1"/>
  </r>
  <r>
    <x v="31"/>
    <x v="30"/>
    <x v="1"/>
    <x v="515"/>
    <d v="2024-09-01T22:00:00"/>
    <d v="2025-06-30T21:59:59"/>
    <s v="Cisco Associate-level Certification"/>
    <s v="CCNA R&amp;S"/>
    <x v="9"/>
    <s v="CCNA: Introduction to Networks"/>
    <s v="English"/>
    <s v="7"/>
    <s v="47992261"/>
    <s v="Janka"/>
    <s v="Halková"/>
    <n v="16"/>
    <n v="14"/>
    <n v="0"/>
    <n v="16"/>
    <n v="14"/>
    <n v="0"/>
  </r>
  <r>
    <x v="32"/>
    <x v="31"/>
    <x v="2"/>
    <x v="516"/>
    <d v="2024-09-05T11:35:18"/>
    <d v="2025-05-31T21:59:59"/>
    <s v="Intermediate Technical Skills"/>
    <s v="Cybersecurity"/>
    <x v="14"/>
    <s v="Network Security"/>
    <s v="English"/>
    <s v="1"/>
    <s v="5986815"/>
    <s v="Jozef"/>
    <s v="Ploscica"/>
    <n v="1"/>
    <n v="1"/>
    <n v="0"/>
    <n v="1"/>
    <n v="1"/>
    <n v="0"/>
  </r>
  <r>
    <x v="32"/>
    <x v="31"/>
    <x v="2"/>
    <x v="517"/>
    <d v="2024-09-16T17:30:40"/>
    <d v="2025-09-15T21:59:59"/>
    <s v="Cisco Associate-level Certification"/>
    <s v="CCNA R&amp;S"/>
    <x v="9"/>
    <s v="CCNA: Introduction to Networks_2_D_2sk"/>
    <s v="English"/>
    <s v="7"/>
    <s v="7717569"/>
    <s v="Izabela"/>
    <s v="Molitorisova"/>
    <n v="14"/>
    <n v="12"/>
    <n v="0"/>
    <n v="14"/>
    <n v="12"/>
    <n v="0"/>
  </r>
  <r>
    <x v="32"/>
    <x v="31"/>
    <x v="2"/>
    <x v="518"/>
    <d v="2024-09-30T12:36:59"/>
    <d v="2025-06-30T21:59:59"/>
    <s v="Cisco Associate-level Certification"/>
    <s v="Cybersecurity"/>
    <x v="33"/>
    <s v="CyberOps Associate - 2024/25"/>
    <s v="English"/>
    <s v="1"/>
    <s v="4694369"/>
    <s v="Michal"/>
    <s v="Copko"/>
    <n v="16"/>
    <n v="14"/>
    <n v="1"/>
    <n v="16"/>
    <n v="14"/>
    <n v="1"/>
  </r>
  <r>
    <x v="32"/>
    <x v="31"/>
    <x v="2"/>
    <x v="2"/>
    <m/>
    <m/>
    <m/>
    <m/>
    <x v="2"/>
    <m/>
    <m/>
    <m/>
    <s v="5986815"/>
    <s v="Jozef"/>
    <s v="Ploscica"/>
    <n v="16"/>
    <n v="14"/>
    <n v="1"/>
    <n v="16"/>
    <n v="14"/>
    <n v="1"/>
  </r>
  <r>
    <x v="32"/>
    <x v="31"/>
    <x v="2"/>
    <x v="519"/>
    <d v="2024-01-09T23:00:00"/>
    <d v="2025-01-04T23:00:00"/>
    <s v="Cisco Associate-level Certification"/>
    <s v="CCNA R&amp;S"/>
    <x v="11"/>
    <s v="DUAL, 4 ročník"/>
    <s v="English"/>
    <s v="7.02"/>
    <s v="7717569"/>
    <s v="Izabela"/>
    <s v="Molitorisova"/>
    <n v="6"/>
    <n v="6"/>
    <n v="5"/>
    <n v="6"/>
    <n v="6"/>
    <n v="5"/>
  </r>
  <r>
    <x v="32"/>
    <x v="31"/>
    <x v="2"/>
    <x v="520"/>
    <d v="2024-01-15T23:00:00"/>
    <d v="2025-01-14T23:00:00"/>
    <s v="Cisco Associate-level Certification"/>
    <s v="CCNA R&amp;S"/>
    <x v="4"/>
    <s v="CCNA2v7 - 3.A - 23/24"/>
    <s v="English"/>
    <s v="7.02"/>
    <s v="37490080"/>
    <s v="Ľudmila"/>
    <s v="Ďuratná"/>
    <n v="11"/>
    <n v="0"/>
    <n v="0"/>
    <n v="11"/>
    <n v="0"/>
    <n v="0"/>
  </r>
  <r>
    <x v="32"/>
    <x v="31"/>
    <x v="2"/>
    <x v="521"/>
    <d v="2024-01-18T23:00:00"/>
    <d v="2025-01-14T23:00:00"/>
    <s v="Cisco Associate-level Certification"/>
    <s v="CCNA R&amp;S"/>
    <x v="5"/>
    <s v="CCNA1v7 - 3.A - 23/24"/>
    <s v="English"/>
    <s v="7.02"/>
    <s v="37490080"/>
    <s v="Ľudmila"/>
    <s v="Ďuratná"/>
    <n v="11"/>
    <n v="6"/>
    <n v="0"/>
    <n v="11"/>
    <n v="6"/>
    <n v="0"/>
  </r>
  <r>
    <x v="32"/>
    <x v="31"/>
    <x v="2"/>
    <x v="522"/>
    <d v="2024-03-10T23:00:00"/>
    <d v="2024-12-30T23:00:00"/>
    <s v="Cisco Associate-level Certification"/>
    <s v="CCNA R&amp;S"/>
    <x v="4"/>
    <s v="Norman, Oliver, Roman"/>
    <s v="English"/>
    <s v="7.02"/>
    <s v="45821601"/>
    <s v="Miroslav"/>
    <s v="Barutiak"/>
    <n v="3"/>
    <n v="2"/>
    <n v="0"/>
    <n v="3"/>
    <n v="2"/>
    <n v="0"/>
  </r>
  <r>
    <x v="32"/>
    <x v="31"/>
    <x v="2"/>
    <x v="523"/>
    <d v="2024-05-26T22:00:00"/>
    <d v="2025-01-31T23:00:00"/>
    <s v="Cisco Associate-level Certification"/>
    <s v="CCNA R&amp;S"/>
    <x v="4"/>
    <s v="CCNA2 - Oliver Kapusta"/>
    <s v="English"/>
    <s v="7.02"/>
    <s v="4694369"/>
    <s v="Michal"/>
    <s v="Copko"/>
    <n v="1"/>
    <n v="1"/>
    <n v="0"/>
    <n v="1"/>
    <n v="1"/>
    <n v="0"/>
  </r>
  <r>
    <x v="32"/>
    <x v="31"/>
    <x v="2"/>
    <x v="524"/>
    <d v="2024-10-08T22:41:56"/>
    <d v="2025-10-08T21:59:59"/>
    <s v="Intermediate Technical Skills"/>
    <s v="IoT"/>
    <x v="40"/>
    <s v="[BETA] Industrial Networking Essentials"/>
    <s v="English"/>
    <s v="1"/>
    <s v="4694369"/>
    <s v="Michal"/>
    <s v="Copko"/>
    <n v="1"/>
    <n v="1"/>
    <n v="0"/>
    <n v="1"/>
    <n v="1"/>
    <n v="0"/>
  </r>
  <r>
    <x v="32"/>
    <x v="31"/>
    <x v="2"/>
    <x v="525"/>
    <d v="2024-11-05T23:00:00"/>
    <d v="2025-06-30T21:59:59"/>
    <s v="Cisco Associate-level Certification"/>
    <s v="CCNA R&amp;S"/>
    <x v="8"/>
    <s v="CCNA: Switching, Routing, and Wireless Essentials"/>
    <s v="English"/>
    <s v="7"/>
    <s v="4694369"/>
    <s v="Michal"/>
    <s v="Copko"/>
    <n v="9"/>
    <n v="9"/>
    <n v="8"/>
    <n v="9"/>
    <n v="9"/>
    <n v="8"/>
  </r>
  <r>
    <x v="32"/>
    <x v="31"/>
    <x v="2"/>
    <x v="2"/>
    <m/>
    <m/>
    <m/>
    <m/>
    <x v="2"/>
    <m/>
    <m/>
    <m/>
    <s v="5404307"/>
    <s v="Radovan"/>
    <s v="Repovsky"/>
    <n v="9"/>
    <n v="9"/>
    <n v="8"/>
    <n v="9"/>
    <n v="9"/>
    <n v="8"/>
  </r>
  <r>
    <x v="32"/>
    <x v="31"/>
    <x v="2"/>
    <x v="526"/>
    <d v="2024-09-30T11:39:24"/>
    <d v="2025-06-30T21:59:59"/>
    <s v="Cisco Entry-level Certification"/>
    <s v="Cybersecurity"/>
    <x v="41"/>
    <s v="Endpoint Security - 2024/25"/>
    <s v="English"/>
    <s v="1"/>
    <s v="4694369"/>
    <s v="Michal"/>
    <s v="Copko"/>
    <n v="24"/>
    <n v="23"/>
    <n v="5"/>
    <n v="24"/>
    <n v="23"/>
    <n v="5"/>
  </r>
  <r>
    <x v="32"/>
    <x v="31"/>
    <x v="2"/>
    <x v="2"/>
    <m/>
    <m/>
    <m/>
    <m/>
    <x v="2"/>
    <m/>
    <m/>
    <m/>
    <s v="5986815"/>
    <s v="Jozef"/>
    <s v="Ploscica"/>
    <n v="24"/>
    <n v="23"/>
    <n v="5"/>
    <n v="24"/>
    <n v="23"/>
    <n v="5"/>
  </r>
  <r>
    <x v="32"/>
    <x v="31"/>
    <x v="2"/>
    <x v="527"/>
    <d v="2024-09-19T12:17:49"/>
    <d v="2028-09-19T21:59:59"/>
    <s v="Cisco Associate-level Certification"/>
    <s v="CCNA R&amp;S"/>
    <x v="9"/>
    <s v="2.E.2sk_24/25_CCNA: Introduction to Networks"/>
    <s v="English"/>
    <s v="7"/>
    <s v="45821601"/>
    <s v="Miroslav"/>
    <s v="Barutiak"/>
    <n v="15"/>
    <n v="10"/>
    <n v="0"/>
    <n v="15"/>
    <n v="10"/>
    <n v="0"/>
  </r>
  <r>
    <x v="32"/>
    <x v="31"/>
    <x v="2"/>
    <x v="528"/>
    <d v="2024-09-16T17:20:56"/>
    <d v="2025-09-15T21:59:59"/>
    <s v="Cisco Associate-level Certification"/>
    <s v="CCNA R&amp;S"/>
    <x v="9"/>
    <s v="CCNA: Introduction to Networks_2_D_1sk"/>
    <s v="English"/>
    <s v="7"/>
    <s v="7717569"/>
    <s v="Izabela"/>
    <s v="Molitorisova"/>
    <n v="17"/>
    <n v="17"/>
    <n v="0"/>
    <n v="17"/>
    <n v="17"/>
    <n v="0"/>
  </r>
  <r>
    <x v="32"/>
    <x v="31"/>
    <x v="2"/>
    <x v="529"/>
    <d v="2024-09-16T08:19:32"/>
    <d v="2025-09-30T21:59:59"/>
    <s v="Cisco Associate-level Certification"/>
    <s v="CCNA R&amp;S"/>
    <x v="9"/>
    <s v="1V_DUAL_24/25_CCNA: Introduction to Networks"/>
    <s v="English"/>
    <s v="7"/>
    <s v="45821601"/>
    <s v="Miroslav"/>
    <s v="Barutiak"/>
    <n v="23"/>
    <n v="23"/>
    <n v="0"/>
    <n v="23"/>
    <n v="23"/>
    <n v="0"/>
  </r>
  <r>
    <x v="32"/>
    <x v="31"/>
    <x v="2"/>
    <x v="530"/>
    <d v="2024-09-17T11:29:43"/>
    <d v="2025-09-17T21:59:59"/>
    <s v="3rd Party Technical Certification"/>
    <s v="Python"/>
    <x v="28"/>
    <s v="PEŤO_ZAMBORI_Python Essentials 2"/>
    <s v="English"/>
    <s v="1"/>
    <s v="45821601"/>
    <s v="Miroslav"/>
    <s v="Barutiak"/>
    <n v="1"/>
    <n v="1"/>
    <n v="0"/>
    <n v="1"/>
    <n v="1"/>
    <n v="0"/>
  </r>
  <r>
    <x v="32"/>
    <x v="31"/>
    <x v="2"/>
    <x v="531"/>
    <d v="2024-09-18T11:26:56"/>
    <d v="2025-09-17T21:59:59"/>
    <s v="Cisco Associate-level Certification"/>
    <s v="CCNA R&amp;S"/>
    <x v="8"/>
    <s v="CCNA: Switching, Routing, and Wireless Essentials_3_B_ADM"/>
    <s v="English"/>
    <s v="7"/>
    <s v="7717569"/>
    <s v="Izabela"/>
    <s v="Molitorisova"/>
    <n v="5"/>
    <n v="5"/>
    <n v="0"/>
    <n v="5"/>
    <n v="5"/>
    <n v="0"/>
  </r>
  <r>
    <x v="32"/>
    <x v="31"/>
    <x v="2"/>
    <x v="532"/>
    <d v="2024-09-16T07:05:26"/>
    <d v="2025-09-30T21:59:59"/>
    <s v="Cisco Associate-level Certification"/>
    <s v="CCNA R&amp;S"/>
    <x v="8"/>
    <s v="1V_DUAL_24/25_CCNA: Switching, Routing, and Wireless Essentials"/>
    <s v="English"/>
    <s v="7"/>
    <s v="45821601"/>
    <s v="Miroslav"/>
    <s v="Barutiak"/>
    <n v="24"/>
    <n v="23"/>
    <n v="0"/>
    <n v="24"/>
    <n v="23"/>
    <n v="0"/>
  </r>
  <r>
    <x v="32"/>
    <x v="31"/>
    <x v="2"/>
    <x v="533"/>
    <d v="2024-05-01T22:00:00"/>
    <d v="2024-12-31T22:59:59"/>
    <s v="Intermediate Technical Skills"/>
    <s v="Cybersecurity"/>
    <x v="0"/>
    <s v="Ethical Hacker"/>
    <s v="English"/>
    <s v="1"/>
    <s v="5404307"/>
    <s v="Radovan"/>
    <s v="Repovsky"/>
    <n v="6"/>
    <n v="6"/>
    <n v="2"/>
    <n v="6"/>
    <n v="6"/>
    <n v="2"/>
  </r>
  <r>
    <x v="32"/>
    <x v="31"/>
    <x v="2"/>
    <x v="534"/>
    <d v="2024-12-05T09:22:53"/>
    <d v="2025-06-30T21:59:59"/>
    <s v="Cisco Associate-level Certification"/>
    <s v="CCNA R&amp;S"/>
    <x v="9"/>
    <s v="CCNA: Introduction to Networks"/>
    <s v="English"/>
    <s v="7"/>
    <s v="4694369"/>
    <s v="Michal"/>
    <s v="Copko"/>
    <n v="30"/>
    <n v="27"/>
    <n v="1"/>
    <n v="30"/>
    <n v="27"/>
    <n v="1"/>
  </r>
  <r>
    <x v="32"/>
    <x v="31"/>
    <x v="2"/>
    <x v="2"/>
    <m/>
    <m/>
    <m/>
    <m/>
    <x v="2"/>
    <m/>
    <m/>
    <m/>
    <s v="5404307"/>
    <s v="Radovan"/>
    <s v="Repovsky"/>
    <n v="30"/>
    <n v="27"/>
    <n v="1"/>
    <n v="30"/>
    <n v="27"/>
    <n v="1"/>
  </r>
  <r>
    <x v="32"/>
    <x v="31"/>
    <x v="2"/>
    <x v="535"/>
    <d v="2024-09-30T12:30:20"/>
    <d v="2025-06-30T21:59:59"/>
    <s v="Cisco Entry-level Certification"/>
    <s v="Cybersecurity"/>
    <x v="51"/>
    <s v="Network Defense - 2024/25"/>
    <s v="English"/>
    <s v="1"/>
    <s v="4694369"/>
    <s v="Michal"/>
    <s v="Copko"/>
    <n v="24"/>
    <n v="23"/>
    <n v="4"/>
    <n v="24"/>
    <n v="23"/>
    <n v="4"/>
  </r>
  <r>
    <x v="32"/>
    <x v="31"/>
    <x v="2"/>
    <x v="2"/>
    <m/>
    <m/>
    <m/>
    <m/>
    <x v="2"/>
    <m/>
    <m/>
    <m/>
    <s v="5986815"/>
    <s v="Jozef"/>
    <s v="Ploscica"/>
    <n v="24"/>
    <n v="23"/>
    <n v="4"/>
    <n v="24"/>
    <n v="23"/>
    <n v="4"/>
  </r>
  <r>
    <x v="32"/>
    <x v="31"/>
    <x v="2"/>
    <x v="536"/>
    <d v="2024-12-17T10:46:13"/>
    <d v="2025-06-27T21:59:59"/>
    <s v="3rd Party Technical Certification"/>
    <s v="C"/>
    <x v="24"/>
    <s v="C Essentials 1"/>
    <s v="English"/>
    <s v="1"/>
    <s v="37490080"/>
    <s v="Ľudmila"/>
    <s v="Ďuratná"/>
    <n v="12"/>
    <n v="10"/>
    <n v="4"/>
    <n v="12"/>
    <n v="10"/>
    <n v="4"/>
  </r>
  <r>
    <x v="32"/>
    <x v="31"/>
    <x v="2"/>
    <x v="537"/>
    <d v="2024-09-10T07:08:09"/>
    <d v="2025-09-09T21:59:59"/>
    <s v="Cisco Associate-level Certification"/>
    <s v="CCNA R&amp;S"/>
    <x v="9"/>
    <s v="CCNA: Introduction to Networks II.A 2.sk"/>
    <s v="English"/>
    <s v="7"/>
    <s v="37490080"/>
    <s v="Ľudmila"/>
    <s v="Ďuratná"/>
    <n v="14"/>
    <n v="14"/>
    <n v="0"/>
    <n v="14"/>
    <n v="14"/>
    <n v="0"/>
  </r>
  <r>
    <x v="32"/>
    <x v="31"/>
    <x v="2"/>
    <x v="538"/>
    <d v="2024-09-10T10:53:12"/>
    <d v="2025-09-30T21:59:59"/>
    <s v="Cisco Associate-level Certification"/>
    <s v="CCNA R&amp;S"/>
    <x v="8"/>
    <s v="4D_SPSEKE_24/25_CCNA: Switching, Routing, and Wireless Essentials"/>
    <s v="English"/>
    <s v="7"/>
    <s v="45821601"/>
    <s v="Miroslav"/>
    <s v="Barutiak"/>
    <n v="8"/>
    <n v="8"/>
    <n v="1"/>
    <n v="8"/>
    <n v="8"/>
    <n v="1"/>
  </r>
  <r>
    <x v="32"/>
    <x v="31"/>
    <x v="2"/>
    <x v="539"/>
    <d v="2024-09-17T11:28:28"/>
    <d v="2025-09-17T21:59:59"/>
    <s v="3rd Party Technical Certification"/>
    <s v="Python"/>
    <x v="16"/>
    <s v="PEŤO_ZAMBORI_Python Essentials 1"/>
    <s v="English"/>
    <s v="1"/>
    <s v="45821601"/>
    <s v="Miroslav"/>
    <s v="Barutiak"/>
    <n v="3"/>
    <n v="3"/>
    <n v="0"/>
    <n v="3"/>
    <n v="3"/>
    <n v="0"/>
  </r>
  <r>
    <x v="32"/>
    <x v="31"/>
    <x v="2"/>
    <x v="540"/>
    <d v="2024-09-17T10:35:12"/>
    <d v="2025-09-16T21:59:59"/>
    <s v="Cisco Associate-level Certification"/>
    <s v="CCNA R&amp;S"/>
    <x v="8"/>
    <s v="CCNA: Switching, Routing, and Wireless Essentials_3_D_ADM"/>
    <s v="English"/>
    <s v="7"/>
    <s v="7717569"/>
    <s v="Izabela"/>
    <s v="Molitorisova"/>
    <n v="13"/>
    <n v="13"/>
    <n v="0"/>
    <n v="13"/>
    <n v="13"/>
    <n v="0"/>
  </r>
  <r>
    <x v="32"/>
    <x v="31"/>
    <x v="2"/>
    <x v="541"/>
    <d v="2024-09-10T07:06:26"/>
    <d v="2025-09-09T21:59:59"/>
    <s v="Cisco Associate-level Certification"/>
    <s v="CCNA R&amp;S"/>
    <x v="9"/>
    <s v="CCNA: Introduction to Networks II.A 1.sk"/>
    <s v="English"/>
    <s v="7"/>
    <s v="37490080"/>
    <s v="Ľudmila"/>
    <s v="Ďuratná"/>
    <n v="13"/>
    <n v="13"/>
    <n v="0"/>
    <n v="13"/>
    <n v="13"/>
    <n v="0"/>
  </r>
  <r>
    <x v="32"/>
    <x v="31"/>
    <x v="2"/>
    <x v="542"/>
    <d v="2024-09-10T06:30:23"/>
    <d v="2025-09-09T21:59:59"/>
    <s v="Cisco Associate-level Certification"/>
    <s v="CCNA R&amp;S"/>
    <x v="9"/>
    <s v="CCNA: Introduction to Networks II.B 2.sk"/>
    <s v="English"/>
    <s v="7"/>
    <s v="37490080"/>
    <s v="Ľudmila"/>
    <s v="Ďuratná"/>
    <n v="13"/>
    <n v="12"/>
    <n v="0"/>
    <n v="13"/>
    <n v="12"/>
    <n v="0"/>
  </r>
  <r>
    <x v="32"/>
    <x v="31"/>
    <x v="2"/>
    <x v="543"/>
    <d v="2024-09-30T11:33:29"/>
    <d v="2025-06-30T21:59:59"/>
    <s v="Introductory Technical Skills"/>
    <s v="Cybersecurity"/>
    <x v="31"/>
    <s v="Introduction to Cybersecurity - 2024/25"/>
    <s v="English"/>
    <s v="7.1"/>
    <s v="4694369"/>
    <s v="Michal"/>
    <s v="Copko"/>
    <n v="62"/>
    <n v="61"/>
    <n v="38"/>
    <n v="62"/>
    <n v="61"/>
    <n v="38"/>
  </r>
  <r>
    <x v="32"/>
    <x v="31"/>
    <x v="2"/>
    <x v="2"/>
    <m/>
    <m/>
    <m/>
    <m/>
    <x v="2"/>
    <m/>
    <m/>
    <m/>
    <s v="5986815"/>
    <s v="Jozef"/>
    <s v="Ploscica"/>
    <n v="62"/>
    <n v="61"/>
    <n v="38"/>
    <n v="62"/>
    <n v="61"/>
    <n v="38"/>
  </r>
  <r>
    <x v="32"/>
    <x v="31"/>
    <x v="2"/>
    <x v="544"/>
    <d v="2024-09-17T10:54:26"/>
    <d v="2025-09-16T21:59:59"/>
    <s v="Cisco Associate-level Certification"/>
    <s v="CCNA R&amp;S"/>
    <x v="10"/>
    <s v="CCNA: Enterprise Networking, Security, and Automation_VOŠ"/>
    <s v="English"/>
    <s v="1"/>
    <s v="7717569"/>
    <s v="Izabela"/>
    <s v="Molitorisova"/>
    <n v="1"/>
    <n v="1"/>
    <n v="1"/>
    <n v="1"/>
    <n v="1"/>
    <n v="1"/>
  </r>
  <r>
    <x v="32"/>
    <x v="31"/>
    <x v="2"/>
    <x v="545"/>
    <d v="2024-12-17T10:51:17"/>
    <d v="2025-09-30T21:59:59"/>
    <s v="3rd Party Technical Certification"/>
    <s v="C"/>
    <x v="25"/>
    <s v="C Essentials 2"/>
    <s v="English"/>
    <s v="1"/>
    <s v="37490080"/>
    <s v="Ľudmila"/>
    <s v="Ďuratná"/>
    <n v="5"/>
    <n v="4"/>
    <n v="2"/>
    <n v="5"/>
    <n v="4"/>
    <n v="2"/>
  </r>
  <r>
    <x v="32"/>
    <x v="31"/>
    <x v="2"/>
    <x v="546"/>
    <d v="2024-09-18T10:33:43"/>
    <d v="2025-09-18T21:59:59"/>
    <s v="Cisco Associate-level Certification"/>
    <s v="CCNA R&amp;S"/>
    <x v="9"/>
    <s v="2.E.1sk_24/25_CCNA: Introduction to Networks"/>
    <s v="English"/>
    <s v="7"/>
    <s v="45821601"/>
    <s v="Miroslav"/>
    <s v="Barutiak"/>
    <n v="16"/>
    <n v="15"/>
    <n v="0"/>
    <n v="16"/>
    <n v="15"/>
    <n v="0"/>
  </r>
  <r>
    <x v="32"/>
    <x v="31"/>
    <x v="2"/>
    <x v="547"/>
    <d v="2024-09-10T07:02:28"/>
    <d v="2025-09-09T21:59:59"/>
    <s v="Cisco Associate-level Certification"/>
    <s v="CCNA R&amp;S"/>
    <x v="9"/>
    <s v="CCNA: Introduction to Networks II. B 1.sk"/>
    <s v="English"/>
    <s v="7"/>
    <s v="37490080"/>
    <s v="Ľudmila"/>
    <s v="Ďuratná"/>
    <n v="13"/>
    <n v="13"/>
    <n v="0"/>
    <n v="13"/>
    <n v="13"/>
    <n v="0"/>
  </r>
  <r>
    <x v="32"/>
    <x v="31"/>
    <x v="2"/>
    <x v="548"/>
    <d v="2024-09-30T12:39:15"/>
    <d v="2025-09-30T21:59:59"/>
    <s v="Intermediate Technical Skills"/>
    <s v="Cybersecurity"/>
    <x v="0"/>
    <s v="Ethical Hacker - 2024/25"/>
    <s v="English"/>
    <s v="1"/>
    <s v="4694369"/>
    <s v="Michal"/>
    <s v="Copko"/>
    <n v="30"/>
    <n v="28"/>
    <n v="1"/>
    <n v="30"/>
    <n v="28"/>
    <n v="1"/>
  </r>
  <r>
    <x v="32"/>
    <x v="31"/>
    <x v="2"/>
    <x v="2"/>
    <m/>
    <m/>
    <m/>
    <m/>
    <x v="2"/>
    <m/>
    <m/>
    <m/>
    <s v="5404307"/>
    <s v="Radovan"/>
    <s v="Repovsky"/>
    <n v="30"/>
    <n v="28"/>
    <n v="1"/>
    <n v="30"/>
    <n v="28"/>
    <n v="1"/>
  </r>
  <r>
    <x v="32"/>
    <x v="31"/>
    <x v="2"/>
    <x v="2"/>
    <m/>
    <m/>
    <m/>
    <m/>
    <x v="2"/>
    <m/>
    <m/>
    <m/>
    <s v="5986815"/>
    <s v="Jozef"/>
    <s v="Ploscica"/>
    <n v="30"/>
    <n v="28"/>
    <n v="1"/>
    <n v="30"/>
    <n v="28"/>
    <n v="1"/>
  </r>
  <r>
    <x v="33"/>
    <x v="32"/>
    <x v="0"/>
    <x v="549"/>
    <d v="2024-11-07T07:11:14"/>
    <d v="2024-12-06T22:59:59"/>
    <s v="Introductory Technical Skills"/>
    <s v="Packet Tracer"/>
    <x v="15"/>
    <s v="Getting Started with Cisco Packet Tracer"/>
    <s v="English"/>
    <s v="1"/>
    <s v="51363958"/>
    <s v="Miro"/>
    <s v="Kalocai"/>
    <n v="10"/>
    <n v="1"/>
    <n v="0"/>
    <n v="10"/>
    <n v="1"/>
    <n v="0"/>
  </r>
  <r>
    <x v="33"/>
    <x v="32"/>
    <x v="0"/>
    <x v="550"/>
    <d v="2024-09-30T06:04:33"/>
    <d v="2024-10-30T22:59:59"/>
    <s v="Introductory Technical Skills"/>
    <s v="Packet Tracer"/>
    <x v="52"/>
    <s v="Exploring Networking with Cisco Packet Tracer"/>
    <s v="English"/>
    <s v="1"/>
    <s v="51363958"/>
    <s v="Miro"/>
    <s v="Kalocai"/>
    <n v="11"/>
    <n v="5"/>
    <n v="3"/>
    <n v="11"/>
    <n v="5"/>
    <n v="3"/>
  </r>
  <r>
    <x v="33"/>
    <x v="32"/>
    <x v="0"/>
    <x v="551"/>
    <d v="2024-10-15T18:30:02"/>
    <d v="2024-12-15T22:59:59"/>
    <s v="Introductory Technical Skills"/>
    <s v="Cybersecurity"/>
    <x v="31"/>
    <s v="Introduction to Cybersecurity"/>
    <s v="English"/>
    <s v="7.1"/>
    <s v="51363958"/>
    <s v="Miro"/>
    <s v="Kalocai"/>
    <n v="10"/>
    <n v="5"/>
    <n v="3"/>
    <n v="10"/>
    <n v="5"/>
    <n v="3"/>
  </r>
  <r>
    <x v="33"/>
    <x v="32"/>
    <x v="0"/>
    <x v="552"/>
    <d v="2024-10-14T19:16:46"/>
    <d v="2024-12-20T22:59:59"/>
    <s v="Introductory Technical Skills"/>
    <s v="Packet Tracer"/>
    <x v="15"/>
    <s v="Getting Started with Cisco Packet Tracer T42024"/>
    <s v="English"/>
    <s v="1"/>
    <s v="51363958"/>
    <s v="Miro"/>
    <s v="Kalocai"/>
    <n v="19"/>
    <n v="6"/>
    <n v="4"/>
    <n v="19"/>
    <n v="6"/>
    <n v="4"/>
  </r>
  <r>
    <x v="34"/>
    <x v="33"/>
    <x v="7"/>
    <x v="553"/>
    <d v="2024-08-31T22:00:00"/>
    <d v="2025-06-30T21:59:59"/>
    <s v="Cisco Associate-level Certification"/>
    <s v="CCNA R&amp;S"/>
    <x v="8"/>
    <s v="CCNA2 3.E MPS 2024/2025"/>
    <s v="English"/>
    <s v="7"/>
    <s v="54873416"/>
    <s v="Richard"/>
    <s v="Pisarský"/>
    <n v="19"/>
    <n v="19"/>
    <n v="19"/>
    <n v="19"/>
    <n v="19"/>
    <n v="19"/>
  </r>
  <r>
    <x v="34"/>
    <x v="33"/>
    <x v="7"/>
    <x v="554"/>
    <d v="2024-08-31T22:00:00"/>
    <d v="2025-06-30T21:59:59"/>
    <s v="Cisco Associate-level Certification"/>
    <s v="CCNA R&amp;S"/>
    <x v="9"/>
    <s v="CCNA1 2.F MPS 2024/2025"/>
    <s v="English"/>
    <s v="7"/>
    <s v="54873416"/>
    <s v="Richard"/>
    <s v="Pisarský"/>
    <n v="30"/>
    <n v="29"/>
    <n v="15"/>
    <n v="30"/>
    <n v="29"/>
    <n v="15"/>
  </r>
  <r>
    <x v="34"/>
    <x v="33"/>
    <x v="7"/>
    <x v="555"/>
    <d v="2024-08-31T22:00:00"/>
    <d v="2025-05-30T21:59:59"/>
    <s v="Cisco Associate-level Certification"/>
    <s v="CCNA R&amp;S"/>
    <x v="10"/>
    <s v="CCNA3 4.E MPS 2024/2025"/>
    <s v="English"/>
    <s v="1"/>
    <s v="54873416"/>
    <s v="Richard"/>
    <s v="Pisarský"/>
    <n v="11"/>
    <n v="9"/>
    <n v="9"/>
    <n v="11"/>
    <n v="9"/>
    <n v="9"/>
  </r>
  <r>
    <x v="34"/>
    <x v="33"/>
    <x v="7"/>
    <x v="556"/>
    <d v="2024-08-31T22:00:00"/>
    <d v="2025-06-30T21:59:59"/>
    <s v="Cisco Associate-level Certification"/>
    <s v="CCNA R&amp;S"/>
    <x v="8"/>
    <s v="CCNA2 3.F MPS 2024/2025"/>
    <s v="English"/>
    <s v="7"/>
    <s v="54873416"/>
    <s v="Richard"/>
    <s v="Pisarský"/>
    <n v="11"/>
    <n v="8"/>
    <n v="0"/>
    <n v="11"/>
    <n v="8"/>
    <n v="0"/>
  </r>
  <r>
    <x v="35"/>
    <x v="34"/>
    <x v="1"/>
    <x v="557"/>
    <d v="2024-09-11T05:10:36"/>
    <d v="2025-06-27T21:59:59"/>
    <s v="Cisco Associate-level Certification"/>
    <s v="CCNA R&amp;S"/>
    <x v="9"/>
    <s v="CCNA: Introduction to Networks"/>
    <s v="English"/>
    <s v="7"/>
    <s v="278907"/>
    <s v="Maria"/>
    <s v="Spisakova"/>
    <n v="14"/>
    <n v="11"/>
    <n v="10"/>
    <n v="14"/>
    <n v="11"/>
    <n v="10"/>
  </r>
  <r>
    <x v="35"/>
    <x v="34"/>
    <x v="1"/>
    <x v="558"/>
    <d v="2024-09-08T19:03:20"/>
    <d v="2025-06-30T21:59:59"/>
    <s v="Cisco Associate-level Certification"/>
    <s v="CCNA R&amp;S"/>
    <x v="9"/>
    <s v="CCNA: Introduction to Networks"/>
    <s v="English"/>
    <s v="7"/>
    <s v="1014712376"/>
    <s v="Otília"/>
    <s v="Heveryová"/>
    <n v="14"/>
    <n v="14"/>
    <n v="14"/>
    <n v="14"/>
    <n v="14"/>
    <n v="14"/>
  </r>
  <r>
    <x v="35"/>
    <x v="34"/>
    <x v="1"/>
    <x v="2"/>
    <m/>
    <m/>
    <m/>
    <m/>
    <x v="2"/>
    <m/>
    <m/>
    <m/>
    <s v="278907"/>
    <s v="Maria"/>
    <s v="Spisakova"/>
    <n v="14"/>
    <n v="14"/>
    <n v="14"/>
    <n v="14"/>
    <n v="14"/>
    <n v="14"/>
  </r>
  <r>
    <x v="36"/>
    <x v="35"/>
    <x v="0"/>
    <x v="559"/>
    <d v="2024-11-08T07:09:00"/>
    <d v="2025-06-30T21:59:59"/>
    <s v="Cisco Associate-level Certification"/>
    <s v="CCNA R&amp;S"/>
    <x v="8"/>
    <s v="CCNA: Switching, Routing, and Wireless Essentials"/>
    <s v="English"/>
    <s v="7"/>
    <s v="35420883"/>
    <s v="Henrieta"/>
    <s v="Tarajcakova"/>
    <n v="19"/>
    <n v="18"/>
    <n v="18"/>
    <n v="19"/>
    <n v="18"/>
    <n v="18"/>
  </r>
  <r>
    <x v="36"/>
    <x v="35"/>
    <x v="0"/>
    <x v="560"/>
    <d v="2024-04-16T22:00:00"/>
    <d v="2024-08-30T22:00:00"/>
    <s v="Cisco Associate-level Certification"/>
    <s v="CCNA R&amp;S"/>
    <x v="4"/>
    <s v="CCNA2_IV.D_2.sk_23/24"/>
    <s v="English"/>
    <s v="7.02"/>
    <s v="35420883"/>
    <s v="Henrieta"/>
    <s v="Tarajcakova"/>
    <n v="5"/>
    <n v="4"/>
    <n v="0"/>
    <n v="5"/>
    <n v="4"/>
    <n v="0"/>
  </r>
  <r>
    <x v="36"/>
    <x v="35"/>
    <x v="0"/>
    <x v="561"/>
    <d v="2024-04-16T22:00:00"/>
    <d v="2024-09-29T22:00:00"/>
    <s v="Cisco Associate-level Certification"/>
    <s v="CCNA R&amp;S"/>
    <x v="4"/>
    <s v="CCNA2_III.D_1.sk_23/24"/>
    <s v="English"/>
    <s v="7.02"/>
    <s v="35420883"/>
    <s v="Henrieta"/>
    <s v="Tarajcakova"/>
    <n v="17"/>
    <n v="12"/>
    <n v="0"/>
    <n v="17"/>
    <n v="12"/>
    <n v="0"/>
  </r>
  <r>
    <x v="36"/>
    <x v="35"/>
    <x v="0"/>
    <x v="562"/>
    <d v="2024-11-08T23:00:00"/>
    <d v="2025-01-31T22:59:59"/>
    <s v="Cisco Associate-level Certification"/>
    <s v="CCNA R&amp;S"/>
    <x v="8"/>
    <s v="CCNA: Switching, Routing, and Wireless Essentials"/>
    <s v="English"/>
    <s v="7"/>
    <s v="35420883"/>
    <s v="Henrieta"/>
    <s v="Tarajcakova"/>
    <n v="5"/>
    <n v="2"/>
    <n v="0"/>
    <n v="5"/>
    <n v="2"/>
    <n v="0"/>
  </r>
  <r>
    <x v="36"/>
    <x v="35"/>
    <x v="0"/>
    <x v="563"/>
    <d v="2024-09-16T10:30:07"/>
    <d v="2025-06-30T21:59:59"/>
    <s v="Cisco Associate-level Certification"/>
    <s v="CCNA R&amp;S"/>
    <x v="9"/>
    <s v="SST - 2.D-2.sk - CCNA: Introduction to Networks"/>
    <s v="English"/>
    <s v="7"/>
    <s v="1006943468"/>
    <s v="Tomáš"/>
    <s v="Zekucia"/>
    <n v="16"/>
    <n v="15"/>
    <n v="0"/>
    <n v="16"/>
    <n v="15"/>
    <n v="0"/>
  </r>
  <r>
    <x v="36"/>
    <x v="35"/>
    <x v="0"/>
    <x v="564"/>
    <d v="2024-10-25T09:52:52"/>
    <d v="2025-05-30T21:59:59"/>
    <s v="Cisco Associate-level Certification"/>
    <s v="CCNA R&amp;S"/>
    <x v="10"/>
    <s v="CCNA: Enterprise Networking, Security, and Automation"/>
    <s v="English"/>
    <s v="1"/>
    <s v="35420883"/>
    <s v="Henrieta"/>
    <s v="Tarajcakova"/>
    <n v="17"/>
    <n v="17"/>
    <n v="15"/>
    <n v="17"/>
    <n v="17"/>
    <n v="15"/>
  </r>
  <r>
    <x v="36"/>
    <x v="35"/>
    <x v="0"/>
    <x v="565"/>
    <d v="2024-09-09T22:00:00"/>
    <d v="2025-06-30T21:59:59"/>
    <s v="Cisco Associate-level Certification"/>
    <s v="CCNA R&amp;S"/>
    <x v="9"/>
    <s v="CCNA: Introduction to Networks"/>
    <s v="English"/>
    <s v="7"/>
    <s v="1006943468"/>
    <s v="Tomáš"/>
    <s v="Zekucia"/>
    <n v="15"/>
    <n v="0"/>
    <n v="0"/>
    <n v="15"/>
    <n v="0"/>
    <n v="0"/>
  </r>
  <r>
    <x v="36"/>
    <x v="35"/>
    <x v="0"/>
    <x v="566"/>
    <d v="2024-09-15T16:30:33"/>
    <d v="2025-06-30T21:59:59"/>
    <s v="Cisco Associate-level Certification"/>
    <s v="CCNA R&amp;S"/>
    <x v="9"/>
    <s v="SST - 2.D-1.sk - CCNA: Introduction to Networks"/>
    <s v="English"/>
    <s v="7"/>
    <s v="1006943468"/>
    <s v="Tomáš"/>
    <s v="Zekucia"/>
    <n v="16"/>
    <n v="15"/>
    <n v="0"/>
    <n v="16"/>
    <n v="15"/>
    <n v="0"/>
  </r>
  <r>
    <x v="37"/>
    <x v="36"/>
    <x v="0"/>
    <x v="567"/>
    <d v="2024-06-22T22:00:00"/>
    <d v="2025-02-21T23:00:00"/>
    <s v="Cisco Associate-level Certification"/>
    <s v="CCNA R&amp;S"/>
    <x v="5"/>
    <s v="2023_24_R_CCNA1_SO"/>
    <s v="English"/>
    <s v="7.02"/>
    <s v="24868972"/>
    <s v="Mirko"/>
    <s v="Semjon"/>
    <n v="1"/>
    <n v="1"/>
    <n v="1"/>
    <n v="1"/>
    <n v="1"/>
    <n v="1"/>
  </r>
  <r>
    <x v="37"/>
    <x v="36"/>
    <x v="0"/>
    <x v="2"/>
    <m/>
    <m/>
    <m/>
    <m/>
    <x v="2"/>
    <m/>
    <m/>
    <m/>
    <s v="24929073"/>
    <s v="Maria"/>
    <s v="Ortutayova"/>
    <n v="1"/>
    <n v="1"/>
    <n v="1"/>
    <n v="1"/>
    <n v="1"/>
    <n v="1"/>
  </r>
  <r>
    <x v="37"/>
    <x v="36"/>
    <x v="0"/>
    <x v="2"/>
    <m/>
    <m/>
    <m/>
    <m/>
    <x v="2"/>
    <m/>
    <m/>
    <m/>
    <s v="25059480"/>
    <s v="Adriana"/>
    <s v="Bindzarova"/>
    <n v="1"/>
    <n v="1"/>
    <n v="1"/>
    <n v="1"/>
    <n v="1"/>
    <n v="1"/>
  </r>
  <r>
    <x v="37"/>
    <x v="36"/>
    <x v="0"/>
    <x v="2"/>
    <m/>
    <m/>
    <m/>
    <m/>
    <x v="2"/>
    <m/>
    <m/>
    <m/>
    <s v="39030601"/>
    <s v="Jan"/>
    <s v="Onufer"/>
    <n v="1"/>
    <n v="1"/>
    <n v="1"/>
    <n v="1"/>
    <n v="1"/>
    <n v="1"/>
  </r>
  <r>
    <x v="37"/>
    <x v="36"/>
    <x v="0"/>
    <x v="2"/>
    <m/>
    <m/>
    <m/>
    <m/>
    <x v="2"/>
    <m/>
    <m/>
    <m/>
    <s v="39050426"/>
    <s v="Anna"/>
    <s v="Buchlaková"/>
    <n v="1"/>
    <n v="1"/>
    <n v="1"/>
    <n v="1"/>
    <n v="1"/>
    <n v="1"/>
  </r>
  <r>
    <x v="37"/>
    <x v="36"/>
    <x v="0"/>
    <x v="568"/>
    <d v="2024-09-05T07:50:42"/>
    <d v="2025-06-30T21:59:59"/>
    <s v="Cisco Associate-level Certification"/>
    <s v="CCNA R&amp;S"/>
    <x v="9"/>
    <s v="2024_25_4.L_CCNA1_SO: Introduction to Networks"/>
    <s v="English"/>
    <s v="7"/>
    <s v="24868972"/>
    <s v="Mirko"/>
    <s v="Semjon"/>
    <n v="12"/>
    <n v="12"/>
    <n v="0"/>
    <n v="12"/>
    <n v="12"/>
    <n v="0"/>
  </r>
  <r>
    <x v="37"/>
    <x v="36"/>
    <x v="0"/>
    <x v="2"/>
    <m/>
    <m/>
    <m/>
    <m/>
    <x v="2"/>
    <m/>
    <m/>
    <m/>
    <s v="25059480"/>
    <s v="Adriana"/>
    <s v="Bindzarova"/>
    <n v="12"/>
    <n v="12"/>
    <n v="0"/>
    <n v="12"/>
    <n v="12"/>
    <n v="0"/>
  </r>
  <r>
    <x v="37"/>
    <x v="36"/>
    <x v="0"/>
    <x v="2"/>
    <m/>
    <m/>
    <m/>
    <m/>
    <x v="2"/>
    <m/>
    <m/>
    <m/>
    <s v="39050426"/>
    <s v="Anna"/>
    <s v="Buchlaková"/>
    <n v="12"/>
    <n v="12"/>
    <n v="0"/>
    <n v="12"/>
    <n v="12"/>
    <n v="0"/>
  </r>
  <r>
    <x v="37"/>
    <x v="36"/>
    <x v="0"/>
    <x v="569"/>
    <d v="2024-09-24T06:46:01"/>
    <d v="2025-09-30T21:59:59"/>
    <s v="3rd Party Technical Certification"/>
    <s v="IT Essentials"/>
    <x v="13"/>
    <s v="IT Essentials 8"/>
    <s v="English"/>
    <s v="8"/>
    <s v="24868972"/>
    <s v="Mirko"/>
    <s v="Semjon"/>
    <n v="23"/>
    <n v="19"/>
    <n v="3"/>
    <n v="23"/>
    <n v="19"/>
    <n v="3"/>
  </r>
  <r>
    <x v="37"/>
    <x v="36"/>
    <x v="0"/>
    <x v="2"/>
    <m/>
    <m/>
    <m/>
    <m/>
    <x v="2"/>
    <m/>
    <m/>
    <m/>
    <s v="25059480"/>
    <s v="Adriana"/>
    <s v="Bindzarova"/>
    <n v="23"/>
    <n v="19"/>
    <n v="3"/>
    <n v="23"/>
    <n v="19"/>
    <n v="3"/>
  </r>
  <r>
    <x v="37"/>
    <x v="36"/>
    <x v="0"/>
    <x v="2"/>
    <m/>
    <m/>
    <m/>
    <m/>
    <x v="2"/>
    <m/>
    <m/>
    <m/>
    <s v="39050426"/>
    <s v="Anna"/>
    <s v="Buchlaková"/>
    <n v="23"/>
    <n v="19"/>
    <n v="3"/>
    <n v="23"/>
    <n v="19"/>
    <n v="3"/>
  </r>
  <r>
    <x v="37"/>
    <x v="36"/>
    <x v="0"/>
    <x v="570"/>
    <d v="2024-09-04T08:50:12"/>
    <d v="2026-06-29T21:59:59"/>
    <s v="Cisco Associate-level Certification"/>
    <s v="CCNA R&amp;S"/>
    <x v="9"/>
    <s v="2024_26_3.L_CCNA1_SO: Introduction to Networks"/>
    <s v="English"/>
    <s v="7"/>
    <s v="24868972"/>
    <s v="Mirko"/>
    <s v="Semjon"/>
    <n v="15"/>
    <n v="15"/>
    <n v="8"/>
    <n v="15"/>
    <n v="15"/>
    <n v="8"/>
  </r>
  <r>
    <x v="37"/>
    <x v="36"/>
    <x v="0"/>
    <x v="2"/>
    <m/>
    <m/>
    <m/>
    <m/>
    <x v="2"/>
    <m/>
    <m/>
    <m/>
    <s v="39050426"/>
    <s v="Anna"/>
    <s v="Buchlaková"/>
    <n v="15"/>
    <n v="15"/>
    <n v="8"/>
    <n v="15"/>
    <n v="15"/>
    <n v="8"/>
  </r>
  <r>
    <x v="37"/>
    <x v="36"/>
    <x v="0"/>
    <x v="571"/>
    <d v="2024-08-26T12:52:49"/>
    <d v="2025-08-26T21:59:59"/>
    <s v="Cisco Associate-level Certification"/>
    <s v="CCNA R&amp;S"/>
    <x v="9"/>
    <s v="2024_25_RA_CCNA1_SO: Introduction to Networks"/>
    <s v="English"/>
    <s v="7"/>
    <s v="24868972"/>
    <s v="Mirko"/>
    <s v="Semjon"/>
    <n v="1"/>
    <n v="1"/>
    <n v="0"/>
    <n v="1"/>
    <n v="1"/>
    <n v="0"/>
  </r>
  <r>
    <x v="37"/>
    <x v="36"/>
    <x v="0"/>
    <x v="2"/>
    <m/>
    <m/>
    <m/>
    <m/>
    <x v="2"/>
    <m/>
    <m/>
    <m/>
    <s v="39050426"/>
    <s v="Anna"/>
    <s v="Buchlaková"/>
    <n v="1"/>
    <n v="1"/>
    <n v="0"/>
    <n v="1"/>
    <n v="1"/>
    <n v="0"/>
  </r>
  <r>
    <x v="38"/>
    <x v="37"/>
    <x v="6"/>
    <x v="572"/>
    <d v="2024-09-15T22:00:00"/>
    <d v="2025-02-14T22:59:59"/>
    <s v="Cisco Associate-level Certification"/>
    <s v="CCNA R&amp;S"/>
    <x v="9"/>
    <s v="PKS2425-STV08-LST1"/>
    <s v="English"/>
    <s v="7"/>
    <s v="1001538379"/>
    <s v="Matúš"/>
    <s v="Mikuláš"/>
    <n v="20"/>
    <n v="20"/>
    <n v="0"/>
    <m/>
    <m/>
    <m/>
  </r>
  <r>
    <x v="38"/>
    <x v="37"/>
    <x v="6"/>
    <x v="2"/>
    <m/>
    <m/>
    <m/>
    <m/>
    <x v="2"/>
    <m/>
    <m/>
    <m/>
    <s v="1014792255"/>
    <s v="Adrián"/>
    <s v="Ondov"/>
    <n v="20"/>
    <n v="20"/>
    <n v="0"/>
    <m/>
    <m/>
    <m/>
  </r>
  <r>
    <x v="38"/>
    <x v="37"/>
    <x v="6"/>
    <x v="2"/>
    <m/>
    <m/>
    <m/>
    <m/>
    <x v="2"/>
    <m/>
    <m/>
    <m/>
    <s v="1015457254"/>
    <s v="Branislav"/>
    <s v="Jančovič"/>
    <n v="20"/>
    <n v="20"/>
    <n v="0"/>
    <m/>
    <m/>
    <m/>
  </r>
  <r>
    <x v="38"/>
    <x v="37"/>
    <x v="6"/>
    <x v="2"/>
    <m/>
    <m/>
    <m/>
    <m/>
    <x v="2"/>
    <m/>
    <m/>
    <m/>
    <s v="49393169"/>
    <s v="Ladislav"/>
    <s v="Zemko"/>
    <n v="20"/>
    <n v="20"/>
    <n v="0"/>
    <m/>
    <m/>
    <m/>
  </r>
  <r>
    <x v="38"/>
    <x v="37"/>
    <x v="6"/>
    <x v="2"/>
    <m/>
    <m/>
    <m/>
    <m/>
    <x v="2"/>
    <m/>
    <m/>
    <m/>
    <s v="8585016"/>
    <s v="Pavol"/>
    <s v="Helebrandt"/>
    <n v="20"/>
    <n v="20"/>
    <n v="0"/>
    <m/>
    <m/>
    <m/>
  </r>
  <r>
    <x v="38"/>
    <x v="37"/>
    <x v="6"/>
    <x v="573"/>
    <d v="2024-04-10T22:00:00"/>
    <d v="2024-09-10T22:00:00"/>
    <s v="Cisco Associate-level Certification"/>
    <s v="CCNP R&amp;S"/>
    <x v="53"/>
    <s v="ENCOR-2"/>
    <s v="English"/>
    <s v="8.02"/>
    <s v="8585016"/>
    <s v="Pavol"/>
    <s v="Helebrandt"/>
    <n v="1"/>
    <n v="1"/>
    <n v="0"/>
    <m/>
    <m/>
    <m/>
  </r>
  <r>
    <x v="38"/>
    <x v="37"/>
    <x v="6"/>
    <x v="574"/>
    <d v="2024-09-15T22:00:00"/>
    <d v="2025-02-14T22:59:59"/>
    <s v="Cisco Associate-level Certification"/>
    <s v="CCNA R&amp;S"/>
    <x v="9"/>
    <s v="PKS2425-STV18-Digilab"/>
    <s v="English"/>
    <s v="7"/>
    <s v="1001538379"/>
    <s v="Matúš"/>
    <s v="Mikuláš"/>
    <n v="19"/>
    <n v="18"/>
    <n v="0"/>
    <m/>
    <m/>
    <m/>
  </r>
  <r>
    <x v="38"/>
    <x v="37"/>
    <x v="6"/>
    <x v="2"/>
    <m/>
    <m/>
    <m/>
    <m/>
    <x v="2"/>
    <m/>
    <m/>
    <m/>
    <s v="1014792255"/>
    <s v="Adrián"/>
    <s v="Ondov"/>
    <n v="19"/>
    <n v="18"/>
    <n v="0"/>
    <m/>
    <m/>
    <m/>
  </r>
  <r>
    <x v="38"/>
    <x v="37"/>
    <x v="6"/>
    <x v="2"/>
    <m/>
    <m/>
    <m/>
    <m/>
    <x v="2"/>
    <m/>
    <m/>
    <m/>
    <s v="1015457254"/>
    <s v="Branislav"/>
    <s v="Jančovič"/>
    <n v="19"/>
    <n v="18"/>
    <n v="0"/>
    <m/>
    <m/>
    <m/>
  </r>
  <r>
    <x v="38"/>
    <x v="37"/>
    <x v="6"/>
    <x v="2"/>
    <m/>
    <m/>
    <m/>
    <m/>
    <x v="2"/>
    <m/>
    <m/>
    <m/>
    <s v="8585016"/>
    <s v="Pavol"/>
    <s v="Helebrandt"/>
    <n v="19"/>
    <n v="18"/>
    <n v="0"/>
    <m/>
    <m/>
    <m/>
  </r>
  <r>
    <x v="38"/>
    <x v="37"/>
    <x v="6"/>
    <x v="575"/>
    <d v="2024-09-15T22:00:00"/>
    <d v="2025-02-14T22:59:59"/>
    <s v="Cisco Associate-level Certification"/>
    <s v="CCNA R&amp;S"/>
    <x v="9"/>
    <s v="PKS2425-STV18-Lenovo"/>
    <s v="English"/>
    <s v="7"/>
    <s v="1001538379"/>
    <s v="Matúš"/>
    <s v="Mikuláš"/>
    <n v="18"/>
    <n v="18"/>
    <n v="0"/>
    <m/>
    <m/>
    <m/>
  </r>
  <r>
    <x v="38"/>
    <x v="37"/>
    <x v="6"/>
    <x v="2"/>
    <m/>
    <m/>
    <m/>
    <m/>
    <x v="2"/>
    <m/>
    <m/>
    <m/>
    <s v="1014792255"/>
    <s v="Adrián"/>
    <s v="Ondov"/>
    <n v="18"/>
    <n v="18"/>
    <n v="0"/>
    <m/>
    <m/>
    <m/>
  </r>
  <r>
    <x v="38"/>
    <x v="37"/>
    <x v="6"/>
    <x v="2"/>
    <m/>
    <m/>
    <m/>
    <m/>
    <x v="2"/>
    <m/>
    <m/>
    <m/>
    <s v="1015457254"/>
    <s v="Branislav"/>
    <s v="Jančovič"/>
    <n v="18"/>
    <n v="18"/>
    <n v="0"/>
    <m/>
    <m/>
    <m/>
  </r>
  <r>
    <x v="38"/>
    <x v="37"/>
    <x v="6"/>
    <x v="2"/>
    <m/>
    <m/>
    <m/>
    <m/>
    <x v="2"/>
    <m/>
    <m/>
    <m/>
    <s v="8585016"/>
    <s v="Pavol"/>
    <s v="Helebrandt"/>
    <n v="18"/>
    <n v="18"/>
    <n v="0"/>
    <m/>
    <m/>
    <m/>
  </r>
  <r>
    <x v="38"/>
    <x v="37"/>
    <x v="6"/>
    <x v="576"/>
    <d v="2024-09-15T22:00:00"/>
    <d v="2025-02-14T22:59:59"/>
    <s v="Cisco Associate-level Certification"/>
    <s v="CCNA R&amp;S"/>
    <x v="9"/>
    <s v="PKS2425-UT18-Digilab"/>
    <s v="English"/>
    <s v="7"/>
    <s v="1001538379"/>
    <s v="Matúš"/>
    <s v="Mikuláš"/>
    <n v="24"/>
    <n v="24"/>
    <n v="0"/>
    <m/>
    <m/>
    <m/>
  </r>
  <r>
    <x v="38"/>
    <x v="37"/>
    <x v="6"/>
    <x v="2"/>
    <m/>
    <m/>
    <m/>
    <m/>
    <x v="2"/>
    <m/>
    <m/>
    <m/>
    <s v="1014792255"/>
    <s v="Adrián"/>
    <s v="Ondov"/>
    <n v="24"/>
    <n v="24"/>
    <n v="0"/>
    <m/>
    <m/>
    <m/>
  </r>
  <r>
    <x v="38"/>
    <x v="37"/>
    <x v="6"/>
    <x v="2"/>
    <m/>
    <m/>
    <m/>
    <m/>
    <x v="2"/>
    <m/>
    <m/>
    <m/>
    <s v="1015457254"/>
    <s v="Branislav"/>
    <s v="Jančovič"/>
    <n v="24"/>
    <n v="24"/>
    <n v="0"/>
    <m/>
    <m/>
    <m/>
  </r>
  <r>
    <x v="38"/>
    <x v="37"/>
    <x v="6"/>
    <x v="2"/>
    <m/>
    <m/>
    <m/>
    <m/>
    <x v="2"/>
    <m/>
    <m/>
    <m/>
    <s v="8585016"/>
    <s v="Pavol"/>
    <s v="Helebrandt"/>
    <n v="24"/>
    <n v="24"/>
    <n v="0"/>
    <m/>
    <m/>
    <m/>
  </r>
  <r>
    <x v="38"/>
    <x v="37"/>
    <x v="6"/>
    <x v="577"/>
    <d v="2024-09-15T22:00:00"/>
    <d v="2025-02-14T22:59:59"/>
    <s v="Cisco Associate-level Certification"/>
    <s v="CCNA R&amp;S"/>
    <x v="9"/>
    <s v="PKS2425-STV16-Digilab"/>
    <s v="English"/>
    <s v="7"/>
    <s v="1001538379"/>
    <s v="Matúš"/>
    <s v="Mikuláš"/>
    <n v="20"/>
    <n v="16"/>
    <n v="0"/>
    <m/>
    <m/>
    <m/>
  </r>
  <r>
    <x v="38"/>
    <x v="37"/>
    <x v="6"/>
    <x v="2"/>
    <m/>
    <m/>
    <m/>
    <m/>
    <x v="2"/>
    <m/>
    <m/>
    <m/>
    <s v="1014792255"/>
    <s v="Adrián"/>
    <s v="Ondov"/>
    <n v="20"/>
    <n v="16"/>
    <n v="0"/>
    <m/>
    <m/>
    <m/>
  </r>
  <r>
    <x v="38"/>
    <x v="37"/>
    <x v="6"/>
    <x v="2"/>
    <m/>
    <m/>
    <m/>
    <m/>
    <x v="2"/>
    <m/>
    <m/>
    <m/>
    <s v="1015457254"/>
    <s v="Branislav"/>
    <s v="Jančovič"/>
    <n v="20"/>
    <n v="16"/>
    <n v="0"/>
    <m/>
    <m/>
    <m/>
  </r>
  <r>
    <x v="38"/>
    <x v="37"/>
    <x v="6"/>
    <x v="2"/>
    <m/>
    <m/>
    <m/>
    <m/>
    <x v="2"/>
    <m/>
    <m/>
    <m/>
    <s v="8585016"/>
    <s v="Pavol"/>
    <s v="Helebrandt"/>
    <n v="20"/>
    <n v="16"/>
    <n v="0"/>
    <m/>
    <m/>
    <m/>
  </r>
  <r>
    <x v="38"/>
    <x v="37"/>
    <x v="6"/>
    <x v="578"/>
    <d v="2024-10-22T22:00:00"/>
    <d v="2025-01-31T22:59:59"/>
    <s v="Cisco Associate-level Certification"/>
    <s v="CCNA R&amp;S"/>
    <x v="9"/>
    <s v="CCNA1: 1S-BJ-01"/>
    <s v="English"/>
    <s v="7"/>
    <s v="1001538379"/>
    <s v="Matúš"/>
    <s v="Mikuláš"/>
    <n v="9"/>
    <n v="9"/>
    <n v="8"/>
    <m/>
    <m/>
    <m/>
  </r>
  <r>
    <x v="38"/>
    <x v="37"/>
    <x v="6"/>
    <x v="2"/>
    <m/>
    <m/>
    <m/>
    <m/>
    <x v="2"/>
    <m/>
    <m/>
    <m/>
    <s v="1015457254"/>
    <s v="Branislav"/>
    <s v="Jančovič"/>
    <n v="9"/>
    <n v="9"/>
    <n v="8"/>
    <m/>
    <m/>
    <m/>
  </r>
  <r>
    <x v="38"/>
    <x v="37"/>
    <x v="6"/>
    <x v="579"/>
    <d v="2024-09-15T22:00:00"/>
    <d v="2025-02-14T22:59:59"/>
    <s v="Cisco Associate-level Certification"/>
    <s v="CCNA R&amp;S"/>
    <x v="9"/>
    <s v="PKS2425-STV08-Digilab"/>
    <s v="English"/>
    <s v="7"/>
    <s v="1001538379"/>
    <s v="Matúš"/>
    <s v="Mikuláš"/>
    <n v="21"/>
    <n v="19"/>
    <n v="0"/>
    <m/>
    <m/>
    <m/>
  </r>
  <r>
    <x v="38"/>
    <x v="37"/>
    <x v="6"/>
    <x v="2"/>
    <m/>
    <m/>
    <m/>
    <m/>
    <x v="2"/>
    <m/>
    <m/>
    <m/>
    <s v="1014792255"/>
    <s v="Adrián"/>
    <s v="Ondov"/>
    <n v="21"/>
    <n v="19"/>
    <n v="0"/>
    <m/>
    <m/>
    <m/>
  </r>
  <r>
    <x v="38"/>
    <x v="37"/>
    <x v="6"/>
    <x v="2"/>
    <m/>
    <m/>
    <m/>
    <m/>
    <x v="2"/>
    <m/>
    <m/>
    <m/>
    <s v="1015457254"/>
    <s v="Branislav"/>
    <s v="Jančovič"/>
    <n v="21"/>
    <n v="19"/>
    <n v="0"/>
    <m/>
    <m/>
    <m/>
  </r>
  <r>
    <x v="38"/>
    <x v="37"/>
    <x v="6"/>
    <x v="2"/>
    <m/>
    <m/>
    <m/>
    <m/>
    <x v="2"/>
    <m/>
    <m/>
    <m/>
    <s v="8585016"/>
    <s v="Pavol"/>
    <s v="Helebrandt"/>
    <n v="21"/>
    <n v="19"/>
    <n v="0"/>
    <m/>
    <m/>
    <m/>
  </r>
  <r>
    <x v="38"/>
    <x v="37"/>
    <x v="6"/>
    <x v="580"/>
    <d v="2024-09-15T22:00:00"/>
    <d v="2025-02-14T22:59:59"/>
    <s v="Cisco Associate-level Certification"/>
    <s v="CCNA R&amp;S"/>
    <x v="9"/>
    <s v="PKS2425-UT16-Lenovo"/>
    <s v="English"/>
    <s v="7"/>
    <s v="1001538379"/>
    <s v="Matúš"/>
    <s v="Mikuláš"/>
    <n v="21"/>
    <n v="21"/>
    <n v="0"/>
    <m/>
    <m/>
    <m/>
  </r>
  <r>
    <x v="38"/>
    <x v="37"/>
    <x v="6"/>
    <x v="2"/>
    <m/>
    <m/>
    <m/>
    <m/>
    <x v="2"/>
    <m/>
    <m/>
    <m/>
    <s v="1014792255"/>
    <s v="Adrián"/>
    <s v="Ondov"/>
    <n v="21"/>
    <n v="21"/>
    <n v="0"/>
    <m/>
    <m/>
    <m/>
  </r>
  <r>
    <x v="38"/>
    <x v="37"/>
    <x v="6"/>
    <x v="2"/>
    <m/>
    <m/>
    <m/>
    <m/>
    <x v="2"/>
    <m/>
    <m/>
    <m/>
    <s v="1015457254"/>
    <s v="Branislav"/>
    <s v="Jančovič"/>
    <n v="21"/>
    <n v="21"/>
    <n v="0"/>
    <m/>
    <m/>
    <m/>
  </r>
  <r>
    <x v="38"/>
    <x v="37"/>
    <x v="6"/>
    <x v="2"/>
    <m/>
    <m/>
    <m/>
    <m/>
    <x v="2"/>
    <m/>
    <m/>
    <m/>
    <s v="8585016"/>
    <s v="Pavol"/>
    <s v="Helebrandt"/>
    <n v="21"/>
    <n v="21"/>
    <n v="0"/>
    <m/>
    <m/>
    <m/>
  </r>
  <r>
    <x v="38"/>
    <x v="37"/>
    <x v="6"/>
    <x v="581"/>
    <d v="2024-09-15T22:00:00"/>
    <d v="2025-02-14T22:59:59"/>
    <s v="Cisco Associate-level Certification"/>
    <s v="CCNA R&amp;S"/>
    <x v="9"/>
    <s v="PKS2425-UT18-LST1"/>
    <s v="English"/>
    <s v="7"/>
    <s v="1001538379"/>
    <s v="Matúš"/>
    <s v="Mikuláš"/>
    <n v="19"/>
    <n v="19"/>
    <n v="0"/>
    <m/>
    <m/>
    <m/>
  </r>
  <r>
    <x v="38"/>
    <x v="37"/>
    <x v="6"/>
    <x v="2"/>
    <m/>
    <m/>
    <m/>
    <m/>
    <x v="2"/>
    <m/>
    <m/>
    <m/>
    <s v="1014792255"/>
    <s v="Adrián"/>
    <s v="Ondov"/>
    <n v="19"/>
    <n v="19"/>
    <n v="0"/>
    <m/>
    <m/>
    <m/>
  </r>
  <r>
    <x v="38"/>
    <x v="37"/>
    <x v="6"/>
    <x v="2"/>
    <m/>
    <m/>
    <m/>
    <m/>
    <x v="2"/>
    <m/>
    <m/>
    <m/>
    <s v="1015457254"/>
    <s v="Branislav"/>
    <s v="Jančovič"/>
    <n v="19"/>
    <n v="19"/>
    <n v="0"/>
    <m/>
    <m/>
    <m/>
  </r>
  <r>
    <x v="38"/>
    <x v="37"/>
    <x v="6"/>
    <x v="2"/>
    <m/>
    <m/>
    <m/>
    <m/>
    <x v="2"/>
    <m/>
    <m/>
    <m/>
    <s v="8585016"/>
    <s v="Pavol"/>
    <s v="Helebrandt"/>
    <n v="19"/>
    <n v="19"/>
    <n v="0"/>
    <m/>
    <m/>
    <m/>
  </r>
  <r>
    <x v="38"/>
    <x v="37"/>
    <x v="6"/>
    <x v="582"/>
    <d v="2024-09-15T22:00:00"/>
    <d v="2025-02-14T22:59:59"/>
    <s v="Cisco Associate-level Certification"/>
    <s v="CCNA R&amp;S"/>
    <x v="9"/>
    <s v="PKS2425-STV10-Digilab"/>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3"/>
    <d v="2024-10-15T06:21:44"/>
    <d v="2024-12-31T22:59:59"/>
    <s v="Cisco Associate-level Certification"/>
    <s v="CCNA R&amp;S"/>
    <x v="9"/>
    <s v="1S-PKS-AO-2425"/>
    <s v="English"/>
    <s v="7"/>
    <s v="1014792255"/>
    <s v="Adrián"/>
    <s v="Ondov"/>
    <n v="73"/>
    <n v="64"/>
    <n v="47"/>
    <m/>
    <m/>
    <m/>
  </r>
  <r>
    <x v="38"/>
    <x v="37"/>
    <x v="6"/>
    <x v="584"/>
    <d v="2024-09-15T22:00:00"/>
    <d v="2025-02-14T22:59:59"/>
    <s v="Cisco Associate-level Certification"/>
    <s v="CCNA R&amp;S"/>
    <x v="9"/>
    <s v="PKS2425-STV10-LST1"/>
    <s v="English"/>
    <s v="7"/>
    <s v="1001538379"/>
    <s v="Matúš"/>
    <s v="Mikuláš"/>
    <n v="24"/>
    <n v="23"/>
    <n v="0"/>
    <m/>
    <m/>
    <m/>
  </r>
  <r>
    <x v="38"/>
    <x v="37"/>
    <x v="6"/>
    <x v="2"/>
    <m/>
    <m/>
    <m/>
    <m/>
    <x v="2"/>
    <m/>
    <m/>
    <m/>
    <s v="1014792255"/>
    <s v="Adrián"/>
    <s v="Ondov"/>
    <n v="24"/>
    <n v="23"/>
    <n v="0"/>
    <m/>
    <m/>
    <m/>
  </r>
  <r>
    <x v="38"/>
    <x v="37"/>
    <x v="6"/>
    <x v="2"/>
    <m/>
    <m/>
    <m/>
    <m/>
    <x v="2"/>
    <m/>
    <m/>
    <m/>
    <s v="1015457254"/>
    <s v="Branislav"/>
    <s v="Jančovič"/>
    <n v="24"/>
    <n v="23"/>
    <n v="0"/>
    <m/>
    <m/>
    <m/>
  </r>
  <r>
    <x v="38"/>
    <x v="37"/>
    <x v="6"/>
    <x v="2"/>
    <m/>
    <m/>
    <m/>
    <m/>
    <x v="2"/>
    <m/>
    <m/>
    <m/>
    <s v="49393169"/>
    <s v="Ladislav"/>
    <s v="Zemko"/>
    <n v="24"/>
    <n v="23"/>
    <n v="0"/>
    <m/>
    <m/>
    <m/>
  </r>
  <r>
    <x v="38"/>
    <x v="37"/>
    <x v="6"/>
    <x v="2"/>
    <m/>
    <m/>
    <m/>
    <m/>
    <x v="2"/>
    <m/>
    <m/>
    <m/>
    <s v="8585016"/>
    <s v="Pavol"/>
    <s v="Helebrandt"/>
    <n v="24"/>
    <n v="23"/>
    <n v="0"/>
    <m/>
    <m/>
    <m/>
  </r>
  <r>
    <x v="38"/>
    <x v="37"/>
    <x v="6"/>
    <x v="585"/>
    <d v="2024-09-15T22:00:00"/>
    <d v="2025-02-14T22:59:59"/>
    <s v="Cisco Associate-level Certification"/>
    <s v="CCNA R&amp;S"/>
    <x v="9"/>
    <s v="PKS2425-STV08-Lenovo"/>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6"/>
    <d v="2024-09-15T22:00:00"/>
    <d v="2025-02-14T22:59:59"/>
    <s v="Cisco Associate-level Certification"/>
    <s v="CCNA R&amp;S"/>
    <x v="9"/>
    <s v="PKS2425-UT18-Lenovo"/>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7"/>
    <d v="2024-09-15T22:00:00"/>
    <d v="2025-02-14T22:59:59"/>
    <s v="Cisco Associate-level Certification"/>
    <s v="CCNA R&amp;S"/>
    <x v="9"/>
    <s v="PKS2425-UT16-LST1"/>
    <s v="English"/>
    <s v="7"/>
    <s v="1001538379"/>
    <s v="Matúš"/>
    <s v="Mikuláš"/>
    <n v="21"/>
    <n v="21"/>
    <n v="0"/>
    <m/>
    <m/>
    <m/>
  </r>
  <r>
    <x v="38"/>
    <x v="37"/>
    <x v="6"/>
    <x v="2"/>
    <m/>
    <m/>
    <m/>
    <m/>
    <x v="2"/>
    <m/>
    <m/>
    <m/>
    <s v="1014792255"/>
    <s v="Adrián"/>
    <s v="Ondov"/>
    <n v="21"/>
    <n v="21"/>
    <n v="0"/>
    <m/>
    <m/>
    <m/>
  </r>
  <r>
    <x v="38"/>
    <x v="37"/>
    <x v="6"/>
    <x v="2"/>
    <m/>
    <m/>
    <m/>
    <m/>
    <x v="2"/>
    <m/>
    <m/>
    <m/>
    <s v="1015457254"/>
    <s v="Branislav"/>
    <s v="Jančovič"/>
    <n v="21"/>
    <n v="21"/>
    <n v="0"/>
    <m/>
    <m/>
    <m/>
  </r>
  <r>
    <x v="38"/>
    <x v="37"/>
    <x v="6"/>
    <x v="2"/>
    <m/>
    <m/>
    <m/>
    <m/>
    <x v="2"/>
    <m/>
    <m/>
    <m/>
    <s v="8585016"/>
    <s v="Pavol"/>
    <s v="Helebrandt"/>
    <n v="21"/>
    <n v="21"/>
    <n v="0"/>
    <m/>
    <m/>
    <m/>
  </r>
  <r>
    <x v="38"/>
    <x v="37"/>
    <x v="6"/>
    <x v="588"/>
    <d v="2024-09-15T22:00:00"/>
    <d v="2025-02-14T22:59:59"/>
    <s v="Cisco Associate-level Certification"/>
    <s v="CCNA R&amp;S"/>
    <x v="9"/>
    <s v="PKS2425-STV16-Lenovo"/>
    <s v="English"/>
    <s v="7"/>
    <s v="1001538379"/>
    <s v="Matúš"/>
    <s v="Mikuláš"/>
    <n v="24"/>
    <n v="22"/>
    <n v="0"/>
    <m/>
    <m/>
    <m/>
  </r>
  <r>
    <x v="38"/>
    <x v="37"/>
    <x v="6"/>
    <x v="2"/>
    <m/>
    <m/>
    <m/>
    <m/>
    <x v="2"/>
    <m/>
    <m/>
    <m/>
    <s v="1014792255"/>
    <s v="Adrián"/>
    <s v="Ondov"/>
    <n v="24"/>
    <n v="22"/>
    <n v="0"/>
    <m/>
    <m/>
    <m/>
  </r>
  <r>
    <x v="38"/>
    <x v="37"/>
    <x v="6"/>
    <x v="2"/>
    <m/>
    <m/>
    <m/>
    <m/>
    <x v="2"/>
    <m/>
    <m/>
    <m/>
    <s v="1015457254"/>
    <s v="Branislav"/>
    <s v="Jančovič"/>
    <n v="24"/>
    <n v="22"/>
    <n v="0"/>
    <m/>
    <m/>
    <m/>
  </r>
  <r>
    <x v="38"/>
    <x v="37"/>
    <x v="6"/>
    <x v="2"/>
    <m/>
    <m/>
    <m/>
    <m/>
    <x v="2"/>
    <m/>
    <m/>
    <m/>
    <s v="8585016"/>
    <s v="Pavol"/>
    <s v="Helebrandt"/>
    <n v="24"/>
    <n v="22"/>
    <n v="0"/>
    <m/>
    <m/>
    <m/>
  </r>
  <r>
    <x v="38"/>
    <x v="37"/>
    <x v="6"/>
    <x v="589"/>
    <d v="2024-09-15T22:00:00"/>
    <d v="2025-02-14T22:59:59"/>
    <s v="Cisco Associate-level Certification"/>
    <s v="CCNA R&amp;S"/>
    <x v="9"/>
    <s v="PKS2425-STV10-Lenovo"/>
    <s v="English"/>
    <s v="7"/>
    <s v="1001538379"/>
    <s v="Matúš"/>
    <s v="Mikuláš"/>
    <n v="20"/>
    <n v="20"/>
    <n v="0"/>
    <m/>
    <m/>
    <m/>
  </r>
  <r>
    <x v="38"/>
    <x v="37"/>
    <x v="6"/>
    <x v="2"/>
    <m/>
    <m/>
    <m/>
    <m/>
    <x v="2"/>
    <m/>
    <m/>
    <m/>
    <s v="1014792255"/>
    <s v="Adrián"/>
    <s v="Ondov"/>
    <n v="20"/>
    <n v="20"/>
    <n v="0"/>
    <m/>
    <m/>
    <m/>
  </r>
  <r>
    <x v="38"/>
    <x v="37"/>
    <x v="6"/>
    <x v="2"/>
    <m/>
    <m/>
    <m/>
    <m/>
    <x v="2"/>
    <m/>
    <m/>
    <m/>
    <s v="1015457254"/>
    <s v="Branislav"/>
    <s v="Jančovič"/>
    <n v="20"/>
    <n v="20"/>
    <n v="0"/>
    <m/>
    <m/>
    <m/>
  </r>
  <r>
    <x v="38"/>
    <x v="37"/>
    <x v="6"/>
    <x v="2"/>
    <m/>
    <m/>
    <m/>
    <m/>
    <x v="2"/>
    <m/>
    <m/>
    <m/>
    <s v="8585016"/>
    <s v="Pavol"/>
    <s v="Helebrandt"/>
    <n v="20"/>
    <n v="20"/>
    <n v="0"/>
    <m/>
    <m/>
    <m/>
  </r>
  <r>
    <x v="38"/>
    <x v="37"/>
    <x v="6"/>
    <x v="590"/>
    <d v="2024-09-15T22:00:00"/>
    <d v="2025-02-14T22:59:59"/>
    <s v="Cisco Associate-level Certification"/>
    <s v="CCNA R&amp;S"/>
    <x v="9"/>
    <s v="PKS2425-UT16-Digilab"/>
    <s v="English"/>
    <s v="7"/>
    <s v="1001538379"/>
    <s v="Matúš"/>
    <s v="Mikuláš"/>
    <n v="21"/>
    <n v="21"/>
    <n v="1"/>
    <m/>
    <m/>
    <m/>
  </r>
  <r>
    <x v="38"/>
    <x v="37"/>
    <x v="6"/>
    <x v="2"/>
    <m/>
    <m/>
    <m/>
    <m/>
    <x v="2"/>
    <m/>
    <m/>
    <m/>
    <s v="1014792255"/>
    <s v="Adrián"/>
    <s v="Ondov"/>
    <n v="21"/>
    <n v="21"/>
    <n v="1"/>
    <m/>
    <m/>
    <m/>
  </r>
  <r>
    <x v="38"/>
    <x v="37"/>
    <x v="6"/>
    <x v="2"/>
    <m/>
    <m/>
    <m/>
    <m/>
    <x v="2"/>
    <m/>
    <m/>
    <m/>
    <s v="1015457254"/>
    <s v="Branislav"/>
    <s v="Jančovič"/>
    <n v="21"/>
    <n v="21"/>
    <n v="1"/>
    <m/>
    <m/>
    <m/>
  </r>
  <r>
    <x v="38"/>
    <x v="37"/>
    <x v="6"/>
    <x v="2"/>
    <m/>
    <m/>
    <m/>
    <m/>
    <x v="2"/>
    <m/>
    <m/>
    <m/>
    <s v="8585016"/>
    <s v="Pavol"/>
    <s v="Helebrandt"/>
    <n v="21"/>
    <n v="21"/>
    <n v="1"/>
    <m/>
    <m/>
    <m/>
  </r>
  <r>
    <x v="39"/>
    <x v="38"/>
    <x v="1"/>
    <x v="591"/>
    <d v="2024-01-06T23:00:00"/>
    <d v="2025-01-06T23:00:00"/>
    <s v="Cisco Associate-level Certification"/>
    <s v="CCNP R&amp;S"/>
    <x v="53"/>
    <s v="WANT-AV-J01"/>
    <s v="English"/>
    <s v="8.02"/>
    <s v="27142535"/>
    <s v="Alexander"/>
    <s v="Valach"/>
    <n v="2"/>
    <n v="2"/>
    <n v="0"/>
    <n v="2"/>
    <n v="2"/>
    <n v="0"/>
  </r>
  <r>
    <x v="39"/>
    <x v="38"/>
    <x v="1"/>
    <x v="592"/>
    <d v="2024-12-24T11:20:22"/>
    <d v="2025-12-24T22:59:59"/>
    <s v="Cisco Associate-level Certification"/>
    <s v="CCNA R&amp;S"/>
    <x v="10"/>
    <s v="CCNA: Enterprise Networking, Security, and Automation"/>
    <s v="English"/>
    <s v="1"/>
    <s v="27142535"/>
    <s v="Alexander"/>
    <s v="Valach"/>
    <n v="2"/>
    <n v="2"/>
    <n v="0"/>
    <n v="2"/>
    <n v="2"/>
    <n v="0"/>
  </r>
  <r>
    <x v="39"/>
    <x v="38"/>
    <x v="1"/>
    <x v="593"/>
    <d v="2024-12-24T11:19:19"/>
    <d v="2025-12-24T22:59:59"/>
    <s v="Cisco Associate-level Certification"/>
    <s v="CCNA R&amp;S"/>
    <x v="8"/>
    <s v="CCNA: Switching, Routing, and Wireless Essentials"/>
    <s v="English"/>
    <s v="7"/>
    <s v="27142535"/>
    <s v="Alexander"/>
    <s v="Valach"/>
    <n v="2"/>
    <n v="1"/>
    <n v="0"/>
    <n v="2"/>
    <n v="1"/>
    <n v="0"/>
  </r>
  <r>
    <x v="40"/>
    <x v="39"/>
    <x v="8"/>
    <x v="594"/>
    <d v="2024-09-11T08:36:56"/>
    <d v="2025-06-30T21:59:59"/>
    <s v="Cisco Associate-level Certification"/>
    <s v="CCNA R&amp;S"/>
    <x v="9"/>
    <s v="2024/25 3L CCNA1"/>
    <s v="English"/>
    <s v="7"/>
    <s v="48010334"/>
    <s v="Róbert"/>
    <s v="Kovalič"/>
    <n v="21"/>
    <n v="21"/>
    <n v="12"/>
    <n v="21"/>
    <n v="21"/>
    <n v="12"/>
  </r>
  <r>
    <x v="40"/>
    <x v="39"/>
    <x v="8"/>
    <x v="595"/>
    <d v="2024-02-11T23:00:00"/>
    <d v="2025-02-11T23:00:00"/>
    <s v="Cisco Associate-level Certification"/>
    <s v="CCNA R&amp;S"/>
    <x v="4"/>
    <s v="III.L 2023/2024"/>
    <s v="English"/>
    <s v="7.02"/>
    <s v="48900791"/>
    <s v="Ján"/>
    <s v="Pramuka"/>
    <n v="19"/>
    <n v="18"/>
    <n v="0"/>
    <n v="19"/>
    <n v="18"/>
    <n v="0"/>
  </r>
  <r>
    <x v="40"/>
    <x v="39"/>
    <x v="8"/>
    <x v="596"/>
    <d v="2024-09-12T07:45:07"/>
    <d v="2025-11-30T22:59:59"/>
    <s v="Cisco Associate-level Certification"/>
    <s v="CCNA R&amp;S"/>
    <x v="9"/>
    <s v="CCNA: Introduction to Networks"/>
    <s v="English"/>
    <s v="7"/>
    <s v="48900791"/>
    <s v="Ján"/>
    <s v="Pramuka"/>
    <n v="24"/>
    <n v="20"/>
    <n v="0"/>
    <n v="24"/>
    <n v="20"/>
    <n v="0"/>
  </r>
  <r>
    <x v="40"/>
    <x v="39"/>
    <x v="8"/>
    <x v="597"/>
    <d v="2024-09-05T09:31:03"/>
    <d v="2025-09-04T21:59:59"/>
    <s v="Cisco Associate-level Certification"/>
    <s v="CCNA R&amp;S"/>
    <x v="9"/>
    <s v="2024/2025 1L CCNA1"/>
    <s v="English"/>
    <s v="7"/>
    <s v="48010334"/>
    <s v="Róbert"/>
    <s v="Kovalič"/>
    <n v="24"/>
    <n v="23"/>
    <n v="0"/>
    <n v="24"/>
    <n v="23"/>
    <n v="0"/>
  </r>
  <r>
    <x v="40"/>
    <x v="39"/>
    <x v="8"/>
    <x v="598"/>
    <d v="2024-11-27T09:51:16"/>
    <d v="2025-06-30T21:59:59"/>
    <s v="Cisco Associate-level Certification"/>
    <s v="CCNA R&amp;S"/>
    <x v="9"/>
    <s v="3L 24/25 CCNA: Introduction to Networks."/>
    <s v="English"/>
    <s v="7"/>
    <s v="48010334"/>
    <s v="Róbert"/>
    <s v="Kovalič"/>
    <n v="1"/>
    <n v="1"/>
    <n v="0"/>
    <n v="1"/>
    <n v="1"/>
    <n v="0"/>
  </r>
  <r>
    <x v="40"/>
    <x v="39"/>
    <x v="8"/>
    <x v="2"/>
    <m/>
    <m/>
    <m/>
    <m/>
    <x v="2"/>
    <m/>
    <m/>
    <m/>
    <s v="48900791"/>
    <s v="Ján"/>
    <s v="Pramuka"/>
    <n v="1"/>
    <n v="1"/>
    <n v="0"/>
    <n v="1"/>
    <n v="1"/>
    <n v="0"/>
  </r>
  <r>
    <x v="41"/>
    <x v="40"/>
    <x v="4"/>
    <x v="599"/>
    <d v="2024-02-19T23:00:00"/>
    <d v="2024-12-30T23:00:00"/>
    <s v="Cisco Associate-level Certification"/>
    <s v="CCNA R&amp;S"/>
    <x v="4"/>
    <s v="siete 3C 2023"/>
    <s v="English"/>
    <s v="7.02"/>
    <s v="3180944"/>
    <s v="Elena"/>
    <s v="Kalinova"/>
    <n v="19"/>
    <n v="16"/>
    <n v="0"/>
    <n v="19"/>
    <n v="16"/>
    <n v="0"/>
  </r>
  <r>
    <x v="41"/>
    <x v="40"/>
    <x v="4"/>
    <x v="600"/>
    <d v="2024-09-16T13:02:05"/>
    <d v="2025-06-30T21:59:59"/>
    <s v="3rd Party Technical Certification"/>
    <s v="Python"/>
    <x v="16"/>
    <s v="Python 2C 24_25"/>
    <s v="English"/>
    <s v="1"/>
    <s v="14385cbe-1b6e-41dc-9879-fee3483453c8"/>
    <s v="Ľuboslava"/>
    <s v="Kroupová"/>
    <n v="10"/>
    <n v="9"/>
    <n v="0"/>
    <n v="10"/>
    <n v="9"/>
    <n v="0"/>
  </r>
  <r>
    <x v="41"/>
    <x v="40"/>
    <x v="4"/>
    <x v="2"/>
    <m/>
    <m/>
    <m/>
    <m/>
    <x v="2"/>
    <m/>
    <m/>
    <m/>
    <s v="3180944"/>
    <s v="Elena"/>
    <s v="Kalinova"/>
    <n v="10"/>
    <n v="9"/>
    <n v="0"/>
    <n v="10"/>
    <n v="9"/>
    <n v="0"/>
  </r>
  <r>
    <x v="41"/>
    <x v="40"/>
    <x v="4"/>
    <x v="601"/>
    <d v="2024-09-05T06:23:37"/>
    <d v="2025-06-30T21:59:59"/>
    <s v="Cisco Associate-level Certification"/>
    <s v="CCNA R&amp;S"/>
    <x v="9"/>
    <s v="siete 2C 2024"/>
    <s v="English"/>
    <s v="7"/>
    <s v="3180944"/>
    <s v="Elena"/>
    <s v="Kalinova"/>
    <n v="19"/>
    <n v="19"/>
    <n v="0"/>
    <n v="19"/>
    <n v="19"/>
    <n v="0"/>
  </r>
  <r>
    <x v="41"/>
    <x v="40"/>
    <x v="4"/>
    <x v="602"/>
    <d v="2024-10-08T10:29:26"/>
    <d v="2025-07-31T21:59:59"/>
    <s v="Cisco Associate-level Certification"/>
    <s v="CCNA R&amp;S"/>
    <x v="9"/>
    <s v="CCNA: Introduction to Networks"/>
    <s v="English"/>
    <s v="7"/>
    <s v="43962840"/>
    <s v="Katarína"/>
    <s v="Forgáčová"/>
    <n v="14"/>
    <n v="14"/>
    <n v="0"/>
    <n v="14"/>
    <n v="14"/>
    <n v="0"/>
  </r>
  <r>
    <x v="41"/>
    <x v="40"/>
    <x v="4"/>
    <x v="603"/>
    <d v="2024-09-05T07:48:34"/>
    <d v="2025-05-31T21:59:59"/>
    <s v="Cisco Associate-level Certification"/>
    <s v="CCNA R&amp;S"/>
    <x v="8"/>
    <s v="siete2 4C 2024"/>
    <s v="English"/>
    <s v="7"/>
    <s v="3180944"/>
    <s v="Elena"/>
    <s v="Kalinova"/>
    <n v="18"/>
    <n v="18"/>
    <n v="0"/>
    <n v="18"/>
    <n v="18"/>
    <n v="0"/>
  </r>
  <r>
    <x v="41"/>
    <x v="40"/>
    <x v="4"/>
    <x v="604"/>
    <d v="2024-09-04T07:52:57"/>
    <d v="2025-05-31T21:59:59"/>
    <s v="Cisco Associate-level Certification"/>
    <s v="Cybersecurity"/>
    <x v="33"/>
    <s v="bezpečnosť 4C 2024"/>
    <s v="English"/>
    <s v="1"/>
    <s v="3180944"/>
    <s v="Elena"/>
    <s v="Kalinova"/>
    <n v="18"/>
    <n v="18"/>
    <n v="0"/>
    <n v="18"/>
    <n v="18"/>
    <n v="0"/>
  </r>
  <r>
    <x v="41"/>
    <x v="40"/>
    <x v="4"/>
    <x v="605"/>
    <d v="2024-11-05T12:34:39"/>
    <d v="2025-06-30T21:59:59"/>
    <s v="Cisco Associate-level Certification"/>
    <s v="CCNA R&amp;S"/>
    <x v="10"/>
    <s v="siete 4C 2024"/>
    <s v="English"/>
    <s v="1"/>
    <s v="3180944"/>
    <s v="Elena"/>
    <s v="Kalinova"/>
    <n v="18"/>
    <n v="18"/>
    <n v="0"/>
    <n v="18"/>
    <n v="18"/>
    <n v="0"/>
  </r>
  <r>
    <x v="41"/>
    <x v="40"/>
    <x v="4"/>
    <x v="606"/>
    <d v="2024-12-17T07:11:44"/>
    <d v="2025-06-30T21:59:59"/>
    <s v="Cisco Associate-level Certification"/>
    <s v="CCNA R&amp;S"/>
    <x v="8"/>
    <s v="siete2 3C 2024"/>
    <s v="English"/>
    <s v="7"/>
    <s v="3180944"/>
    <s v="Elena"/>
    <s v="Kalinova"/>
    <n v="26"/>
    <n v="26"/>
    <n v="0"/>
    <n v="26"/>
    <n v="26"/>
    <n v="0"/>
  </r>
  <r>
    <x v="41"/>
    <x v="40"/>
    <x v="4"/>
    <x v="607"/>
    <d v="2024-09-09T06:18:17"/>
    <d v="2025-02-28T22:59:59"/>
    <s v="Cisco Associate-level Certification"/>
    <s v="CCNA R&amp;S"/>
    <x v="9"/>
    <s v="siete1 3C 2024"/>
    <s v="English"/>
    <s v="7"/>
    <s v="3180944"/>
    <s v="Elena"/>
    <s v="Kalinova"/>
    <n v="27"/>
    <n v="27"/>
    <n v="0"/>
    <n v="27"/>
    <n v="27"/>
    <n v="0"/>
  </r>
  <r>
    <x v="41"/>
    <x v="40"/>
    <x v="4"/>
    <x v="608"/>
    <d v="2024-09-23T22:00:00"/>
    <d v="2025-06-17T21:59:59"/>
    <s v="Cisco Associate-level Certification"/>
    <s v="CCNA R&amp;S"/>
    <x v="9"/>
    <s v="CCNA: Introduction to Networks II.A"/>
    <s v="English"/>
    <s v="7"/>
    <s v="43962840"/>
    <s v="Katarína"/>
    <s v="Forgáčová"/>
    <n v="15"/>
    <n v="14"/>
    <n v="0"/>
    <n v="15"/>
    <n v="14"/>
    <n v="0"/>
  </r>
  <r>
    <x v="42"/>
    <x v="41"/>
    <x v="5"/>
    <x v="609"/>
    <d v="2024-09-09T06:22:38"/>
    <d v="2025-06-30T21:59:59"/>
    <s v="Cisco Associate-level Certification"/>
    <s v="CCNA R&amp;S"/>
    <x v="8"/>
    <s v="S2_IIIEA_2425_MAD"/>
    <s v="English"/>
    <s v="7"/>
    <s v="5511638"/>
    <s v="Miroslav"/>
    <s v="Madunicky"/>
    <n v="13"/>
    <n v="13"/>
    <n v="0"/>
    <n v="13"/>
    <n v="13"/>
    <n v="0"/>
  </r>
  <r>
    <x v="42"/>
    <x v="41"/>
    <x v="5"/>
    <x v="2"/>
    <m/>
    <m/>
    <m/>
    <m/>
    <x v="2"/>
    <m/>
    <m/>
    <m/>
    <s v="6555574"/>
    <s v="Michal"/>
    <s v="Salis"/>
    <n v="13"/>
    <n v="13"/>
    <n v="0"/>
    <n v="13"/>
    <n v="13"/>
    <n v="0"/>
  </r>
  <r>
    <x v="42"/>
    <x v="41"/>
    <x v="5"/>
    <x v="610"/>
    <d v="2024-10-10T08:01:53"/>
    <d v="2025-09-06T21:59:59"/>
    <s v="Cisco Associate-level Certification"/>
    <s v="CCNA R&amp;S"/>
    <x v="9"/>
    <s v="CCNA: Introduction to Networks"/>
    <s v="English"/>
    <s v="7"/>
    <s v="6555574"/>
    <s v="Michal"/>
    <s v="Salis"/>
    <n v="4"/>
    <n v="4"/>
    <n v="1"/>
    <n v="4"/>
    <n v="4"/>
    <n v="1"/>
  </r>
  <r>
    <x v="42"/>
    <x v="41"/>
    <x v="5"/>
    <x v="611"/>
    <d v="2024-09-10T09:57:28"/>
    <d v="2025-08-31T21:59:59"/>
    <s v="Cisco Associate-level Certification"/>
    <s v="CCNA R&amp;S"/>
    <x v="9"/>
    <s v="2.EA - CCNA: Introduction to Networks"/>
    <s v="English"/>
    <s v="7"/>
    <s v="1053764432"/>
    <s v="Zuzana"/>
    <s v="Radošovská"/>
    <n v="30"/>
    <n v="30"/>
    <n v="0"/>
    <n v="30"/>
    <n v="30"/>
    <n v="0"/>
  </r>
  <r>
    <x v="42"/>
    <x v="41"/>
    <x v="5"/>
    <x v="612"/>
    <d v="2024-01-08T23:00:00"/>
    <d v="2024-09-29T22:00:00"/>
    <s v="Intermediate Technical Skills"/>
    <s v="Cybersecurity"/>
    <x v="14"/>
    <s v="sec2324"/>
    <s v="English"/>
    <s v="1"/>
    <s v="5511638"/>
    <s v="Miroslav"/>
    <s v="Madunicky"/>
    <n v="1"/>
    <n v="1"/>
    <n v="1"/>
    <n v="1"/>
    <n v="1"/>
    <n v="1"/>
  </r>
  <r>
    <x v="42"/>
    <x v="41"/>
    <x v="5"/>
    <x v="613"/>
    <d v="2024-09-10T06:14:19"/>
    <d v="2025-08-31T21:59:59"/>
    <s v="Cisco Associate-level Certification"/>
    <s v="CCNA R&amp;S"/>
    <x v="8"/>
    <s v="CCNA2 IV.EC SAL"/>
    <s v="English"/>
    <s v="7"/>
    <s v="5511638"/>
    <s v="Miroslav"/>
    <s v="Madunicky"/>
    <n v="15"/>
    <n v="15"/>
    <n v="0"/>
    <n v="15"/>
    <n v="15"/>
    <n v="0"/>
  </r>
  <r>
    <x v="42"/>
    <x v="41"/>
    <x v="5"/>
    <x v="2"/>
    <m/>
    <m/>
    <m/>
    <m/>
    <x v="2"/>
    <m/>
    <m/>
    <m/>
    <s v="6555574"/>
    <s v="Michal"/>
    <s v="Salis"/>
    <n v="15"/>
    <n v="15"/>
    <n v="0"/>
    <n v="15"/>
    <n v="15"/>
    <n v="0"/>
  </r>
  <r>
    <x v="42"/>
    <x v="41"/>
    <x v="5"/>
    <x v="614"/>
    <d v="2024-09-04T08:12:42"/>
    <d v="2025-08-31T21:59:59"/>
    <s v="Cisco Associate-level Certification"/>
    <s v="CCNA R&amp;S"/>
    <x v="9"/>
    <s v="2.EB - CCNA: Introduction to Networks"/>
    <s v="English"/>
    <s v="7"/>
    <s v="1053764432"/>
    <s v="Zuzana"/>
    <s v="Radošovská"/>
    <n v="12"/>
    <n v="12"/>
    <n v="0"/>
    <n v="12"/>
    <n v="12"/>
    <n v="0"/>
  </r>
  <r>
    <x v="42"/>
    <x v="41"/>
    <x v="5"/>
    <x v="615"/>
    <d v="2024-09-10T11:35:10"/>
    <d v="2025-08-31T21:59:59"/>
    <s v="Cisco Associate-level Certification"/>
    <s v="CCNA R&amp;S"/>
    <x v="10"/>
    <s v="CCNA3 IV.EA SAL"/>
    <s v="English"/>
    <s v="1"/>
    <s v="5511638"/>
    <s v="Miroslav"/>
    <s v="Madunicky"/>
    <n v="13"/>
    <n v="13"/>
    <n v="0"/>
    <n v="13"/>
    <n v="13"/>
    <n v="0"/>
  </r>
  <r>
    <x v="42"/>
    <x v="41"/>
    <x v="5"/>
    <x v="2"/>
    <m/>
    <m/>
    <m/>
    <m/>
    <x v="2"/>
    <m/>
    <m/>
    <m/>
    <s v="6555574"/>
    <s v="Michal"/>
    <s v="Salis"/>
    <n v="13"/>
    <n v="13"/>
    <n v="0"/>
    <n v="13"/>
    <n v="13"/>
    <n v="0"/>
  </r>
  <r>
    <x v="42"/>
    <x v="41"/>
    <x v="5"/>
    <x v="616"/>
    <d v="2024-09-17T06:13:44"/>
    <d v="2025-06-30T21:59:59"/>
    <s v="Cisco Associate-level Certification"/>
    <s v="CCNA R&amp;S"/>
    <x v="8"/>
    <s v="S2_IVEC_2425_MAD"/>
    <s v="English"/>
    <s v="7"/>
    <s v="5511638"/>
    <s v="Miroslav"/>
    <s v="Madunicky"/>
    <n v="14"/>
    <n v="14"/>
    <n v="0"/>
    <n v="14"/>
    <n v="14"/>
    <n v="0"/>
  </r>
  <r>
    <x v="42"/>
    <x v="41"/>
    <x v="5"/>
    <x v="2"/>
    <m/>
    <m/>
    <m/>
    <m/>
    <x v="2"/>
    <m/>
    <m/>
    <m/>
    <s v="6555574"/>
    <s v="Michal"/>
    <s v="Salis"/>
    <n v="14"/>
    <n v="14"/>
    <n v="0"/>
    <n v="14"/>
    <n v="14"/>
    <n v="0"/>
  </r>
  <r>
    <x v="42"/>
    <x v="41"/>
    <x v="5"/>
    <x v="617"/>
    <d v="2024-09-05T06:33:09"/>
    <d v="2025-06-30T21:59:59"/>
    <s v="Cisco Associate-level Certification"/>
    <s v="CCNA R&amp;S"/>
    <x v="9"/>
    <s v="S1_IIIEC_2425_MAD"/>
    <s v="English"/>
    <s v="7"/>
    <s v="1053764432"/>
    <s v="Zuzana"/>
    <s v="Radošovská"/>
    <n v="12"/>
    <n v="12"/>
    <n v="0"/>
    <n v="12"/>
    <n v="12"/>
    <n v="0"/>
  </r>
  <r>
    <x v="42"/>
    <x v="41"/>
    <x v="5"/>
    <x v="2"/>
    <m/>
    <m/>
    <m/>
    <m/>
    <x v="2"/>
    <m/>
    <m/>
    <m/>
    <s v="5511638"/>
    <s v="Miroslav"/>
    <s v="Madunicky"/>
    <n v="12"/>
    <n v="12"/>
    <n v="0"/>
    <n v="12"/>
    <n v="12"/>
    <n v="0"/>
  </r>
  <r>
    <x v="42"/>
    <x v="41"/>
    <x v="5"/>
    <x v="618"/>
    <d v="2024-09-04T08:31:07"/>
    <d v="2025-06-30T21:59:59"/>
    <s v="Cisco Associate-level Certification"/>
    <s v="CCNA R&amp;S"/>
    <x v="9"/>
    <s v="S1_IIEB_2425_MAD"/>
    <s v="English"/>
    <s v="7"/>
    <s v="1053764432"/>
    <s v="Zuzana"/>
    <s v="Radošovská"/>
    <n v="27"/>
    <n v="27"/>
    <n v="0"/>
    <n v="27"/>
    <n v="27"/>
    <n v="0"/>
  </r>
  <r>
    <x v="42"/>
    <x v="41"/>
    <x v="5"/>
    <x v="2"/>
    <m/>
    <m/>
    <m/>
    <m/>
    <x v="2"/>
    <m/>
    <m/>
    <m/>
    <s v="5511638"/>
    <s v="Miroslav"/>
    <s v="Madunicky"/>
    <n v="27"/>
    <n v="27"/>
    <n v="0"/>
    <n v="27"/>
    <n v="27"/>
    <n v="0"/>
  </r>
  <r>
    <x v="42"/>
    <x v="41"/>
    <x v="5"/>
    <x v="619"/>
    <d v="2024-09-24T11:37:03"/>
    <d v="2025-06-30T21:59:59"/>
    <s v="Cisco Associate-level Certification"/>
    <s v="CCNA R&amp;S"/>
    <x v="10"/>
    <s v="S3_IVEA_2425_MAD"/>
    <s v="English"/>
    <s v="1"/>
    <s v="5511638"/>
    <s v="Miroslav"/>
    <s v="Madunicky"/>
    <n v="13"/>
    <n v="13"/>
    <n v="0"/>
    <n v="13"/>
    <n v="13"/>
    <n v="0"/>
  </r>
  <r>
    <x v="42"/>
    <x v="41"/>
    <x v="5"/>
    <x v="2"/>
    <m/>
    <m/>
    <m/>
    <m/>
    <x v="2"/>
    <m/>
    <m/>
    <m/>
    <s v="6555574"/>
    <s v="Michal"/>
    <s v="Salis"/>
    <n v="13"/>
    <n v="13"/>
    <n v="0"/>
    <n v="13"/>
    <n v="13"/>
    <n v="0"/>
  </r>
  <r>
    <x v="42"/>
    <x v="41"/>
    <x v="5"/>
    <x v="620"/>
    <d v="2024-09-06T08:49:24"/>
    <d v="2025-09-01T21:59:59"/>
    <s v="Cisco Associate-level Certification"/>
    <s v="CCNA R&amp;S"/>
    <x v="8"/>
    <s v="CCNA2 III.EB SAL"/>
    <s v="English"/>
    <s v="7"/>
    <s v="5511638"/>
    <s v="Miroslav"/>
    <s v="Madunicky"/>
    <n v="15"/>
    <n v="15"/>
    <n v="0"/>
    <n v="15"/>
    <n v="15"/>
    <n v="0"/>
  </r>
  <r>
    <x v="42"/>
    <x v="41"/>
    <x v="5"/>
    <x v="2"/>
    <m/>
    <m/>
    <m/>
    <m/>
    <x v="2"/>
    <m/>
    <m/>
    <m/>
    <s v="6555574"/>
    <s v="Michal"/>
    <s v="Salis"/>
    <n v="15"/>
    <n v="15"/>
    <n v="0"/>
    <n v="15"/>
    <n v="15"/>
    <n v="0"/>
  </r>
  <r>
    <x v="42"/>
    <x v="41"/>
    <x v="5"/>
    <x v="621"/>
    <d v="2024-09-09T07:59:47"/>
    <d v="2025-06-30T21:59:59"/>
    <s v="Cisco Associate-level Certification"/>
    <s v="CCNA R&amp;S"/>
    <x v="10"/>
    <s v="S3_IVEB_2425_MAD"/>
    <s v="English"/>
    <s v="1"/>
    <s v="5511638"/>
    <s v="Miroslav"/>
    <s v="Madunicky"/>
    <n v="14"/>
    <n v="14"/>
    <n v="0"/>
    <n v="14"/>
    <n v="14"/>
    <n v="0"/>
  </r>
  <r>
    <x v="42"/>
    <x v="41"/>
    <x v="5"/>
    <x v="2"/>
    <m/>
    <m/>
    <m/>
    <m/>
    <x v="2"/>
    <m/>
    <m/>
    <m/>
    <s v="6555574"/>
    <s v="Michal"/>
    <s v="Salis"/>
    <n v="14"/>
    <n v="14"/>
    <n v="0"/>
    <n v="14"/>
    <n v="14"/>
    <n v="0"/>
  </r>
  <r>
    <x v="42"/>
    <x v="41"/>
    <x v="5"/>
    <x v="622"/>
    <d v="2024-09-04T10:05:13"/>
    <d v="2025-09-06T21:59:59"/>
    <s v="Cisco Associate-level Certification"/>
    <s v="CCNA R&amp;S"/>
    <x v="8"/>
    <s v="CCNA 2 III.EA SAL"/>
    <s v="English"/>
    <s v="7"/>
    <s v="5511638"/>
    <s v="Miroslav"/>
    <s v="Madunicky"/>
    <n v="14"/>
    <n v="14"/>
    <n v="1"/>
    <n v="14"/>
    <n v="14"/>
    <n v="1"/>
  </r>
  <r>
    <x v="42"/>
    <x v="41"/>
    <x v="5"/>
    <x v="2"/>
    <m/>
    <m/>
    <m/>
    <m/>
    <x v="2"/>
    <m/>
    <m/>
    <m/>
    <s v="6555574"/>
    <s v="Michal"/>
    <s v="Salis"/>
    <n v="14"/>
    <n v="14"/>
    <n v="1"/>
    <n v="14"/>
    <n v="14"/>
    <n v="1"/>
  </r>
  <r>
    <x v="42"/>
    <x v="41"/>
    <x v="5"/>
    <x v="623"/>
    <d v="2024-09-06T08:46:09"/>
    <d v="2025-06-30T21:59:59"/>
    <s v="Cisco Associate-level Certification"/>
    <s v="CCNA R&amp;S"/>
    <x v="8"/>
    <s v="S2_IIIEB_2425_MAD"/>
    <s v="English"/>
    <s v="7"/>
    <s v="5511638"/>
    <s v="Miroslav"/>
    <s v="Madunicky"/>
    <n v="16"/>
    <n v="16"/>
    <n v="0"/>
    <n v="16"/>
    <n v="16"/>
    <n v="0"/>
  </r>
  <r>
    <x v="42"/>
    <x v="41"/>
    <x v="5"/>
    <x v="2"/>
    <m/>
    <m/>
    <m/>
    <m/>
    <x v="2"/>
    <m/>
    <m/>
    <m/>
    <s v="6555574"/>
    <s v="Michal"/>
    <s v="Salis"/>
    <n v="16"/>
    <n v="16"/>
    <n v="0"/>
    <n v="16"/>
    <n v="16"/>
    <n v="0"/>
  </r>
  <r>
    <x v="42"/>
    <x v="41"/>
    <x v="5"/>
    <x v="624"/>
    <d v="2024-09-05T06:12:58"/>
    <d v="2025-08-31T21:59:59"/>
    <s v="Cisco Associate-level Certification"/>
    <s v="CCNA R&amp;S"/>
    <x v="9"/>
    <s v="3.EC - CCNA: Introduction to Networks"/>
    <s v="English"/>
    <s v="7"/>
    <s v="1053764432"/>
    <s v="Zuzana"/>
    <s v="Radošovská"/>
    <n v="15"/>
    <n v="15"/>
    <n v="3"/>
    <n v="15"/>
    <n v="15"/>
    <n v="3"/>
  </r>
  <r>
    <x v="42"/>
    <x v="41"/>
    <x v="5"/>
    <x v="625"/>
    <d v="2024-11-28T13:15:55"/>
    <d v="2025-06-30T21:59:59"/>
    <s v="Cisco Associate-level Certification"/>
    <s v="CCNA R&amp;S"/>
    <x v="9"/>
    <s v="S1- test"/>
    <s v="English"/>
    <s v="7"/>
    <s v="5511638"/>
    <s v="Miroslav"/>
    <s v="Madunicky"/>
    <n v="1"/>
    <n v="0"/>
    <n v="0"/>
    <n v="1"/>
    <n v="0"/>
    <n v="0"/>
  </r>
  <r>
    <x v="42"/>
    <x v="41"/>
    <x v="5"/>
    <x v="626"/>
    <d v="2024-09-09T07:54:41"/>
    <d v="2025-09-02T21:59:59"/>
    <s v="Cisco Associate-level Certification"/>
    <s v="CCNA R&amp;S"/>
    <x v="10"/>
    <s v="CCNA 3 IV.EB SAL"/>
    <s v="English"/>
    <s v="1"/>
    <s v="5511638"/>
    <s v="Miroslav"/>
    <s v="Madunicky"/>
    <n v="15"/>
    <n v="15"/>
    <n v="0"/>
    <n v="15"/>
    <n v="15"/>
    <n v="0"/>
  </r>
  <r>
    <x v="42"/>
    <x v="41"/>
    <x v="5"/>
    <x v="2"/>
    <m/>
    <m/>
    <m/>
    <m/>
    <x v="2"/>
    <m/>
    <m/>
    <m/>
    <s v="6555574"/>
    <s v="Michal"/>
    <s v="Salis"/>
    <n v="15"/>
    <n v="15"/>
    <n v="0"/>
    <n v="15"/>
    <n v="15"/>
    <n v="0"/>
  </r>
  <r>
    <x v="43"/>
    <x v="42"/>
    <x v="0"/>
    <x v="627"/>
    <d v="2024-09-10T06:00:29"/>
    <d v="2025-08-31T21:59:59"/>
    <s v="Cisco Associate-level Certification"/>
    <s v="CCNA R&amp;S"/>
    <x v="9"/>
    <s v="SOSD IIIM 2024 CCNA: Introduction to Networks"/>
    <s v="English"/>
    <s v="7"/>
    <s v="8175632"/>
    <s v="Marcel"/>
    <s v="Mihalcin"/>
    <n v="20"/>
    <n v="19"/>
    <n v="15"/>
    <n v="20"/>
    <n v="19"/>
    <n v="15"/>
  </r>
  <r>
    <x v="43"/>
    <x v="42"/>
    <x v="0"/>
    <x v="628"/>
    <d v="2024-09-09T08:54:44"/>
    <d v="2025-08-31T21:59:59"/>
    <s v="Cisco Associate-level Certification"/>
    <s v="CCNA R&amp;S"/>
    <x v="8"/>
    <s v="SOSD IVM 2024 CCNA: Switching, Routing, and Wireless Essentials"/>
    <s v="English"/>
    <s v="7"/>
    <s v="8175632"/>
    <s v="Marcel"/>
    <s v="Mihalcin"/>
    <n v="15"/>
    <n v="15"/>
    <n v="15"/>
    <n v="15"/>
    <n v="15"/>
    <n v="15"/>
  </r>
  <r>
    <x v="44"/>
    <x v="43"/>
    <x v="1"/>
    <x v="629"/>
    <d v="2024-08-31T22:00:00"/>
    <d v="2025-06-30T21:59:59"/>
    <s v="Cisco Associate-level Certification"/>
    <s v="CCNA R&amp;S"/>
    <x v="9"/>
    <s v="CCNA: Introduction to Networks"/>
    <s v="English"/>
    <s v="7"/>
    <s v="48020893"/>
    <s v="Matej"/>
    <s v="Machurek"/>
    <n v="7"/>
    <n v="7"/>
    <n v="0"/>
    <m/>
    <m/>
    <m/>
  </r>
  <r>
    <x v="45"/>
    <x v="44"/>
    <x v="4"/>
    <x v="630"/>
    <d v="2024-06-25T22:00:00"/>
    <d v="2024-08-30T22:00:00"/>
    <s v="Cisco Associate-level Certification"/>
    <s v="CCNA R&amp;S"/>
    <x v="11"/>
    <s v="CCNA3v7.2_IN_Ma24_24"/>
    <s v="English"/>
    <s v="7.02"/>
    <s v="1004444803"/>
    <s v="Erik"/>
    <s v="Martak"/>
    <n v="9"/>
    <n v="7"/>
    <n v="0"/>
    <n v="9"/>
    <n v="7"/>
    <n v="0"/>
  </r>
  <r>
    <x v="45"/>
    <x v="44"/>
    <x v="4"/>
    <x v="631"/>
    <d v="2024-06-25T22:00:00"/>
    <d v="2024-08-30T22:00:00"/>
    <s v="Cisco Associate-level Certification"/>
    <s v="CCNA R&amp;S"/>
    <x v="4"/>
    <s v="CCNA2v7.2_IN_Ma24_24 Leto"/>
    <s v="English"/>
    <s v="7.02"/>
    <s v="1004444803"/>
    <s v="Erik"/>
    <s v="Martak"/>
    <n v="13"/>
    <n v="10"/>
    <n v="0"/>
    <n v="13"/>
    <n v="10"/>
    <n v="0"/>
  </r>
  <r>
    <x v="45"/>
    <x v="44"/>
    <x v="4"/>
    <x v="632"/>
    <d v="2024-12-04T14:46:25"/>
    <d v="2025-05-31T21:59:59"/>
    <s v="Cisco Associate-level Certification"/>
    <s v="CCNA R&amp;S"/>
    <x v="9"/>
    <s v="CCNA1: Introduction to Networks_test"/>
    <s v="English"/>
    <s v="7"/>
    <s v="1034342212"/>
    <s v="Viktor"/>
    <s v="Bagin"/>
    <n v="4"/>
    <n v="2"/>
    <n v="0"/>
    <n v="4"/>
    <n v="2"/>
    <n v="0"/>
  </r>
  <r>
    <x v="45"/>
    <x v="44"/>
    <x v="4"/>
    <x v="633"/>
    <d v="2024-10-22T12:42:41"/>
    <d v="2025-10-21T21:59:59"/>
    <s v="Cisco Associate-level Certification"/>
    <s v="CCNA R&amp;S"/>
    <x v="10"/>
    <s v="CCNA3_2024-2025_Hr"/>
    <s v="English"/>
    <s v="1"/>
    <s v="1004444803"/>
    <s v="Erik"/>
    <s v="Martak"/>
    <n v="9"/>
    <n v="7"/>
    <n v="2"/>
    <n v="9"/>
    <n v="7"/>
    <n v="2"/>
  </r>
  <r>
    <x v="45"/>
    <x v="44"/>
    <x v="4"/>
    <x v="2"/>
    <m/>
    <m/>
    <m/>
    <m/>
    <x v="2"/>
    <m/>
    <m/>
    <m/>
    <s v="53382230"/>
    <s v="Hrcka"/>
    <s v="Anton"/>
    <n v="9"/>
    <n v="7"/>
    <n v="2"/>
    <n v="9"/>
    <n v="7"/>
    <n v="2"/>
  </r>
  <r>
    <x v="46"/>
    <x v="4"/>
    <x v="3"/>
    <x v="634"/>
    <d v="2024-03-12T00:00:00"/>
    <d v="2024-12-31T00:00:00"/>
    <s v="Cisco Associate-level Certification"/>
    <s v="CCNA R&amp;S"/>
    <x v="5"/>
    <s v="CCNA1_intro"/>
    <s v="English"/>
    <s v="7.02"/>
    <s v="7650621"/>
    <s v="Radoslav Michal"/>
    <s v="Kopera"/>
    <n v="2"/>
    <n v="2"/>
    <n v="0"/>
    <n v="2"/>
    <n v="2"/>
    <n v="0"/>
  </r>
  <r>
    <x v="47"/>
    <x v="45"/>
    <x v="2"/>
    <x v="635"/>
    <d v="2024-12-29T13:02:21"/>
    <d v="2025-06-15T21:59:59"/>
    <s v="Cisco Associate-level Certification"/>
    <s v="CCNA R&amp;S"/>
    <x v="9"/>
    <s v="CCNA: Introduction to Networks"/>
    <s v="English"/>
    <s v="7"/>
    <s v="53411129"/>
    <s v="Zoltán"/>
    <s v="Soóky"/>
    <n v="3"/>
    <n v="1"/>
    <n v="0"/>
    <n v="3"/>
    <n v="1"/>
    <n v="0"/>
  </r>
  <r>
    <x v="47"/>
    <x v="45"/>
    <x v="2"/>
    <x v="636"/>
    <d v="2024-09-02T19:08:05"/>
    <d v="2025-09-02T21:59:59"/>
    <s v="Cisco Associate-level Certification"/>
    <s v="Cybersecurity"/>
    <x v="33"/>
    <s v="IV.DI_2024/2025_CyberOps Associate"/>
    <s v="English"/>
    <s v="1"/>
    <s v="21450511"/>
    <s v="Peter"/>
    <s v="Cucor"/>
    <n v="20"/>
    <n v="20"/>
    <n v="0"/>
    <n v="20"/>
    <n v="20"/>
    <n v="0"/>
  </r>
  <r>
    <x v="47"/>
    <x v="45"/>
    <x v="2"/>
    <x v="637"/>
    <d v="2024-08-27T09:05:55"/>
    <d v="2025-07-07T21:59:59"/>
    <s v="3rd Party Technical Certification"/>
    <s v="IT Essentials"/>
    <x v="13"/>
    <s v="2024-25_I.AI_ITEv8"/>
    <s v="English"/>
    <s v="8"/>
    <s v="4193525"/>
    <s v="Michal"/>
    <s v="MIKO"/>
    <n v="33"/>
    <n v="32"/>
    <n v="0"/>
    <n v="33"/>
    <n v="32"/>
    <n v="0"/>
  </r>
  <r>
    <x v="47"/>
    <x v="45"/>
    <x v="2"/>
    <x v="638"/>
    <d v="2024-08-27T09:37:08"/>
    <d v="2025-07-07T21:59:59"/>
    <s v="Cisco Associate-level Certification"/>
    <s v="Cybersecurity"/>
    <x v="33"/>
    <s v="2024-25_IV.AI_SIE4"/>
    <s v="English"/>
    <s v="1"/>
    <s v="4193525"/>
    <s v="Michal"/>
    <s v="MIKO"/>
    <n v="31"/>
    <n v="31"/>
    <n v="2"/>
    <n v="31"/>
    <n v="31"/>
    <n v="2"/>
  </r>
  <r>
    <x v="47"/>
    <x v="45"/>
    <x v="2"/>
    <x v="639"/>
    <d v="2024-08-27T09:30:39"/>
    <d v="2025-07-07T21:59:59"/>
    <s v="Cisco Associate-level Certification"/>
    <s v="CCNA R&amp;S"/>
    <x v="8"/>
    <s v="2024-25_II.AI_SIE2"/>
    <s v="English"/>
    <s v="7"/>
    <s v="4193525"/>
    <s v="Michal"/>
    <s v="MIKO"/>
    <n v="16"/>
    <n v="16"/>
    <n v="0"/>
    <n v="16"/>
    <n v="16"/>
    <n v="0"/>
  </r>
  <r>
    <x v="47"/>
    <x v="45"/>
    <x v="2"/>
    <x v="640"/>
    <d v="2024-12-29T13:09:00"/>
    <d v="2025-06-15T21:59:59"/>
    <s v="Cisco Associate-level Certification"/>
    <s v="CCNA R&amp;S"/>
    <x v="8"/>
    <s v="CCNA: Switching, Routing, and Wireless Essentials"/>
    <s v="English"/>
    <s v="7"/>
    <s v="53411129"/>
    <s v="Zoltán"/>
    <s v="Soóky"/>
    <n v="3"/>
    <n v="2"/>
    <n v="0"/>
    <n v="3"/>
    <n v="2"/>
    <n v="0"/>
  </r>
  <r>
    <x v="47"/>
    <x v="45"/>
    <x v="2"/>
    <x v="641"/>
    <d v="2024-09-02T16:26:44"/>
    <d v="2025-08-24T21:59:59"/>
    <s v="Cisco Associate-level Certification"/>
    <s v="CCNA R&amp;S"/>
    <x v="8"/>
    <s v="2024-25_II.DI_SIE2"/>
    <s v="English"/>
    <s v="7"/>
    <s v="48120789"/>
    <s v="Martin"/>
    <s v="Molnár"/>
    <n v="19"/>
    <n v="19"/>
    <n v="0"/>
    <n v="19"/>
    <n v="19"/>
    <n v="0"/>
  </r>
  <r>
    <x v="47"/>
    <x v="45"/>
    <x v="2"/>
    <x v="642"/>
    <d v="2024-09-02T16:24:58"/>
    <d v="2025-07-07T21:59:59"/>
    <s v="Cisco Associate-level Certification"/>
    <s v="CCNA R&amp;S"/>
    <x v="8"/>
    <s v="2024-25_IV.AP_SIE2"/>
    <s v="English"/>
    <s v="7"/>
    <s v="48120789"/>
    <s v="Martin"/>
    <s v="Molnár"/>
    <n v="23"/>
    <n v="22"/>
    <n v="0"/>
    <n v="23"/>
    <n v="22"/>
    <n v="0"/>
  </r>
  <r>
    <x v="47"/>
    <x v="45"/>
    <x v="2"/>
    <x v="643"/>
    <d v="2024-09-02T16:23:01"/>
    <d v="2025-07-07T21:59:59"/>
    <s v="Cisco Associate-level Certification"/>
    <s v="CCNA R&amp;S"/>
    <x v="9"/>
    <s v="2024-25_III.AP_SIE1"/>
    <s v="English"/>
    <s v="7"/>
    <s v="48120789"/>
    <s v="Martin"/>
    <s v="Molnár"/>
    <n v="33"/>
    <n v="32"/>
    <n v="6"/>
    <n v="33"/>
    <n v="32"/>
    <n v="6"/>
  </r>
  <r>
    <x v="47"/>
    <x v="45"/>
    <x v="2"/>
    <x v="644"/>
    <d v="2024-09-02T16:27:48"/>
    <d v="2025-07-07T21:59:59"/>
    <s v="Cisco Associate-level Certification"/>
    <s v="CCNA R&amp;S"/>
    <x v="8"/>
    <s v="2024-25_II.AI_SIE2"/>
    <s v="English"/>
    <s v="7"/>
    <s v="48120789"/>
    <s v="Martin"/>
    <s v="Molnár"/>
    <n v="17"/>
    <n v="17"/>
    <n v="2"/>
    <n v="17"/>
    <n v="17"/>
    <n v="2"/>
  </r>
  <r>
    <x v="47"/>
    <x v="45"/>
    <x v="2"/>
    <x v="645"/>
    <d v="2024-09-01T22:00:00"/>
    <d v="2025-09-02T21:59:59"/>
    <s v="Cisco Associate-level Certification"/>
    <s v="CCNA R&amp;S"/>
    <x v="10"/>
    <s v="III.AI_2024/2025_CCNA: Enterprise Networking, Security, and Automation"/>
    <s v="English"/>
    <s v="1"/>
    <s v="21450511"/>
    <s v="Peter"/>
    <s v="Cucor"/>
    <n v="30"/>
    <n v="30"/>
    <n v="10"/>
    <n v="30"/>
    <n v="30"/>
    <n v="10"/>
  </r>
  <r>
    <x v="47"/>
    <x v="45"/>
    <x v="2"/>
    <x v="646"/>
    <d v="2024-08-27T09:23:33"/>
    <d v="2025-07-07T21:59:59"/>
    <s v="3rd Party Technical Certification"/>
    <s v="IT Essentials"/>
    <x v="13"/>
    <s v="2024-25_I.DI_ITEv8"/>
    <s v="English"/>
    <s v="8"/>
    <s v="4193525"/>
    <s v="Michal"/>
    <s v="MIKO"/>
    <n v="23"/>
    <n v="23"/>
    <n v="0"/>
    <n v="23"/>
    <n v="23"/>
    <n v="0"/>
  </r>
  <r>
    <x v="47"/>
    <x v="45"/>
    <x v="2"/>
    <x v="647"/>
    <d v="2024-09-09T06:59:31"/>
    <d v="2025-09-09T21:59:59"/>
    <s v="Introductory Technical Skills"/>
    <s v="IoT"/>
    <x v="48"/>
    <s v="I.DI_2024/2025_IoT and Digital Transformation"/>
    <s v="English"/>
    <s v="1"/>
    <s v="21450511"/>
    <s v="Peter"/>
    <s v="Cucor"/>
    <n v="20"/>
    <n v="20"/>
    <n v="0"/>
    <n v="20"/>
    <n v="20"/>
    <n v="0"/>
  </r>
  <r>
    <x v="47"/>
    <x v="45"/>
    <x v="2"/>
    <x v="648"/>
    <d v="2024-09-12T11:42:54"/>
    <d v="2025-09-12T21:59:59"/>
    <s v="3rd Party Technical Certification"/>
    <s v="Linux"/>
    <x v="17"/>
    <s v="2024-25_Linux Essentials_70hod."/>
    <s v="English"/>
    <s v="2"/>
    <s v="4193525"/>
    <s v="Michal"/>
    <s v="MIKO"/>
    <n v="2"/>
    <n v="1"/>
    <n v="0"/>
    <n v="2"/>
    <n v="1"/>
    <n v="0"/>
  </r>
  <r>
    <x v="47"/>
    <x v="45"/>
    <x v="2"/>
    <x v="649"/>
    <d v="2024-08-27T09:32:51"/>
    <d v="2025-07-07T21:59:59"/>
    <s v="Cisco Associate-level Certification"/>
    <s v="CCNA R&amp;S"/>
    <x v="10"/>
    <s v="2024-25_III.DI_SIE3"/>
    <s v="English"/>
    <s v="1"/>
    <s v="4193525"/>
    <s v="Michal"/>
    <s v="MIKO"/>
    <n v="21"/>
    <n v="21"/>
    <n v="0"/>
    <n v="21"/>
    <n v="21"/>
    <n v="0"/>
  </r>
  <r>
    <x v="47"/>
    <x v="45"/>
    <x v="2"/>
    <x v="650"/>
    <d v="2024-09-10T08:43:59"/>
    <d v="2025-09-10T21:59:59"/>
    <s v="Intermediate Technical Skills"/>
    <s v="Data Analyst"/>
    <x v="54"/>
    <s v="II.DI_2024/205_Data Analytics"/>
    <s v="English"/>
    <s v="1"/>
    <s v="21450511"/>
    <s v="Peter"/>
    <s v="Cucor"/>
    <n v="19"/>
    <n v="19"/>
    <n v="1"/>
    <n v="19"/>
    <n v="19"/>
    <n v="1"/>
  </r>
  <r>
    <x v="47"/>
    <x v="45"/>
    <x v="2"/>
    <x v="651"/>
    <d v="2024-09-10T06:02:51"/>
    <d v="2025-09-10T21:59:59"/>
    <s v="Intermediate Technical Skills"/>
    <s v="Data Analyst"/>
    <x v="54"/>
    <s v="II.AI_2024/2025_Data Analytics"/>
    <s v="English"/>
    <s v="1"/>
    <s v="21450511"/>
    <s v="Peter"/>
    <s v="Cucor"/>
    <n v="29"/>
    <n v="29"/>
    <n v="10"/>
    <n v="29"/>
    <n v="29"/>
    <n v="10"/>
  </r>
  <r>
    <x v="47"/>
    <x v="45"/>
    <x v="2"/>
    <x v="652"/>
    <d v="2024-08-27T09:27:25"/>
    <d v="2025-07-07T21:59:59"/>
    <s v="Cisco Associate-level Certification"/>
    <s v="CCNA R&amp;S"/>
    <x v="9"/>
    <s v="2024-25_I.AI_SIE1"/>
    <s v="English"/>
    <s v="7"/>
    <s v="4193525"/>
    <s v="Michal"/>
    <s v="MIKO"/>
    <n v="35"/>
    <n v="32"/>
    <n v="9"/>
    <n v="35"/>
    <n v="32"/>
    <n v="9"/>
  </r>
  <r>
    <x v="47"/>
    <x v="45"/>
    <x v="2"/>
    <x v="653"/>
    <d v="2024-09-01T22:00:00"/>
    <d v="2025-06-30T21:59:59"/>
    <s v="Cisco Associate-level Certification"/>
    <s v="CCNA R&amp;S"/>
    <x v="9"/>
    <s v="2024-25_I.DI_SIE1"/>
    <s v="English"/>
    <s v="7"/>
    <s v="53411129"/>
    <s v="Zoltán"/>
    <s v="Soóky"/>
    <n v="20"/>
    <n v="20"/>
    <n v="3"/>
    <n v="20"/>
    <n v="20"/>
    <n v="3"/>
  </r>
  <r>
    <x v="47"/>
    <x v="45"/>
    <x v="2"/>
    <x v="654"/>
    <d v="2024-06-06T22:00:00"/>
    <d v="2025-06-07T21:59:59"/>
    <s v="Introductory Technical Skills"/>
    <s v="IoT"/>
    <x v="48"/>
    <s v="I.AI_2024/2025_Introduction to IoT and Digital Transformation"/>
    <s v="English"/>
    <s v="1"/>
    <s v="21450511"/>
    <s v="Peter"/>
    <s v="Cucor"/>
    <n v="34"/>
    <n v="33"/>
    <n v="1"/>
    <n v="34"/>
    <n v="33"/>
    <n v="1"/>
  </r>
  <r>
    <x v="48"/>
    <x v="4"/>
    <x v="3"/>
    <x v="655"/>
    <d v="2024-11-25T06:54:36"/>
    <d v="2024-12-31T22:59:59"/>
    <s v="Cisco Associate-level Certification"/>
    <s v="CCNA R&amp;S"/>
    <x v="8"/>
    <s v="Základy prepínania, smerovania a bezdrôtového pripojenia"/>
    <s v="English"/>
    <s v="7"/>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6"/>
    <d v="2024-06-15T22:00:00"/>
    <d v="2024-09-15T22:00:00"/>
    <s v="Cisco Associate-level Certification"/>
    <s v="CCNA R&amp;S"/>
    <x v="4"/>
    <s v="Základy prepínania, smerovania a bezdrôtového pripojenia"/>
    <s v="English"/>
    <s v="7.02"/>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7"/>
    <d v="2024-10-07T05:44:25"/>
    <d v="2024-11-28T22:59:59"/>
    <s v="Cisco Associate-level Certification"/>
    <s v="CCNA R&amp;S"/>
    <x v="9"/>
    <s v="Úvod do sietí"/>
    <s v="English"/>
    <s v="7"/>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8"/>
    <d v="2024-09-16T06:05:32"/>
    <d v="2024-10-31T22:59:59"/>
    <s v="Cisco Associate-level Certification"/>
    <s v="CCNA R&amp;S"/>
    <x v="10"/>
    <s v="Podnikové siete, bezpečnosť a automatizácia"/>
    <s v="English"/>
    <s v="1"/>
    <s v="1017523815"/>
    <s v="Martin"/>
    <s v="Kysel"/>
    <n v="7"/>
    <n v="7"/>
    <n v="7"/>
    <m/>
    <m/>
    <m/>
  </r>
  <r>
    <x v="48"/>
    <x v="4"/>
    <x v="3"/>
    <x v="2"/>
    <m/>
    <m/>
    <m/>
    <m/>
    <x v="2"/>
    <m/>
    <m/>
    <m/>
    <s v="1017758227"/>
    <s v="Igor"/>
    <s v="POHANKA"/>
    <n v="7"/>
    <n v="7"/>
    <n v="7"/>
    <m/>
    <m/>
    <m/>
  </r>
  <r>
    <x v="48"/>
    <x v="4"/>
    <x v="3"/>
    <x v="2"/>
    <m/>
    <m/>
    <m/>
    <m/>
    <x v="2"/>
    <m/>
    <m/>
    <m/>
    <s v="46921831"/>
    <s v="Jan"/>
    <s v="Stecak"/>
    <n v="7"/>
    <n v="7"/>
    <n v="7"/>
    <m/>
    <m/>
    <m/>
  </r>
  <r>
    <x v="48"/>
    <x v="4"/>
    <x v="3"/>
    <x v="2"/>
    <m/>
    <m/>
    <m/>
    <m/>
    <x v="2"/>
    <m/>
    <m/>
    <m/>
    <s v="54246319"/>
    <s v="Albert"/>
    <s v="Tuzinsky"/>
    <n v="7"/>
    <n v="7"/>
    <n v="7"/>
    <m/>
    <m/>
    <m/>
  </r>
  <r>
    <x v="49"/>
    <x v="46"/>
    <x v="1"/>
    <x v="659"/>
    <d v="2024-05-15T22:00:00"/>
    <d v="2024-08-15T22:00:00"/>
    <s v="Cisco Associate-level Certification"/>
    <s v="CCNA R&amp;S"/>
    <x v="4"/>
    <s v="CCNA_2024_2"/>
    <s v="English"/>
    <s v="7.02"/>
    <s v="3211134"/>
    <s v="Jozef"/>
    <s v="Melisko"/>
    <n v="14"/>
    <n v="1"/>
    <n v="0"/>
    <n v="14"/>
    <n v="1"/>
    <n v="0"/>
  </r>
  <r>
    <x v="49"/>
    <x v="46"/>
    <x v="1"/>
    <x v="660"/>
    <d v="2024-09-05T07:43:36"/>
    <d v="2025-06-30T21:59:59"/>
    <s v="Cisco Associate-level Certification"/>
    <s v="CCNA R&amp;S"/>
    <x v="9"/>
    <s v="CCNA: Introduction to Networks"/>
    <s v="English"/>
    <s v="7"/>
    <s v="3211134"/>
    <s v="Jozef"/>
    <s v="Melisko"/>
    <n v="13"/>
    <n v="3"/>
    <n v="0"/>
    <n v="13"/>
    <n v="3"/>
    <n v="0"/>
  </r>
  <r>
    <x v="50"/>
    <x v="47"/>
    <x v="1"/>
    <x v="661"/>
    <d v="2024-09-10T13:08:11"/>
    <d v="2025-06-30T21:59:59"/>
    <s v="Cisco Associate-level Certification"/>
    <s v="CCNA R&amp;S"/>
    <x v="8"/>
    <s v="CCNA: Switching, Routing, and Wireless Essentials"/>
    <s v="English"/>
    <s v="7"/>
    <s v="46455489"/>
    <s v="Stefan"/>
    <s v="Kubanek"/>
    <n v="2"/>
    <n v="2"/>
    <n v="2"/>
    <n v="2"/>
    <n v="2"/>
    <n v="2"/>
  </r>
  <r>
    <x v="50"/>
    <x v="47"/>
    <x v="1"/>
    <x v="662"/>
    <d v="2024-09-17T15:28:41"/>
    <d v="2025-06-30T21:59:59"/>
    <s v="Cisco Associate-level Certification"/>
    <s v="CCNA R&amp;S"/>
    <x v="10"/>
    <s v="CCNA: Enterprise Networking, Security, and Automation"/>
    <s v="English"/>
    <s v="1"/>
    <s v="46455489"/>
    <s v="Stefan"/>
    <s v="Kubanek"/>
    <n v="1"/>
    <n v="1"/>
    <n v="1"/>
    <n v="1"/>
    <n v="1"/>
    <n v="1"/>
  </r>
  <r>
    <x v="50"/>
    <x v="47"/>
    <x v="1"/>
    <x v="663"/>
    <d v="2024-09-10T13:05:34"/>
    <d v="2025-06-30T21:59:59"/>
    <s v="Cisco Associate-level Certification"/>
    <s v="CCNA R&amp;S"/>
    <x v="9"/>
    <s v="CCNA: Introduction to Networks"/>
    <s v="English"/>
    <s v="7"/>
    <s v="46455489"/>
    <s v="Stefan"/>
    <s v="Kubanek"/>
    <n v="11"/>
    <n v="11"/>
    <n v="3"/>
    <n v="11"/>
    <n v="11"/>
    <n v="3"/>
  </r>
  <r>
    <x v="51"/>
    <x v="48"/>
    <x v="0"/>
    <x v="664"/>
    <d v="2024-10-28T12:18:49"/>
    <d v="2025-06-30T21:59:59"/>
    <s v="Cisco Associate-level Certification"/>
    <s v="CCNA R&amp;S"/>
    <x v="8"/>
    <s v="CCNA 2: Switching, Routing, and Wireless Essentials"/>
    <s v="English"/>
    <s v="7"/>
    <s v="36678786"/>
    <s v="Marek"/>
    <s v="Ivan"/>
    <n v="5"/>
    <n v="4"/>
    <n v="0"/>
    <m/>
    <m/>
    <m/>
  </r>
  <r>
    <x v="51"/>
    <x v="48"/>
    <x v="0"/>
    <x v="665"/>
    <d v="2024-09-16T07:47:55"/>
    <d v="2025-06-30T21:59:59"/>
    <s v="Cisco Associate-level Certification"/>
    <s v="CCNA R&amp;S"/>
    <x v="9"/>
    <s v="II MPS a/1sk CCNA: Introduction to Networks"/>
    <s v="English"/>
    <s v="7"/>
    <s v="36678786"/>
    <s v="Marek"/>
    <s v="Ivan"/>
    <n v="11"/>
    <n v="9"/>
    <n v="4"/>
    <m/>
    <m/>
    <m/>
  </r>
  <r>
    <x v="51"/>
    <x v="48"/>
    <x v="0"/>
    <x v="666"/>
    <d v="2024-11-18T06:50:26"/>
    <d v="2025-06-30T21:59:59"/>
    <s v="Cisco Associate-level Certification"/>
    <s v="CCNA R&amp;S"/>
    <x v="9"/>
    <s v="CCNA: Introduction to Networks - 2MPS 2sk"/>
    <s v="English"/>
    <s v="7"/>
    <s v="36678786"/>
    <s v="Marek"/>
    <s v="Ivan"/>
    <n v="10"/>
    <n v="10"/>
    <n v="5"/>
    <m/>
    <m/>
    <m/>
  </r>
  <r>
    <x v="52"/>
    <x v="49"/>
    <x v="5"/>
    <x v="667"/>
    <d v="2024-09-25T10:08:33"/>
    <d v="2025-03-25T22:59:59"/>
    <s v="Cisco Entry-level Certification"/>
    <s v="Networking Essentials"/>
    <x v="6"/>
    <s v="Networking Basics-streda 6,7"/>
    <s v="English"/>
    <s v="1"/>
    <s v="28071238"/>
    <s v="Michaela"/>
    <s v="Stoselova"/>
    <n v="13"/>
    <n v="11"/>
    <n v="0"/>
    <n v="13"/>
    <n v="11"/>
    <n v="0"/>
  </r>
  <r>
    <x v="52"/>
    <x v="49"/>
    <x v="5"/>
    <x v="668"/>
    <d v="2024-09-07T22:00:00"/>
    <d v="2025-06-30T21:59:59"/>
    <s v="Cisco Associate-level Certification"/>
    <s v="CCNA R&amp;S"/>
    <x v="8"/>
    <s v="4.ES_Čp"/>
    <s v="English"/>
    <s v="7"/>
    <s v="1024075800"/>
    <s v="Michal"/>
    <s v="Meda"/>
    <n v="15"/>
    <n v="13"/>
    <n v="1"/>
    <n v="15"/>
    <n v="13"/>
    <n v="1"/>
  </r>
  <r>
    <x v="52"/>
    <x v="49"/>
    <x v="5"/>
    <x v="669"/>
    <d v="2024-09-26T06:13:52"/>
    <d v="2025-05-13T21:59:59"/>
    <s v="Cisco Entry-level Certification"/>
    <s v="Networking Essentials"/>
    <x v="6"/>
    <s v="Networking Basics-stvrtok1,2"/>
    <s v="English"/>
    <s v="1"/>
    <s v="28071238"/>
    <s v="Michaela"/>
    <s v="Stoselova"/>
    <n v="5"/>
    <n v="5"/>
    <n v="0"/>
    <n v="5"/>
    <n v="5"/>
    <n v="0"/>
  </r>
  <r>
    <x v="52"/>
    <x v="49"/>
    <x v="5"/>
    <x v="670"/>
    <d v="2024-09-07T22:00:00"/>
    <d v="2025-06-30T21:59:59"/>
    <s v="Cisco Associate-level Certification"/>
    <s v="CCNA R&amp;S"/>
    <x v="8"/>
    <s v="4.EA_pondelok_SIE"/>
    <s v="English"/>
    <s v="7"/>
    <s v="1024075800"/>
    <s v="Michal"/>
    <s v="Meda"/>
    <n v="14"/>
    <n v="14"/>
    <n v="13"/>
    <n v="14"/>
    <n v="14"/>
    <n v="13"/>
  </r>
  <r>
    <x v="52"/>
    <x v="49"/>
    <x v="5"/>
    <x v="671"/>
    <d v="2024-09-19T09:43:53"/>
    <d v="2025-04-16T21:59:59"/>
    <s v="Cisco Entry-level Certification"/>
    <s v="Networking Essentials"/>
    <x v="6"/>
    <s v="Networking Basics-stvrtok5,6"/>
    <s v="English"/>
    <s v="1"/>
    <s v="28071238"/>
    <s v="Michaela"/>
    <s v="Stoselova"/>
    <n v="10"/>
    <n v="10"/>
    <n v="0"/>
    <n v="10"/>
    <n v="10"/>
    <n v="0"/>
  </r>
  <r>
    <x v="52"/>
    <x v="49"/>
    <x v="5"/>
    <x v="672"/>
    <d v="2024-09-16T10:40:10"/>
    <d v="2025-06-09T21:59:59"/>
    <s v="Cisco Entry-level Certification"/>
    <s v="Networking Essentials"/>
    <x v="6"/>
    <s v="Networking Basics-pondelok"/>
    <s v="English"/>
    <s v="1"/>
    <s v="28071238"/>
    <s v="Michaela"/>
    <s v="Stoselova"/>
    <n v="14"/>
    <n v="13"/>
    <n v="0"/>
    <n v="14"/>
    <n v="13"/>
    <n v="0"/>
  </r>
  <r>
    <x v="52"/>
    <x v="49"/>
    <x v="5"/>
    <x v="673"/>
    <d v="2024-09-19T06:08:53"/>
    <d v="2025-06-17T21:59:59"/>
    <s v="Cisco Entry-level Certification"/>
    <s v="Networking Essentials"/>
    <x v="6"/>
    <s v="Networking Basics-streda1,2"/>
    <s v="English"/>
    <s v="1"/>
    <s v="28071238"/>
    <s v="Michaela"/>
    <s v="Stoselova"/>
    <n v="6"/>
    <n v="6"/>
    <n v="0"/>
    <n v="6"/>
    <n v="6"/>
    <n v="0"/>
  </r>
  <r>
    <x v="52"/>
    <x v="49"/>
    <x v="5"/>
    <x v="674"/>
    <d v="2024-09-03T08:33:20"/>
    <d v="2025-06-30T21:59:59"/>
    <s v="Cisco Associate-level Certification"/>
    <s v="CCNA R&amp;S"/>
    <x v="8"/>
    <s v="4EA_2.sk_Čp"/>
    <s v="English"/>
    <s v="7"/>
    <s v="1024075800"/>
    <s v="Michal"/>
    <s v="Meda"/>
    <n v="15"/>
    <n v="15"/>
    <n v="11"/>
    <n v="15"/>
    <n v="15"/>
    <n v="11"/>
  </r>
  <r>
    <x v="53"/>
    <x v="50"/>
    <x v="2"/>
    <x v="675"/>
    <d v="2024-09-03T13:22:28"/>
    <d v="2025-07-31T21:59:59"/>
    <s v="Cisco Associate-level Certification"/>
    <s v="CCNA R&amp;S"/>
    <x v="10"/>
    <s v="CCNA3_IV_B_2024_25"/>
    <s v="English"/>
    <s v="1"/>
    <s v="1025298462"/>
    <s v="Mário"/>
    <s v="Jurik"/>
    <n v="4"/>
    <n v="4"/>
    <n v="4"/>
    <m/>
    <m/>
    <m/>
  </r>
  <r>
    <x v="53"/>
    <x v="50"/>
    <x v="2"/>
    <x v="2"/>
    <m/>
    <m/>
    <m/>
    <m/>
    <x v="2"/>
    <m/>
    <m/>
    <m/>
    <s v="32616399"/>
    <s v="Boris"/>
    <s v="Molnar"/>
    <n v="4"/>
    <n v="4"/>
    <n v="4"/>
    <m/>
    <m/>
    <m/>
  </r>
  <r>
    <x v="53"/>
    <x v="50"/>
    <x v="2"/>
    <x v="2"/>
    <m/>
    <m/>
    <m/>
    <m/>
    <x v="2"/>
    <m/>
    <m/>
    <m/>
    <s v="43660966"/>
    <s v="Daniela"/>
    <s v="Hivesova"/>
    <n v="4"/>
    <n v="4"/>
    <n v="4"/>
    <m/>
    <m/>
    <m/>
  </r>
  <r>
    <x v="53"/>
    <x v="50"/>
    <x v="2"/>
    <x v="676"/>
    <d v="2024-08-20T22:00:00"/>
    <d v="2024-11-20T23:00:00"/>
    <s v="Cisco Associate-level Certification"/>
    <s v="Cybersecurity"/>
    <x v="33"/>
    <s v="cyber v"/>
    <s v="English"/>
    <s v="1.02"/>
    <s v="1025298462"/>
    <s v="Mário"/>
    <s v="Jurik"/>
    <n v="1"/>
    <n v="1"/>
    <n v="0"/>
    <m/>
    <m/>
    <m/>
  </r>
  <r>
    <x v="53"/>
    <x v="50"/>
    <x v="2"/>
    <x v="677"/>
    <d v="2024-08-20T22:00:00"/>
    <d v="2024-09-20T22:00:00"/>
    <s v="Cisco Associate-level Certification"/>
    <s v="Cybersecurity"/>
    <x v="33"/>
    <s v="CyberOps Hálova 16"/>
    <s v="English"/>
    <s v="1.02"/>
    <s v="1025298462"/>
    <s v="Mário"/>
    <s v="Jurik"/>
    <n v="1"/>
    <n v="0"/>
    <n v="0"/>
    <m/>
    <m/>
    <m/>
  </r>
  <r>
    <x v="53"/>
    <x v="50"/>
    <x v="2"/>
    <x v="678"/>
    <d v="2024-09-04T11:04:33"/>
    <d v="2025-07-04T21:59:59"/>
    <s v="Cisco Associate-level Certification"/>
    <s v="CCNA R&amp;S"/>
    <x v="9"/>
    <s v="CCNA1_II_IST_2024_2025"/>
    <s v="English"/>
    <s v="7"/>
    <s v="1025298462"/>
    <s v="Mário"/>
    <s v="Jurik"/>
    <n v="29"/>
    <n v="29"/>
    <n v="29"/>
    <m/>
    <m/>
    <m/>
  </r>
  <r>
    <x v="53"/>
    <x v="50"/>
    <x v="2"/>
    <x v="2"/>
    <m/>
    <m/>
    <m/>
    <m/>
    <x v="2"/>
    <m/>
    <m/>
    <m/>
    <s v="32616399"/>
    <s v="Boris"/>
    <s v="Molnar"/>
    <n v="29"/>
    <n v="29"/>
    <n v="29"/>
    <m/>
    <m/>
    <m/>
  </r>
  <r>
    <x v="53"/>
    <x v="50"/>
    <x v="2"/>
    <x v="2"/>
    <m/>
    <m/>
    <m/>
    <m/>
    <x v="2"/>
    <m/>
    <m/>
    <m/>
    <s v="43660966"/>
    <s v="Daniela"/>
    <s v="Hivesova"/>
    <n v="29"/>
    <n v="29"/>
    <n v="29"/>
    <m/>
    <m/>
    <m/>
  </r>
  <r>
    <x v="53"/>
    <x v="50"/>
    <x v="2"/>
    <x v="679"/>
    <d v="2024-09-09T07:52:28"/>
    <d v="2025-06-30T21:59:59"/>
    <s v="3rd Party Technical Certification"/>
    <s v="Linux"/>
    <x v="17"/>
    <s v="OSY_IV_B_2024_2025"/>
    <s v="English"/>
    <s v="2"/>
    <s v="32616399"/>
    <s v="Boris"/>
    <s v="Molnar"/>
    <n v="27"/>
    <n v="27"/>
    <n v="0"/>
    <m/>
    <m/>
    <m/>
  </r>
  <r>
    <x v="53"/>
    <x v="50"/>
    <x v="2"/>
    <x v="680"/>
    <d v="2024-10-18T09:15:01"/>
    <d v="2025-06-18T21:59:59"/>
    <s v="Cisco Associate-level Certification"/>
    <s v="CCNA R&amp;S"/>
    <x v="9"/>
    <s v="Kurz ELK - CCNA1_2024_25"/>
    <s v="English"/>
    <s v="7"/>
    <s v="43660966"/>
    <s v="Daniela"/>
    <s v="Hivesova"/>
    <n v="4"/>
    <n v="4"/>
    <n v="3"/>
    <m/>
    <m/>
    <m/>
  </r>
  <r>
    <x v="53"/>
    <x v="50"/>
    <x v="2"/>
    <x v="681"/>
    <d v="2024-09-19T07:50:05"/>
    <d v="2025-07-30T21:59:59"/>
    <s v="Cisco Associate-level Certification"/>
    <s v="CCNA R&amp;S"/>
    <x v="8"/>
    <s v="CCNA2_IV_E_2024_25"/>
    <s v="English"/>
    <s v="7"/>
    <s v="32616399"/>
    <s v="Boris"/>
    <s v="Molnar"/>
    <n v="24"/>
    <n v="24"/>
    <n v="5"/>
    <m/>
    <m/>
    <m/>
  </r>
  <r>
    <x v="53"/>
    <x v="50"/>
    <x v="2"/>
    <x v="682"/>
    <d v="2024-09-12T06:59:58"/>
    <d v="2025-07-30T21:59:59"/>
    <s v="Cisco Associate-level Certification"/>
    <s v="CCNA R&amp;S"/>
    <x v="9"/>
    <s v="CCNA1_IV_D_2024_25"/>
    <s v="English"/>
    <s v="7"/>
    <s v="32616399"/>
    <s v="Boris"/>
    <s v="Molnar"/>
    <n v="30"/>
    <n v="30"/>
    <n v="13"/>
    <m/>
    <m/>
    <m/>
  </r>
  <r>
    <x v="53"/>
    <x v="50"/>
    <x v="2"/>
    <x v="683"/>
    <d v="2024-09-13T07:53:00"/>
    <d v="2025-07-31T21:59:59"/>
    <s v="Cisco Associate-level Certification"/>
    <s v="CCNA R&amp;S"/>
    <x v="8"/>
    <s v="CCNA2_III_A_2024_25"/>
    <s v="English"/>
    <s v="7"/>
    <s v="32616399"/>
    <s v="Boris"/>
    <s v="Molnar"/>
    <n v="30"/>
    <n v="30"/>
    <n v="28"/>
    <m/>
    <m/>
    <m/>
  </r>
  <r>
    <x v="53"/>
    <x v="50"/>
    <x v="2"/>
    <x v="684"/>
    <d v="2024-09-25T08:44:45"/>
    <d v="2025-06-30T21:59:59"/>
    <s v="Introductory Technical Skills"/>
    <s v="Cybersecurity"/>
    <x v="31"/>
    <s v="I_IST_A_2024_25_Introduction to Cybersecurity"/>
    <s v="English"/>
    <s v="7.1"/>
    <s v="43660966"/>
    <s v="Daniela"/>
    <s v="Hivesova"/>
    <n v="15"/>
    <n v="11"/>
    <n v="0"/>
    <m/>
    <m/>
    <m/>
  </r>
  <r>
    <x v="53"/>
    <x v="50"/>
    <x v="2"/>
    <x v="685"/>
    <d v="2024-09-03T13:19:00"/>
    <d v="2025-07-31T21:59:59"/>
    <s v="Cisco Associate-level Certification"/>
    <s v="CCNA R&amp;S"/>
    <x v="8"/>
    <s v="CCNA2_III_B_2024_25"/>
    <s v="English"/>
    <s v="7"/>
    <s v="1025298462"/>
    <s v="Mário"/>
    <s v="Jurik"/>
    <n v="26"/>
    <n v="26"/>
    <n v="26"/>
    <m/>
    <m/>
    <m/>
  </r>
  <r>
    <x v="53"/>
    <x v="50"/>
    <x v="2"/>
    <x v="2"/>
    <m/>
    <m/>
    <m/>
    <m/>
    <x v="2"/>
    <m/>
    <m/>
    <m/>
    <s v="32616399"/>
    <s v="Boris"/>
    <s v="Molnar"/>
    <n v="26"/>
    <n v="26"/>
    <n v="26"/>
    <m/>
    <m/>
    <m/>
  </r>
  <r>
    <x v="53"/>
    <x v="50"/>
    <x v="2"/>
    <x v="2"/>
    <m/>
    <m/>
    <m/>
    <m/>
    <x v="2"/>
    <m/>
    <m/>
    <m/>
    <s v="43660966"/>
    <s v="Daniela"/>
    <s v="Hivesova"/>
    <n v="26"/>
    <n v="26"/>
    <n v="26"/>
    <m/>
    <m/>
    <m/>
  </r>
  <r>
    <x v="53"/>
    <x v="50"/>
    <x v="2"/>
    <x v="686"/>
    <d v="2024-09-03T13:25:39"/>
    <d v="2025-07-31T21:59:59"/>
    <s v="Cisco Associate-level Certification"/>
    <s v="Cybersecurity"/>
    <x v="33"/>
    <s v="CyberOps Associate"/>
    <s v="English"/>
    <s v="1"/>
    <s v="1025298462"/>
    <s v="Mário"/>
    <s v="Jurik"/>
    <n v="4"/>
    <n v="4"/>
    <n v="3"/>
    <m/>
    <m/>
    <m/>
  </r>
  <r>
    <x v="53"/>
    <x v="50"/>
    <x v="2"/>
    <x v="687"/>
    <d v="2024-09-04T11:02:13"/>
    <d v="2025-06-12T21:59:59"/>
    <s v="Cisco Associate-level Certification"/>
    <s v="CCNA R&amp;S"/>
    <x v="10"/>
    <s v="CCNA3_IV_A_2024_25"/>
    <s v="English"/>
    <s v="1"/>
    <s v="1025298462"/>
    <s v="Mário"/>
    <s v="Jurik"/>
    <n v="18"/>
    <n v="17"/>
    <n v="16"/>
    <m/>
    <m/>
    <m/>
  </r>
  <r>
    <x v="53"/>
    <x v="50"/>
    <x v="2"/>
    <x v="2"/>
    <m/>
    <m/>
    <m/>
    <m/>
    <x v="2"/>
    <m/>
    <m/>
    <m/>
    <s v="32616399"/>
    <s v="Boris"/>
    <s v="Molnar"/>
    <n v="18"/>
    <n v="17"/>
    <n v="16"/>
    <m/>
    <m/>
    <m/>
  </r>
  <r>
    <x v="53"/>
    <x v="50"/>
    <x v="2"/>
    <x v="2"/>
    <m/>
    <m/>
    <m/>
    <m/>
    <x v="2"/>
    <m/>
    <m/>
    <m/>
    <s v="43660966"/>
    <s v="Daniela"/>
    <s v="Hivesova"/>
    <n v="18"/>
    <n v="17"/>
    <n v="16"/>
    <m/>
    <m/>
    <m/>
  </r>
  <r>
    <x v="53"/>
    <x v="50"/>
    <x v="2"/>
    <x v="688"/>
    <d v="2024-12-02T14:09:24"/>
    <d v="2025-06-27T21:59:59"/>
    <s v="Cisco Associate-level Certification"/>
    <s v="CCNA R&amp;S"/>
    <x v="8"/>
    <s v="CCNA2_IV_A_2024_25_Switching, Routing, and Wireless Essentials"/>
    <s v="English"/>
    <s v="7"/>
    <s v="43660966"/>
    <s v="Daniela"/>
    <s v="Hivesova"/>
    <n v="21"/>
    <n v="19"/>
    <n v="0"/>
    <m/>
    <m/>
    <m/>
  </r>
  <r>
    <x v="53"/>
    <x v="50"/>
    <x v="2"/>
    <x v="689"/>
    <d v="2024-09-25T09:26:57"/>
    <d v="2025-06-30T21:59:59"/>
    <s v="Introductory Technical Skills"/>
    <s v="Cybersecurity"/>
    <x v="31"/>
    <s v="I_IST_B_2024_25_Introduction to Cybersecurity"/>
    <s v="English"/>
    <s v="7.1"/>
    <s v="43660966"/>
    <s v="Daniela"/>
    <s v="Hivesova"/>
    <n v="32"/>
    <n v="20"/>
    <n v="0"/>
    <m/>
    <m/>
    <m/>
  </r>
  <r>
    <x v="53"/>
    <x v="50"/>
    <x v="2"/>
    <x v="690"/>
    <d v="2024-09-18T11:15:13"/>
    <d v="2025-07-31T21:59:59"/>
    <s v="Cisco Associate-level Certification"/>
    <s v="CCNA R&amp;S"/>
    <x v="9"/>
    <s v="CCNA1_III_E_2024_25"/>
    <s v="English"/>
    <s v="7"/>
    <s v="32616399"/>
    <s v="Boris"/>
    <s v="Molnar"/>
    <n v="30"/>
    <n v="30"/>
    <n v="19"/>
    <m/>
    <m/>
    <m/>
  </r>
  <r>
    <x v="54"/>
    <x v="51"/>
    <x v="2"/>
    <x v="691"/>
    <d v="2024-09-06T06:08:05"/>
    <d v="2025-09-06T21:59:59"/>
    <s v="Cisco Associate-level Certification"/>
    <s v="CCNA R&amp;S"/>
    <x v="8"/>
    <s v="AH3TL2023_2024-CCNA2"/>
    <s v="English"/>
    <s v="7"/>
    <s v="1008626937"/>
    <s v="Aljoša"/>
    <s v="Ahmečković"/>
    <n v="21"/>
    <n v="21"/>
    <n v="6"/>
    <m/>
    <m/>
    <m/>
  </r>
  <r>
    <x v="54"/>
    <x v="51"/>
    <x v="2"/>
    <x v="692"/>
    <d v="2024-09-16T22:00:00"/>
    <d v="2025-09-30T21:59:59"/>
    <s v="Cisco Associate-level Certification"/>
    <s v="CCNA R&amp;S"/>
    <x v="10"/>
    <s v="NA3-DM-24-4D1"/>
    <s v="English"/>
    <s v="1"/>
    <s v="554645"/>
    <s v="Dušan"/>
    <s v="MALINA"/>
    <n v="15"/>
    <n v="15"/>
    <n v="12"/>
    <m/>
    <m/>
    <m/>
  </r>
  <r>
    <x v="54"/>
    <x v="51"/>
    <x v="2"/>
    <x v="693"/>
    <d v="2024-09-05T06:08:54"/>
    <d v="2025-09-05T21:59:59"/>
    <s v="Cisco Associate-level Certification"/>
    <s v="CCNA R&amp;S"/>
    <x v="9"/>
    <s v="AH2C2024_2025-CCNA1"/>
    <s v="English"/>
    <s v="7"/>
    <s v="1008626937"/>
    <s v="Aljoša"/>
    <s v="Ahmečković"/>
    <n v="29"/>
    <n v="29"/>
    <n v="22"/>
    <m/>
    <m/>
    <m/>
  </r>
  <r>
    <x v="54"/>
    <x v="51"/>
    <x v="2"/>
    <x v="694"/>
    <d v="2024-09-16T23:57:24"/>
    <d v="2025-09-30T21:59:59"/>
    <s v="Cisco Associate-level Certification"/>
    <s v="CCNA R&amp;S"/>
    <x v="8"/>
    <s v="NA2-DM-24-3C2"/>
    <s v="English"/>
    <s v="7"/>
    <s v="554645"/>
    <s v="Dušan"/>
    <s v="MALINA"/>
    <n v="13"/>
    <n v="13"/>
    <n v="13"/>
    <m/>
    <m/>
    <m/>
  </r>
  <r>
    <x v="54"/>
    <x v="51"/>
    <x v="2"/>
    <x v="695"/>
    <d v="2024-01-08T23:00:00"/>
    <d v="2024-08-31T22:00:00"/>
    <s v="Intermediate Technical Skills"/>
    <s v="Cybersecurity"/>
    <x v="14"/>
    <s v="By_4C_2023_2024-NetworkSecurity"/>
    <s v="English"/>
    <s v="1"/>
    <s v="1021413552"/>
    <s v="Martin"/>
    <s v="Butkovsky"/>
    <n v="26"/>
    <n v="26"/>
    <n v="0"/>
    <m/>
    <m/>
    <m/>
  </r>
  <r>
    <x v="54"/>
    <x v="51"/>
    <x v="2"/>
    <x v="696"/>
    <d v="2024-01-08T23:00:00"/>
    <d v="2024-08-31T22:00:00"/>
    <s v="Intermediate Technical Skills"/>
    <s v="Cybersecurity"/>
    <x v="14"/>
    <s v="By_4D_2023_2024-NetworkSecurity"/>
    <s v="English"/>
    <s v="1"/>
    <s v="1021413552"/>
    <s v="Martin"/>
    <s v="Butkovsky"/>
    <n v="23"/>
    <n v="22"/>
    <n v="0"/>
    <m/>
    <m/>
    <m/>
  </r>
  <r>
    <x v="54"/>
    <x v="51"/>
    <x v="2"/>
    <x v="697"/>
    <d v="2024-03-26T23:00:00"/>
    <d v="2024-08-31T22:00:00"/>
    <s v="Cisco Associate-level Certification"/>
    <s v="CCNA R&amp;S"/>
    <x v="4"/>
    <s v="kruzok2024"/>
    <s v="English"/>
    <s v="7.02"/>
    <s v="1008626937"/>
    <s v="Aljoša"/>
    <s v="Ahmečković"/>
    <n v="4"/>
    <n v="2"/>
    <n v="0"/>
    <m/>
    <m/>
    <m/>
  </r>
  <r>
    <x v="54"/>
    <x v="51"/>
    <x v="2"/>
    <x v="698"/>
    <d v="2024-09-06T06:52:56"/>
    <d v="2025-09-06T21:59:59"/>
    <s v="Cisco Associate-level Certification"/>
    <s v="CCNA R&amp;S"/>
    <x v="9"/>
    <s v="AH2B2024_2025-CCNA1"/>
    <s v="English"/>
    <s v="7"/>
    <s v="1008626937"/>
    <s v="Aljoša"/>
    <s v="Ahmečković"/>
    <n v="17"/>
    <n v="17"/>
    <n v="9"/>
    <m/>
    <m/>
    <m/>
  </r>
  <r>
    <x v="54"/>
    <x v="51"/>
    <x v="2"/>
    <x v="699"/>
    <d v="2024-09-16T07:39:59"/>
    <d v="2025-09-16T21:59:59"/>
    <s v="3rd Party Technical Certification"/>
    <s v="Linux"/>
    <x v="17"/>
    <s v="By_4B_2024-2025_LinuxEssentials"/>
    <s v="English"/>
    <s v="2"/>
    <s v="1021413552"/>
    <s v="Martin"/>
    <s v="Butkovsky"/>
    <n v="21"/>
    <n v="21"/>
    <n v="15"/>
    <m/>
    <m/>
    <m/>
  </r>
  <r>
    <x v="54"/>
    <x v="51"/>
    <x v="2"/>
    <x v="700"/>
    <d v="2024-09-12T11:17:43"/>
    <d v="2025-09-12T21:59:59"/>
    <s v="3rd Party Technical Certification"/>
    <s v="Linux"/>
    <x v="17"/>
    <s v="By_3D_2024-2025_LinuxEssentials"/>
    <s v="English"/>
    <s v="2"/>
    <s v="1021413552"/>
    <s v="Martin"/>
    <s v="Butkovsky"/>
    <n v="12"/>
    <n v="10"/>
    <n v="0"/>
    <m/>
    <m/>
    <m/>
  </r>
  <r>
    <x v="54"/>
    <x v="51"/>
    <x v="2"/>
    <x v="701"/>
    <d v="2024-09-17T00:01:52"/>
    <d v="2025-09-30T21:59:59"/>
    <s v="Cisco Associate-level Certification"/>
    <s v="CCNA R&amp;S"/>
    <x v="8"/>
    <s v="NA2-DM-24-3C1"/>
    <s v="English"/>
    <s v="7"/>
    <s v="554645"/>
    <s v="Dušan"/>
    <s v="MALINA"/>
    <n v="14"/>
    <n v="14"/>
    <n v="13"/>
    <m/>
    <m/>
    <m/>
  </r>
  <r>
    <x v="54"/>
    <x v="51"/>
    <x v="2"/>
    <x v="702"/>
    <d v="2024-09-16T09:53:22"/>
    <d v="2025-06-30T21:59:59"/>
    <s v="Cisco Associate-level Certification"/>
    <s v="CCNA R&amp;S"/>
    <x v="8"/>
    <s v="CCNA2 - 3.D (2024-25)"/>
    <s v="English"/>
    <s v="7"/>
    <s v="4427147"/>
    <s v="Ing. Štefan"/>
    <s v="Gajdoš, PhD."/>
    <n v="27"/>
    <n v="27"/>
    <n v="18"/>
    <m/>
    <m/>
    <m/>
  </r>
  <r>
    <x v="54"/>
    <x v="51"/>
    <x v="2"/>
    <x v="703"/>
    <d v="2024-09-09T09:02:49"/>
    <d v="2025-09-06T21:59:59"/>
    <s v="Cisco Associate-level Certification"/>
    <s v="CCNA R&amp;S"/>
    <x v="9"/>
    <s v="AH2TL2024_2025-CCNA1"/>
    <s v="English"/>
    <s v="7"/>
    <s v="1008626937"/>
    <s v="Aljoša"/>
    <s v="Ahmečković"/>
    <n v="22"/>
    <n v="22"/>
    <n v="7"/>
    <m/>
    <m/>
    <m/>
  </r>
  <r>
    <x v="54"/>
    <x v="51"/>
    <x v="2"/>
    <x v="704"/>
    <d v="2024-09-16T22:00:00"/>
    <d v="2025-09-30T21:59:59"/>
    <s v="Cisco Associate-level Certification"/>
    <s v="CCNA R&amp;S"/>
    <x v="10"/>
    <s v="NA3-DM-24-4C1"/>
    <s v="English"/>
    <s v="1"/>
    <s v="554645"/>
    <s v="Dušan"/>
    <s v="MALINA"/>
    <n v="14"/>
    <n v="14"/>
    <n v="13"/>
    <m/>
    <m/>
    <m/>
  </r>
  <r>
    <x v="54"/>
    <x v="51"/>
    <x v="2"/>
    <x v="705"/>
    <d v="2024-09-16T22:00:00"/>
    <d v="2025-09-30T21:59:59"/>
    <s v="Cisco Associate-level Certification"/>
    <s v="CCNA R&amp;S"/>
    <x v="10"/>
    <s v="NA3-DM-24-4B2"/>
    <s v="English"/>
    <s v="1"/>
    <s v="554645"/>
    <s v="Dušan"/>
    <s v="MALINA"/>
    <n v="13"/>
    <n v="12"/>
    <n v="11"/>
    <m/>
    <m/>
    <m/>
  </r>
  <r>
    <x v="54"/>
    <x v="51"/>
    <x v="2"/>
    <x v="706"/>
    <d v="2024-09-16T22:00:00"/>
    <d v="2025-09-30T21:59:59"/>
    <s v="Cisco Associate-level Certification"/>
    <s v="CCNA R&amp;S"/>
    <x v="10"/>
    <s v="NA3-DM-24-4C2"/>
    <s v="English"/>
    <s v="1"/>
    <s v="554645"/>
    <s v="Dušan"/>
    <s v="MALINA"/>
    <n v="14"/>
    <n v="14"/>
    <n v="13"/>
    <m/>
    <m/>
    <m/>
  </r>
  <r>
    <x v="54"/>
    <x v="51"/>
    <x v="2"/>
    <x v="707"/>
    <d v="2024-09-11T12:02:44"/>
    <d v="2025-09-11T21:59:59"/>
    <s v="Cisco Associate-level Certification"/>
    <s v="CCNA R&amp;S"/>
    <x v="8"/>
    <s v="By_3B_2024_2025-CCNA2"/>
    <s v="English"/>
    <s v="7"/>
    <s v="1021413552"/>
    <s v="Martin"/>
    <s v="Butkovsky"/>
    <n v="13"/>
    <n v="13"/>
    <n v="6"/>
    <m/>
    <m/>
    <m/>
  </r>
  <r>
    <x v="54"/>
    <x v="51"/>
    <x v="2"/>
    <x v="708"/>
    <d v="2024-09-16T22:00:00"/>
    <d v="2025-09-30T21:59:59"/>
    <s v="Cisco Associate-level Certification"/>
    <s v="CCNA R&amp;S"/>
    <x v="10"/>
    <s v="NA3-DM-24-4D2"/>
    <s v="English"/>
    <s v="1"/>
    <s v="554645"/>
    <s v="Dušan"/>
    <s v="MALINA"/>
    <n v="13"/>
    <n v="13"/>
    <n v="13"/>
    <m/>
    <m/>
    <m/>
  </r>
  <r>
    <x v="54"/>
    <x v="51"/>
    <x v="2"/>
    <x v="709"/>
    <d v="2024-09-16T22:00:00"/>
    <d v="2025-09-30T21:59:59"/>
    <s v="Cisco Associate-level Certification"/>
    <s v="CCNA R&amp;S"/>
    <x v="10"/>
    <s v="NA3-DM-24-4B1"/>
    <s v="English"/>
    <s v="1"/>
    <s v="554645"/>
    <s v="Dušan"/>
    <s v="MALINA"/>
    <n v="15"/>
    <n v="15"/>
    <n v="10"/>
    <m/>
    <m/>
    <m/>
  </r>
  <r>
    <x v="54"/>
    <x v="51"/>
    <x v="2"/>
    <x v="710"/>
    <d v="2024-09-13T10:39:35"/>
    <d v="2025-09-13T21:59:59"/>
    <s v="3rd Party Technical Certification"/>
    <s v="Linux"/>
    <x v="17"/>
    <s v="By_3C_2024-2025_LinuxEssential"/>
    <s v="English"/>
    <s v="2"/>
    <s v="1021413552"/>
    <s v="Martin"/>
    <s v="Butkovsky"/>
    <n v="14"/>
    <n v="14"/>
    <n v="0"/>
    <m/>
    <m/>
    <m/>
  </r>
  <r>
    <x v="54"/>
    <x v="51"/>
    <x v="2"/>
    <x v="711"/>
    <d v="2024-09-17T05:27:09"/>
    <d v="2025-09-17T21:59:59"/>
    <s v="Cisco Associate-level Certification"/>
    <s v="CCNA R&amp;S"/>
    <x v="9"/>
    <s v="CCNA: Introduction to Networks"/>
    <s v="English"/>
    <s v="7"/>
    <s v="1021413552"/>
    <s v="Martin"/>
    <s v="Butkovsky"/>
    <n v="30"/>
    <n v="30"/>
    <n v="29"/>
    <m/>
    <m/>
    <m/>
  </r>
  <r>
    <x v="54"/>
    <x v="51"/>
    <x v="2"/>
    <x v="712"/>
    <d v="2024-11-05T13:26:07"/>
    <d v="2025-06-30T21:59:59"/>
    <s v="Cisco Associate-level Certification"/>
    <s v="CCNA R&amp;S"/>
    <x v="9"/>
    <s v="kruzok ccna 1"/>
    <s v="English"/>
    <s v="7"/>
    <s v="1008626937"/>
    <s v="Aljoša"/>
    <s v="Ahmečković"/>
    <n v="2"/>
    <n v="2"/>
    <n v="0"/>
    <m/>
    <m/>
    <m/>
  </r>
  <r>
    <x v="54"/>
    <x v="51"/>
    <x v="2"/>
    <x v="713"/>
    <d v="2024-09-18T12:01:48"/>
    <d v="2025-09-30T21:59:59"/>
    <s v="Cisco Associate-level Certification"/>
    <s v="CCNA R&amp;S"/>
    <x v="8"/>
    <s v="NA2-DM-24-3B1"/>
    <s v="English"/>
    <s v="7"/>
    <s v="554645"/>
    <s v="Dušan"/>
    <s v="MALINA"/>
    <n v="14"/>
    <n v="14"/>
    <n v="12"/>
    <m/>
    <m/>
    <m/>
  </r>
  <r>
    <x v="55"/>
    <x v="4"/>
    <x v="3"/>
    <x v="714"/>
    <d v="2024-11-02T19:51:58"/>
    <d v="2025-11-02T19:59:59"/>
    <s v="Cisco Associate-level Certification"/>
    <s v="CCNA R&amp;S"/>
    <x v="8"/>
    <s v="CCNA: Switching, Routing, and Wireless Essentials"/>
    <s v="English"/>
    <s v="7"/>
    <s v="36801647"/>
    <s v="Shamil"/>
    <s v="Shafiyev"/>
    <n v="2"/>
    <n v="2"/>
    <n v="0"/>
    <m/>
    <m/>
    <m/>
  </r>
  <r>
    <x v="55"/>
    <x v="4"/>
    <x v="3"/>
    <x v="715"/>
    <d v="2024-09-01T18:47:26"/>
    <d v="2025-08-31T19:59:59"/>
    <s v="3rd Party Technical Certification"/>
    <s v="Linux"/>
    <x v="42"/>
    <s v="Linux 1"/>
    <s v="English"/>
    <s v="1"/>
    <s v="36801647"/>
    <s v="Shamil"/>
    <s v="Shafiyev"/>
    <n v="2"/>
    <n v="1"/>
    <n v="0"/>
    <m/>
    <m/>
    <m/>
  </r>
  <r>
    <x v="55"/>
    <x v="4"/>
    <x v="3"/>
    <x v="716"/>
    <d v="2024-02-19T20:00:00"/>
    <d v="2024-10-30T20:00:00"/>
    <s v="Cisco Associate-level Certification"/>
    <s v="CCNA R&amp;S"/>
    <x v="5"/>
    <s v="ADY_CCNA_v7.01-TR"/>
    <s v="Turkish"/>
    <s v="7.01"/>
    <s v="36821165"/>
    <s v="Ruslan"/>
    <s v="Giperboreyskiy"/>
    <n v="5"/>
    <n v="2"/>
    <n v="0"/>
    <m/>
    <m/>
    <m/>
  </r>
  <r>
    <x v="55"/>
    <x v="4"/>
    <x v="3"/>
    <x v="717"/>
    <d v="2024-01-15T00:00:00"/>
    <d v="2024-12-16T00:00:00"/>
    <s v="Cisco Associate-level Certification"/>
    <s v="CCNA R&amp;S"/>
    <x v="5"/>
    <s v="CCNAv7"/>
    <s v="English"/>
    <s v="7.02"/>
    <s v="42260217"/>
    <s v="Aleksandr"/>
    <s v="Krylow"/>
    <n v="1"/>
    <n v="1"/>
    <n v="0"/>
    <m/>
    <m/>
    <m/>
  </r>
  <r>
    <x v="55"/>
    <x v="4"/>
    <x v="3"/>
    <x v="718"/>
    <d v="2024-10-18T06:21:50"/>
    <d v="2025-10-18T19:59:59"/>
    <s v="3rd Party Technical Certification"/>
    <s v="IT Essentials"/>
    <x v="13"/>
    <s v="IT Essentials 8"/>
    <s v="English"/>
    <s v="8"/>
    <s v="36801647"/>
    <s v="Shamil"/>
    <s v="Shafiyev"/>
    <n v="4"/>
    <n v="3"/>
    <n v="1"/>
    <m/>
    <m/>
    <m/>
  </r>
  <r>
    <x v="55"/>
    <x v="4"/>
    <x v="3"/>
    <x v="719"/>
    <d v="2024-08-27T20:49:56"/>
    <d v="2025-08-27T19:59:59"/>
    <s v="3rd Party Technical Certification"/>
    <s v="Linux"/>
    <x v="17"/>
    <s v="Linux Essentials"/>
    <s v="English"/>
    <s v="2"/>
    <s v="36801647"/>
    <s v="Shamil"/>
    <s v="Shafiyev"/>
    <n v="1"/>
    <n v="0"/>
    <n v="0"/>
    <m/>
    <m/>
    <m/>
  </r>
  <r>
    <x v="55"/>
    <x v="4"/>
    <x v="3"/>
    <x v="720"/>
    <d v="2024-08-26T05:56:32"/>
    <d v="2025-09-26T19:59:59"/>
    <s v="Intermediate Technical Skills"/>
    <s v="Cybersecurity"/>
    <x v="0"/>
    <s v="Ethical Hacker"/>
    <s v="English"/>
    <s v="1"/>
    <s v="36801647"/>
    <s v="Shamil"/>
    <s v="Shafiyev"/>
    <n v="1"/>
    <n v="1"/>
    <n v="0"/>
    <m/>
    <m/>
    <m/>
  </r>
  <r>
    <x v="55"/>
    <x v="4"/>
    <x v="3"/>
    <x v="721"/>
    <d v="2024-12-18T19:26:21"/>
    <d v="2025-03-31T19:59:59"/>
    <s v="Professional Skills"/>
    <s v="English for IT"/>
    <x v="32"/>
    <s v="English for IT 1"/>
    <s v="English"/>
    <s v="1"/>
    <s v="36821165"/>
    <s v="Ruslan"/>
    <s v="Giperboreyskiy"/>
    <n v="1"/>
    <n v="1"/>
    <n v="0"/>
    <m/>
    <m/>
    <m/>
  </r>
  <r>
    <x v="55"/>
    <x v="4"/>
    <x v="3"/>
    <x v="722"/>
    <d v="2024-09-25T12:40:05"/>
    <d v="2025-09-24T19:59:59"/>
    <s v="Cisco Associate-level Certification"/>
    <s v="CCNA R&amp;S"/>
    <x v="9"/>
    <s v="CCNA: Introduction to Networks"/>
    <s v="English"/>
    <s v="7"/>
    <s v="36801647"/>
    <s v="Shamil"/>
    <s v="Shafiyev"/>
    <n v="5"/>
    <n v="4"/>
    <n v="0"/>
    <m/>
    <m/>
    <m/>
  </r>
  <r>
    <x v="55"/>
    <x v="4"/>
    <x v="3"/>
    <x v="723"/>
    <d v="2024-12-30T07:57:04"/>
    <d v="2025-07-01T19:59:59"/>
    <s v="Cisco Associate-level Certification"/>
    <s v="CCNA R&amp;S"/>
    <x v="9"/>
    <s v="CCNA: Introduction to Networks"/>
    <s v="English"/>
    <s v="7"/>
    <s v="36821165"/>
    <s v="Ruslan"/>
    <s v="Giperboreyskiy"/>
    <n v="2"/>
    <n v="2"/>
    <n v="0"/>
    <m/>
    <m/>
    <m/>
  </r>
  <r>
    <x v="55"/>
    <x v="4"/>
    <x v="3"/>
    <x v="724"/>
    <d v="2024-09-01T18:57:06"/>
    <d v="2025-08-31T19:59:59"/>
    <s v="3rd Party Technical Certification"/>
    <s v="Linux"/>
    <x v="27"/>
    <s v="Linux 2"/>
    <s v="English"/>
    <s v="1"/>
    <s v="36801647"/>
    <s v="Shamil"/>
    <s v="Shafiyev"/>
    <n v="1"/>
    <n v="0"/>
    <n v="0"/>
    <m/>
    <m/>
    <m/>
  </r>
  <r>
    <x v="55"/>
    <x v="4"/>
    <x v="3"/>
    <x v="725"/>
    <d v="2024-12-18T19:04:13"/>
    <d v="2025-07-31T19:59:59"/>
    <s v="Cisco Entry-level Certification"/>
    <s v="Networking Essentials"/>
    <x v="55"/>
    <s v="Networking Essentials"/>
    <s v="English"/>
    <s v="3"/>
    <s v="36821165"/>
    <s v="Ruslan"/>
    <s v="Giperboreyskiy"/>
    <n v="1"/>
    <n v="1"/>
    <n v="0"/>
    <m/>
    <m/>
    <m/>
  </r>
  <r>
    <x v="56"/>
    <x v="4"/>
    <x v="3"/>
    <x v="726"/>
    <d v="2024-08-12T22:00:00"/>
    <d v="2024-12-30T23:00:00"/>
    <s v="Cisco Associate-level Certification"/>
    <s v="CCNA R&amp;S"/>
    <x v="4"/>
    <s v="CCNA, Switching, Routing and Wireless Essentials"/>
    <s v="English"/>
    <s v="7.02"/>
    <s v="48031645"/>
    <s v="Ján"/>
    <s v="Fábian"/>
    <n v="1"/>
    <n v="1"/>
    <n v="0"/>
    <m/>
    <m/>
    <m/>
  </r>
  <r>
    <x v="56"/>
    <x v="4"/>
    <x v="3"/>
    <x v="727"/>
    <d v="2024-11-15T08:40:18"/>
    <d v="2025-06-30T21:59:59"/>
    <s v="Introductory Technical Skills"/>
    <s v="Packet Tracer"/>
    <x v="15"/>
    <s v="Getting Started with Cisco Packet Tracer"/>
    <s v="English"/>
    <s v="1"/>
    <s v="1037354406"/>
    <s v="Stefan"/>
    <s v="Kormancik"/>
    <n v="3"/>
    <n v="3"/>
    <n v="1"/>
    <m/>
    <m/>
    <m/>
  </r>
  <r>
    <x v="56"/>
    <x v="4"/>
    <x v="3"/>
    <x v="728"/>
    <d v="2024-10-02T11:13:20"/>
    <d v="2024-12-31T22:59:59"/>
    <s v="Introductory Technical Skills"/>
    <s v="OS &amp; IT"/>
    <x v="36"/>
    <s v="Computer Hardware Basics"/>
    <s v="English"/>
    <s v="1"/>
    <s v="1037354406"/>
    <s v="Stefan"/>
    <s v="Kormancik"/>
    <n v="1"/>
    <n v="1"/>
    <n v="0"/>
    <m/>
    <m/>
    <m/>
  </r>
  <r>
    <x v="56"/>
    <x v="4"/>
    <x v="3"/>
    <x v="729"/>
    <d v="2024-12-12T09:22:53"/>
    <d v="2025-06-30T21:59:59"/>
    <s v="Cisco Entry-level Certification"/>
    <s v="Networking Essentials"/>
    <x v="6"/>
    <s v="Networking Basics"/>
    <s v="English"/>
    <s v="1"/>
    <s v="1037354406"/>
    <s v="Stefan"/>
    <s v="Kormancik"/>
    <n v="35"/>
    <n v="31"/>
    <n v="1"/>
    <m/>
    <m/>
    <m/>
  </r>
  <r>
    <x v="57"/>
    <x v="4"/>
    <x v="3"/>
    <x v="730"/>
    <d v="2024-10-10T23:33:22"/>
    <d v="2025-10-01T20:59:59"/>
    <s v="Cisco Associate-level Certification"/>
    <s v="CCNA R&amp;S"/>
    <x v="8"/>
    <s v="CCNA: Switching, Routing, and Wireless Essentials Oct2024V"/>
    <s v="English"/>
    <s v="7"/>
    <s v="7870791"/>
    <s v="Chrysovalantis"/>
    <s v="Oikonomopoulos"/>
    <n v="2"/>
    <n v="1"/>
    <n v="0"/>
    <m/>
    <m/>
    <m/>
  </r>
  <r>
    <x v="57"/>
    <x v="4"/>
    <x v="3"/>
    <x v="731"/>
    <d v="2024-10-29T19:45:43"/>
    <d v="2025-09-30T20:59:59"/>
    <s v="Cisco Associate-level Certification"/>
    <s v="CCNA R&amp;S"/>
    <x v="9"/>
    <s v="2024-2025 CCNA 1: Introduction to Networks"/>
    <s v="English"/>
    <s v="7"/>
    <s v="7710788"/>
    <s v="Ilias"/>
    <s v="Manos"/>
    <n v="17"/>
    <n v="16"/>
    <n v="12"/>
    <m/>
    <m/>
    <m/>
  </r>
  <r>
    <x v="57"/>
    <x v="4"/>
    <x v="3"/>
    <x v="732"/>
    <d v="2024-01-06T22:00:00"/>
    <d v="2024-12-30T22:00:00"/>
    <s v="Cisco Associate-level Certification"/>
    <s v="CCNA R&amp;S"/>
    <x v="4"/>
    <s v="CCNAv7: Switching, Routing, and Wireless Essentials 8/1/2024"/>
    <s v="English"/>
    <s v="7.02"/>
    <s v="7870791"/>
    <s v="Chrysovalantis"/>
    <s v="Oikonomopoulos"/>
    <n v="11"/>
    <n v="11"/>
    <n v="11"/>
    <m/>
    <m/>
    <m/>
  </r>
  <r>
    <x v="57"/>
    <x v="4"/>
    <x v="3"/>
    <x v="733"/>
    <d v="2024-02-27T22:00:00"/>
    <d v="2025-02-24T00:00:00"/>
    <s v="Cisco Associate-level Certification"/>
    <s v="CCNA R&amp;S"/>
    <x v="11"/>
    <s v="CCNAv7: Enterprise Networking, Security, and Automation Alexandris"/>
    <s v="English"/>
    <s v="7.02"/>
    <s v="7870791"/>
    <s v="Chrysovalantis"/>
    <s v="Oikonomopoulos"/>
    <n v="11"/>
    <n v="11"/>
    <n v="11"/>
    <m/>
    <m/>
    <m/>
  </r>
  <r>
    <x v="57"/>
    <x v="4"/>
    <x v="3"/>
    <x v="734"/>
    <d v="2024-03-18T22:00:00"/>
    <d v="2025-02-24T00:00:00"/>
    <s v="Cisco Associate-level Certification"/>
    <s v="CCNP R&amp;S"/>
    <x v="53"/>
    <s v="ENCOR (S.Telakis)"/>
    <s v="English"/>
    <s v="8.02"/>
    <s v="4323792"/>
    <s v="Stavros"/>
    <s v="Telakis"/>
    <n v="10"/>
    <n v="6"/>
    <n v="0"/>
    <m/>
    <m/>
    <m/>
  </r>
  <r>
    <x v="57"/>
    <x v="4"/>
    <x v="3"/>
    <x v="735"/>
    <d v="2024-03-18T21:00:00"/>
    <d v="2025-01-31T21:00:00"/>
    <s v="Cisco Associate-level Certification"/>
    <s v="CCNA R&amp;S"/>
    <x v="5"/>
    <s v="2024_CCNAv702_1_ITN"/>
    <s v="English"/>
    <s v="7.02"/>
    <s v="7710788"/>
    <s v="Ilias"/>
    <s v="Manos"/>
    <n v="10"/>
    <n v="10"/>
    <n v="8"/>
    <m/>
    <m/>
    <m/>
  </r>
  <r>
    <x v="57"/>
    <x v="4"/>
    <x v="3"/>
    <x v="736"/>
    <d v="2024-04-07T21:00:00"/>
    <d v="2025-02-24T00:00:00"/>
    <s v="Cisco Associate-level Certification"/>
    <s v="CCNA R&amp;S"/>
    <x v="4"/>
    <s v="CCNAv7-SEM2-Mon_Wen_PG"/>
    <s v="English"/>
    <s v="7.02"/>
    <s v="7870791"/>
    <s v="Chrysovalantis"/>
    <s v="Oikonomopoulos"/>
    <n v="10"/>
    <n v="10"/>
    <n v="9"/>
    <m/>
    <m/>
    <m/>
  </r>
  <r>
    <x v="57"/>
    <x v="4"/>
    <x v="3"/>
    <x v="737"/>
    <d v="2024-05-12T21:00:00"/>
    <d v="2024-11-14T22:00:00"/>
    <s v="3rd Party Technical Certification"/>
    <s v="Python"/>
    <x v="12"/>
    <s v="PCAP: Certified Associate in Python Programming"/>
    <s v="English"/>
    <s v="2.1"/>
    <s v="1030709858"/>
    <s v="Chrysoula"/>
    <s v="Koutroumpa"/>
    <n v="7"/>
    <n v="7"/>
    <n v="0"/>
    <m/>
    <m/>
    <m/>
  </r>
  <r>
    <x v="57"/>
    <x v="4"/>
    <x v="3"/>
    <x v="738"/>
    <d v="2024-05-13T21:00:00"/>
    <d v="2025-02-01T21:00:00"/>
    <s v="Cisco Associate-level Certification"/>
    <s v="CCNA R&amp;S"/>
    <x v="4"/>
    <s v="2024_CCNAv702_2_SRWE"/>
    <s v="English"/>
    <s v="7.02"/>
    <s v="7710788"/>
    <s v="Ilias"/>
    <s v="Manos"/>
    <n v="9"/>
    <n v="9"/>
    <n v="8"/>
    <m/>
    <m/>
    <m/>
  </r>
  <r>
    <x v="57"/>
    <x v="4"/>
    <x v="3"/>
    <x v="739"/>
    <d v="2024-05-29T21:00:00"/>
    <d v="2025-02-02T21:00:00"/>
    <s v="Cisco Associate-level Certification"/>
    <s v="CCNA R&amp;S"/>
    <x v="11"/>
    <s v="2024_CCNAv702_3_ENSA"/>
    <s v="English"/>
    <s v="7.02"/>
    <s v="7710788"/>
    <s v="Ilias"/>
    <s v="Manos"/>
    <n v="8"/>
    <n v="8"/>
    <n v="8"/>
    <m/>
    <m/>
    <m/>
  </r>
  <r>
    <x v="57"/>
    <x v="4"/>
    <x v="3"/>
    <x v="740"/>
    <d v="2024-06-02T21:00:00"/>
    <d v="2025-01-30T22:00:00"/>
    <s v="Cisco Associate-level Certification"/>
    <s v="CCNA R&amp;S"/>
    <x v="5"/>
    <s v="Interlei-CCNAv7"/>
    <s v="English"/>
    <s v="7.02"/>
    <s v="30176325"/>
    <s v="Theofilos"/>
    <s v="Gkioulis"/>
    <n v="6"/>
    <n v="6"/>
    <n v="0"/>
    <m/>
    <m/>
    <m/>
  </r>
  <r>
    <x v="57"/>
    <x v="4"/>
    <x v="3"/>
    <x v="741"/>
    <d v="2024-06-04T21:00:00"/>
    <d v="2025-02-11T22:00:00"/>
    <s v="Cisco Associate-level Certification"/>
    <s v="CCNA R&amp;S"/>
    <x v="11"/>
    <s v="CCNAv7-SEM3-Mon_Wen_PG"/>
    <s v="English"/>
    <s v="7.02"/>
    <s v="7870791"/>
    <s v="Chrysovalantis"/>
    <s v="Oikonomopoulos"/>
    <n v="10"/>
    <n v="10"/>
    <n v="9"/>
    <m/>
    <m/>
    <m/>
  </r>
  <r>
    <x v="57"/>
    <x v="4"/>
    <x v="3"/>
    <x v="742"/>
    <d v="2024-10-10T23:26:06"/>
    <d v="2025-10-11T20:59:59"/>
    <s v="Cisco Associate-level Certification"/>
    <s v="CCNA R&amp;S"/>
    <x v="10"/>
    <s v="CCNA: Enterprise Networking, Security, and Automation Oct2024V"/>
    <s v="English"/>
    <s v="1"/>
    <s v="7870791"/>
    <s v="Chrysovalantis"/>
    <s v="Oikonomopoulos"/>
    <n v="2"/>
    <n v="2"/>
    <n v="0"/>
    <m/>
    <m/>
    <m/>
  </r>
  <r>
    <x v="57"/>
    <x v="4"/>
    <x v="3"/>
    <x v="743"/>
    <d v="2024-10-10T23:31:39"/>
    <d v="2025-10-01T20:59:59"/>
    <s v="Cisco Associate-level Certification"/>
    <s v="CCNA R&amp;S"/>
    <x v="9"/>
    <s v="CCNA: Introduction to Networks Oct2024V"/>
    <s v="English"/>
    <s v="7"/>
    <s v="7870791"/>
    <s v="Chrysovalantis"/>
    <s v="Oikonomopoulos"/>
    <n v="2"/>
    <n v="2"/>
    <n v="0"/>
    <m/>
    <m/>
    <m/>
  </r>
  <r>
    <x v="57"/>
    <x v="4"/>
    <x v="3"/>
    <x v="744"/>
    <d v="2024-11-19T18:43:55"/>
    <d v="2025-01-31T21:59:59"/>
    <s v="Cisco Associate-level Certification"/>
    <s v="CCNA R&amp;S"/>
    <x v="8"/>
    <s v="CCNA: Switching, Routing, and Wireless Essentials"/>
    <s v="English"/>
    <s v="7"/>
    <s v="30176325"/>
    <s v="Theofilos"/>
    <s v="Gkioulis"/>
    <n v="4"/>
    <n v="4"/>
    <n v="0"/>
    <m/>
    <m/>
    <m/>
  </r>
  <r>
    <x v="57"/>
    <x v="4"/>
    <x v="3"/>
    <x v="745"/>
    <d v="2024-12-03T07:22:37"/>
    <d v="2025-12-02T21:59:59"/>
    <s v="Cisco Associate-level Certification"/>
    <s v="CCNP R&amp;S"/>
    <x v="53"/>
    <s v="CCNP Enterprise: Core Networking Oct 2024"/>
    <s v="English"/>
    <s v="1"/>
    <s v="7870791"/>
    <s v="Chrysovalantis"/>
    <s v="Oikonomopoulos"/>
    <n v="7"/>
    <n v="4"/>
    <n v="0"/>
    <m/>
    <m/>
    <m/>
  </r>
  <r>
    <x v="57"/>
    <x v="4"/>
    <x v="3"/>
    <x v="746"/>
    <d v="2024-11-26T07:37:44"/>
    <d v="2026-04-26T20:59:59"/>
    <s v="Cisco Associate-level Certification"/>
    <s v="CCNA R&amp;S"/>
    <x v="10"/>
    <s v="CCNA: Enterprise Networking, Security, and Automation 2025"/>
    <s v="English"/>
    <s v="1"/>
    <s v="4327940"/>
    <s v="Nikolaos"/>
    <s v="Agiotis"/>
    <n v="10"/>
    <n v="9"/>
    <n v="0"/>
    <m/>
    <m/>
    <m/>
  </r>
  <r>
    <x v="57"/>
    <x v="4"/>
    <x v="3"/>
    <x v="747"/>
    <d v="2024-08-26T07:12:12"/>
    <d v="2024-11-09T21:59:59"/>
    <s v="Cisco Associate-level Certification"/>
    <s v="CCNA R&amp;S"/>
    <x v="8"/>
    <s v="CCNA: Switching, Routing, and Wireless Essentials"/>
    <s v="English"/>
    <s v="7"/>
    <s v="30176325"/>
    <s v="Theofilos"/>
    <s v="Gkioulis"/>
    <n v="6"/>
    <n v="6"/>
    <n v="6"/>
    <m/>
    <m/>
    <m/>
  </r>
  <r>
    <x v="57"/>
    <x v="4"/>
    <x v="3"/>
    <x v="748"/>
    <d v="2024-10-30T02:22:59"/>
    <d v="2025-02-08T21:59:59"/>
    <s v="Cisco Associate-level Certification"/>
    <s v="CCNA R&amp;S"/>
    <x v="10"/>
    <s v="CCNA: Enterprise Networking, Security, and Automation"/>
    <s v="English"/>
    <s v="1"/>
    <s v="30176325"/>
    <s v="Theofilos"/>
    <s v="Gkioulis"/>
    <n v="6"/>
    <n v="6"/>
    <n v="6"/>
    <m/>
    <m/>
    <m/>
  </r>
  <r>
    <x v="57"/>
    <x v="4"/>
    <x v="3"/>
    <x v="749"/>
    <d v="2024-12-03T07:27:00"/>
    <d v="2025-12-02T21:59:59"/>
    <s v="Cisco Associate-level Certification"/>
    <s v="CCNP R&amp;S"/>
    <x v="29"/>
    <s v="CCNP Enterprise: Advanced Routing Oct 2024"/>
    <s v="English"/>
    <s v="1"/>
    <s v="7870791"/>
    <s v="Chrysovalantis"/>
    <s v="Oikonomopoulos"/>
    <n v="7"/>
    <n v="1"/>
    <n v="0"/>
    <m/>
    <m/>
    <m/>
  </r>
  <r>
    <x v="57"/>
    <x v="4"/>
    <x v="3"/>
    <x v="750"/>
    <d v="2024-11-26T07:36:19"/>
    <d v="2026-02-26T21:59:59"/>
    <s v="Cisco Associate-level Certification"/>
    <s v="CCNA R&amp;S"/>
    <x v="8"/>
    <s v="CCNA: Switching, Routing, and Wireless Essentials 2025"/>
    <s v="English"/>
    <s v="7"/>
    <s v="4327940"/>
    <s v="Nikolaos"/>
    <s v="Agiotis"/>
    <n v="10"/>
    <n v="7"/>
    <n v="0"/>
    <m/>
    <m/>
    <m/>
  </r>
  <r>
    <x v="57"/>
    <x v="4"/>
    <x v="3"/>
    <x v="751"/>
    <d v="2024-11-26T07:13:11"/>
    <d v="2025-12-24T21:59:59"/>
    <s v="Cisco Associate-level Certification"/>
    <s v="CCNA R&amp;S"/>
    <x v="9"/>
    <s v="CCNA: Introduction to Networks 2025"/>
    <s v="English"/>
    <s v="7"/>
    <s v="4327940"/>
    <s v="Nikolaos"/>
    <s v="Agiotis"/>
    <n v="11"/>
    <n v="9"/>
    <n v="0"/>
    <m/>
    <m/>
    <m/>
  </r>
  <r>
    <x v="57"/>
    <x v="4"/>
    <x v="3"/>
    <x v="752"/>
    <d v="2024-08-26T06:48:02"/>
    <d v="2025-01-31T21:59:59"/>
    <s v="Cisco Associate-level Certification"/>
    <s v="CCNA R&amp;S"/>
    <x v="9"/>
    <s v="CCNA: Introduction to Networks"/>
    <s v="English"/>
    <s v="7"/>
    <s v="30176325"/>
    <s v="Theofilos"/>
    <s v="Gkioulis"/>
    <n v="6"/>
    <n v="6"/>
    <n v="6"/>
    <m/>
    <m/>
    <m/>
  </r>
  <r>
    <x v="58"/>
    <x v="52"/>
    <x v="6"/>
    <x v="753"/>
    <d v="2024-10-09T11:47:11"/>
    <d v="2024-10-11T21:59:59"/>
    <s v="Cisco Associate-level Certification"/>
    <s v="CCNA R&amp;S"/>
    <x v="10"/>
    <s v="Webinar - CCNA: Enterprise Networking, Security, and Automation"/>
    <s v="English"/>
    <s v="1"/>
    <s v="37891419"/>
    <s v="Rastislav"/>
    <s v="Petija"/>
    <n v="1"/>
    <n v="1"/>
    <n v="0"/>
    <n v="1"/>
    <n v="1"/>
    <n v="0"/>
  </r>
  <r>
    <x v="58"/>
    <x v="52"/>
    <x v="6"/>
    <x v="754"/>
    <d v="2024-09-24T11:33:06"/>
    <d v="2025-05-31T21:59:59"/>
    <s v="Cisco Associate-level Certification"/>
    <s v="CCNP R&amp;S"/>
    <x v="29"/>
    <s v="CCNP Enterprise: Advanced Routing"/>
    <s v="English"/>
    <s v="1"/>
    <s v="3678742"/>
    <s v="Peter"/>
    <s v="Fecilak"/>
    <n v="33"/>
    <n v="32"/>
    <n v="11"/>
    <n v="33"/>
    <n v="32"/>
    <n v="11"/>
  </r>
  <r>
    <x v="58"/>
    <x v="52"/>
    <x v="6"/>
    <x v="755"/>
    <d v="2024-10-08T15:32:05"/>
    <d v="2025-02-28T22:59:59"/>
    <s v="Cisco Associate-level Certification"/>
    <s v="CCNA R&amp;S"/>
    <x v="9"/>
    <s v="CCNA: Introduction to Networks"/>
    <s v="English"/>
    <s v="7"/>
    <s v="37891419"/>
    <s v="Rastislav"/>
    <s v="Petija"/>
    <n v="9"/>
    <n v="9"/>
    <n v="0"/>
    <n v="9"/>
    <n v="9"/>
    <n v="0"/>
  </r>
  <r>
    <x v="59"/>
    <x v="4"/>
    <x v="3"/>
    <x v="756"/>
    <d v="2024-12-17T17:21:16"/>
    <d v="2025-12-17T21:59:59"/>
    <s v="Cisco Associate-level Certification"/>
    <s v="CCNA R&amp;S"/>
    <x v="8"/>
    <s v="CCNA: Switching, Routing, and Wireless Essentials"/>
    <s v="English"/>
    <s v="7"/>
    <s v="843403"/>
    <s v="Dmytro"/>
    <s v="Myronov"/>
    <n v="9"/>
    <n v="6"/>
    <n v="0"/>
    <m/>
    <m/>
    <m/>
  </r>
  <r>
    <x v="59"/>
    <x v="4"/>
    <x v="3"/>
    <x v="757"/>
    <d v="2024-09-04T20:39:42"/>
    <d v="2025-09-03T20:59:59"/>
    <s v="Cisco Associate-level Certification"/>
    <s v="CCNA R&amp;S"/>
    <x v="9"/>
    <s v="KPI.2024.NetwInro"/>
    <s v="English"/>
    <s v="7"/>
    <s v="843403"/>
    <s v="Dmytro"/>
    <s v="Myronov"/>
    <n v="38"/>
    <n v="38"/>
    <n v="0"/>
    <m/>
    <m/>
    <m/>
  </r>
  <r>
    <x v="59"/>
    <x v="4"/>
    <x v="3"/>
    <x v="758"/>
    <d v="2024-01-15T22:00:00"/>
    <d v="2025-01-14T22:00:00"/>
    <s v="Cisco Associate-level Certification"/>
    <s v="CCNA R&amp;S"/>
    <x v="5"/>
    <s v="CL184S1"/>
    <s v="English"/>
    <s v="7.02"/>
    <s v="843403"/>
    <s v="Dmytro"/>
    <s v="Myronov"/>
    <n v="18"/>
    <n v="10"/>
    <n v="3"/>
    <m/>
    <m/>
    <m/>
  </r>
  <r>
    <x v="59"/>
    <x v="4"/>
    <x v="3"/>
    <x v="759"/>
    <d v="2024-02-06T22:00:00"/>
    <d v="2025-02-06T22:00:00"/>
    <s v="Cisco Associate-level Certification"/>
    <s v="CCNA R&amp;S"/>
    <x v="5"/>
    <s v="KPI.CS.2024.ITN"/>
    <s v="English"/>
    <s v="7.02"/>
    <s v="843403"/>
    <s v="Dmytro"/>
    <s v="Myronov"/>
    <n v="80"/>
    <n v="65"/>
    <n v="56"/>
    <m/>
    <m/>
    <m/>
  </r>
  <r>
    <x v="59"/>
    <x v="4"/>
    <x v="3"/>
    <x v="760"/>
    <d v="2024-03-12T22:00:00"/>
    <d v="2025-02-24T00:00:00"/>
    <s v="Cisco Associate-level Certification"/>
    <s v="CCNA R&amp;S"/>
    <x v="4"/>
    <s v="KPI.SRWE.2024"/>
    <s v="English"/>
    <s v="7.02"/>
    <s v="843403"/>
    <s v="Dmytro"/>
    <s v="Myronov"/>
    <n v="77"/>
    <n v="9"/>
    <n v="1"/>
    <m/>
    <m/>
    <m/>
  </r>
  <r>
    <x v="59"/>
    <x v="4"/>
    <x v="3"/>
    <x v="761"/>
    <d v="2024-03-21T22:00:00"/>
    <d v="2025-02-24T00:00:00"/>
    <s v="Introductory Technical Skills"/>
    <s v="Networking Essentials"/>
    <x v="1"/>
    <s v="NetwEss.2024"/>
    <s v="English"/>
    <s v="2.01 - Instructor-Le"/>
    <s v="843403"/>
    <s v="Dmytro"/>
    <s v="Myronov"/>
    <n v="11"/>
    <n v="4"/>
    <n v="0"/>
    <m/>
    <m/>
    <m/>
  </r>
  <r>
    <x v="59"/>
    <x v="4"/>
    <x v="3"/>
    <x v="762"/>
    <d v="2024-04-02T21:00:00"/>
    <d v="2025-02-24T00:00:00"/>
    <s v="Cisco Associate-level Certification"/>
    <s v="CCNA R&amp;S"/>
    <x v="11"/>
    <s v="ENSA.2024"/>
    <s v="English"/>
    <s v="7.02"/>
    <s v="843403"/>
    <s v="Dmytro"/>
    <s v="Myronov"/>
    <n v="1"/>
    <n v="0"/>
    <n v="0"/>
    <m/>
    <m/>
    <m/>
  </r>
  <r>
    <x v="59"/>
    <x v="4"/>
    <x v="3"/>
    <x v="763"/>
    <d v="2024-04-02T21:00:00"/>
    <d v="2025-02-24T00:00:00"/>
    <s v="Cisco Associate-level Certification"/>
    <s v="CCNA R&amp;S"/>
    <x v="4"/>
    <s v="SRWE.2024"/>
    <s v="English"/>
    <s v="7.02"/>
    <s v="843403"/>
    <s v="Dmytro"/>
    <s v="Myronov"/>
    <n v="11"/>
    <n v="5"/>
    <n v="0"/>
    <m/>
    <m/>
    <m/>
  </r>
  <r>
    <x v="59"/>
    <x v="4"/>
    <x v="3"/>
    <x v="764"/>
    <d v="2024-04-15T21:00:00"/>
    <d v="2025-02-24T00:00:00"/>
    <s v="Cisco Associate-level Certification"/>
    <s v="CCNA R&amp;S"/>
    <x v="11"/>
    <s v="DUIKT.2024.ENSA"/>
    <s v="English"/>
    <s v="7.02"/>
    <s v="843403"/>
    <s v="Dmytro"/>
    <s v="Myronov"/>
    <n v="67"/>
    <n v="6"/>
    <n v="0"/>
    <m/>
    <m/>
    <m/>
  </r>
  <r>
    <x v="59"/>
    <x v="4"/>
    <x v="3"/>
    <x v="765"/>
    <d v="2024-05-09T21:00:00"/>
    <d v="2025-02-24T00:00:00"/>
    <s v="Cisco Associate-level Certification"/>
    <s v="CCNA R&amp;S"/>
    <x v="11"/>
    <s v="ENSA.2024"/>
    <s v="English"/>
    <s v="7.02"/>
    <s v="843403"/>
    <s v="Dmytro"/>
    <s v="Myronov"/>
    <n v="13"/>
    <n v="3"/>
    <n v="0"/>
    <m/>
    <m/>
    <m/>
  </r>
  <r>
    <x v="59"/>
    <x v="4"/>
    <x v="3"/>
    <x v="766"/>
    <d v="2024-12-17T17:18:41"/>
    <d v="2025-12-17T21:59:59"/>
    <s v="Introductory Technical Skills"/>
    <s v="Packet Tracer"/>
    <x v="15"/>
    <s v="Getting Started with Cisco Packet Tracer"/>
    <s v="English"/>
    <s v="1"/>
    <s v="843403"/>
    <s v="Dmytro"/>
    <s v="Myronov"/>
    <n v="1"/>
    <n v="1"/>
    <n v="0"/>
    <m/>
    <m/>
    <m/>
  </r>
  <r>
    <x v="59"/>
    <x v="4"/>
    <x v="3"/>
    <x v="767"/>
    <d v="2024-09-06T17:04:28"/>
    <d v="2025-09-06T20:59:59"/>
    <s v="Cisco Associate-level Certification"/>
    <s v="CCNA R&amp;S"/>
    <x v="8"/>
    <s v="CL185S2"/>
    <s v="English"/>
    <s v="7"/>
    <s v="843403"/>
    <s v="Dmytro"/>
    <s v="Myronov"/>
    <n v="10"/>
    <n v="3"/>
    <n v="0"/>
    <m/>
    <m/>
    <m/>
  </r>
  <r>
    <x v="59"/>
    <x v="4"/>
    <x v="3"/>
    <x v="768"/>
    <d v="2024-09-06T17:00:40"/>
    <d v="2025-09-06T20:59:59"/>
    <s v="Cisco Associate-level Certification"/>
    <s v="CCNA R&amp;S"/>
    <x v="9"/>
    <s v="CL185S1"/>
    <s v="English"/>
    <s v="7"/>
    <s v="843403"/>
    <s v="Dmytro"/>
    <s v="Myronov"/>
    <n v="11"/>
    <n v="10"/>
    <n v="0"/>
    <m/>
    <m/>
    <m/>
  </r>
  <r>
    <x v="59"/>
    <x v="4"/>
    <x v="3"/>
    <x v="769"/>
    <d v="2024-09-30T21:34:38"/>
    <d v="2025-10-01T20:59:59"/>
    <s v="Intermediate Technical Skills"/>
    <s v="Cybersecurity"/>
    <x v="14"/>
    <s v="NetworkSecurity_2024"/>
    <s v="English"/>
    <s v="1"/>
    <s v="843403"/>
    <s v="Dmytro"/>
    <s v="Myronov"/>
    <n v="4"/>
    <n v="2"/>
    <n v="0"/>
    <m/>
    <m/>
    <m/>
  </r>
  <r>
    <x v="59"/>
    <x v="4"/>
    <x v="3"/>
    <x v="770"/>
    <d v="2024-09-06T17:06:23"/>
    <d v="2025-09-06T20:59:59"/>
    <s v="Cisco Associate-level Certification"/>
    <s v="CCNA R&amp;S"/>
    <x v="10"/>
    <s v="CL185S3"/>
    <s v="English"/>
    <s v="1"/>
    <s v="843403"/>
    <s v="Dmytro"/>
    <s v="Myronov"/>
    <n v="10"/>
    <n v="5"/>
    <n v="0"/>
    <m/>
    <m/>
    <m/>
  </r>
  <r>
    <x v="59"/>
    <x v="4"/>
    <x v="3"/>
    <x v="771"/>
    <d v="2024-11-14T15:09:10"/>
    <d v="2025-11-14T21:59:59"/>
    <s v="Cisco Associate-level Certification"/>
    <s v="CCNA R&amp;S"/>
    <x v="9"/>
    <s v="CCNA: Introduction to Networks"/>
    <s v="English"/>
    <s v="7"/>
    <s v="843403"/>
    <s v="Dmytro"/>
    <s v="Myronov"/>
    <n v="10"/>
    <n v="9"/>
    <n v="1"/>
    <m/>
    <m/>
    <m/>
  </r>
  <r>
    <x v="60"/>
    <x v="52"/>
    <x v="6"/>
    <x v="772"/>
    <d v="2024-08-26T15:43:15"/>
    <d v="2024-08-31T21:59:59"/>
    <s v="Intermediate Technical Skills"/>
    <s v="Cybersecurity"/>
    <x v="0"/>
    <s v="Ethical Hacker"/>
    <s v="English"/>
    <s v="1"/>
    <s v="37891419"/>
    <s v="Rastislav"/>
    <s v="Petija"/>
    <n v="1"/>
    <n v="1"/>
    <n v="0"/>
    <n v="1"/>
    <n v="1"/>
    <n v="0"/>
  </r>
  <r>
    <x v="60"/>
    <x v="52"/>
    <x v="6"/>
    <x v="773"/>
    <d v="2024-08-27T11:44:51"/>
    <d v="2024-08-31T21:59:59"/>
    <s v="Cisco Associate-level Certification"/>
    <s v="CCNA R&amp;S"/>
    <x v="8"/>
    <s v="CCNA: Switching, Routing, and Wireless Essentials"/>
    <s v="English"/>
    <s v="7"/>
    <s v="37891419"/>
    <s v="Rastislav"/>
    <s v="Petija"/>
    <n v="1"/>
    <n v="1"/>
    <n v="0"/>
    <n v="1"/>
    <n v="1"/>
    <n v="0"/>
  </r>
  <r>
    <x v="60"/>
    <x v="52"/>
    <x v="6"/>
    <x v="774"/>
    <d v="2024-03-05T23:00:00"/>
    <d v="2024-11-29T23:00:00"/>
    <s v="Cisco Associate-level Certification"/>
    <s v="CCNA R&amp;S"/>
    <x v="5"/>
    <s v="test-CCNA1"/>
    <s v="English"/>
    <s v="7.02"/>
    <s v="37891419"/>
    <s v="Rastislav"/>
    <s v="Petija"/>
    <n v="2"/>
    <n v="2"/>
    <n v="0"/>
    <n v="2"/>
    <n v="2"/>
    <n v="0"/>
  </r>
  <r>
    <x v="60"/>
    <x v="52"/>
    <x v="6"/>
    <x v="775"/>
    <d v="2024-04-11T22:00:00"/>
    <d v="2024-08-30T22:00:00"/>
    <s v="Cisco Associate-level Certification"/>
    <s v="DevNet Associate"/>
    <x v="46"/>
    <s v="2024_CNL_DevNet_Associate"/>
    <s v="English"/>
    <s v="1.01"/>
    <s v="37891419"/>
    <s v="Rastislav"/>
    <s v="Petija"/>
    <n v="6"/>
    <n v="3"/>
    <n v="1"/>
    <n v="6"/>
    <n v="3"/>
    <n v="1"/>
  </r>
  <r>
    <x v="60"/>
    <x v="52"/>
    <x v="6"/>
    <x v="776"/>
    <d v="2024-05-08T22:00:00"/>
    <d v="2024-09-29T22:00:00"/>
    <s v="Cisco Associate-level Certification"/>
    <s v="Cybersecurity"/>
    <x v="33"/>
    <s v="CNL-MM"/>
    <s v="English"/>
    <s v="1.02"/>
    <s v="6562821"/>
    <s v="Ondrej"/>
    <s v="Kainz"/>
    <n v="4"/>
    <n v="3"/>
    <n v="2"/>
    <n v="4"/>
    <n v="3"/>
    <n v="2"/>
  </r>
  <r>
    <x v="60"/>
    <x v="52"/>
    <x v="6"/>
    <x v="777"/>
    <d v="2024-07-09T22:00:00"/>
    <d v="2024-08-09T22:00:00"/>
    <s v="Cisco Associate-level Certification"/>
    <s v="CCNA R&amp;S"/>
    <x v="5"/>
    <s v="CCNA1: Introduction to Networks - for students S_2024"/>
    <s v="English"/>
    <s v="7.02"/>
    <s v="3678742"/>
    <s v="Peter"/>
    <s v="Fecilak"/>
    <n v="3"/>
    <n v="3"/>
    <n v="3"/>
    <n v="3"/>
    <n v="3"/>
    <n v="3"/>
  </r>
  <r>
    <x v="60"/>
    <x v="52"/>
    <x v="6"/>
    <x v="2"/>
    <m/>
    <m/>
    <m/>
    <m/>
    <x v="2"/>
    <m/>
    <m/>
    <m/>
    <s v="50393253"/>
    <s v="Michal"/>
    <s v="Gabonai"/>
    <n v="3"/>
    <n v="3"/>
    <n v="3"/>
    <n v="3"/>
    <n v="3"/>
    <n v="3"/>
  </r>
  <r>
    <x v="60"/>
    <x v="52"/>
    <x v="6"/>
    <x v="2"/>
    <m/>
    <m/>
    <m/>
    <m/>
    <x v="2"/>
    <m/>
    <m/>
    <m/>
    <s v="50403273"/>
    <s v="Tomáš"/>
    <s v="Andrejdes"/>
    <n v="3"/>
    <n v="3"/>
    <n v="3"/>
    <n v="3"/>
    <n v="3"/>
    <n v="3"/>
  </r>
  <r>
    <x v="60"/>
    <x v="52"/>
    <x v="6"/>
    <x v="778"/>
    <d v="2024-08-26T15:09:21"/>
    <d v="2024-08-31T21:59:59"/>
    <s v="Cisco Associate-level Certification"/>
    <s v="CCNA R&amp;S"/>
    <x v="9"/>
    <s v="CCNA: Introduction to Networks"/>
    <s v="English"/>
    <s v="7"/>
    <s v="37891419"/>
    <s v="Rastislav"/>
    <s v="Petija"/>
    <n v="1"/>
    <n v="1"/>
    <n v="1"/>
    <n v="1"/>
    <n v="1"/>
    <n v="1"/>
  </r>
  <r>
    <x v="60"/>
    <x v="52"/>
    <x v="6"/>
    <x v="779"/>
    <d v="2024-09-22T08:47:58"/>
    <d v="2025-07-01T21:59:59"/>
    <s v="Cisco Associate-level Certification"/>
    <s v="CCNA R&amp;S"/>
    <x v="10"/>
    <s v="KEMT APCS 2024/25"/>
    <s v="English"/>
    <s v="1"/>
    <s v="8296074"/>
    <s v="Gabriel"/>
    <s v="Bugár"/>
    <n v="112"/>
    <n v="112"/>
    <n v="0"/>
    <n v="112"/>
    <n v="112"/>
    <n v="0"/>
  </r>
  <r>
    <x v="60"/>
    <x v="52"/>
    <x v="6"/>
    <x v="780"/>
    <d v="2024-10-16T09:23:24"/>
    <d v="2025-02-17T22:59:59"/>
    <s v="Cisco Associate-level Certification"/>
    <s v="CCNA R&amp;S"/>
    <x v="10"/>
    <s v="2024 ZS CCNA 3: Enterprise Networking, Security, and Automation"/>
    <s v="English"/>
    <s v="1"/>
    <s v="1006597259"/>
    <s v="Erika Abigail"/>
    <s v="Katonova"/>
    <n v="84"/>
    <n v="64"/>
    <n v="41"/>
    <n v="84"/>
    <n v="64"/>
    <n v="41"/>
  </r>
  <r>
    <x v="60"/>
    <x v="52"/>
    <x v="6"/>
    <x v="2"/>
    <m/>
    <m/>
    <m/>
    <m/>
    <x v="2"/>
    <m/>
    <m/>
    <m/>
    <s v="3543729"/>
    <s v="Miroslav"/>
    <s v="Michalko"/>
    <n v="84"/>
    <n v="64"/>
    <n v="41"/>
    <n v="84"/>
    <n v="64"/>
    <n v="41"/>
  </r>
  <r>
    <x v="60"/>
    <x v="52"/>
    <x v="6"/>
    <x v="2"/>
    <m/>
    <m/>
    <m/>
    <m/>
    <x v="2"/>
    <m/>
    <m/>
    <m/>
    <s v="3678742"/>
    <s v="Peter"/>
    <s v="Fecilak"/>
    <n v="84"/>
    <n v="64"/>
    <n v="41"/>
    <n v="84"/>
    <n v="64"/>
    <n v="41"/>
  </r>
  <r>
    <x v="60"/>
    <x v="52"/>
    <x v="6"/>
    <x v="2"/>
    <m/>
    <m/>
    <m/>
    <m/>
    <x v="2"/>
    <m/>
    <m/>
    <m/>
    <s v="37891419"/>
    <s v="Rastislav"/>
    <s v="Petija"/>
    <n v="84"/>
    <n v="64"/>
    <n v="41"/>
    <n v="84"/>
    <n v="64"/>
    <n v="41"/>
  </r>
  <r>
    <x v="60"/>
    <x v="52"/>
    <x v="6"/>
    <x v="2"/>
    <m/>
    <m/>
    <m/>
    <m/>
    <x v="2"/>
    <m/>
    <m/>
    <m/>
    <s v="6562821"/>
    <s v="Ondrej"/>
    <s v="Kainz"/>
    <n v="84"/>
    <n v="64"/>
    <n v="41"/>
    <n v="84"/>
    <n v="64"/>
    <n v="41"/>
  </r>
  <r>
    <x v="60"/>
    <x v="52"/>
    <x v="6"/>
    <x v="781"/>
    <d v="2024-09-22T22:00:00"/>
    <d v="2025-02-07T22:59:59"/>
    <s v="Cisco Associate-level Certification"/>
    <s v="CCNA R&amp;S"/>
    <x v="9"/>
    <s v="KEMT ÚPS 2024/25"/>
    <s v="English"/>
    <s v="7"/>
    <s v="8296074"/>
    <s v="Gabriel"/>
    <s v="Bugár"/>
    <n v="123"/>
    <n v="122"/>
    <n v="14"/>
    <n v="123"/>
    <n v="122"/>
    <n v="14"/>
  </r>
  <r>
    <x v="60"/>
    <x v="52"/>
    <x v="6"/>
    <x v="782"/>
    <d v="2024-09-23T13:14:18"/>
    <d v="2025-02-17T22:59:59"/>
    <s v="Cisco Associate-level Certification"/>
    <s v="CCNA R&amp;S"/>
    <x v="8"/>
    <s v="2024 ZS CCNA 2: Switching, Routing, and Wireless Essentials"/>
    <s v="English"/>
    <s v="7"/>
    <s v="1006597259"/>
    <s v="Erika Abigail"/>
    <s v="Katonova"/>
    <n v="84"/>
    <n v="82"/>
    <n v="44"/>
    <n v="84"/>
    <n v="82"/>
    <n v="44"/>
  </r>
  <r>
    <x v="60"/>
    <x v="52"/>
    <x v="6"/>
    <x v="2"/>
    <m/>
    <m/>
    <m/>
    <m/>
    <x v="2"/>
    <m/>
    <m/>
    <m/>
    <s v="3543729"/>
    <s v="Miroslav"/>
    <s v="Michalko"/>
    <n v="84"/>
    <n v="82"/>
    <n v="44"/>
    <n v="84"/>
    <n v="82"/>
    <n v="44"/>
  </r>
  <r>
    <x v="60"/>
    <x v="52"/>
    <x v="6"/>
    <x v="2"/>
    <m/>
    <m/>
    <m/>
    <m/>
    <x v="2"/>
    <m/>
    <m/>
    <m/>
    <s v="3678742"/>
    <s v="Peter"/>
    <s v="Fecilak"/>
    <n v="84"/>
    <n v="82"/>
    <n v="44"/>
    <n v="84"/>
    <n v="82"/>
    <n v="44"/>
  </r>
  <r>
    <x v="60"/>
    <x v="52"/>
    <x v="6"/>
    <x v="2"/>
    <m/>
    <m/>
    <m/>
    <m/>
    <x v="2"/>
    <m/>
    <m/>
    <m/>
    <s v="37891419"/>
    <s v="Rastislav"/>
    <s v="Petija"/>
    <n v="84"/>
    <n v="82"/>
    <n v="44"/>
    <n v="84"/>
    <n v="82"/>
    <n v="44"/>
  </r>
  <r>
    <x v="60"/>
    <x v="52"/>
    <x v="6"/>
    <x v="2"/>
    <m/>
    <m/>
    <m/>
    <m/>
    <x v="2"/>
    <m/>
    <m/>
    <m/>
    <s v="6562821"/>
    <s v="Ondrej"/>
    <s v="Kainz"/>
    <n v="84"/>
    <n v="82"/>
    <n v="44"/>
    <n v="84"/>
    <n v="82"/>
    <n v="44"/>
  </r>
  <r>
    <x v="60"/>
    <x v="52"/>
    <x v="6"/>
    <x v="783"/>
    <d v="2024-09-23T08:58:31"/>
    <d v="2025-01-15T22:59:59"/>
    <s v="Intermediate Technical Skills"/>
    <s v="Cybersecurity"/>
    <x v="14"/>
    <s v="2024 ZS Network Security"/>
    <s v="English"/>
    <s v="1"/>
    <s v="6562821"/>
    <s v="Ondrej"/>
    <s v="Kainz"/>
    <n v="28"/>
    <n v="28"/>
    <n v="15"/>
    <n v="28"/>
    <n v="28"/>
    <n v="15"/>
  </r>
  <r>
    <x v="60"/>
    <x v="52"/>
    <x v="6"/>
    <x v="784"/>
    <d v="2024-11-25T23:24:08"/>
    <d v="2025-03-31T21:59:59"/>
    <s v="Cisco Associate-level Certification"/>
    <s v="Cybersecurity"/>
    <x v="33"/>
    <s v="CyberOps Associate"/>
    <s v="English"/>
    <s v="1"/>
    <s v="37891419"/>
    <s v="Rastislav"/>
    <s v="Petija"/>
    <n v="5"/>
    <n v="2"/>
    <n v="0"/>
    <n v="5"/>
    <n v="2"/>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
  <r>
    <n v="37982354"/>
    <n v="100009236"/>
    <n v="37982354"/>
    <s v="Súkromná stredná odborná škola "/>
    <s v="Saleziánska 18, Žilina"/>
    <s v="Žilina"/>
    <s v="nie BSK"/>
    <s v="ZSK"/>
    <s v="ano"/>
    <n v="1"/>
    <s v="ano"/>
    <s v="Max"/>
    <m/>
    <n v="8.1999999999999993"/>
    <m/>
    <m/>
    <m/>
    <n v="125"/>
    <n v="9"/>
    <n v="130"/>
    <n v="130"/>
    <n v="0"/>
    <n v="10"/>
    <n v="5.2345058626465664E-2"/>
    <n v="0.20472440944881889"/>
    <m/>
    <x v="0"/>
    <s v="2*top,vysoké hodnotenie INEKO, dodržané záväzky s RUZ, sk 25ikt"/>
    <n v="1"/>
    <n v="2"/>
    <m/>
    <n v="1"/>
    <n v="8"/>
    <n v="1"/>
    <n v="8"/>
    <m/>
    <m/>
    <m/>
    <m/>
    <m/>
    <m/>
    <m/>
    <m/>
    <m/>
    <m/>
    <n v="1"/>
    <n v="5"/>
    <m/>
    <m/>
    <n v="0"/>
    <n v="0"/>
    <m/>
    <m/>
    <n v="0"/>
    <n v="0"/>
    <m/>
    <m/>
    <n v="3"/>
    <n v="3"/>
    <n v="2"/>
    <n v="6"/>
    <n v="3"/>
    <n v="1"/>
    <n v="1"/>
    <m/>
    <m/>
    <s v="info@ssosza.sk"/>
    <m/>
    <m/>
    <s v="Miroslav Malacha, poverený riaditeľkou"/>
    <s v="miroslav.malacha@gmail.com"/>
    <n v="2"/>
  </r>
  <r>
    <s v="00491861"/>
    <n v="100003049"/>
    <n v="491861"/>
    <s v="Stredná priemyselná škola dopravná"/>
    <s v="Študentská 23, 917 45 Trnava"/>
    <s v="Trnava"/>
    <s v="nie BSK"/>
    <s v="TTSK"/>
    <s v="ano"/>
    <n v="1"/>
    <s v="ano sk26"/>
    <s v="Max"/>
    <m/>
    <n v="6.6"/>
    <s v="NAG"/>
    <m/>
    <m/>
    <n v="684"/>
    <n v="121"/>
    <n v="695"/>
    <n v="0"/>
    <n v="228"/>
    <n v="5"/>
    <n v="0.28643216080402012"/>
    <n v="0"/>
    <m/>
    <x v="1"/>
    <s v="odbor ekst"/>
    <n v="1"/>
    <n v="3"/>
    <m/>
    <n v="1"/>
    <n v="16"/>
    <n v="1"/>
    <n v="16"/>
    <n v="1"/>
    <n v="16"/>
    <m/>
    <m/>
    <m/>
    <m/>
    <m/>
    <m/>
    <m/>
    <m/>
    <n v="0"/>
    <n v="0"/>
    <m/>
    <m/>
    <n v="0"/>
    <n v="0"/>
    <m/>
    <m/>
    <n v="1"/>
    <n v="16"/>
    <m/>
    <m/>
    <n v="4"/>
    <n v="4"/>
    <n v="3"/>
    <n v="4"/>
    <n v="4"/>
    <n v="3"/>
    <n v="3"/>
    <s v="Ing. Peter Papík, riaditeľ školy"/>
    <s v="peterpapik.spsdtt@gmail.com"/>
    <s v="spsdtt@zupa-tt.sk"/>
    <m/>
    <m/>
    <m/>
    <m/>
    <n v="4"/>
  </r>
  <r>
    <s v="00161578"/>
    <n v="100008004"/>
    <n v="161578"/>
    <s v="Stredná priemyselná škola technická"/>
    <s v="Novomeského 5/24, 036 36 Martin"/>
    <s v="Martin"/>
    <s v="nie BSK"/>
    <s v="ZSK"/>
    <s v="ano"/>
    <n v="1"/>
    <s v="ano"/>
    <s v="Max"/>
    <m/>
    <n v="7.2"/>
    <m/>
    <m/>
    <m/>
    <n v="412"/>
    <n v="42"/>
    <n v="420"/>
    <n v="100"/>
    <n v="10"/>
    <n v="5"/>
    <n v="0.17252931323283083"/>
    <n v="0.15748031496062992"/>
    <m/>
    <x v="0"/>
    <s v="2*top, iniciatívna škola"/>
    <n v="1"/>
    <n v="2"/>
    <m/>
    <n v="1"/>
    <n v="24"/>
    <n v="1"/>
    <n v="24"/>
    <n v="1"/>
    <n v="15"/>
    <m/>
    <m/>
    <n v="1"/>
    <n v="15"/>
    <n v="0"/>
    <m/>
    <n v="1"/>
    <m/>
    <n v="0"/>
    <n v="0"/>
    <m/>
    <m/>
    <n v="1"/>
    <n v="15"/>
    <n v="1"/>
    <m/>
    <n v="1"/>
    <n v="15"/>
    <n v="1"/>
    <m/>
    <n v="5"/>
    <n v="2"/>
    <n v="2"/>
    <n v="2"/>
    <n v="2"/>
    <n v="1"/>
    <n v="3"/>
    <s v="Mgr. Dušan Koťka"/>
    <s v="dusan.kotka@spsmt.sk"/>
    <s v="office@spsmt.sk"/>
    <m/>
    <m/>
    <m/>
    <m/>
    <n v="5"/>
  </r>
  <r>
    <n v="893358"/>
    <n v="100011838"/>
    <n v="893358"/>
    <s v="Stredná odborná škola polytechnická"/>
    <s v="Štefánikova 1550/20, 066 01 Humenné"/>
    <s v="Humenné"/>
    <s v="nie BSK"/>
    <s v="PSK"/>
    <s v="ano"/>
    <n v="1"/>
    <s v="ano"/>
    <s v="Max"/>
    <m/>
    <m/>
    <m/>
    <m/>
    <m/>
    <n v="197"/>
    <n v="7"/>
    <n v="175"/>
    <n v="80"/>
    <n v="0"/>
    <n v="2"/>
    <n v="8.2495812395309884E-2"/>
    <n v="0.12598425196850394"/>
    <m/>
    <x v="0"/>
    <m/>
    <n v="1"/>
    <n v="1"/>
    <m/>
    <n v="1"/>
    <n v="15"/>
    <n v="1"/>
    <n v="15"/>
    <m/>
    <m/>
    <m/>
    <m/>
    <m/>
    <m/>
    <m/>
    <m/>
    <m/>
    <m/>
    <n v="0"/>
    <n v="0"/>
    <m/>
    <m/>
    <n v="0"/>
    <n v="0"/>
    <m/>
    <m/>
    <n v="0"/>
    <n v="0"/>
    <m/>
    <m/>
    <n v="6"/>
    <n v="4"/>
    <n v="2"/>
    <n v="4"/>
    <n v="4"/>
    <n v="2"/>
    <n v="2"/>
    <s v="Ing. Anton Bača"/>
    <s v="antonbaca@soshe.sk"/>
    <s v="riaditel@soshe.sk"/>
    <m/>
    <m/>
    <m/>
    <m/>
    <n v="6"/>
  </r>
  <r>
    <s v="00161217"/>
    <n v="100013509"/>
    <n v="161217"/>
    <s v="Gymnázium Terézie Vansovej Stará Ľubovňa"/>
    <s v="Ul. 17. novembra 6, 064 01 Stará Ľubovňa"/>
    <s v="Stará Ľubovňa"/>
    <s v="nie BSK"/>
    <s v="PSK"/>
    <s v="ano"/>
    <n v="1"/>
    <s v="nie"/>
    <s v="Max"/>
    <m/>
    <n v="6.1"/>
    <m/>
    <m/>
    <m/>
    <n v="345"/>
    <n v="201"/>
    <n v="250"/>
    <n v="0"/>
    <n v="200"/>
    <n v="10"/>
    <n v="0.14447236180904521"/>
    <n v="0"/>
    <m/>
    <x v="2"/>
    <s v="2*top gymnázium"/>
    <n v="1"/>
    <n v="1"/>
    <m/>
    <n v="1"/>
    <n v="15"/>
    <n v="1"/>
    <n v="10"/>
    <m/>
    <m/>
    <m/>
    <m/>
    <m/>
    <m/>
    <m/>
    <m/>
    <m/>
    <m/>
    <n v="0"/>
    <n v="0"/>
    <m/>
    <m/>
    <n v="0"/>
    <n v="0"/>
    <m/>
    <m/>
    <n v="0"/>
    <n v="0"/>
    <m/>
    <m/>
    <n v="3"/>
    <n v="3"/>
    <n v="8"/>
    <n v="6"/>
    <n v="3"/>
    <n v="3"/>
    <n v="3"/>
    <s v="PaedDr. Klaudia Satkeová"/>
    <s v="riaditel@gymtv-sl.vucpo.sk"/>
    <s v="gtv.sl.riaditel@gmail.com"/>
    <s v="Mgr. Ivana Hurtošová; zástupkyňa školy"/>
    <s v="zastupcagtv@gmail.com"/>
    <s v="Ing. Marián Rura"/>
    <s v="mrura@pobox.sk"/>
    <n v="8"/>
  </r>
  <r>
    <n v="42039371"/>
    <n v="100012473"/>
    <n v="42039371"/>
    <s v="Súkromná stredná odborná škola"/>
    <s v="Ul. 29. augusta 4812, 058 01 Poprad"/>
    <s v="Poprad"/>
    <s v="nie BSK"/>
    <s v="PSK"/>
    <s v="ano"/>
    <n v="1"/>
    <s v="ano"/>
    <s v="Max"/>
    <m/>
    <n v="8.5"/>
    <s v="NAG"/>
    <s v="COVP"/>
    <m/>
    <n v="445"/>
    <n v="166"/>
    <n v="440"/>
    <n v="235"/>
    <n v="0"/>
    <n v="50"/>
    <n v="0.18634840871021777"/>
    <n v="0.37007874015748032"/>
    <m/>
    <x v="3"/>
    <s v="4*top, sk 25ikt - ide však o vynikajúcu súkromnú školu na slovenské (a možno i európske pomery) s výbornou kombináciou s manažérsko-ekonmickým odborov, ktorá tým pádom však nemá potenciál a ani podporu kraja pre &quot;campusovú školu&quot; (kraj v Poprade podporuje iné SOŠ, čo je však pozitívne vzhľadom na priemyselný potenciál mesta a skutočnosť, že cca. 97% absolventov tejto súkromnej SOŠ pokračuje na univerzite a to i mimo SR, ktorú mesto nemá - a teda môžu byť pre Poprad &quot;stratení&quot;)"/>
    <n v="1"/>
    <n v="3"/>
    <m/>
    <n v="1"/>
    <n v="15"/>
    <n v="1"/>
    <n v="15"/>
    <n v="1"/>
    <n v="15"/>
    <n v="1"/>
    <n v="15"/>
    <n v="1"/>
    <n v="15"/>
    <n v="0"/>
    <m/>
    <n v="1"/>
    <m/>
    <n v="0"/>
    <n v="0"/>
    <m/>
    <m/>
    <n v="0"/>
    <n v="0"/>
    <m/>
    <m/>
    <n v="0"/>
    <n v="0"/>
    <m/>
    <m/>
    <n v="8"/>
    <n v="5"/>
    <n v="5"/>
    <n v="5"/>
    <n v="5"/>
    <n v="5"/>
    <n v="5"/>
    <s v="Ing. Beáta Mitická, riaditeľka školy"/>
    <s v="riaditel@tatranskaakademia.sk"/>
    <s v="riaditel@tatranskaakademia.sk"/>
    <m/>
    <m/>
    <s v="Ján Kovalčík"/>
    <s v="janes.kovalcik@gmail.com"/>
    <n v="9"/>
  </r>
  <r>
    <s v="00161594"/>
    <n v="100003980"/>
    <n v="161594"/>
    <s v="Stredná priemyselná škola"/>
    <s v="Ul. Slovenských partizánov 1132/52, 017 01 Považská Bystrica"/>
    <s v="Považská Bystrica"/>
    <s v="nie BSK"/>
    <s v="TNSK"/>
    <s v="ano"/>
    <n v="1"/>
    <s v="ano"/>
    <s v="Max"/>
    <m/>
    <n v="6"/>
    <s v="NAG"/>
    <m/>
    <m/>
    <n v="302"/>
    <n v="64"/>
    <n v="305"/>
    <n v="120"/>
    <n v="100"/>
    <n v="10"/>
    <n v="0.12646566164154105"/>
    <n v="0.1889763779527559"/>
    <m/>
    <x v="0"/>
    <s v="3*top, sk 25ikt"/>
    <n v="1"/>
    <n v="4"/>
    <m/>
    <n v="2"/>
    <n v="28"/>
    <n v="2"/>
    <n v="28"/>
    <m/>
    <m/>
    <m/>
    <m/>
    <n v="1"/>
    <n v="12"/>
    <n v="0"/>
    <m/>
    <n v="1"/>
    <m/>
    <n v="0"/>
    <n v="0"/>
    <m/>
    <m/>
    <n v="1"/>
    <n v="15"/>
    <m/>
    <m/>
    <n v="0"/>
    <n v="0"/>
    <m/>
    <m/>
    <n v="10"/>
    <n v="6"/>
    <n v="2"/>
    <n v="7"/>
    <n v="6"/>
    <n v="6"/>
    <n v="5"/>
    <s v="Mgr. Tibor Macháč"/>
    <s v="riaditel@spspb.edu.sk"/>
    <s v="riaditel@spspb.sk"/>
    <m/>
    <m/>
    <s v="Mgr. Zuzana Špilová, garant NetAcad na škole"/>
    <s v="zuzana.spilova@spspb.sk"/>
    <n v="10"/>
  </r>
  <r>
    <s v="00161471"/>
    <s v="100009338"/>
    <s v="161471"/>
    <s v="Stredná priemyselná škola Jozefa Murgaša"/>
    <s v="Hurbanova 6, 975 18 Banská Bystrica"/>
    <s v="Banská Bystrica"/>
    <s v="nie BSK"/>
    <s v="BBSK"/>
    <s v="ano"/>
    <n v="1"/>
    <s v="ano"/>
    <s v="Max+pedagóg"/>
    <s v="BBSK"/>
    <n v="7.6"/>
    <s v="NAG"/>
    <s v="CExOVP"/>
    <m/>
    <n v="666"/>
    <n v="41"/>
    <n v="650"/>
    <n v="120"/>
    <n v="30"/>
    <n v="10"/>
    <n v="0.27889447236180903"/>
    <n v="0.1889763779527559"/>
    <s v="Ano1"/>
    <x v="3"/>
    <s v="6*top, sk 25ikt"/>
    <n v="1"/>
    <n v="4"/>
    <m/>
    <m/>
    <m/>
    <m/>
    <m/>
    <n v="1"/>
    <n v="17"/>
    <n v="1"/>
    <n v="17"/>
    <n v="1"/>
    <n v="17"/>
    <n v="0"/>
    <m/>
    <n v="1"/>
    <m/>
    <n v="0"/>
    <n v="0"/>
    <m/>
    <m/>
    <n v="1"/>
    <n v="17"/>
    <m/>
    <m/>
    <n v="1"/>
    <n v="17"/>
    <m/>
    <m/>
    <n v="10"/>
    <n v="5"/>
    <n v="3"/>
    <n v="3"/>
    <n v="5"/>
    <n v="10"/>
    <n v="5"/>
    <s v="Ing. Kamil Kordík"/>
    <s v="kordik@spsjm.sk"/>
    <m/>
    <s v="Ing. Dana Juhásová, zástupkyňa riaditeľa školy pre odborné predmety"/>
    <s v="dana.juhasova@spsjm.sk"/>
    <s v="Dana Juhásová_x000a_Juraj Badáni_x000a_Miroslava Guzlejová_x000a_Tomáš Javůrek"/>
    <s v="dana.juhasova@spsjm.sk_x000a_juraj.badani@spsjm.sk_x000a_miroslava.guzlejova@spsjm.sk_x000a_tomas.javurek@kinit.sk"/>
    <n v="11"/>
  </r>
  <r>
    <s v="37946765"/>
    <n v="100012862"/>
    <s v="37946765"/>
    <s v="Stredná odborná škola technická ako org.zl. Spojenej školy"/>
    <s v="Ľ. Podjavorinskej 22, 080 01 Prešov"/>
    <s v="Prešov"/>
    <s v="nie BSK"/>
    <s v="PSK"/>
    <s v="ano"/>
    <n v="1"/>
    <s v="ano"/>
    <s v="Max+pedagóg"/>
    <m/>
    <m/>
    <m/>
    <m/>
    <m/>
    <n v="588"/>
    <n v="3"/>
    <n v="30"/>
    <n v="30"/>
    <n v="90"/>
    <n v="10"/>
    <n v="0.24623115577889448"/>
    <n v="4.7244094488188976E-2"/>
    <s v="Ano2"/>
    <x v="4"/>
    <s v="Nejasná existencia - neviem ju nájsť v zozname CVTI SR (k 15.9.2024)?"/>
    <n v="1"/>
    <n v="2"/>
    <m/>
    <n v="1"/>
    <n v="20"/>
    <m/>
    <m/>
    <n v="1"/>
    <n v="20"/>
    <m/>
    <m/>
    <m/>
    <m/>
    <m/>
    <m/>
    <m/>
    <m/>
    <n v="0"/>
    <n v="0"/>
    <m/>
    <m/>
    <n v="0"/>
    <n v="0"/>
    <m/>
    <m/>
    <n v="0"/>
    <n v="0"/>
    <m/>
    <m/>
    <n v="3"/>
    <n v="3"/>
    <n v="3"/>
    <n v="6"/>
    <n v="3"/>
    <n v="6"/>
    <n v="2"/>
    <s v="Mgr. Ján Holub"/>
    <s v="riaditel@spojenaskola.sk"/>
    <s v="info@spojenaskola.sk"/>
    <m/>
    <m/>
    <s v="PhDr. Richard Pisarský"/>
    <s v="richard.pisarsky@spojenaskola.sk"/>
    <n v="12"/>
  </r>
  <r>
    <n v="35568381"/>
    <n v="100016258"/>
    <n v="35568381"/>
    <s v="Stredná odborná škola ekonomická"/>
    <s v="Stojan 1, 052 01 Spišská Nová Ves"/>
    <s v="Spišská Nová Ves"/>
    <s v="nie BSK"/>
    <s v="KSK"/>
    <s v="ano"/>
    <n v="1"/>
    <s v="nie"/>
    <s v="Len výber"/>
    <m/>
    <m/>
    <m/>
    <m/>
    <m/>
    <n v="291"/>
    <n v="191"/>
    <n v="300"/>
    <n v="80"/>
    <n v="0"/>
    <n v="10"/>
    <n v="0.12185929648241206"/>
    <n v="0.12598425196850394"/>
    <m/>
    <x v="5"/>
    <m/>
    <n v="1"/>
    <n v="1"/>
    <m/>
    <n v="1"/>
    <n v="1"/>
    <n v="1"/>
    <n v="1"/>
    <m/>
    <m/>
    <m/>
    <m/>
    <m/>
    <m/>
    <m/>
    <m/>
    <m/>
    <m/>
    <n v="0"/>
    <n v="0"/>
    <m/>
    <m/>
    <n v="0"/>
    <n v="0"/>
    <m/>
    <m/>
    <n v="0"/>
    <n v="0"/>
    <m/>
    <m/>
    <n v="5"/>
    <n v="3"/>
    <n v="3"/>
    <n v="3"/>
    <n v="3"/>
    <n v="6"/>
    <n v="6"/>
    <s v="Ing. Andrea Iovdijová"/>
    <s v="andrea.iovdijova@sosesnv.sk"/>
    <s v="oasnvsk@gmail.com"/>
    <m/>
    <m/>
    <s v="Mgr. Ján Pramuka, koordinátor sieťového programu NetAcad, učiteľ informatiky a geografie"/>
    <s v="jan.pramuka@sosesnv.sk"/>
    <n v="13"/>
  </r>
  <r>
    <s v="00891541"/>
    <n v="100012436"/>
    <n v="891541"/>
    <s v="Stredná odborná škola technická"/>
    <s v="Kukučínova 483/12, 058 01 Poprad"/>
    <s v="Poprad"/>
    <s v="nie BSK"/>
    <s v="PSK"/>
    <s v="ano"/>
    <n v="1"/>
    <s v="ano"/>
    <s v="Max"/>
    <m/>
    <m/>
    <m/>
    <m/>
    <m/>
    <n v="294"/>
    <n v="19"/>
    <n v="280"/>
    <n v="100"/>
    <n v="0"/>
    <n v="2"/>
    <n v="0.12311557788944724"/>
    <n v="0.15748031496062992"/>
    <m/>
    <x v="0"/>
    <m/>
    <n v="1"/>
    <n v="4"/>
    <m/>
    <n v="1"/>
    <n v="15"/>
    <n v="1"/>
    <n v="15"/>
    <m/>
    <m/>
    <m/>
    <m/>
    <n v="1"/>
    <n v="15"/>
    <n v="0"/>
    <m/>
    <m/>
    <m/>
    <n v="1"/>
    <n v="15"/>
    <n v="1"/>
    <m/>
    <n v="1"/>
    <n v="15"/>
    <n v="1"/>
    <m/>
    <n v="0"/>
    <n v="0"/>
    <m/>
    <m/>
    <n v="7"/>
    <n v="5"/>
    <n v="2"/>
    <n v="3"/>
    <n v="5"/>
    <n v="6"/>
    <n v="6"/>
    <s v="Ing. Ľubomír Rokos"/>
    <s v="riaditel@sostpoprad.sk"/>
    <m/>
    <m/>
    <m/>
    <s v="PaedDr. Erik Slivka"/>
    <s v="slivka@ucitel.sostpoprad.sk"/>
    <n v="14"/>
  </r>
  <r>
    <s v="00161454"/>
    <n v="100002394"/>
    <n v="161454"/>
    <s v="Stredná priemyselná škola elektrotechnická"/>
    <s v="Brezová 2, 921 77 Piešťany"/>
    <s v="Piešťany"/>
    <s v="nie BSK"/>
    <s v="TTSK"/>
    <s v="ano"/>
    <n v="1"/>
    <s v="ano"/>
    <s v="Max"/>
    <s v="TTSK"/>
    <n v="5.8"/>
    <m/>
    <m/>
    <m/>
    <n v="419"/>
    <n v="37"/>
    <n v="410"/>
    <n v="322"/>
    <n v="88"/>
    <n v="16"/>
    <n v="0.1754606365159129"/>
    <n v="0.50708661417322831"/>
    <m/>
    <x v="6"/>
    <s v="3*top, sk 25ikt, regionálne významná SOŠ vyžadujúca výraznú podporu"/>
    <n v="1"/>
    <n v="5"/>
    <m/>
    <n v="3"/>
    <n v="45"/>
    <n v="3"/>
    <n v="45"/>
    <n v="1"/>
    <n v="15"/>
    <n v="1"/>
    <n v="15"/>
    <m/>
    <m/>
    <m/>
    <m/>
    <m/>
    <m/>
    <n v="0"/>
    <n v="0"/>
    <m/>
    <m/>
    <n v="1"/>
    <n v="15"/>
    <m/>
    <m/>
    <n v="0"/>
    <n v="0"/>
    <m/>
    <m/>
    <n v="10"/>
    <n v="6"/>
    <n v="5"/>
    <n v="12"/>
    <n v="6"/>
    <n v="10"/>
    <n v="5"/>
    <s v="Mgr. Jozef Kolník"/>
    <s v="skola@spsepn.edu.sk"/>
    <s v="skola@spsepn.edu.sk"/>
    <s v="Ing. Daniel Vido"/>
    <s v="vido.daniel@spsepn.edu.sk"/>
    <s v="Viktor Bagin_x000a_Jozef Danko"/>
    <s v="bagin.viktor@spsepn.edu.sk_x000a_danko.jozef@spsepn.edu.sk"/>
    <n v="15"/>
  </r>
  <r>
    <s v="37910337"/>
    <m/>
    <m/>
    <s v="Akadémia ozbrojených síl generála M. R. Štefánika"/>
    <s v="Demänová 393, 031 01 Liptovský Mikuláš"/>
    <s v="Liptovský Mikuláš"/>
    <s v="nie BSK"/>
    <s v="ZSK"/>
    <s v="ano"/>
    <n v="1"/>
    <s v="ano"/>
    <s v="Max"/>
    <m/>
    <m/>
    <m/>
    <m/>
    <m/>
    <s v="tajné :-)"/>
    <s v="tajné :-)"/>
    <n v="500"/>
    <n v="100"/>
    <n v="100"/>
    <n v="10"/>
    <m/>
    <n v="0.15748031496062992"/>
    <m/>
    <x v="7"/>
    <m/>
    <n v="1"/>
    <n v="3"/>
    <m/>
    <n v="1"/>
    <n v="7"/>
    <m/>
    <m/>
    <n v="1"/>
    <n v="7"/>
    <m/>
    <m/>
    <m/>
    <m/>
    <m/>
    <m/>
    <m/>
    <m/>
    <n v="1"/>
    <n v="7"/>
    <m/>
    <m/>
    <n v="0"/>
    <n v="0"/>
    <m/>
    <m/>
    <n v="0"/>
    <n v="0"/>
    <m/>
    <m/>
    <n v="6"/>
    <n v="6"/>
    <n v="4"/>
    <n v="8"/>
    <n v="6"/>
    <n v="4"/>
    <n v="2"/>
    <s v="doc. Ing. Július Baráth, PhD."/>
    <s v="julius.barath@aos.sk"/>
    <m/>
    <m/>
    <m/>
    <s v="Ing. Miroslav Ďulík, PhD."/>
    <s v="miroslav.dulikml@aos.sk"/>
    <n v="16"/>
  </r>
  <r>
    <s v="00161063"/>
    <n v="100015543"/>
    <n v="161063"/>
    <s v="Gymnázium P. Horova"/>
    <s v="Masarykova 1, 071 01 Michalovce"/>
    <s v="Michalovce"/>
    <s v="nie BSK"/>
    <s v="KSK"/>
    <s v="ano"/>
    <n v="1"/>
    <s v="nie"/>
    <s v="Max"/>
    <m/>
    <n v="6.7"/>
    <m/>
    <m/>
    <m/>
    <n v="616"/>
    <n v="327"/>
    <n v="629"/>
    <n v="0"/>
    <n v="60"/>
    <n v="10"/>
    <n v="0.25795644891122277"/>
    <n v="0"/>
    <m/>
    <x v="2"/>
    <s v="3*top"/>
    <n v="1"/>
    <n v="3"/>
    <m/>
    <n v="2"/>
    <n v="32"/>
    <n v="1"/>
    <n v="16"/>
    <m/>
    <m/>
    <m/>
    <m/>
    <n v="1"/>
    <n v="16"/>
    <n v="0"/>
    <m/>
    <n v="1"/>
    <m/>
    <n v="0"/>
    <n v="0"/>
    <m/>
    <m/>
    <n v="0"/>
    <n v="0"/>
    <m/>
    <m/>
    <n v="0"/>
    <n v="0"/>
    <m/>
    <m/>
    <n v="6"/>
    <n v="4"/>
    <n v="4"/>
    <n v="4"/>
    <n v="4"/>
    <n v="4"/>
    <n v="4"/>
    <s v="Mgr. Katarína Olšavová, riaditeľka školy"/>
    <s v="olsavova@gphmi.sk"/>
    <s v="gph@gphmi.sk"/>
    <m/>
    <m/>
    <s v="Mária Spišáková"/>
    <s v="spisakov@gphmi.sk"/>
    <n v="17"/>
  </r>
  <r>
    <s v="00161802"/>
    <n v="100012443"/>
    <n v="161802"/>
    <s v="Stredná priemyselná škola techniky a dizajnu"/>
    <s v="Mnoheľova 828/23, 058 46 Poprad"/>
    <s v="Poprad"/>
    <s v="nie BSK"/>
    <s v="PSK"/>
    <s v="ano"/>
    <n v="1"/>
    <s v="nie"/>
    <s v="Max"/>
    <m/>
    <n v="7.4"/>
    <m/>
    <m/>
    <m/>
    <n v="461"/>
    <n v="62"/>
    <n v="500"/>
    <n v="150"/>
    <n v="250"/>
    <n v="10"/>
    <n v="0.19304857621440535"/>
    <n v="0.23622047244094488"/>
    <m/>
    <x v="1"/>
    <m/>
    <n v="1"/>
    <n v="2"/>
    <m/>
    <n v="1"/>
    <n v="11"/>
    <n v="1"/>
    <n v="11"/>
    <m/>
    <m/>
    <m/>
    <m/>
    <m/>
    <m/>
    <m/>
    <m/>
    <m/>
    <m/>
    <n v="0"/>
    <n v="0"/>
    <m/>
    <m/>
    <n v="0"/>
    <n v="0"/>
    <m/>
    <m/>
    <n v="1"/>
    <n v="11"/>
    <m/>
    <m/>
    <n v="5"/>
    <n v="3"/>
    <n v="3"/>
    <n v="10"/>
    <n v="3"/>
    <n v="4"/>
    <n v="2"/>
    <m/>
    <m/>
    <s v="posta@spspp.sk"/>
    <s v="Mgr. Marcel Slavkovský, zástupca riaditeľa"/>
    <s v="mslavkovsky@spspp.sk"/>
    <m/>
    <m/>
    <n v="19"/>
  </r>
  <r>
    <s v="17050499"/>
    <n v="100007946"/>
    <n v="710261748"/>
    <s v="Stredná odborná škola strojnícka ako org.zl. Spojenej školy"/>
    <s v="Československej armády 24, 036 01 Martin"/>
    <s v="Martin"/>
    <s v="nie BSK"/>
    <s v="ZSK"/>
    <s v="ano"/>
    <n v="1"/>
    <s v="ano"/>
    <s v="Max"/>
    <m/>
    <m/>
    <m/>
    <m/>
    <s v="Ano"/>
    <n v="401"/>
    <n v="15"/>
    <n v="530"/>
    <n v="34"/>
    <n v="160"/>
    <n v="10"/>
    <n v="0.16792294807370184"/>
    <n v="5.3543307086614172E-2"/>
    <m/>
    <x v="0"/>
    <s v="podporiť IKT"/>
    <n v="1"/>
    <n v="1"/>
    <m/>
    <n v="1"/>
    <n v="20"/>
    <n v="1"/>
    <n v="20"/>
    <m/>
    <m/>
    <m/>
    <m/>
    <m/>
    <m/>
    <m/>
    <m/>
    <m/>
    <m/>
    <n v="0"/>
    <n v="0"/>
    <m/>
    <m/>
    <n v="0"/>
    <n v="0"/>
    <m/>
    <m/>
    <n v="0"/>
    <n v="0"/>
    <m/>
    <m/>
    <n v="4"/>
    <n v="3"/>
    <n v="1"/>
    <n v="6"/>
    <n v="3"/>
    <n v="4"/>
    <n v="4"/>
    <s v="Mgr. Milan Žingor"/>
    <s v="ssmt@vuczilina.sk"/>
    <s v="ssmt@vuczilina.sk"/>
    <m/>
    <m/>
    <s v="Mgr. Rastislav Gavurník"/>
    <s v="rgavurnik@gmail.com"/>
    <n v="21"/>
  </r>
  <r>
    <n v="42024471"/>
    <n v="100004073"/>
    <n v="42024471"/>
    <s v="Stredná odborná škola Handlová"/>
    <s v="Lipová 8, 972 51 Handlová"/>
    <s v="Handlová"/>
    <s v="nie BSK"/>
    <s v="TNSK"/>
    <s v="ano"/>
    <n v="1"/>
    <s v="ano"/>
    <s v="Max"/>
    <m/>
    <n v="6.4"/>
    <s v="NAG"/>
    <s v="COVP"/>
    <m/>
    <n v="438"/>
    <n v="104"/>
    <n v="200"/>
    <n v="171"/>
    <n v="58"/>
    <n v="20"/>
    <n v="0.18341708542713567"/>
    <n v="0.26929133858267718"/>
    <m/>
    <x v="0"/>
    <s v="4*top, sk 25ikt"/>
    <n v="1"/>
    <n v="3"/>
    <m/>
    <m/>
    <m/>
    <n v="1"/>
    <n v="10"/>
    <n v="1"/>
    <n v="10"/>
    <n v="1"/>
    <n v="10"/>
    <m/>
    <m/>
    <m/>
    <m/>
    <m/>
    <m/>
    <n v="1"/>
    <n v="5"/>
    <m/>
    <m/>
    <n v="1"/>
    <n v="10"/>
    <m/>
    <m/>
    <n v="0"/>
    <n v="0"/>
    <m/>
    <m/>
    <n v="10"/>
    <n v="2"/>
    <n v="1"/>
    <n v="20"/>
    <n v="2"/>
    <n v="6"/>
    <n v="6"/>
    <s v="Mgr. Maroš Štorcel, riaditeľ školy"/>
    <s v="riaditel@sosha.sk"/>
    <m/>
    <m/>
    <m/>
    <s v="Peter Fabián_x000a_Maroš Matejov"/>
    <s v="peter.fabian@sosha.sk_x000a_maros.matejov@sosha.sk"/>
    <n v="22"/>
  </r>
  <r>
    <n v="37890221"/>
    <n v="100010121"/>
    <n v="37890221"/>
    <s v="Stredná odborná škola hotelových služieb a dopravy"/>
    <s v="Zvolenská cesta 83, 984 01 Lučenec"/>
    <s v="Lučenec"/>
    <s v="nie BSK"/>
    <s v="BBSK"/>
    <s v="ano"/>
    <n v="1"/>
    <s v="nie"/>
    <s v="Len výber"/>
    <m/>
    <m/>
    <m/>
    <m/>
    <m/>
    <n v="545"/>
    <n v="335"/>
    <n v="560"/>
    <n v="0"/>
    <n v="30"/>
    <n v="0"/>
    <n v="0.22822445561139029"/>
    <n v="0"/>
    <m/>
    <x v="5"/>
    <m/>
    <n v="1"/>
    <n v="1"/>
    <m/>
    <n v="1"/>
    <n v="14"/>
    <m/>
    <m/>
    <m/>
    <m/>
    <m/>
    <m/>
    <m/>
    <m/>
    <m/>
    <m/>
    <m/>
    <m/>
    <n v="0"/>
    <n v="0"/>
    <m/>
    <m/>
    <n v="0"/>
    <n v="0"/>
    <m/>
    <m/>
    <n v="0"/>
    <n v="0"/>
    <m/>
    <m/>
    <n v="4"/>
    <n v="2"/>
    <n v="2"/>
    <n v="4"/>
    <n v="2"/>
    <n v="4"/>
    <n v="4"/>
    <s v="Ing. Patrik Koštialik"/>
    <s v="patko79@gmail.com"/>
    <s v="soslc@soslc.sk"/>
    <m/>
    <m/>
    <m/>
    <m/>
    <n v="23"/>
  </r>
  <r>
    <s v="00161381"/>
    <n v="100003575"/>
    <n v="161381"/>
    <s v="Stredná priemyselná škola Myjava"/>
    <s v="Ul. SNP 413/ 8, 907 01 Myjava"/>
    <s v="Myjava"/>
    <s v="nie BSK"/>
    <s v="TTSK"/>
    <s v="ano"/>
    <n v="1"/>
    <s v="ano"/>
    <s v="Max"/>
    <m/>
    <m/>
    <m/>
    <m/>
    <m/>
    <n v="222"/>
    <n v="34"/>
    <n v="240"/>
    <n v="45"/>
    <n v="120"/>
    <n v="2"/>
    <n v="9.2964824120603015E-2"/>
    <n v="7.0866141732283464E-2"/>
    <m/>
    <x v="0"/>
    <s v="tech.lýceum s nejakou informatikou"/>
    <n v="1"/>
    <n v="4"/>
    <m/>
    <n v="1"/>
    <n v="12"/>
    <n v="1"/>
    <n v="12"/>
    <m/>
    <m/>
    <m/>
    <m/>
    <m/>
    <m/>
    <m/>
    <m/>
    <m/>
    <m/>
    <n v="1"/>
    <n v="10"/>
    <m/>
    <m/>
    <n v="1"/>
    <n v="12"/>
    <m/>
    <m/>
    <n v="1"/>
    <n v="2"/>
    <m/>
    <m/>
    <n v="4"/>
    <n v="3"/>
    <n v="1"/>
    <n v="3"/>
    <n v="3"/>
    <n v="4"/>
    <n v="4"/>
    <s v="Mgr. Jaroslav Foltín"/>
    <s v="jaroslav.foltin@spsmy.sk"/>
    <s v="info@spsmy.tsk.sk"/>
    <m/>
    <m/>
    <s v="Mgr. Marcel Bórik"/>
    <s v="marcel.borik@spsmy.sk"/>
    <n v="24"/>
  </r>
  <r>
    <s v="00893331"/>
    <n v="100014987"/>
    <n v="893331"/>
    <s v="Stredná odborná škola informačných technológií"/>
    <s v="Ostrovského 1, 040 01 Košice"/>
    <s v="Košice"/>
    <s v="nie BSK"/>
    <s v="KSK"/>
    <s v="ano"/>
    <n v="1"/>
    <s v="ano"/>
    <s v="Max+pedagóg"/>
    <s v="KSK"/>
    <s v="3,4!"/>
    <s v="NAG"/>
    <s v="COVP"/>
    <m/>
    <n v="744"/>
    <n v="111"/>
    <n v="740"/>
    <n v="635"/>
    <n v="105"/>
    <n v="10"/>
    <n v="0.31155778894472363"/>
    <n v="1"/>
    <s v="Ano2"/>
    <x v="3"/>
    <s v="7*top, sk 25ikt, veľmi iniciatívna SOŠ s viacerými novými programami v  IKT, avšak vyžaduje silnú podporu rozvoja kvality v OVP IKT vzhľadom na vysoký počet a kapacitné rezervy pre OVP v IKT v Košickom kraji"/>
    <n v="1"/>
    <n v="5"/>
    <m/>
    <n v="2"/>
    <n v="15"/>
    <n v="2"/>
    <n v="30"/>
    <n v="1"/>
    <n v="15"/>
    <n v="1"/>
    <n v="15"/>
    <m/>
    <m/>
    <m/>
    <m/>
    <m/>
    <m/>
    <n v="0"/>
    <n v="0"/>
    <m/>
    <m/>
    <n v="1"/>
    <n v="15"/>
    <n v="1"/>
    <m/>
    <n v="1"/>
    <n v="15"/>
    <n v="1"/>
    <m/>
    <n v="10"/>
    <n v="6"/>
    <n v="5"/>
    <n v="6"/>
    <n v="6"/>
    <n v="4"/>
    <n v="4"/>
    <s v="Ing. Elena Tibenská"/>
    <s v="skola@ostrovskeho.sk"/>
    <s v="skola@ostrovskeho.sk"/>
    <s v="Ing. Marcela Timková"/>
    <s v="m.timkova@ostrovskeho.com"/>
    <m/>
    <m/>
    <n v="25"/>
  </r>
  <r>
    <s v="00012432"/>
    <n v="100005926"/>
    <n v="710261926"/>
    <s v="Stredná priemyselná škola elektrotechnická S. A. Jedlika ako org.zl. Spojenej školy"/>
    <s v="Komárňanská 28, 940 75 Nové Zámky"/>
    <s v="Nové Zámky"/>
    <s v="nie BSK"/>
    <s v="NSK"/>
    <s v="ano"/>
    <n v="1"/>
    <s v="ano"/>
    <s v="Max"/>
    <s v="NSK"/>
    <n v="6.8"/>
    <s v="NAG"/>
    <m/>
    <m/>
    <n v="454"/>
    <n v="9"/>
    <n v="510"/>
    <n v="252"/>
    <n v="258"/>
    <n v="10"/>
    <n v="0.19011725293132328"/>
    <n v="0.3968503937007874"/>
    <m/>
    <x v="3"/>
    <s v="4*top, sk 25ikt"/>
    <n v="1"/>
    <n v="5"/>
    <m/>
    <n v="3"/>
    <n v="63"/>
    <n v="3"/>
    <n v="63"/>
    <m/>
    <m/>
    <m/>
    <m/>
    <m/>
    <m/>
    <m/>
    <m/>
    <m/>
    <m/>
    <n v="0"/>
    <n v="0"/>
    <m/>
    <m/>
    <n v="1"/>
    <n v="21"/>
    <m/>
    <m/>
    <n v="1"/>
    <n v="21"/>
    <m/>
    <m/>
    <n v="10"/>
    <n v="6"/>
    <n v="0"/>
    <n v="6"/>
    <n v="6"/>
    <n v="12"/>
    <n v="6"/>
    <s v="PaedDr. Lucia Takácsová, riaditeľka školy"/>
    <s v="ltakacsova@spsenz.sk"/>
    <s v="skola@spsenz.sk"/>
    <m/>
    <m/>
    <s v="Michal Miko"/>
    <s v="michalm68@gmail.com"/>
    <n v="26"/>
  </r>
  <r>
    <s v="37956108"/>
    <n v="100009487"/>
    <n v="37956108"/>
    <s v="Spojená škola - Stredná odborná škola elektrotechnická"/>
    <s v="Zvolenská cesta 18, 975 32 Banská Bystrica"/>
    <s v="Banská Bystrica"/>
    <s v="nie BSK"/>
    <s v="BBSK"/>
    <s v="ano"/>
    <n v="1"/>
    <s v="ano"/>
    <s v="Max+pedagóg"/>
    <m/>
    <m/>
    <m/>
    <m/>
    <m/>
    <n v="230"/>
    <n v="0"/>
    <n v="230"/>
    <n v="100"/>
    <n v="130"/>
    <n v="20"/>
    <n v="9.6314907872696823E-2"/>
    <n v="0.15748031496062992"/>
    <s v="Ano2"/>
    <x v="0"/>
    <s v="mechanik poč. Sieti 20 žiakov 2026"/>
    <n v="1"/>
    <n v="5"/>
    <m/>
    <n v="1"/>
    <n v="15"/>
    <n v="1"/>
    <n v="15"/>
    <n v="1"/>
    <n v="10"/>
    <m/>
    <m/>
    <n v="1"/>
    <n v="10"/>
    <n v="0"/>
    <m/>
    <m/>
    <m/>
    <n v="0"/>
    <n v="0"/>
    <m/>
    <m/>
    <n v="1"/>
    <n v="10"/>
    <m/>
    <m/>
    <n v="1"/>
    <n v="10"/>
    <m/>
    <m/>
    <n v="7"/>
    <n v="5"/>
    <n v="5"/>
    <n v="20"/>
    <n v="5"/>
    <n v="5"/>
    <n v="5"/>
    <s v="Ing. Marcel Hrnčiar"/>
    <s v="ss.skolska7@gmail.com"/>
    <s v="ss.sosebb@gmail.com"/>
    <s v="Mgr. František Elias, zástupca riaditeľa"/>
    <s v="ss.sosebb@gmail.com"/>
    <s v="Mgr. Michal Mikita - vedúci predmetovej komisie OP a hlavný kontakt a lektor CISCO"/>
    <s v="mikita@chello.sk"/>
    <n v="27"/>
  </r>
  <r>
    <n v="53948998"/>
    <n v="100019365"/>
    <n v="53948998"/>
    <s v="Stredná priemyselná škola informačných technológií Ignáca Gessaya"/>
    <s v="Medvedzie 133/1, 027 44 Tvrdošín"/>
    <s v="Tvrdošín"/>
    <s v="nie BSK"/>
    <s v="ZSK"/>
    <s v="ano"/>
    <n v="1"/>
    <s v="ano"/>
    <s v="Max"/>
    <m/>
    <n v="6.7"/>
    <s v="NAG"/>
    <m/>
    <s v="Ano"/>
    <n v="449"/>
    <n v="19"/>
    <n v="850"/>
    <n v="420"/>
    <n v="100"/>
    <n v="25"/>
    <n v="0.18802345058626466"/>
    <n v="0.66141732283464572"/>
    <m/>
    <x v="6"/>
    <s v="4*top, sk 25ikt"/>
    <n v="1"/>
    <n v="3"/>
    <m/>
    <n v="1"/>
    <n v="13"/>
    <n v="1"/>
    <n v="13"/>
    <n v="1"/>
    <n v="13"/>
    <m/>
    <m/>
    <m/>
    <m/>
    <m/>
    <m/>
    <m/>
    <m/>
    <n v="0"/>
    <n v="0"/>
    <m/>
    <m/>
    <n v="1"/>
    <n v="13"/>
    <n v="1"/>
    <m/>
    <n v="0"/>
    <n v="0"/>
    <m/>
    <m/>
    <n v="10"/>
    <n v="6"/>
    <n v="2"/>
    <n v="10"/>
    <n v="6"/>
    <n v="10"/>
    <n v="6"/>
    <s v="Ing. Ľudmila Uhlíková"/>
    <s v="uhlikova@sstv.sk"/>
    <s v="sekretariat@sstv.sk"/>
    <m/>
    <m/>
    <m/>
    <m/>
    <n v="28"/>
  </r>
  <r>
    <n v="42096651"/>
    <n v="100015563"/>
    <n v="42096651"/>
    <s v="Stredná odborná škola technická Michalovce"/>
    <s v="Partizánska 1, 071 92 Michalovce"/>
    <s v="Michalovce"/>
    <s v="nie BSK"/>
    <s v="KSK"/>
    <s v="ano"/>
    <n v="1"/>
    <s v="ano"/>
    <s v="Max"/>
    <m/>
    <m/>
    <s v="NAG"/>
    <m/>
    <m/>
    <n v="531"/>
    <n v="11"/>
    <n v="490"/>
    <n v="220"/>
    <n v="70"/>
    <n v="5"/>
    <n v="0.22236180904522612"/>
    <n v="0.34645669291338582"/>
    <m/>
    <x v="0"/>
    <s v="3*top nie sk.25ikt, sk 25ikt"/>
    <n v="1"/>
    <n v="3"/>
    <m/>
    <n v="1"/>
    <n v="15"/>
    <n v="1"/>
    <n v="15"/>
    <m/>
    <m/>
    <m/>
    <m/>
    <m/>
    <m/>
    <m/>
    <m/>
    <m/>
    <m/>
    <n v="1"/>
    <n v="5"/>
    <n v="1"/>
    <m/>
    <n v="1"/>
    <n v="10"/>
    <n v="1"/>
    <m/>
    <n v="0"/>
    <n v="0"/>
    <m/>
    <m/>
    <n v="10"/>
    <n v="5"/>
    <n v="3"/>
    <n v="10"/>
    <n v="5"/>
    <n v="10"/>
    <n v="5"/>
    <s v="Ing. Jaroslav Kapitan"/>
    <s v="kapitan@sostmi.sk"/>
    <s v="sostmi@sostmi.sk"/>
    <s v="Jozef Dobiáš, zástupca"/>
    <s v="Jozef_Dobias@hotmail.com"/>
    <s v="Ing. Jozef Dobiaš, učiteľ odborných predmetov IT"/>
    <s v="Jozef_Dobias@hotmail.com"/>
    <n v="29"/>
  </r>
  <r>
    <s v="30414164"/>
    <n v="100004741"/>
    <n v="710237723"/>
    <s v="Spojená škola sv. Jána Bosca - org. zl. SOŠ IT sv. Jána Bosca"/>
    <s v="Trenčianska 66/28, 018 51 Nová Dubnica"/>
    <s v="Nová Dubnica"/>
    <s v="nie BSK"/>
    <s v="TNSK"/>
    <s v="ano"/>
    <n v="1"/>
    <s v="ano"/>
    <s v="Len výber"/>
    <m/>
    <m/>
    <m/>
    <m/>
    <m/>
    <n v="169"/>
    <n v="13"/>
    <n v="160"/>
    <n v="145"/>
    <n v="15"/>
    <n v="20"/>
    <n v="7.0770519262981571E-2"/>
    <n v="0.2283464566929134"/>
    <m/>
    <x v="0"/>
    <s v="technické lýceum na IT"/>
    <n v="1"/>
    <n v="2"/>
    <m/>
    <m/>
    <m/>
    <m/>
    <m/>
    <m/>
    <m/>
    <m/>
    <m/>
    <m/>
    <m/>
    <m/>
    <m/>
    <m/>
    <m/>
    <m/>
    <m/>
    <m/>
    <m/>
    <n v="1"/>
    <n v="8"/>
    <m/>
    <m/>
    <n v="1"/>
    <n v="8"/>
    <m/>
    <m/>
    <n v="3"/>
    <n v="3"/>
    <n v="1"/>
    <n v="4"/>
    <n v="3"/>
    <n v="2"/>
    <n v="2"/>
    <s v="Ing. Jozef Imrišek"/>
    <s v="riaditel@ssnd.sk"/>
    <m/>
    <s v="Mgr. Ján Šatka"/>
    <s v="zastsos@ssnd.sk"/>
    <s v="Ing. Dušan Zervan, učiteľ odborných IT predmetov, správca IT"/>
    <s v="dusan.zervan@ssnd.sk"/>
    <n v="30"/>
  </r>
  <r>
    <s v="00521663"/>
    <n v="100016200"/>
    <n v="521663"/>
    <s v="Stredná priemyselná škola technická"/>
    <s v="Hviezdoslavova 6, 052 01 Spišská Nová Ves"/>
    <s v="Spišská Nová Ves"/>
    <s v="nie BSK"/>
    <s v="KSK"/>
    <s v="ano"/>
    <n v="1"/>
    <s v="ano"/>
    <s v="Max+pedagóg"/>
    <m/>
    <n v="7"/>
    <s v="NAG"/>
    <m/>
    <m/>
    <n v="462"/>
    <n v="35"/>
    <n v="460"/>
    <n v="150"/>
    <n v="200"/>
    <n v="16"/>
    <n v="0.19346733668341709"/>
    <n v="0.23622047244094488"/>
    <s v="Ano2"/>
    <x v="0"/>
    <s v="3*top, sk 25ikt"/>
    <n v="1"/>
    <n v="4"/>
    <m/>
    <n v="1"/>
    <n v="20"/>
    <n v="1"/>
    <n v="20"/>
    <n v="1"/>
    <n v="20"/>
    <n v="1"/>
    <n v="20"/>
    <m/>
    <m/>
    <m/>
    <m/>
    <m/>
    <m/>
    <n v="1"/>
    <n v="15"/>
    <m/>
    <m/>
    <n v="0"/>
    <n v="0"/>
    <m/>
    <m/>
    <n v="1"/>
    <n v="20"/>
    <m/>
    <m/>
    <n v="10"/>
    <n v="6"/>
    <n v="4"/>
    <n v="25"/>
    <n v="6"/>
    <n v="12"/>
    <n v="6"/>
    <s v="Ing. Martin Kokoruďa, riaditeľ"/>
    <s v="martin.kokoruda@spst.sk"/>
    <s v="skola@spst.sk"/>
    <m/>
    <m/>
    <m/>
    <m/>
    <n v="31"/>
  </r>
  <r>
    <n v="37784722"/>
    <n v="100012960"/>
    <n v="37784722"/>
    <s v="Súkromná stredná odborná škola ELBA"/>
    <s v="Smetanova 2, 080 05 Prešov"/>
    <s v="Prešov"/>
    <s v="nie BSK"/>
    <s v="PSK"/>
    <s v="ano"/>
    <n v="1"/>
    <s v="nie"/>
    <s v="Max"/>
    <m/>
    <m/>
    <m/>
    <m/>
    <m/>
    <n v="104"/>
    <n v="50"/>
    <n v="120"/>
    <n v="60"/>
    <n v="15"/>
    <n v="6"/>
    <n v="4.3551088777219429E-2"/>
    <n v="9.4488188976377951E-2"/>
    <m/>
    <x v="5"/>
    <m/>
    <n v="1"/>
    <n v="3"/>
    <m/>
    <n v="1"/>
    <n v="16"/>
    <m/>
    <m/>
    <m/>
    <m/>
    <m/>
    <m/>
    <m/>
    <m/>
    <m/>
    <m/>
    <m/>
    <m/>
    <n v="0"/>
    <n v="0"/>
    <m/>
    <m/>
    <n v="1"/>
    <n v="8"/>
    <m/>
    <m/>
    <n v="1"/>
    <n v="8"/>
    <m/>
    <m/>
    <n v="7"/>
    <n v="4"/>
    <n v="2"/>
    <n v="6"/>
    <n v="4"/>
    <n v="2"/>
    <n v="2"/>
    <s v="Mgr. Romana Birošová, MBA"/>
    <s v="romana.birosova@elbaci.sk "/>
    <s v="odborna@elbaci.sk"/>
    <s v="Emil Blicha, GENERÁLNY RIADITEĽ Európskej vzdelávacej agentúry ELBA n.o."/>
    <s v="emil.blicha@elbaci.sk"/>
    <s v="Ing. Branislav Blicha, PREDSEDA SPRÁVNEJ RADY Európskej vzdelávacej agentúry ELBA n.o."/>
    <s v="branislav.blicha@elbaci.sk"/>
    <n v="32"/>
  </r>
  <r>
    <n v="31313833"/>
    <n v="100014940"/>
    <n v="31313833"/>
    <s v="Súkromná stredná odborná škola ekonomicko-technická"/>
    <s v="Postupimská 37, 040 22 Košice"/>
    <s v="Košice"/>
    <s v="nie BSK"/>
    <s v="KSK"/>
    <s v="ano"/>
    <n v="1"/>
    <s v="ano"/>
    <s v="Max"/>
    <m/>
    <m/>
    <m/>
    <m/>
    <m/>
    <n v="276"/>
    <n v="130"/>
    <n v="170"/>
    <n v="170"/>
    <n v="130"/>
    <n v="30"/>
    <n v="0.11557788944723618"/>
    <n v="0.26771653543307089"/>
    <m/>
    <x v="0"/>
    <s v="mechanik počítačových sietí"/>
    <n v="1"/>
    <n v="3"/>
    <m/>
    <n v="1"/>
    <n v="15"/>
    <n v="1"/>
    <n v="15"/>
    <m/>
    <m/>
    <m/>
    <m/>
    <m/>
    <m/>
    <m/>
    <m/>
    <m/>
    <m/>
    <n v="0"/>
    <n v="0"/>
    <m/>
    <m/>
    <n v="1"/>
    <n v="15"/>
    <n v="1"/>
    <m/>
    <n v="1"/>
    <n v="10"/>
    <n v="1"/>
    <m/>
    <n v="4"/>
    <n v="2"/>
    <n v="2"/>
    <n v="4"/>
    <n v="2"/>
    <n v="3"/>
    <n v="2"/>
    <s v="Ing. Martina Ilišková"/>
    <s v="soapostuke@gmail.com"/>
    <s v="soapostuke@gmail.com"/>
    <m/>
    <m/>
    <s v="Roman Žák, Ing., správca IKT"/>
    <s v="zak.postupimska@gmail.com"/>
    <n v="33"/>
  </r>
  <r>
    <n v="36087947"/>
    <n v="100002578"/>
    <n v="36087947"/>
    <s v="Súkromná stredná odborná škola podnikania"/>
    <s v="Hollého 1380, Senica"/>
    <s v="Senica"/>
    <s v="nie BSK"/>
    <s v="TTSK"/>
    <s v="ano"/>
    <n v="1"/>
    <s v="ano"/>
    <s v="Max"/>
    <m/>
    <m/>
    <m/>
    <m/>
    <m/>
    <n v="208"/>
    <n v="68"/>
    <n v="225"/>
    <n v="150"/>
    <n v="150"/>
    <n v="20"/>
    <n v="8.7102177554438859E-2"/>
    <n v="0.23622047244094488"/>
    <m/>
    <x v="0"/>
    <m/>
    <n v="1"/>
    <n v="4"/>
    <m/>
    <n v="1"/>
    <n v="10"/>
    <n v="1"/>
    <n v="10"/>
    <m/>
    <m/>
    <m/>
    <m/>
    <n v="1"/>
    <n v="1"/>
    <n v="3"/>
    <m/>
    <n v="1"/>
    <m/>
    <n v="1"/>
    <n v="12"/>
    <n v="1"/>
    <m/>
    <n v="1"/>
    <n v="12"/>
    <n v="1"/>
    <m/>
    <n v="0"/>
    <n v="0"/>
    <m/>
    <m/>
    <n v="7"/>
    <n v="6"/>
    <n v="3"/>
    <n v="14"/>
    <n v="6"/>
    <n v="14"/>
    <n v="6"/>
    <s v="PhDr. Milan Trizuliak"/>
    <s v="trizuliak@ssspsenica.sk"/>
    <s v="ssspsenica@ssspsenica.sk"/>
    <m/>
    <m/>
    <s v="Michal Sedláček"/>
    <s v="sedlacekmichalpraca@gmail.com "/>
    <n v="34"/>
  </r>
  <r>
    <s v="00161403"/>
    <n v="100003685"/>
    <n v="161403"/>
    <s v="Stredná priemyselná škola"/>
    <s v="Bzinská 11, 915 01 Nové Mesto nad Váhom"/>
    <s v="Nové Mesto nad Váhom"/>
    <s v="nie BSK"/>
    <s v="TNSK"/>
    <s v="ano"/>
    <n v="1"/>
    <s v="ano"/>
    <s v="Max"/>
    <m/>
    <m/>
    <s v="NAG"/>
    <m/>
    <m/>
    <n v="343"/>
    <n v="12"/>
    <n v="350"/>
    <n v="76"/>
    <n v="60"/>
    <n v="16"/>
    <n v="0.14363484087102177"/>
    <n v="0.11968503937007874"/>
    <m/>
    <x v="0"/>
    <m/>
    <n v="1"/>
    <n v="4"/>
    <m/>
    <n v="2"/>
    <n v="20"/>
    <n v="2"/>
    <n v="20"/>
    <n v="1"/>
    <n v="20"/>
    <m/>
    <m/>
    <m/>
    <m/>
    <m/>
    <m/>
    <m/>
    <m/>
    <n v="1"/>
    <n v="10"/>
    <m/>
    <m/>
    <n v="0"/>
    <n v="0"/>
    <m/>
    <m/>
    <n v="0"/>
    <n v="0"/>
    <m/>
    <m/>
    <n v="5"/>
    <n v="3"/>
    <n v="5"/>
    <n v="5"/>
    <n v="3"/>
    <n v="4"/>
    <n v="3"/>
    <s v="Mgr. Milan Lipták"/>
    <s v="milan.liptak@spsnmnv.sk"/>
    <s v="zsps@spsnmnv.sk"/>
    <m/>
    <m/>
    <m/>
    <m/>
    <n v="36"/>
  </r>
  <r>
    <n v="17055431"/>
    <n v="100009350"/>
    <n v="17055431"/>
    <s v="Stredná odborná škola informačných technológií"/>
    <s v="Tajovského 30, 975 90 Banská Bystrica"/>
    <s v="Banská Bystrica"/>
    <s v="nie BSK"/>
    <s v="BBSK"/>
    <s v="ano"/>
    <n v="1"/>
    <s v="ano"/>
    <s v="Max+pedagóg"/>
    <s v="BBSK"/>
    <n v="5.7"/>
    <s v="NAG"/>
    <s v="COVP"/>
    <m/>
    <n v="569"/>
    <n v="123"/>
    <n v="565"/>
    <n v="240"/>
    <n v="96"/>
    <n v="22"/>
    <n v="0.23827470686767169"/>
    <n v="0.37795275590551181"/>
    <s v="Ano1"/>
    <x v="3"/>
    <s v="6*top, sk 25ikt, škola sa ako jedna z mála na Slovensku výnimočne kvalitne zameriava na odbory stupňa K v IKT (jediný avšak moderný) 2571 K správca inteligentných a digitálnych systémov, čo spolu s odbormi &quot;Mechanik počítačových sietí&quot;, &quot;Technik informačných a telekomunikačných technológií&quot; dosahuje excelentnú úroveň OVP v IKT, IKT zameranie školy iste vie pomôcť v &quot;digitalizácii&quot; odboru &quot;Pracovník marketingu mobilného operátora&quot;"/>
    <n v="1"/>
    <n v="5"/>
    <m/>
    <n v="2"/>
    <n v="20"/>
    <n v="2"/>
    <n v="40"/>
    <n v="1"/>
    <n v="10"/>
    <m/>
    <m/>
    <m/>
    <m/>
    <m/>
    <m/>
    <m/>
    <m/>
    <n v="0"/>
    <n v="0"/>
    <m/>
    <m/>
    <n v="1"/>
    <n v="10"/>
    <m/>
    <m/>
    <n v="1"/>
    <n v="10"/>
    <m/>
    <m/>
    <n v="10"/>
    <n v="6"/>
    <n v="4"/>
    <n v="12"/>
    <n v="6"/>
    <n v="12"/>
    <n v="6"/>
    <s v="Ing. Štefan Balogh"/>
    <s v="stefan.balogh@sos-it.sk"/>
    <m/>
    <s v="Ing. Katarína Štrónerová, zástupkyňa riaditeľa pre praktické vyučovanie"/>
    <s v="katarina.stronerova@sos-it.sk"/>
    <s v="Martin Pagáč"/>
    <s v="martin.pagac@sos-it.sk"/>
    <n v="38"/>
  </r>
  <r>
    <n v="42035261"/>
    <n v="100011494"/>
    <n v="42035261"/>
    <s v="Stredná odborná škola polytechnická ako org.zložka Spojená škola Juraja Henischa"/>
    <s v="Slovenská 5, 085 01 Bardejov"/>
    <s v="Bardejov"/>
    <s v="nie BSK"/>
    <s v="PSK"/>
    <s v="ano"/>
    <n v="1"/>
    <s v="ano"/>
    <s v="Max"/>
    <m/>
    <m/>
    <m/>
    <m/>
    <m/>
    <n v="377"/>
    <n v="3"/>
    <n v="350"/>
    <n v="261"/>
    <n v="131"/>
    <n v="10"/>
    <n v="0.15787269681742044"/>
    <n v="0.41102362204724407"/>
    <m/>
    <x v="0"/>
    <s v="mechanik počítačových sietí , spájanie"/>
    <n v="1"/>
    <n v="4"/>
    <m/>
    <n v="2"/>
    <n v="15"/>
    <n v="1"/>
    <n v="30"/>
    <m/>
    <m/>
    <m/>
    <m/>
    <m/>
    <m/>
    <m/>
    <m/>
    <m/>
    <m/>
    <m/>
    <m/>
    <m/>
    <m/>
    <n v="1"/>
    <n v="15"/>
    <m/>
    <m/>
    <n v="1"/>
    <n v="15"/>
    <m/>
    <m/>
    <n v="8"/>
    <n v="4"/>
    <n v="4"/>
    <n v="14"/>
    <n v="4"/>
    <n v="7"/>
    <n v="4"/>
    <s v="RNDr. Jozef Sobek (poverený)"/>
    <s v="ssjhbj@slovanet.sk"/>
    <s v="ssjhbj@slovanet.sk"/>
    <s v="Mgr. Mária Čukanová _x000a_Ing. Ján Židzik"/>
    <s v="maria.cukanova@ssjh.sk;_x000a_jan.zidzik@ssjh.sk"/>
    <s v="Ing. Egid Haluška"/>
    <s v="egid.haluska@ssjh.sk "/>
    <n v="39"/>
  </r>
  <r>
    <s v="37922459"/>
    <n v="100003312"/>
    <n v="37922459"/>
    <s v="Stredná odborná škola strojnícka"/>
    <s v="Partizánska cesta 76, 957 01 Bánovce nad Bebravou"/>
    <s v="Bánovce nad Bebravou"/>
    <s v="nie BSK"/>
    <s v="TNSK"/>
    <s v="ano"/>
    <n v="1"/>
    <s v="ano"/>
    <s v="Max"/>
    <m/>
    <m/>
    <m/>
    <m/>
    <m/>
    <n v="340"/>
    <n v="22"/>
    <n v="230"/>
    <n v="100"/>
    <n v="70"/>
    <n v="14"/>
    <n v="0.14237855946398659"/>
    <n v="0.15748031496062992"/>
    <m/>
    <x v="0"/>
    <s v="mechanik počítačových sietí  a technické lýceum"/>
    <n v="1"/>
    <n v="4"/>
    <m/>
    <n v="1"/>
    <n v="16"/>
    <n v="1"/>
    <n v="16"/>
    <m/>
    <m/>
    <m/>
    <m/>
    <n v="1"/>
    <n v="12"/>
    <n v="0"/>
    <m/>
    <m/>
    <m/>
    <n v="1"/>
    <n v="12"/>
    <n v="1"/>
    <m/>
    <n v="0"/>
    <n v="0"/>
    <m/>
    <m/>
    <n v="1"/>
    <n v="12"/>
    <n v="1"/>
    <m/>
    <n v="7"/>
    <n v="5"/>
    <n v="3"/>
    <n v="12"/>
    <n v="5"/>
    <n v="20"/>
    <n v="5"/>
    <s v="Ing. Zuzana Janíková"/>
    <s v="spsbn@pbi.sk"/>
    <s v="spsbn@pbi.sk"/>
    <m/>
    <m/>
    <s v="Ing. Miroslav Kaločai - pedagóg"/>
    <s v="miro.kalocai@gmail.com"/>
    <n v="40"/>
  </r>
  <r>
    <n v="17050545"/>
    <n v="100015875"/>
    <n v="17050545"/>
    <s v="Stredná odborná škola technická"/>
    <s v="Hviezdoslavova 5, 048 01 Rožňava"/>
    <s v="Rožňava"/>
    <s v="nie BSK"/>
    <s v="KSK"/>
    <s v="ano"/>
    <n v="1"/>
    <s v="ano"/>
    <s v="Max"/>
    <m/>
    <m/>
    <m/>
    <m/>
    <m/>
    <n v="265"/>
    <n v="8"/>
    <n v="239"/>
    <n v="77"/>
    <n v="162"/>
    <n v="10"/>
    <n v="0.11097152428810721"/>
    <n v="0.12125984251968504"/>
    <m/>
    <x v="6"/>
    <s v="super škola IKT"/>
    <n v="1"/>
    <n v="3"/>
    <m/>
    <m/>
    <m/>
    <m/>
    <m/>
    <n v="1"/>
    <n v="16"/>
    <n v="1"/>
    <n v="16"/>
    <m/>
    <m/>
    <m/>
    <m/>
    <m/>
    <m/>
    <n v="0"/>
    <n v="0"/>
    <m/>
    <m/>
    <n v="1"/>
    <n v="16"/>
    <n v="1"/>
    <m/>
    <n v="1"/>
    <n v="16"/>
    <n v="1"/>
    <m/>
    <n v="8"/>
    <n v="4"/>
    <n v="0"/>
    <n v="5"/>
    <n v="4"/>
    <n v="8"/>
    <n v="5"/>
    <s v="PaedDr. Diana Košťálová"/>
    <s v="diana.kostalova@sostrv.sk"/>
    <s v="sekretariat@sostrv.sk"/>
    <m/>
    <m/>
    <s v="Ing. Elena Kalinová, vedúca PK"/>
    <s v="elena.kalinova@sostrv.sk"/>
    <n v="41"/>
  </r>
  <r>
    <n v="17151589"/>
    <n v="100016216"/>
    <n v="17151589"/>
    <s v="Gymnázium "/>
    <s v="Javorová 16, 052 01 Spišská Nová Ves"/>
    <s v="Spišská Nová Ves"/>
    <s v="nie BSK"/>
    <s v="KSK"/>
    <s v="ano"/>
    <n v="1"/>
    <s v="nie"/>
    <s v="Max+pedagóg"/>
    <m/>
    <n v="6.3"/>
    <m/>
    <m/>
    <s v="Ano"/>
    <n v="341"/>
    <n v="237"/>
    <n v="260"/>
    <n v="0"/>
    <n v="150"/>
    <n v="14"/>
    <n v="0.14279731993299832"/>
    <n v="0"/>
    <s v="Ano2"/>
    <x v="2"/>
    <s v="2*top gymnázium + ochota ponúknuť pedagóga"/>
    <n v="1"/>
    <n v="4"/>
    <m/>
    <m/>
    <m/>
    <m/>
    <m/>
    <n v="1"/>
    <n v="5"/>
    <m/>
    <m/>
    <m/>
    <m/>
    <m/>
    <m/>
    <m/>
    <m/>
    <n v="1"/>
    <n v="2"/>
    <m/>
    <m/>
    <n v="1"/>
    <n v="7"/>
    <m/>
    <m/>
    <n v="1"/>
    <n v="7"/>
    <m/>
    <m/>
    <n v="4"/>
    <n v="4"/>
    <n v="2"/>
    <n v="2"/>
    <n v="4"/>
    <n v="1"/>
    <n v="4"/>
    <s v="PaedDr. Ingeborg Skalská"/>
    <s v="skola@gjavsnv.edu.sk"/>
    <s v="skola@gjavsnv.edu.sk"/>
    <m/>
    <m/>
    <m/>
    <m/>
    <n v="42"/>
  </r>
  <r>
    <s v="00398900"/>
    <n v="100014886"/>
    <n v="398900"/>
    <s v="Gymnázium Trebišovská"/>
    <s v="Trebišovská 12, 040 11 Košice"/>
    <s v="Košice"/>
    <s v="nie BSK"/>
    <s v="KSK"/>
    <s v="ano"/>
    <n v="1"/>
    <s v="nie"/>
    <s v="Len výber"/>
    <m/>
    <m/>
    <m/>
    <m/>
    <m/>
    <n v="568"/>
    <n v="329"/>
    <n v="570"/>
    <n v="0"/>
    <n v="15"/>
    <n v="15"/>
    <n v="0.23785594639865998"/>
    <n v="0"/>
    <m/>
    <x v="2"/>
    <m/>
    <n v="1"/>
    <n v="1"/>
    <m/>
    <n v="1"/>
    <n v="16"/>
    <m/>
    <m/>
    <m/>
    <m/>
    <m/>
    <m/>
    <m/>
    <m/>
    <m/>
    <m/>
    <m/>
    <m/>
    <n v="0"/>
    <n v="0"/>
    <m/>
    <m/>
    <n v="0"/>
    <n v="0"/>
    <m/>
    <m/>
    <n v="0"/>
    <n v="0"/>
    <m/>
    <m/>
    <n v="6"/>
    <n v="2"/>
    <n v="0"/>
    <n v="4"/>
    <n v="2"/>
    <n v="0"/>
    <m/>
    <s v="Mgr. Jana Šalagovičová, riaditeľka školy"/>
    <s v="jana.salagovicova@gt12.sk"/>
    <m/>
    <m/>
    <m/>
    <m/>
    <m/>
    <n v="43"/>
  </r>
  <r>
    <s v="17050448"/>
    <n v="100008739"/>
    <n v="17050448"/>
    <s v="Stredná odborná škola technická ako org.zl.Spojenej školy"/>
    <s v="Hattalova 471, 027 43 Nižná"/>
    <s v="Nižná"/>
    <s v="nie BSK"/>
    <s v="ZSK"/>
    <s v="ano"/>
    <n v="1"/>
    <s v="nie"/>
    <s v="Len výber"/>
    <m/>
    <m/>
    <s v="NAG"/>
    <m/>
    <m/>
    <n v="470"/>
    <n v="7"/>
    <n v="60"/>
    <n v="30"/>
    <n v="20"/>
    <n v="10"/>
    <n v="0.1968174204355109"/>
    <n v="4.7244094488188976E-2"/>
    <m/>
    <x v="1"/>
    <m/>
    <n v="1"/>
    <n v="5"/>
    <m/>
    <n v="1"/>
    <n v="11"/>
    <n v="1"/>
    <n v="11"/>
    <n v="1"/>
    <n v="11"/>
    <m/>
    <m/>
    <m/>
    <m/>
    <m/>
    <m/>
    <m/>
    <m/>
    <n v="1"/>
    <n v="11"/>
    <n v="1"/>
    <m/>
    <n v="1"/>
    <n v="11"/>
    <n v="1"/>
    <m/>
    <n v="1"/>
    <n v="11"/>
    <n v="1"/>
    <m/>
    <n v="6"/>
    <n v="6"/>
    <n v="6"/>
    <n v="6"/>
    <n v="6"/>
    <n v="6"/>
    <n v="6"/>
    <s v="Ing. Roman Javorek"/>
    <s v="roman.javorek@ssnizna.sk"/>
    <s v="ssnizna@ssnizna.sk"/>
    <m/>
    <m/>
    <s v="Ing. Mojmír Vrana"/>
    <s v="mojmir.vrana@ss-nizna.sk"/>
    <n v="44"/>
  </r>
  <r>
    <s v="00160709"/>
    <n v="100010774"/>
    <n v="160709"/>
    <s v="Gymnázium  Augusta Horislava Škultétyho"/>
    <s v="Školská 21, 9901 Veľký Krtiš"/>
    <s v="Veľký Krtíš"/>
    <s v="nie BSK"/>
    <s v="BBSK"/>
    <s v="ano"/>
    <n v="1"/>
    <s v="nie"/>
    <s v="Max"/>
    <m/>
    <m/>
    <m/>
    <m/>
    <s v="Ano"/>
    <n v="227"/>
    <n v="146"/>
    <n v="159"/>
    <n v="60"/>
    <n v="60"/>
    <n v="20"/>
    <n v="9.5058626465661641E-2"/>
    <n v="9.4488188976377951E-2"/>
    <m/>
    <x v="2"/>
    <m/>
    <n v="1"/>
    <n v="1"/>
    <m/>
    <n v="1"/>
    <n v="16"/>
    <m/>
    <m/>
    <m/>
    <m/>
    <m/>
    <m/>
    <m/>
    <m/>
    <m/>
    <m/>
    <m/>
    <m/>
    <n v="0"/>
    <n v="0"/>
    <m/>
    <m/>
    <n v="0"/>
    <n v="0"/>
    <m/>
    <m/>
    <n v="0"/>
    <n v="0"/>
    <m/>
    <m/>
    <n v="5"/>
    <n v="4"/>
    <n v="1"/>
    <n v="2"/>
    <n v="4"/>
    <n v="2"/>
    <n v="1"/>
    <m/>
    <m/>
    <s v="gymvk@svsbb.sk"/>
    <m/>
    <m/>
    <s v="Ing. Jozef Meliško, pedagogický zamestnanec - správca siete"/>
    <s v="jmelisko@gmail.com"/>
    <n v="45"/>
  </r>
  <r>
    <s v="00160741"/>
    <n v="100003989"/>
    <n v="160741"/>
    <s v="Gymnázium Dominika Tatarku"/>
    <s v="Školská 234/8, Považská Bystrica"/>
    <s v="Považská Bystrica"/>
    <s v="nie BSK"/>
    <s v="TNSK"/>
    <s v="ano"/>
    <n v="1"/>
    <s v="nie"/>
    <s v="Len výber"/>
    <m/>
    <n v="7.1"/>
    <m/>
    <m/>
    <m/>
    <n v="460"/>
    <n v="294"/>
    <n v="430"/>
    <n v="0"/>
    <n v="30"/>
    <n v="8"/>
    <n v="0.19262981574539365"/>
    <n v="0"/>
    <m/>
    <x v="2"/>
    <m/>
    <n v="1"/>
    <n v="2"/>
    <m/>
    <n v="1"/>
    <n v="14"/>
    <m/>
    <m/>
    <m/>
    <m/>
    <m/>
    <m/>
    <m/>
    <m/>
    <m/>
    <m/>
    <m/>
    <m/>
    <n v="0"/>
    <n v="0"/>
    <m/>
    <m/>
    <n v="0"/>
    <n v="0"/>
    <m/>
    <m/>
    <n v="1"/>
    <n v="14"/>
    <m/>
    <m/>
    <n v="5"/>
    <n v="3"/>
    <n v="2"/>
    <n v="3"/>
    <n v="3"/>
    <n v="10"/>
    <n v="5"/>
    <s v="Mgr. Pavel Mikuláš"/>
    <s v="pavel.mikulas@gympb.sk"/>
    <s v="info@gympb.sk"/>
    <m/>
    <m/>
    <s v="Katarína Fórová, Mgr."/>
    <s v="katarina.forova@gympb.sk"/>
    <n v="46"/>
  </r>
  <r>
    <s v="00161144"/>
    <n v="100015903"/>
    <n v="161144"/>
    <s v="Gymnázium P. J. Šafárika - P. J. Šafárik Gimnázium"/>
    <s v="Akademika Hronca 1, 048 01 Rožňava"/>
    <s v="Rožňava"/>
    <s v="nie BSK"/>
    <s v="KSK"/>
    <s v="ano"/>
    <n v="1"/>
    <s v="nie"/>
    <s v="Max"/>
    <m/>
    <n v="6.4"/>
    <m/>
    <m/>
    <m/>
    <n v="436"/>
    <n v="234"/>
    <n v="420"/>
    <n v="0"/>
    <n v="100"/>
    <n v="2"/>
    <n v="0.18257956448911222"/>
    <n v="0"/>
    <m/>
    <x v="2"/>
    <m/>
    <n v="1"/>
    <n v="1"/>
    <m/>
    <n v="1"/>
    <n v="0"/>
    <m/>
    <m/>
    <m/>
    <m/>
    <m/>
    <m/>
    <m/>
    <m/>
    <m/>
    <m/>
    <m/>
    <m/>
    <n v="0"/>
    <n v="0"/>
    <m/>
    <m/>
    <n v="0"/>
    <n v="0"/>
    <m/>
    <m/>
    <n v="0"/>
    <n v="0"/>
    <m/>
    <m/>
    <n v="2"/>
    <m/>
    <n v="2"/>
    <n v="2"/>
    <m/>
    <n v="2"/>
    <n v="2"/>
    <s v="Katarína Adamková"/>
    <s v="katarinaadamkova@centrum.sk"/>
    <s v="skola@gymrv.edu.sk"/>
    <m/>
    <m/>
    <s v="Ing. Janka Halková"/>
    <s v="jhalkova@gmail.com"/>
    <n v="47"/>
  </r>
  <r>
    <n v="37942484"/>
    <n v="100011768"/>
    <n v="37942484"/>
    <s v="Stredná odborná škola technická"/>
    <s v="Družstevná 1474/19, 066 01 Humenné"/>
    <s v="Humenné"/>
    <s v="nie BSK"/>
    <s v="PSK"/>
    <s v="ano"/>
    <n v="1"/>
    <s v="nie"/>
    <s v="Max"/>
    <m/>
    <m/>
    <m/>
    <m/>
    <m/>
    <n v="244"/>
    <n v="12"/>
    <n v="80"/>
    <n v="20"/>
    <n v="60"/>
    <n v="4"/>
    <n v="0.10217755443886097"/>
    <n v="3.1496062992125984E-2"/>
    <m/>
    <x v="1"/>
    <m/>
    <n v="1"/>
    <n v="3"/>
    <m/>
    <n v="1"/>
    <n v="15"/>
    <n v="1"/>
    <n v="15"/>
    <m/>
    <m/>
    <m/>
    <m/>
    <m/>
    <m/>
    <m/>
    <m/>
    <m/>
    <m/>
    <n v="1"/>
    <n v="10"/>
    <m/>
    <m/>
    <n v="1"/>
    <n v="15"/>
    <m/>
    <m/>
    <n v="0"/>
    <n v="0"/>
    <m/>
    <m/>
    <n v="4"/>
    <n v="3"/>
    <n v="3"/>
    <n v="6"/>
    <n v="3"/>
    <n v="6"/>
    <n v="4"/>
    <s v="Ing. Róbert Juhás, riaditeľ školy"/>
    <s v="riaditel@sosthe.sk"/>
    <s v="riaditel@sosthe.sk"/>
    <m/>
    <m/>
    <s v="Ing. Miloš Krupa"/>
    <s v="mkrupa@sosthe.sk"/>
    <n v="50"/>
  </r>
  <r>
    <s v="00893170"/>
    <n v="100007675"/>
    <n v="893170"/>
    <s v="Stredná odborná škola elektrotechnická"/>
    <s v="Celiny 536, 033 15 Liptovský Hrádok"/>
    <s v="Liptovský Hrádok"/>
    <s v="nie BSK"/>
    <s v="ZSK"/>
    <s v="ano"/>
    <n v="1"/>
    <s v="ano"/>
    <s v="Max"/>
    <m/>
    <m/>
    <s v="NAG"/>
    <m/>
    <m/>
    <n v="432"/>
    <n v="25"/>
    <n v="440"/>
    <n v="319"/>
    <n v="86"/>
    <n v="20"/>
    <n v="0.18090452261306533"/>
    <n v="0.5023622047244094"/>
    <m/>
    <x v="0"/>
    <s v="3*top, sk 25ikt"/>
    <n v="1"/>
    <n v="5"/>
    <m/>
    <n v="1"/>
    <n v="14"/>
    <n v="1"/>
    <n v="14"/>
    <n v="1"/>
    <n v="14"/>
    <m/>
    <m/>
    <m/>
    <m/>
    <m/>
    <m/>
    <m/>
    <m/>
    <n v="1"/>
    <n v="8"/>
    <m/>
    <m/>
    <n v="1"/>
    <n v="10"/>
    <m/>
    <m/>
    <n v="0"/>
    <n v="0"/>
    <m/>
    <m/>
    <n v="7"/>
    <n v="6"/>
    <n v="3"/>
    <n v="6"/>
    <n v="6"/>
    <n v="10"/>
    <n v="5"/>
    <s v="Ing. Martin Gabauer"/>
    <s v="mgabauer@soselh.sk"/>
    <s v="skola@soselh.sk"/>
    <m/>
    <m/>
    <m/>
    <m/>
    <n v="51"/>
  </r>
  <r>
    <n v="37942492"/>
    <n v="100014054"/>
    <n v="37942492"/>
    <s v="Stredná odborná škola drevárska"/>
    <s v="Lúčna 1055, 093 01 Vranov nad Topľou"/>
    <s v="Vranov nad Topľou"/>
    <s v="nie BSK"/>
    <s v="PSK"/>
    <s v="ano"/>
    <n v="1"/>
    <s v="ano"/>
    <s v="Max"/>
    <m/>
    <m/>
    <m/>
    <m/>
    <m/>
    <n v="258"/>
    <n v="4"/>
    <n v="70"/>
    <n v="40"/>
    <n v="40"/>
    <n v="10"/>
    <n v="0.10804020100502512"/>
    <n v="6.2992125984251968E-2"/>
    <m/>
    <x v="0"/>
    <s v="mechanik počítačových sietí"/>
    <n v="1"/>
    <n v="2"/>
    <m/>
    <n v="1"/>
    <n v="1"/>
    <n v="1"/>
    <n v="1"/>
    <n v="1"/>
    <n v="1"/>
    <m/>
    <m/>
    <m/>
    <m/>
    <m/>
    <m/>
    <m/>
    <m/>
    <n v="0"/>
    <n v="0"/>
    <m/>
    <m/>
    <n v="0"/>
    <n v="0"/>
    <m/>
    <m/>
    <n v="0"/>
    <n v="0"/>
    <m/>
    <m/>
    <n v="4"/>
    <n v="3"/>
    <n v="3"/>
    <n v="2"/>
    <n v="3"/>
    <n v="2"/>
    <n v="2"/>
    <s v="Mgr. Marián Smolák"/>
    <s v="riaditel@sosdrev-vt.psk.sk"/>
    <s v="sekretariat@sosdrev-vt.psk.sk"/>
    <m/>
    <m/>
    <s v="Marcel Mihalčin, Ing., učiteľ odborných predmetov"/>
    <s v="mihalcinmarcel@gmail.com"/>
    <n v="52"/>
  </r>
  <r>
    <n v="37890182"/>
    <n v="100010298"/>
    <n v="37890182"/>
    <s v="Stredná odborná škola"/>
    <s v="Generála Viesta č.6, 050 01 Revúca"/>
    <s v="Revúca"/>
    <s v="nie BSK"/>
    <s v="BBSK"/>
    <s v="ano"/>
    <n v="1"/>
    <s v="nie"/>
    <s v="Len výber"/>
    <m/>
    <m/>
    <m/>
    <m/>
    <s v="Ano"/>
    <n v="154"/>
    <n v="2"/>
    <n v="60"/>
    <n v="0"/>
    <n v="0"/>
    <n v="4"/>
    <n v="6.4489112227805692E-2"/>
    <n v="0"/>
    <m/>
    <x v="5"/>
    <m/>
    <n v="1"/>
    <n v="1"/>
    <m/>
    <m/>
    <m/>
    <m/>
    <m/>
    <m/>
    <m/>
    <m/>
    <m/>
    <m/>
    <m/>
    <m/>
    <m/>
    <m/>
    <m/>
    <n v="0"/>
    <n v="0"/>
    <m/>
    <m/>
    <n v="1"/>
    <n v="12"/>
    <m/>
    <m/>
    <n v="0"/>
    <n v="0"/>
    <m/>
    <m/>
    <n v="2"/>
    <n v="2"/>
    <n v="2"/>
    <n v="4"/>
    <n v="2"/>
    <n v="1"/>
    <n v="1"/>
    <s v="Ing. Dáša Korimová, riaditeľ"/>
    <s v="spravca@sosra.sk"/>
    <s v="riaditel@sosrevuca.edupage.org"/>
    <m/>
    <m/>
    <m/>
    <m/>
    <n v="53"/>
  </r>
  <r>
    <s v="35568356"/>
    <n v="100016475"/>
    <n v="35568356"/>
    <s v="Stredná odborná škola techniky a služieb  ako org.zl. Spojenej školy"/>
    <s v="Kollárova 17, Sečovce"/>
    <s v="Sečovce"/>
    <s v="nie BSK"/>
    <s v="KSK"/>
    <s v="neoficiálne ano"/>
    <n v="1"/>
    <s v="ano"/>
    <s v="Max"/>
    <m/>
    <n v="7"/>
    <m/>
    <m/>
    <m/>
    <n v="408"/>
    <n v="137"/>
    <n v="420"/>
    <n v="79"/>
    <n v="40"/>
    <n v="8"/>
    <n v="0.17085427135678391"/>
    <n v="0.12440944881889764"/>
    <m/>
    <x v="0"/>
    <s v="IKT (IST), avšak problém s podporou zapojenia do NetAcad"/>
    <n v="1"/>
    <n v="2"/>
    <m/>
    <n v="1"/>
    <n v="15"/>
    <n v="1"/>
    <n v="15"/>
    <m/>
    <m/>
    <m/>
    <m/>
    <m/>
    <m/>
    <m/>
    <m/>
    <m/>
    <m/>
    <n v="1"/>
    <n v="15"/>
    <n v="1"/>
    <m/>
    <n v="0"/>
    <n v="0"/>
    <m/>
    <m/>
    <n v="0"/>
    <n v="0"/>
    <m/>
    <m/>
    <n v="5"/>
    <n v="5"/>
    <n v="2"/>
    <n v="4"/>
    <n v="5"/>
    <n v="4"/>
    <n v="5"/>
    <s v="PaedDr. Michaela Štundová MBA"/>
    <m/>
    <s v="sekretariat@gdusecovce.sk"/>
    <s v="Jaroslav Ihnacík, Ing., PhD., zástupca pre OZ"/>
    <s v="jaroslav.ihnacik@gdusecovce.sk"/>
    <s v="Pavel Novotný"/>
    <s v="pavel.novotny@gdusecovce.sk"/>
    <n v="56"/>
  </r>
  <r>
    <s v="00160989"/>
    <n v="100014731"/>
    <n v="160989"/>
    <s v="Gymnázium Šrobárova "/>
    <s v="Šrobárova 1, 042 23 Košice"/>
    <s v="Košice"/>
    <s v="nie BSK"/>
    <s v="KSK"/>
    <s v="ano"/>
    <n v="1"/>
    <s v="nie"/>
    <s v="Max"/>
    <m/>
    <n v="8.3000000000000007"/>
    <s v="NAG"/>
    <m/>
    <m/>
    <n v="629"/>
    <n v="396"/>
    <n v="655"/>
    <n v="0"/>
    <n v="50"/>
    <n v="25"/>
    <n v="0.26340033500837523"/>
    <n v="0"/>
    <m/>
    <x v="2"/>
    <s v="4*top"/>
    <n v="1"/>
    <n v="2"/>
    <m/>
    <n v="1"/>
    <n v="15"/>
    <n v="1"/>
    <n v="15"/>
    <m/>
    <m/>
    <m/>
    <m/>
    <m/>
    <m/>
    <m/>
    <m/>
    <m/>
    <m/>
    <n v="0"/>
    <n v="0"/>
    <n v="1"/>
    <m/>
    <n v="1"/>
    <n v="15"/>
    <n v="1"/>
    <m/>
    <n v="0"/>
    <n v="0"/>
    <m/>
    <m/>
    <n v="5"/>
    <n v="3"/>
    <n v="2"/>
    <n v="6"/>
    <n v="3"/>
    <n v="5"/>
    <n v="4"/>
    <s v="Mgr. PaedDr. Zlatica Frankovičová"/>
    <s v="frankovicova@srobarka.sk"/>
    <s v="riaditel@srobarka.sk"/>
    <s v="RNDr. Dagmar Klímová_x000a_Mgr. Emília Šolcová"/>
    <s v="zastupca@srobarka.sk"/>
    <m/>
    <m/>
    <n v="57"/>
  </r>
  <r>
    <s v="00161705"/>
    <n v="100011452"/>
    <n v="161705"/>
    <s v="Stredná priemyselná škola technická"/>
    <s v="Komenského 5, 085 42 Bardejov"/>
    <s v="Bardejov"/>
    <s v="nie BSK"/>
    <s v="PSK"/>
    <s v="ano"/>
    <n v="1"/>
    <s v="ano"/>
    <s v="Max"/>
    <m/>
    <n v="6.7"/>
    <s v="NAG"/>
    <s v="COVP"/>
    <m/>
    <n v="406"/>
    <n v="40"/>
    <n v="380"/>
    <n v="150"/>
    <n v="100"/>
    <n v="25"/>
    <n v="0.17001675041876047"/>
    <n v="0.23622047244094488"/>
    <m/>
    <x v="0"/>
    <s v="4*top, sk 25ikt"/>
    <n v="1"/>
    <n v="2"/>
    <m/>
    <n v="1"/>
    <n v="18"/>
    <n v="1"/>
    <n v="18"/>
    <m/>
    <m/>
    <m/>
    <m/>
    <m/>
    <m/>
    <m/>
    <m/>
    <m/>
    <m/>
    <n v="1"/>
    <n v="18"/>
    <n v="1"/>
    <m/>
    <n v="0"/>
    <n v="0"/>
    <m/>
    <m/>
    <n v="0"/>
    <n v="0"/>
    <m/>
    <m/>
    <n v="10"/>
    <n v="6"/>
    <n v="6"/>
    <n v="6"/>
    <n v="6"/>
    <n v="5"/>
    <n v="5"/>
    <s v="Ing. Jaroslav Bujda                                    "/>
    <s v="bujda@spsbj.sk"/>
    <m/>
    <m/>
    <m/>
    <s v="Peter Oláh"/>
    <s v="olah@spsbj.sk"/>
    <n v="58"/>
  </r>
  <r>
    <n v="17055377"/>
    <n v="100009163"/>
    <n v="17055377"/>
    <s v="Stredná odborná škola elektrotechnická"/>
    <s v="Komenského 50, 010 01 Žilina"/>
    <s v="Žilina"/>
    <s v="nie BSK"/>
    <s v="ZSK"/>
    <s v="ano"/>
    <n v="1"/>
    <s v="ano"/>
    <s v="Max+pedagóg"/>
    <m/>
    <n v="6"/>
    <m/>
    <m/>
    <m/>
    <n v="377"/>
    <n v="2"/>
    <n v="307"/>
    <n v="76"/>
    <n v="78"/>
    <n v="21"/>
    <n v="0.15787269681742044"/>
    <n v="0.11968503937007874"/>
    <s v="Ano2"/>
    <x v="0"/>
    <m/>
    <n v="1"/>
    <n v="5"/>
    <m/>
    <n v="1"/>
    <n v="12"/>
    <n v="1"/>
    <n v="12"/>
    <m/>
    <m/>
    <m/>
    <m/>
    <n v="1"/>
    <n v="12"/>
    <n v="1"/>
    <m/>
    <n v="1"/>
    <m/>
    <n v="1"/>
    <n v="12"/>
    <m/>
    <m/>
    <n v="1"/>
    <n v="12"/>
    <m/>
    <m/>
    <n v="1"/>
    <n v="12"/>
    <m/>
    <m/>
    <n v="10"/>
    <n v="6"/>
    <n v="2"/>
    <n v="15"/>
    <n v="6"/>
    <n v="15"/>
    <n v="6"/>
    <s v="Ing. Ľubomír Králik"/>
    <s v="riaditel@soseza.sk"/>
    <s v="riaditel@soseza.sk"/>
    <m/>
    <m/>
    <s v="Igor Steindl, Ing. na pozícii učiteľa odborných predmetov"/>
    <s v="ucitelapi@gmail.com"/>
    <n v="59"/>
  </r>
  <r>
    <n v="51906201"/>
    <n v="100018505"/>
    <n v="51906201"/>
    <s v="Stredná priemyselná škola informačných technológií"/>
    <s v="Nábrežná 1325, 024 01 Kysucké Nové Mesto"/>
    <s v="Kysucké Nové Mesto"/>
    <s v="nie BSK"/>
    <s v="ZSK"/>
    <s v="ano"/>
    <n v="1"/>
    <s v="ano"/>
    <s v="Max+pedagóg"/>
    <s v="ZSK"/>
    <n v="6.9"/>
    <m/>
    <m/>
    <s v="Ano"/>
    <n v="718"/>
    <n v="45"/>
    <n v="710"/>
    <n v="432"/>
    <n v="195"/>
    <n v="28"/>
    <n v="0.30067001675041877"/>
    <n v="0.68031496062992125"/>
    <s v="Ano1"/>
    <x v="3"/>
    <s v="5*top, sk 25ikt"/>
    <n v="1"/>
    <n v="5"/>
    <m/>
    <n v="2"/>
    <n v="15"/>
    <n v="2"/>
    <n v="30"/>
    <n v="1"/>
    <n v="15"/>
    <n v="1"/>
    <n v="15"/>
    <m/>
    <m/>
    <m/>
    <m/>
    <n v="1"/>
    <m/>
    <n v="0"/>
    <n v="0"/>
    <m/>
    <m/>
    <n v="2"/>
    <n v="30"/>
    <m/>
    <m/>
    <n v="0"/>
    <n v="0"/>
    <m/>
    <m/>
    <n v="10"/>
    <n v="6"/>
    <n v="2"/>
    <n v="9"/>
    <n v="6"/>
    <n v="4"/>
    <n v="4"/>
    <s v="Ing. Milan Válek"/>
    <s v="valek@spsknm.sk"/>
    <s v="skola@spsknm.sk"/>
    <m/>
    <m/>
    <s v="Miroslav Padyšák"/>
    <s v="padysak@spsknm.sk"/>
    <n v="60"/>
  </r>
  <r>
    <s v="00161756"/>
    <n v="100014610"/>
    <n v="161756"/>
    <s v="Stredná priemyselná škola elektrotechnická Košice"/>
    <s v="Komenského 44, 040 01 Košice"/>
    <s v="Košice"/>
    <s v="nie BSK"/>
    <s v="KSK"/>
    <s v="ano"/>
    <n v="1"/>
    <s v="ano"/>
    <s v="Max+pedagóg"/>
    <s v="KSK"/>
    <n v="8.1999999999999993"/>
    <s v="NAG"/>
    <s v="CExOVP"/>
    <m/>
    <n v="827"/>
    <n v="23"/>
    <n v="820"/>
    <n v="580"/>
    <n v="240"/>
    <n v="10"/>
    <n v="0.34631490787269681"/>
    <n v="0.91338582677165359"/>
    <s v="Ano1"/>
    <x v="3"/>
    <s v="7*top, sk 25ikt"/>
    <n v="1"/>
    <n v="1"/>
    <m/>
    <n v="1"/>
    <n v="16"/>
    <n v="1"/>
    <n v="16"/>
    <m/>
    <m/>
    <m/>
    <m/>
    <m/>
    <m/>
    <m/>
    <m/>
    <n v="1"/>
    <m/>
    <n v="0"/>
    <n v="0"/>
    <m/>
    <m/>
    <n v="0"/>
    <n v="0"/>
    <m/>
    <m/>
    <n v="0"/>
    <n v="0"/>
    <m/>
    <m/>
    <n v="10"/>
    <n v="6"/>
    <n v="4"/>
    <n v="12"/>
    <n v="6"/>
    <n v="4"/>
    <n v="3"/>
    <s v="Ing. Štefan Krištín"/>
    <s v="kristin@spseke.sk"/>
    <m/>
    <m/>
    <m/>
    <s v="Michal Copko"/>
    <s v="copko@spseke.sk"/>
    <n v="63"/>
  </r>
  <r>
    <n v="36088978"/>
    <n v="100002732"/>
    <n v="36088978"/>
    <s v="Súkromná stredná odborná škola Via Humana"/>
    <s v="Mallého 2, 909 01 Skalica"/>
    <s v="Skalica"/>
    <s v="nie BSK"/>
    <s v="TTSK"/>
    <s v="ano"/>
    <n v="1"/>
    <s v="ano"/>
    <s v="Max"/>
    <m/>
    <m/>
    <m/>
    <m/>
    <m/>
    <n v="239"/>
    <n v="88"/>
    <n v="280"/>
    <n v="105"/>
    <n v="0"/>
    <n v="10"/>
    <n v="0.10008375209380234"/>
    <n v="0.16535433070866143"/>
    <m/>
    <x v="0"/>
    <m/>
    <n v="1"/>
    <n v="5"/>
    <m/>
    <n v="1"/>
    <n v="25"/>
    <n v="1"/>
    <n v="25"/>
    <n v="1"/>
    <n v="25"/>
    <m/>
    <m/>
    <n v="1"/>
    <n v="25"/>
    <n v="0"/>
    <m/>
    <m/>
    <m/>
    <n v="1"/>
    <n v="25"/>
    <m/>
    <m/>
    <n v="1"/>
    <n v="25"/>
    <m/>
    <m/>
    <n v="0"/>
    <n v="0"/>
    <m/>
    <m/>
    <n v="7"/>
    <n v="6"/>
    <n v="5"/>
    <n v="10"/>
    <n v="6"/>
    <n v="5"/>
    <n v="6"/>
    <s v="Mgr. Tomáš Mikula, riaditeľ školy"/>
    <s v="tomas.mikula@viahumana.sk"/>
    <s v="viahumana@viahumana.sk"/>
    <m/>
    <m/>
    <m/>
    <m/>
    <n v="64"/>
  </r>
  <r>
    <s v="00161721"/>
    <n v="100013363"/>
    <n v="161721"/>
    <s v="Stredná priemyselná škola"/>
    <s v="Partizánska 1059/23, Snina "/>
    <s v="Snina"/>
    <s v="nie BSK"/>
    <s v="PSK"/>
    <s v="ano"/>
    <n v="1"/>
    <s v="ano"/>
    <s v="Max"/>
    <m/>
    <m/>
    <m/>
    <m/>
    <s v="Ano"/>
    <n v="218"/>
    <n v="18"/>
    <n v="240"/>
    <n v="150"/>
    <n v="150"/>
    <n v="20"/>
    <n v="9.1289782244556111E-2"/>
    <n v="0.23622047244094488"/>
    <m/>
    <x v="0"/>
    <s v="technické lýceum aj s IT"/>
    <n v="1"/>
    <n v="3"/>
    <m/>
    <n v="3"/>
    <n v="36"/>
    <n v="2"/>
    <n v="24"/>
    <m/>
    <m/>
    <m/>
    <m/>
    <m/>
    <m/>
    <m/>
    <m/>
    <m/>
    <m/>
    <n v="0"/>
    <n v="0"/>
    <m/>
    <m/>
    <n v="0"/>
    <n v="0"/>
    <m/>
    <m/>
    <n v="0"/>
    <n v="0"/>
    <m/>
    <m/>
    <n v="10"/>
    <n v="6"/>
    <n v="0"/>
    <n v="1"/>
    <n v="6"/>
    <n v="3"/>
    <n v="6"/>
    <s v="PaedDr. Alena Romanová, poverená vedením"/>
    <s v="romanova @spssnina.edu.sk "/>
    <s v="spssnina@spssnina.edu.sk"/>
    <m/>
    <m/>
    <s v="Ing. Mirko Semjon, správca IT"/>
    <s v="m.semjon@gmail.com"/>
    <n v="62"/>
  </r>
  <r>
    <s v="00160580"/>
    <n v="100010008"/>
    <n v="160580"/>
    <s v="Gymnázium - Gimnázium Fiľakovo"/>
    <s v="Námestie padlých hrdinov 2, 986 15 Fiľakovo"/>
    <s v="Fiľakovo"/>
    <s v="nie BSK"/>
    <s v="BBSK"/>
    <s v="ano"/>
    <n v="1"/>
    <s v="nie"/>
    <s v="Max"/>
    <m/>
    <m/>
    <m/>
    <m/>
    <s v="Ano"/>
    <n v="162"/>
    <n v="73"/>
    <n v="165"/>
    <n v="0"/>
    <n v="25"/>
    <n v="5"/>
    <n v="6.78391959798995E-2"/>
    <n v="0"/>
    <m/>
    <x v="2"/>
    <m/>
    <n v="1"/>
    <n v="2"/>
    <m/>
    <m/>
    <m/>
    <m/>
    <m/>
    <n v="1"/>
    <n v="15"/>
    <m/>
    <m/>
    <n v="1"/>
    <n v="15"/>
    <n v="0"/>
    <m/>
    <n v="1"/>
    <m/>
    <n v="0"/>
    <n v="0"/>
    <m/>
    <m/>
    <n v="0"/>
    <n v="0"/>
    <m/>
    <m/>
    <n v="0"/>
    <n v="0"/>
    <m/>
    <m/>
    <n v="4"/>
    <n v="2"/>
    <n v="1"/>
    <n v="2"/>
    <n v="2"/>
    <n v="2"/>
    <n v="2"/>
    <s v="Mgr. Juraj Péter, riaditeľ školy"/>
    <s v="juraj.peter@gymfilakovo.sk"/>
    <m/>
    <m/>
    <m/>
    <m/>
    <m/>
    <n v="66"/>
  </r>
  <r>
    <s v="00161829"/>
    <n v="100012925"/>
    <n v="161829"/>
    <s v="Stredná priemyselná škola elektrotechnická"/>
    <s v="Plzenská 1, 080 47 Prešov"/>
    <s v="Prešov"/>
    <s v="nie BSK"/>
    <s v="PSK"/>
    <s v="ano"/>
    <n v="1"/>
    <s v="ano"/>
    <s v="Max+pedagóg"/>
    <s v="PSK"/>
    <n v="8.3000000000000007"/>
    <s v="NAG"/>
    <s v="COVP"/>
    <m/>
    <n v="660"/>
    <n v="34"/>
    <n v="700"/>
    <n v="350"/>
    <n v="350"/>
    <n v="40"/>
    <n v="0.27638190954773867"/>
    <n v="0.55118110236220474"/>
    <s v="Ano1"/>
    <x v="3"/>
    <s v="7*top, sk 25ikt"/>
    <n v="1"/>
    <n v="5"/>
    <m/>
    <n v="1"/>
    <n v="15"/>
    <n v="1"/>
    <n v="15"/>
    <n v="1"/>
    <n v="8"/>
    <n v="1"/>
    <n v="8"/>
    <m/>
    <n v="8"/>
    <n v="1"/>
    <m/>
    <n v="4"/>
    <n v="1"/>
    <n v="0"/>
    <n v="0"/>
    <m/>
    <m/>
    <n v="1"/>
    <n v="8"/>
    <m/>
    <m/>
    <n v="1"/>
    <n v="8"/>
    <m/>
    <m/>
    <n v="10"/>
    <n v="6"/>
    <n v="10"/>
    <n v="20"/>
    <n v="6"/>
    <n v="10"/>
    <n v="6"/>
    <s v="Martin Broda"/>
    <s v="broda@spse-po.sk"/>
    <s v="spse@spse-po.sk"/>
    <m/>
    <m/>
    <s v="Martin Vujčík_x000a_Martin Šechný"/>
    <s v="vujcik@spse-po.sk_x000a_sechny@spse-po.sk"/>
    <n v="70"/>
  </r>
  <r>
    <n v="36082058"/>
    <n v="100002964"/>
    <n v="36082058"/>
    <s v="Stredná priemyselná škola technická"/>
    <s v="Komenského 1, 917 31 Trnava"/>
    <s v="Trnava"/>
    <s v="nie BSK"/>
    <s v="TTSK"/>
    <s v="ano"/>
    <n v="1"/>
    <s v="ano sk39"/>
    <s v="Max"/>
    <m/>
    <n v="6.7"/>
    <m/>
    <m/>
    <m/>
    <n v="529"/>
    <n v="26"/>
    <n v="530"/>
    <n v="0"/>
    <n v="0"/>
    <n v="0"/>
    <n v="0.22152428810720268"/>
    <n v="0"/>
    <m/>
    <x v="0"/>
    <s v="3*top nie sk.25ikt  ale odbor 39 tis"/>
    <n v="1"/>
    <n v="1"/>
    <m/>
    <n v="1"/>
    <n v="12"/>
    <n v="1"/>
    <n v="12"/>
    <n v="1"/>
    <n v="12"/>
    <m/>
    <m/>
    <m/>
    <m/>
    <m/>
    <m/>
    <m/>
    <m/>
    <n v="0"/>
    <n v="0"/>
    <m/>
    <m/>
    <n v="0"/>
    <n v="0"/>
    <m/>
    <m/>
    <n v="0"/>
    <n v="0"/>
    <m/>
    <m/>
    <n v="4"/>
    <n v="2"/>
    <n v="2"/>
    <n v="2"/>
    <n v="2"/>
    <n v="0"/>
    <m/>
    <s v="Ing. Ľudovít Šimun"/>
    <s v="sps@spstt.sk"/>
    <m/>
    <m/>
    <m/>
    <s v="Mgr. Erik Ondrejička, učiteľ odborných predmetov"/>
    <s v="ondrejicka@gmail.com"/>
    <n v="72"/>
  </r>
  <r>
    <s v="53638549"/>
    <n v="100019124"/>
    <n v="53638549"/>
    <s v="Spojená škola Dunajská Streda"/>
    <s v="Gyulu Szabóa 21, Dunajská Streda"/>
    <s v="Dunajská Streda"/>
    <s v="nie BSK"/>
    <s v="TTSK"/>
    <s v="ano"/>
    <n v="1"/>
    <s v="ano"/>
    <s v="Max"/>
    <m/>
    <n v="4.2"/>
    <m/>
    <m/>
    <m/>
    <n v="466"/>
    <n v="151"/>
    <n v="340"/>
    <n v="120"/>
    <n v="120"/>
    <n v="6"/>
    <n v="0.19514237855946398"/>
    <n v="0.1889763779527559"/>
    <m/>
    <x v="6"/>
    <m/>
    <n v="1"/>
    <n v="1"/>
    <m/>
    <n v="1"/>
    <n v="12"/>
    <n v="1"/>
    <n v="12"/>
    <m/>
    <m/>
    <m/>
    <m/>
    <m/>
    <m/>
    <m/>
    <m/>
    <m/>
    <m/>
    <n v="0"/>
    <n v="0"/>
    <n v="1"/>
    <m/>
    <n v="0"/>
    <n v="0"/>
    <n v="1"/>
    <m/>
    <n v="0"/>
    <n v="0"/>
    <n v="1"/>
    <m/>
    <n v="7"/>
    <n v="3"/>
    <n v="3"/>
    <n v="6"/>
    <n v="3"/>
    <n v="6"/>
    <n v="3"/>
    <s v="Ing. Angelika Vajdaová"/>
    <s v="info@sosds.sk"/>
    <s v="info@sosds.sk"/>
    <s v="Mgr. Peter Takács, zástupca riaditeľa"/>
    <s v="takacs@sosds.sk"/>
    <m/>
    <m/>
    <n v="73"/>
  </r>
  <r>
    <s v="00893315"/>
    <n v="100005514"/>
    <n v="893315"/>
    <s v="Stredná odborná škola techniky a služieb"/>
    <s v="Pod amfiteátrom 7, 934 01 Levice"/>
    <s v="Levice"/>
    <s v="nie BSK"/>
    <s v="NSK"/>
    <s v="ano"/>
    <n v="1"/>
    <s v="nie"/>
    <s v="Max"/>
    <m/>
    <m/>
    <m/>
    <m/>
    <s v="Ano"/>
    <n v="248"/>
    <n v="60"/>
    <n v="80"/>
    <n v="60"/>
    <n v="25"/>
    <n v="20"/>
    <n v="0.10385259631490787"/>
    <n v="9.4488188976377951E-2"/>
    <m/>
    <x v="1"/>
    <m/>
    <n v="1"/>
    <n v="4"/>
    <m/>
    <n v="2"/>
    <n v="24"/>
    <n v="1"/>
    <n v="12"/>
    <m/>
    <m/>
    <m/>
    <m/>
    <m/>
    <m/>
    <m/>
    <m/>
    <m/>
    <m/>
    <n v="0"/>
    <n v="0"/>
    <m/>
    <m/>
    <n v="0"/>
    <n v="0"/>
    <m/>
    <m/>
    <n v="0"/>
    <n v="0"/>
    <m/>
    <m/>
    <n v="2"/>
    <n v="2"/>
    <n v="2"/>
    <n v="2"/>
    <n v="2"/>
    <n v="2"/>
    <n v="2"/>
    <s v="Soňa Michníková"/>
    <s v="sospodamfiteatrom@gmail.com"/>
    <s v="sospodamfiteatrom@gmail.com"/>
    <s v="PaedDr. Žaneta Juríková"/>
    <s v="Zaneta.Jurikova@sosts-levice.sk"/>
    <s v="Bc. Tuček Daniel"/>
    <s v="tucek@dt-net.sk"/>
    <n v="75"/>
  </r>
  <r>
    <s v="00893188"/>
    <n v="100003752"/>
    <n v="893188"/>
    <s v="Stredná priemyselná škola"/>
    <s v="Športová 675, 916 01 Stará Turá"/>
    <s v="Stará Turá"/>
    <s v="nie BSK"/>
    <s v="TNSK"/>
    <s v="ano"/>
    <n v="1"/>
    <s v="ano"/>
    <s v="Max+pedagóg"/>
    <s v="TNSK"/>
    <n v="6.6"/>
    <m/>
    <s v="COVP"/>
    <m/>
    <n v="250"/>
    <n v="26"/>
    <n v="270"/>
    <n v="128"/>
    <n v="92"/>
    <n v="10"/>
    <n v="0.10469011725293133"/>
    <n v="0.2015748031496063"/>
    <s v="Ano1"/>
    <x v="3"/>
    <s v="4*top, sk 25ikt"/>
    <n v="1"/>
    <n v="2"/>
    <m/>
    <n v="1"/>
    <n v="4"/>
    <n v="1"/>
    <n v="10"/>
    <m/>
    <m/>
    <m/>
    <m/>
    <n v="1"/>
    <n v="4"/>
    <n v="0"/>
    <m/>
    <n v="1"/>
    <m/>
    <n v="0"/>
    <n v="0"/>
    <m/>
    <m/>
    <n v="0"/>
    <n v="0"/>
    <m/>
    <m/>
    <n v="0"/>
    <n v="0"/>
    <m/>
    <m/>
    <n v="5"/>
    <n v="3"/>
    <n v="0"/>
    <n v="2"/>
    <n v="3"/>
    <n v="1"/>
    <n v="2"/>
    <s v="Milan Duroška"/>
    <s v="milan.duroska@sosstaratura.sk"/>
    <s v="info@sosstaratura.sk"/>
    <m/>
    <m/>
    <m/>
    <m/>
    <n v="76"/>
  </r>
  <r>
    <s v="42326931"/>
    <n v="100020375"/>
    <n v="710289995"/>
    <s v="Stredná odborná škola informačných technológií sv. Maximiliána Kolbeho ako org.zl. Spojenej katolíckej školy"/>
    <s v="Farská 19, Nitra"/>
    <s v="Nitra"/>
    <s v="nie BSK"/>
    <s v="NSK"/>
    <s v="nová it škola"/>
    <n v="1"/>
    <s v="ano"/>
    <s v="Len výber"/>
    <m/>
    <m/>
    <m/>
    <m/>
    <m/>
    <n v="0"/>
    <n v="0"/>
    <n v="500"/>
    <n v="20"/>
    <n v="480"/>
    <n v="50"/>
    <n v="0"/>
    <n v="3.1496062992125984E-2"/>
    <m/>
    <x v="0"/>
    <m/>
    <n v="1"/>
    <n v="1"/>
    <m/>
    <n v="1"/>
    <n v="15"/>
    <n v="1"/>
    <n v="15"/>
    <m/>
    <m/>
    <m/>
    <m/>
    <m/>
    <m/>
    <m/>
    <m/>
    <m/>
    <m/>
    <n v="0"/>
    <n v="0"/>
    <m/>
    <m/>
    <n v="0"/>
    <n v="0"/>
    <m/>
    <m/>
    <n v="0"/>
    <n v="0"/>
    <m/>
    <m/>
    <n v="7"/>
    <n v="3"/>
    <n v="3"/>
    <n v="3"/>
    <n v="3"/>
    <n v="3"/>
    <n v="3"/>
    <s v="Mgr. Radoslav Rusňák"/>
    <s v="gcm@gcm.sk"/>
    <s v="gcm@gcm.sk"/>
    <m/>
    <m/>
    <m/>
    <m/>
    <n v="80"/>
  </r>
  <r>
    <n v="42152411"/>
    <n v="100004649"/>
    <n v="42152411"/>
    <s v="Súkromné gymnázium FUTURUM"/>
    <s v="Školská 66, 911 05 Trenčín"/>
    <s v="Trenčín"/>
    <s v="nie BSK"/>
    <s v="TNSK"/>
    <s v="ano"/>
    <n v="1"/>
    <s v="nie"/>
    <s v="Len výber"/>
    <m/>
    <m/>
    <m/>
    <m/>
    <m/>
    <n v="219"/>
    <n v="121"/>
    <n v="210"/>
    <n v="0"/>
    <n v="150"/>
    <n v="15"/>
    <n v="9.1708542713567834E-2"/>
    <n v="0"/>
    <m/>
    <x v="2"/>
    <m/>
    <n v="1"/>
    <n v="5"/>
    <m/>
    <n v="1"/>
    <n v="20"/>
    <m/>
    <m/>
    <n v="1"/>
    <n v="20"/>
    <m/>
    <m/>
    <n v="1"/>
    <n v="10"/>
    <n v="2"/>
    <m/>
    <m/>
    <m/>
    <n v="1"/>
    <n v="10"/>
    <m/>
    <m/>
    <n v="0"/>
    <n v="0"/>
    <m/>
    <m/>
    <n v="1"/>
    <n v="10"/>
    <m/>
    <m/>
    <n v="4"/>
    <n v="2"/>
    <n v="0"/>
    <n v="2"/>
    <n v="2"/>
    <n v="2"/>
    <n v="2"/>
    <s v="PhDr. PaedDr. Marcela - Katarína Pjatková, PhD"/>
    <s v="riaditeltn@sgfuturum.sk"/>
    <s v="skola@sgfuturum.sk"/>
    <m/>
    <m/>
    <s v="Mgr. Roman Tunys"/>
    <s v="rtunys@sgfuturum.sk"/>
    <n v="81"/>
  </r>
  <r>
    <s v="00160903"/>
    <n v="100009129"/>
    <n v="160903"/>
    <s v="Gymnázium"/>
    <s v="Hlinská 29, 011 80 Žilina"/>
    <s v="Žilina"/>
    <s v="nie BSK"/>
    <s v="ZSK"/>
    <s v="ano"/>
    <n v="1"/>
    <s v="nie"/>
    <s v="Max"/>
    <m/>
    <n v="6.5"/>
    <m/>
    <m/>
    <m/>
    <n v="374"/>
    <n v="238"/>
    <n v="381"/>
    <n v="0"/>
    <n v="381"/>
    <n v="5"/>
    <n v="0.15661641541038526"/>
    <n v="0"/>
    <m/>
    <x v="2"/>
    <m/>
    <n v="1"/>
    <n v="3"/>
    <m/>
    <n v="1"/>
    <n v="18"/>
    <m/>
    <m/>
    <m/>
    <m/>
    <m/>
    <m/>
    <n v="2"/>
    <n v="28"/>
    <n v="3"/>
    <m/>
    <m/>
    <m/>
    <n v="0"/>
    <n v="0"/>
    <m/>
    <m/>
    <n v="0"/>
    <n v="0"/>
    <m/>
    <m/>
    <n v="0"/>
    <n v="0"/>
    <m/>
    <m/>
    <n v="3"/>
    <n v="3"/>
    <n v="3"/>
    <n v="3"/>
    <n v="3"/>
    <n v="3"/>
    <n v="3"/>
    <s v="Bc. Ing. Jarmila Turoňová, riaditeľka školy"/>
    <s v="turonova@gymza.sk"/>
    <s v="gymnazium@gymza.sk"/>
    <m/>
    <m/>
    <m/>
    <m/>
    <n v="82"/>
  </r>
  <r>
    <m/>
    <m/>
    <m/>
    <s v="Hotelová akadémia Ľudovíta Wintera"/>
    <s v="Stromová 34, Piešťany "/>
    <s v="Piešťany"/>
    <s v="ŠIOV"/>
    <s v="TTSK"/>
    <s v="nie"/>
    <n v="1"/>
    <s v="nie"/>
    <s v="Špecifické"/>
    <m/>
    <m/>
    <m/>
    <s v="CExOVP"/>
    <m/>
    <m/>
    <m/>
    <m/>
    <m/>
    <m/>
    <m/>
    <m/>
    <m/>
    <m/>
    <x v="4"/>
    <m/>
    <n v="1"/>
    <m/>
    <m/>
    <m/>
    <m/>
    <m/>
    <m/>
    <m/>
    <m/>
    <m/>
    <m/>
    <m/>
    <m/>
    <m/>
    <m/>
    <m/>
    <m/>
    <m/>
    <m/>
    <m/>
    <m/>
    <m/>
    <m/>
    <m/>
    <m/>
    <m/>
    <m/>
    <m/>
    <m/>
    <m/>
    <m/>
    <m/>
    <m/>
    <m/>
    <m/>
    <m/>
    <m/>
    <m/>
    <m/>
    <m/>
    <m/>
    <m/>
    <m/>
    <m/>
  </r>
  <r>
    <m/>
    <m/>
    <m/>
    <s v="Obchodná akadémia"/>
    <s v="Bolečkova 2, Nitra"/>
    <s v="Nitra"/>
    <s v="ŠIOV"/>
    <s v="NSK"/>
    <s v="nie"/>
    <n v="1"/>
    <s v="nie"/>
    <s v="Špecifické"/>
    <m/>
    <m/>
    <m/>
    <s v="CExOVP"/>
    <m/>
    <m/>
    <m/>
    <m/>
    <m/>
    <m/>
    <m/>
    <m/>
    <m/>
    <m/>
    <x v="4"/>
    <m/>
    <n v="1"/>
    <m/>
    <m/>
    <m/>
    <m/>
    <m/>
    <m/>
    <m/>
    <m/>
    <m/>
    <m/>
    <m/>
    <m/>
    <m/>
    <m/>
    <m/>
    <m/>
    <m/>
    <m/>
    <m/>
    <m/>
    <m/>
    <m/>
    <m/>
    <m/>
    <m/>
    <m/>
    <m/>
    <m/>
    <m/>
    <m/>
    <m/>
    <m/>
    <m/>
    <m/>
    <m/>
    <m/>
    <m/>
    <m/>
    <m/>
    <m/>
    <m/>
    <m/>
    <m/>
  </r>
  <r>
    <m/>
    <m/>
    <m/>
    <s v="Stredná odborná škola elektrotechnická"/>
    <s v="Sibírska 1, Trnava"/>
    <s v="Trnava"/>
    <s v="ŠIOV"/>
    <s v="TTSK"/>
    <s v="nie"/>
    <n v="1"/>
    <s v="nie"/>
    <s v="Špecifické"/>
    <m/>
    <m/>
    <m/>
    <s v="CExOVP"/>
    <m/>
    <m/>
    <m/>
    <m/>
    <m/>
    <m/>
    <m/>
    <m/>
    <m/>
    <m/>
    <x v="4"/>
    <m/>
    <n v="1"/>
    <m/>
    <m/>
    <m/>
    <m/>
    <m/>
    <m/>
    <m/>
    <m/>
    <m/>
    <m/>
    <m/>
    <m/>
    <m/>
    <m/>
    <m/>
    <m/>
    <m/>
    <m/>
    <m/>
    <m/>
    <m/>
    <m/>
    <m/>
    <m/>
    <m/>
    <m/>
    <m/>
    <m/>
    <m/>
    <m/>
    <m/>
    <m/>
    <m/>
    <m/>
    <m/>
    <m/>
    <m/>
    <m/>
    <m/>
    <m/>
    <m/>
    <m/>
    <m/>
  </r>
  <r>
    <m/>
    <m/>
    <m/>
    <s v="Stredná odborná škola strojnícka"/>
    <s v="Športová 1326, Kysucké Nové Mesto"/>
    <s v="Kysucké Nové Mesto"/>
    <s v="ŠIOV"/>
    <s v="ZSK"/>
    <s v="nie"/>
    <n v="1"/>
    <s v="nie"/>
    <s v="Špecifické"/>
    <m/>
    <m/>
    <m/>
    <s v="CExOVP"/>
    <m/>
    <m/>
    <m/>
    <m/>
    <m/>
    <m/>
    <m/>
    <m/>
    <m/>
    <m/>
    <x v="4"/>
    <m/>
    <n v="1"/>
    <m/>
    <m/>
    <m/>
    <m/>
    <m/>
    <m/>
    <m/>
    <m/>
    <m/>
    <m/>
    <m/>
    <m/>
    <m/>
    <m/>
    <m/>
    <m/>
    <m/>
    <m/>
    <m/>
    <m/>
    <m/>
    <m/>
    <m/>
    <m/>
    <m/>
    <m/>
    <m/>
    <m/>
    <m/>
    <m/>
    <m/>
    <m/>
    <m/>
    <m/>
    <m/>
    <m/>
    <m/>
    <m/>
    <m/>
    <m/>
    <m/>
    <m/>
    <m/>
  </r>
  <r>
    <m/>
    <m/>
    <m/>
    <s v="Stredná odborná škola strojnícka"/>
    <s v="Športovcov 341/2, Považská Bystrica"/>
    <s v="Považská Bystrica"/>
    <s v="ŠIOV"/>
    <s v="TNSK"/>
    <s v="nie"/>
    <n v="1"/>
    <s v="nie"/>
    <s v="Špecifické"/>
    <m/>
    <m/>
    <m/>
    <s v="CExOVP"/>
    <m/>
    <m/>
    <m/>
    <m/>
    <m/>
    <m/>
    <m/>
    <m/>
    <m/>
    <m/>
    <x v="4"/>
    <m/>
    <n v="1"/>
    <m/>
    <m/>
    <m/>
    <m/>
    <m/>
    <m/>
    <m/>
    <m/>
    <m/>
    <m/>
    <m/>
    <m/>
    <m/>
    <m/>
    <m/>
    <m/>
    <m/>
    <m/>
    <m/>
    <m/>
    <m/>
    <m/>
    <m/>
    <m/>
    <m/>
    <m/>
    <m/>
    <m/>
    <m/>
    <m/>
    <m/>
    <m/>
    <m/>
    <m/>
    <m/>
    <m/>
    <m/>
    <m/>
    <m/>
    <m/>
    <m/>
    <m/>
    <m/>
  </r>
  <r>
    <m/>
    <m/>
    <m/>
    <s v="Stredná priemyselná škola stavebná Emila Belluša"/>
    <s v="Staničná 4, Trenčín"/>
    <s v="Trenčín"/>
    <s v="ŠIOV"/>
    <s v="TNSK"/>
    <s v="nie"/>
    <n v="1"/>
    <s v="nie"/>
    <s v="Špecifické"/>
    <m/>
    <m/>
    <m/>
    <s v="CExOVP"/>
    <m/>
    <m/>
    <m/>
    <m/>
    <m/>
    <m/>
    <m/>
    <m/>
    <m/>
    <m/>
    <x v="4"/>
    <m/>
    <n v="1"/>
    <m/>
    <m/>
    <m/>
    <m/>
    <m/>
    <m/>
    <m/>
    <m/>
    <m/>
    <m/>
    <m/>
    <m/>
    <m/>
    <m/>
    <m/>
    <m/>
    <m/>
    <m/>
    <m/>
    <m/>
    <m/>
    <m/>
    <m/>
    <m/>
    <m/>
    <m/>
    <m/>
    <s v="VLOOK"/>
    <m/>
    <m/>
    <m/>
    <m/>
    <m/>
    <m/>
    <m/>
    <m/>
    <m/>
    <m/>
    <m/>
    <m/>
    <m/>
    <m/>
    <m/>
  </r>
  <r>
    <m/>
    <m/>
    <m/>
    <s v="Súkromná stredná odborná škola DSA"/>
    <s v="Koniarekova 17, Trnava "/>
    <s v="Trnava"/>
    <s v="ŠIOV"/>
    <s v="TTSK"/>
    <s v="nie"/>
    <n v="1"/>
    <s v="nie"/>
    <s v="Špecifické"/>
    <m/>
    <m/>
    <m/>
    <s v="CExOVP"/>
    <m/>
    <m/>
    <m/>
    <m/>
    <m/>
    <m/>
    <m/>
    <m/>
    <m/>
    <m/>
    <x v="4"/>
    <m/>
    <n v="1"/>
    <m/>
    <m/>
    <m/>
    <m/>
    <m/>
    <m/>
    <m/>
    <m/>
    <m/>
    <m/>
    <m/>
    <m/>
    <m/>
    <m/>
    <m/>
    <m/>
    <m/>
    <m/>
    <m/>
    <m/>
    <m/>
    <m/>
    <m/>
    <m/>
    <m/>
    <m/>
    <m/>
    <m/>
    <m/>
    <m/>
    <m/>
    <m/>
    <m/>
    <m/>
    <m/>
    <m/>
    <m/>
    <m/>
    <m/>
    <m/>
    <m/>
    <m/>
    <m/>
  </r>
  <r>
    <m/>
    <m/>
    <m/>
    <s v="Súkromná stredná odborná škola polytechnická DSA"/>
    <s v="Novozámocká 220, Nitra"/>
    <s v="Nitra"/>
    <s v="ŠIOV"/>
    <s v="NSK"/>
    <s v="nie"/>
    <n v="1"/>
    <s v="nie"/>
    <s v="Špecifické"/>
    <m/>
    <m/>
    <m/>
    <s v="CExOVP"/>
    <m/>
    <m/>
    <m/>
    <m/>
    <m/>
    <m/>
    <m/>
    <m/>
    <m/>
    <m/>
    <x v="4"/>
    <m/>
    <n v="1"/>
    <m/>
    <m/>
    <m/>
    <m/>
    <m/>
    <m/>
    <m/>
    <m/>
    <m/>
    <m/>
    <m/>
    <m/>
    <m/>
    <m/>
    <m/>
    <m/>
    <m/>
    <m/>
    <m/>
    <m/>
    <m/>
    <m/>
    <m/>
    <m/>
    <m/>
    <m/>
    <m/>
    <m/>
    <m/>
    <m/>
    <m/>
    <m/>
    <m/>
    <m/>
    <m/>
    <m/>
    <m/>
    <m/>
    <m/>
    <m/>
    <m/>
    <m/>
    <m/>
  </r>
  <r>
    <m/>
    <m/>
    <m/>
    <s v="Stredná odborná škola"/>
    <s v="Pod Bánošom 80, Banská Bystrica"/>
    <s v="Banská Bystrica"/>
    <s v="ŠIOV"/>
    <s v="BBSK"/>
    <s v="nie"/>
    <n v="1"/>
    <s v="nie"/>
    <s v="Špecifické"/>
    <m/>
    <m/>
    <m/>
    <s v="CExOVP"/>
    <m/>
    <s v="Ano"/>
    <m/>
    <m/>
    <m/>
    <m/>
    <m/>
    <m/>
    <m/>
    <m/>
    <x v="4"/>
    <m/>
    <n v="1"/>
    <m/>
    <m/>
    <m/>
    <m/>
    <m/>
    <m/>
    <m/>
    <m/>
    <m/>
    <m/>
    <m/>
    <m/>
    <m/>
    <m/>
    <m/>
    <m/>
    <m/>
    <m/>
    <m/>
    <m/>
    <m/>
    <m/>
    <m/>
    <m/>
    <m/>
    <m/>
    <m/>
    <m/>
    <m/>
    <m/>
    <m/>
    <m/>
    <m/>
    <m/>
    <m/>
    <m/>
    <m/>
    <m/>
    <m/>
    <m/>
    <m/>
    <m/>
    <m/>
  </r>
  <r>
    <m/>
    <m/>
    <m/>
    <s v="Stredná odborná škola lesnícka"/>
    <s v="Akademická 16, Banská Štiavnica"/>
    <s v="Banská Štiavnica"/>
    <s v="ŠIOV"/>
    <s v="BBSK"/>
    <s v="nie"/>
    <n v="1"/>
    <s v="nie"/>
    <s v="Špecifické"/>
    <m/>
    <m/>
    <m/>
    <s v="CExOVP"/>
    <s v="Ano"/>
    <m/>
    <m/>
    <m/>
    <m/>
    <m/>
    <m/>
    <m/>
    <m/>
    <m/>
    <x v="4"/>
    <m/>
    <n v="1"/>
    <m/>
    <m/>
    <m/>
    <m/>
    <m/>
    <m/>
    <m/>
    <m/>
    <m/>
    <m/>
    <m/>
    <m/>
    <m/>
    <m/>
    <m/>
    <m/>
    <m/>
    <m/>
    <m/>
    <m/>
    <m/>
    <m/>
    <m/>
    <m/>
    <m/>
    <m/>
    <m/>
    <m/>
    <m/>
    <m/>
    <m/>
    <m/>
    <m/>
    <m/>
    <m/>
    <m/>
    <m/>
    <m/>
    <m/>
    <m/>
    <m/>
    <m/>
    <m/>
  </r>
  <r>
    <m/>
    <m/>
    <m/>
    <s v="Gymnázium"/>
    <s v="Poštová 9, Košice - Staré Mesto"/>
    <s v="Košice"/>
    <s v="DitEdu"/>
    <s v="KSK"/>
    <s v="nie"/>
    <n v="1"/>
    <s v="nie"/>
    <s v="Špecifické"/>
    <m/>
    <n v="9.5"/>
    <m/>
    <m/>
    <m/>
    <m/>
    <m/>
    <m/>
    <m/>
    <m/>
    <m/>
    <m/>
    <m/>
    <m/>
    <x v="8"/>
    <m/>
    <n v="1"/>
    <m/>
    <m/>
    <m/>
    <m/>
    <m/>
    <m/>
    <m/>
    <m/>
    <m/>
    <m/>
    <m/>
    <m/>
    <m/>
    <m/>
    <m/>
    <m/>
    <m/>
    <m/>
    <m/>
    <m/>
    <m/>
    <m/>
    <m/>
    <m/>
    <m/>
    <m/>
    <m/>
    <m/>
    <m/>
    <m/>
    <m/>
    <m/>
    <m/>
    <m/>
    <m/>
    <m/>
    <m/>
    <m/>
    <m/>
    <m/>
    <m/>
    <m/>
    <m/>
  </r>
  <r>
    <m/>
    <m/>
    <m/>
    <s v="Gymnázium Jozefa Lettricha"/>
    <s v="Jozefa Lettricha 2, Martin"/>
    <s v="Martin"/>
    <s v="DitEdu"/>
    <s v="ŽSK"/>
    <s v="nie"/>
    <n v="1"/>
    <s v="nie"/>
    <s v="Špecifické"/>
    <m/>
    <n v="8.6999999999999993"/>
    <m/>
    <m/>
    <m/>
    <m/>
    <m/>
    <m/>
    <m/>
    <m/>
    <m/>
    <m/>
    <m/>
    <m/>
    <x v="8"/>
    <m/>
    <n v="1"/>
    <m/>
    <m/>
    <m/>
    <m/>
    <m/>
    <m/>
    <m/>
    <m/>
    <m/>
    <m/>
    <m/>
    <m/>
    <m/>
    <m/>
    <m/>
    <m/>
    <m/>
    <m/>
    <m/>
    <m/>
    <m/>
    <m/>
    <m/>
    <m/>
    <m/>
    <m/>
    <m/>
    <m/>
    <m/>
    <m/>
    <m/>
    <m/>
    <m/>
    <m/>
    <m/>
    <m/>
    <m/>
    <m/>
    <m/>
    <m/>
    <m/>
    <m/>
    <m/>
  </r>
  <r>
    <m/>
    <m/>
    <m/>
    <s v="Gymnázium J.G.T."/>
    <s v="J.G.Tajovského 25, Banská Bystrica"/>
    <s v="Banská Bystrica"/>
    <s v="DitEdu"/>
    <s v="BBSK"/>
    <s v="nie"/>
    <n v="1"/>
    <s v="nie"/>
    <s v="Špecifické"/>
    <m/>
    <n v="8.6999999999999993"/>
    <m/>
    <m/>
    <m/>
    <m/>
    <m/>
    <m/>
    <m/>
    <m/>
    <m/>
    <m/>
    <m/>
    <m/>
    <x v="8"/>
    <m/>
    <n v="1"/>
    <m/>
    <m/>
    <m/>
    <m/>
    <m/>
    <m/>
    <m/>
    <m/>
    <m/>
    <m/>
    <m/>
    <m/>
    <m/>
    <m/>
    <m/>
    <m/>
    <m/>
    <m/>
    <m/>
    <m/>
    <m/>
    <m/>
    <m/>
    <m/>
    <m/>
    <m/>
    <m/>
    <m/>
    <m/>
    <m/>
    <m/>
    <m/>
    <m/>
    <m/>
    <m/>
    <m/>
    <m/>
    <m/>
    <m/>
    <m/>
    <m/>
    <m/>
    <m/>
  </r>
  <r>
    <m/>
    <m/>
    <m/>
    <s v="Evanjelické gymnázium J. A. Komenského_x000a_"/>
    <s v="Škultétyho 10, Košice - Staré Mesto"/>
    <s v="Košice"/>
    <s v="DitEdu"/>
    <s v="KSK"/>
    <s v="nie"/>
    <n v="1"/>
    <s v="nie"/>
    <s v="Špecifické"/>
    <m/>
    <n v="8.5"/>
    <m/>
    <m/>
    <m/>
    <m/>
    <m/>
    <m/>
    <m/>
    <m/>
    <m/>
    <m/>
    <m/>
    <m/>
    <x v="8"/>
    <m/>
    <n v="1"/>
    <m/>
    <m/>
    <m/>
    <m/>
    <m/>
    <m/>
    <m/>
    <m/>
    <m/>
    <m/>
    <m/>
    <m/>
    <m/>
    <m/>
    <m/>
    <m/>
    <m/>
    <m/>
    <m/>
    <m/>
    <m/>
    <m/>
    <m/>
    <m/>
    <m/>
    <m/>
    <m/>
    <m/>
    <m/>
    <m/>
    <m/>
    <m/>
    <m/>
    <m/>
    <m/>
    <m/>
    <m/>
    <m/>
    <m/>
    <m/>
    <m/>
    <m/>
    <m/>
  </r>
  <r>
    <m/>
    <m/>
    <m/>
    <s v="Gymnázium"/>
    <s v="Varšavská cesta 1, Žilina"/>
    <s v="Žilina"/>
    <s v="DitEdu"/>
    <s v="ŽSK"/>
    <s v="nie"/>
    <n v="1"/>
    <s v="nie"/>
    <s v="Špecifické"/>
    <m/>
    <n v="8.4"/>
    <m/>
    <m/>
    <m/>
    <m/>
    <m/>
    <m/>
    <m/>
    <m/>
    <m/>
    <m/>
    <m/>
    <m/>
    <x v="8"/>
    <m/>
    <n v="1"/>
    <m/>
    <m/>
    <m/>
    <m/>
    <m/>
    <m/>
    <m/>
    <m/>
    <m/>
    <m/>
    <m/>
    <m/>
    <m/>
    <m/>
    <m/>
    <m/>
    <m/>
    <m/>
    <m/>
    <m/>
    <m/>
    <m/>
    <m/>
    <m/>
    <m/>
    <m/>
    <m/>
    <m/>
    <m/>
    <m/>
    <m/>
    <m/>
    <m/>
    <m/>
    <m/>
    <m/>
    <m/>
    <m/>
    <m/>
    <m/>
    <m/>
    <m/>
    <m/>
  </r>
  <r>
    <m/>
    <m/>
    <m/>
    <s v="Gymnázium"/>
    <s v="Golianova 68"/>
    <s v="Nitra"/>
    <s v="DitEdu"/>
    <s v="NSK"/>
    <s v="nie"/>
    <n v="1"/>
    <s v="nie"/>
    <s v="Špecifické"/>
    <m/>
    <n v="8.3000000000000007"/>
    <m/>
    <m/>
    <m/>
    <m/>
    <m/>
    <m/>
    <m/>
    <m/>
    <m/>
    <m/>
    <m/>
    <m/>
    <x v="8"/>
    <m/>
    <n v="1"/>
    <m/>
    <m/>
    <m/>
    <m/>
    <m/>
    <m/>
    <m/>
    <m/>
    <m/>
    <m/>
    <m/>
    <m/>
    <m/>
    <m/>
    <m/>
    <m/>
    <m/>
    <m/>
    <m/>
    <m/>
    <m/>
    <m/>
    <m/>
    <m/>
    <m/>
    <m/>
    <m/>
    <m/>
    <m/>
    <m/>
    <m/>
    <m/>
    <m/>
    <m/>
    <m/>
    <m/>
    <m/>
    <m/>
    <m/>
    <m/>
    <m/>
    <m/>
    <m/>
  </r>
  <r>
    <m/>
    <m/>
    <m/>
    <s v="Gymnázium J.Hollého"/>
    <s v="Na hlinách 30, Trnava"/>
    <s v="Trnava"/>
    <s v="DitEdu"/>
    <s v="TTSK"/>
    <s v="nie"/>
    <n v="1"/>
    <s v="nie"/>
    <s v="Špecifické"/>
    <m/>
    <n v="8.3000000000000007"/>
    <m/>
    <m/>
    <m/>
    <m/>
    <m/>
    <m/>
    <m/>
    <m/>
    <m/>
    <m/>
    <m/>
    <m/>
    <x v="8"/>
    <m/>
    <n v="1"/>
    <m/>
    <m/>
    <m/>
    <m/>
    <m/>
    <m/>
    <m/>
    <m/>
    <m/>
    <m/>
    <m/>
    <m/>
    <m/>
    <m/>
    <m/>
    <m/>
    <m/>
    <m/>
    <m/>
    <m/>
    <m/>
    <m/>
    <m/>
    <m/>
    <m/>
    <m/>
    <m/>
    <m/>
    <m/>
    <m/>
    <m/>
    <m/>
    <m/>
    <m/>
    <m/>
    <m/>
    <m/>
    <m/>
    <m/>
    <m/>
    <m/>
    <m/>
    <m/>
  </r>
  <r>
    <n v="17327661"/>
    <n v="100000870"/>
    <n v="17327661"/>
    <s v="Stredná priemyselná škola elektrotechnická Hálova "/>
    <s v="Hálova 16, 851 01 Bratislava"/>
    <s v="Bratislava"/>
    <s v="BSK vybrané"/>
    <s v="BSK"/>
    <s v="ano"/>
    <n v="1"/>
    <s v="ano"/>
    <s v="Max"/>
    <s v="BSK"/>
    <n v="5.4"/>
    <s v="NAG"/>
    <s v="CExOVP"/>
    <m/>
    <n v="527"/>
    <n v="33"/>
    <n v="540"/>
    <n v="210"/>
    <n v="60"/>
    <n v="10"/>
    <n v="0.22068676716917923"/>
    <n v="0.33070866141732286"/>
    <m/>
    <x v="9"/>
    <s v="5*top, ambícia IT vyplýva zo záujmu o max.zapojenie, CCNA a Cybersec = záujem v plnom rozsahu s certifikáciou"/>
    <n v="1"/>
    <n v="2"/>
    <m/>
    <m/>
    <m/>
    <m/>
    <m/>
    <n v="1"/>
    <n v="15"/>
    <s v="zrušiť1"/>
    <s v="zrušiť15"/>
    <m/>
    <m/>
    <m/>
    <m/>
    <m/>
    <m/>
    <m/>
    <m/>
    <m/>
    <m/>
    <m/>
    <m/>
    <m/>
    <m/>
    <n v="1"/>
    <n v="15"/>
    <s v="zrušiť1"/>
    <s v="zrušiť15"/>
    <s v="zrušiť3"/>
    <s v="zrušiť3"/>
    <s v="zrušiť3"/>
    <s v="zrušiť3"/>
    <s v="zrušiť3"/>
    <s v="zrušiť3"/>
    <s v="zrušiť3"/>
    <s v="Ing. Iveta Šafránková"/>
    <s v="iveta.safrankova@spsehalova.sk"/>
    <m/>
    <m/>
    <m/>
    <s v="Ing. Daniela Hívešová, PhD."/>
    <s v="daniela.hivesova@spsehalova.sk"/>
    <n v="7"/>
  </r>
  <r>
    <n v="30815339"/>
    <n v="100000148"/>
    <n v="30815339"/>
    <s v="Cirkevná stredná odborná škola elektrotechnická P.G.Frassatiho Bratislava"/>
    <s v="Vazovova 12, 811 07 Bratislava"/>
    <s v="Bratislava"/>
    <s v="BSK vybrané"/>
    <s v="BSK"/>
    <s v="ano"/>
    <n v="1"/>
    <s v="ano"/>
    <s v="Len výber"/>
    <m/>
    <m/>
    <m/>
    <m/>
    <m/>
    <n v="231"/>
    <n v="15"/>
    <n v="240"/>
    <n v="60"/>
    <n v="10"/>
    <n v="2"/>
    <n v="9.6733668341708545E-2"/>
    <n v="9.4488188976377951E-2"/>
    <m/>
    <x v="10"/>
    <s v="CCNA majú ambíciu ako riadny predmet"/>
    <n v="1"/>
    <n v="1"/>
    <m/>
    <n v="1"/>
    <n v="10"/>
    <m/>
    <m/>
    <m/>
    <m/>
    <m/>
    <m/>
    <m/>
    <m/>
    <m/>
    <m/>
    <m/>
    <m/>
    <m/>
    <m/>
    <m/>
    <m/>
    <m/>
    <m/>
    <m/>
    <m/>
    <m/>
    <m/>
    <m/>
    <m/>
    <s v="zrušiť4"/>
    <s v="zrušiť2"/>
    <s v="zrušiť1"/>
    <s v="zrušiť2"/>
    <s v="zrušiť2"/>
    <s v="zrušiť2"/>
    <s v="zrušiť4"/>
    <s v="Ing. Mgr. Roumiana Mintcheva Karaivanova, riaditeľka školy"/>
    <s v="rumiana@centrum.sk"/>
    <s v="csose@csose.sk"/>
    <m/>
    <m/>
    <s v="Rudolf Michaláč"/>
    <s v="rudolf.michalac@csose.sk"/>
    <n v="18"/>
  </r>
  <r>
    <n v="17055415"/>
    <n v="100000544"/>
    <n v="17055415"/>
    <s v="Stredná odborná škola informačných technológií"/>
    <s v="Hlinícka 1, 83152 Bratislava"/>
    <s v="Bratislava"/>
    <s v="BSK vybrané"/>
    <s v="BSK"/>
    <s v="ano"/>
    <n v="1"/>
    <s v="blízke"/>
    <s v="Len výber"/>
    <m/>
    <m/>
    <m/>
    <m/>
    <m/>
    <n v="349"/>
    <n v="8"/>
    <n v="350"/>
    <n v="210"/>
    <n v="210"/>
    <n v="14"/>
    <n v="0.14614740368509213"/>
    <n v="0.33070866141732286"/>
    <m/>
    <x v="11"/>
    <s v="ambícia &quot;IT škola&quot;"/>
    <n v="1"/>
    <n v="3"/>
    <m/>
    <n v="1"/>
    <n v="12"/>
    <s v="zrušiť1"/>
    <s v="zrušiť12"/>
    <n v="1"/>
    <n v="12"/>
    <m/>
    <m/>
    <m/>
    <m/>
    <m/>
    <m/>
    <m/>
    <m/>
    <m/>
    <m/>
    <m/>
    <m/>
    <n v="1"/>
    <n v="12"/>
    <s v="zrušiť1"/>
    <s v="zrušiť12"/>
    <m/>
    <m/>
    <m/>
    <m/>
    <s v="zrušiť4"/>
    <s v="zrušiť4"/>
    <s v="zrušiť0"/>
    <s v="zrušiť8"/>
    <s v="zrušiť4"/>
    <s v="zrušiť3"/>
    <s v="zrušiť3"/>
    <s v="PaedDr. Ján Sadloň"/>
    <s v="sositba@sositba.sk"/>
    <m/>
    <m/>
    <m/>
    <s v="Mgr. Marek Ivan, majster O.V."/>
    <s v="ivan1@sositba.sk_x000a_ivan@sositba.sk"/>
    <n v="48"/>
  </r>
  <r>
    <n v="30775353"/>
    <n v="100000160"/>
    <n v="30775353"/>
    <s v="Stredná priemyselná škola elektrotechnická Zochova"/>
    <s v="Zochova 9, 811 09 Bratislava"/>
    <s v="Bratislava"/>
    <s v="BSK vybrané"/>
    <s v="BSK"/>
    <s v="ano"/>
    <n v="1"/>
    <s v="ano"/>
    <s v="Len výber"/>
    <s v="BSK"/>
    <n v="5.5"/>
    <m/>
    <m/>
    <m/>
    <n v="547"/>
    <n v="31"/>
    <n v="550"/>
    <n v="450"/>
    <n v="100"/>
    <n v="20"/>
    <n v="0.22906197654941374"/>
    <n v="0.70866141732283461"/>
    <m/>
    <x v="11"/>
    <s v="3*top, CCNA = záujem v plnom rozsahu s certifikáciou - doplnil som vybavenie LAB z vlastnej vôle - dohodneme podporu zo strany BSK ak bude treba"/>
    <n v="1"/>
    <m/>
    <m/>
    <m/>
    <m/>
    <s v="zrušiť1"/>
    <s v="zrušiť12"/>
    <m/>
    <m/>
    <m/>
    <m/>
    <m/>
    <m/>
    <m/>
    <m/>
    <m/>
    <m/>
    <m/>
    <m/>
    <m/>
    <m/>
    <m/>
    <m/>
    <m/>
    <m/>
    <m/>
    <m/>
    <m/>
    <m/>
    <s v="zrušiť4"/>
    <s v="zrušiť4"/>
    <s v="zrušiť2"/>
    <s v="zrušiť6"/>
    <s v="zrušiť4"/>
    <s v="zrušiť10"/>
    <s v="zrušiť5"/>
    <s v="Ing. Marián Beniak, PhD."/>
    <s v="beniak@zochova.sk"/>
    <m/>
    <s v="Ing, Daniela Vannayová, zástupkyňa"/>
    <s v="vannayova@zochova.sk"/>
    <s v="Štefan Balogh, externý učiteľ UI"/>
    <s v="stefan.balogh@stuba.sk"/>
    <n v="49"/>
  </r>
  <r>
    <n v="17319161"/>
    <n v="100000669"/>
    <n v="17319161"/>
    <s v="Stredná priemyselná škola elektrotechnická Karola Adlera"/>
    <s v="Karola Adlera 5, 841 02 Bratislava"/>
    <s v="Bratislava"/>
    <s v="BSK vybrané"/>
    <s v="BSK"/>
    <s v="ano"/>
    <n v="1"/>
    <s v="ano"/>
    <s v="Max"/>
    <s v="BSK"/>
    <n v="6.6"/>
    <m/>
    <m/>
    <m/>
    <n v="541"/>
    <n v="33"/>
    <n v="570"/>
    <n v="150"/>
    <n v="30"/>
    <n v="20"/>
    <n v="0.22654941373534337"/>
    <n v="0.23622047244094488"/>
    <m/>
    <x v="12"/>
    <s v="4*top, ambícia IT vyplýva zo záujmu o max.zapojenie, CCNA a Cybersec = záujem v plnom rozsahu s certifikáciou"/>
    <n v="1"/>
    <n v="4"/>
    <m/>
    <n v="1"/>
    <n v="15"/>
    <s v="zrušiť1"/>
    <s v="zrušiť15"/>
    <n v="1"/>
    <n v="16"/>
    <m/>
    <m/>
    <m/>
    <m/>
    <m/>
    <m/>
    <m/>
    <m/>
    <m/>
    <m/>
    <m/>
    <m/>
    <n v="1"/>
    <n v="15"/>
    <s v="zrušiť1"/>
    <s v="zrušiť15"/>
    <n v="1"/>
    <n v="12"/>
    <s v="zrušiť1"/>
    <s v="zrušiť12"/>
    <s v="zrušiť9"/>
    <s v="zrušiť5"/>
    <s v="zrušiť3"/>
    <s v="zrušiť5"/>
    <s v="zrušiť5"/>
    <s v="zrušiť3"/>
    <s v="zrušiť2"/>
    <s v="Ing. Daniel Adamko, PhD."/>
    <s v="daniel.adamko@adlerka.sk"/>
    <m/>
    <m/>
    <m/>
    <m/>
    <m/>
    <n v="69"/>
  </r>
  <r>
    <n v="891657"/>
    <n v="100000613"/>
    <n v="891657"/>
    <s v="Súkromná stredná odborná škola automobilová Duálna akadémia"/>
    <s v="Jána Jonáša 5, Bratislava"/>
    <s v="Bratislava"/>
    <s v="BSK vybrané (nová)"/>
    <s v="BSK"/>
    <s v="ano"/>
    <n v="1"/>
    <s v="blízke"/>
    <s v="??"/>
    <m/>
    <n v="6.3"/>
    <m/>
    <s v="CExOVP"/>
    <m/>
    <n v="416"/>
    <n v="11"/>
    <m/>
    <m/>
    <m/>
    <m/>
    <n v="0.17420435510887772"/>
    <n v="0"/>
    <m/>
    <x v="13"/>
    <s v="nedodali, doplnil som (rezervácia)"/>
    <n v="1"/>
    <n v="1"/>
    <m/>
    <n v="1"/>
    <n v="15"/>
    <s v="zrušiť1"/>
    <s v="zrušiť15"/>
    <m/>
    <m/>
    <m/>
    <m/>
    <m/>
    <m/>
    <m/>
    <m/>
    <m/>
    <m/>
    <m/>
    <m/>
    <m/>
    <m/>
    <m/>
    <m/>
    <m/>
    <m/>
    <m/>
    <m/>
    <m/>
    <m/>
    <m/>
    <m/>
    <s v="zrušiť1"/>
    <s v="zrušiť3"/>
    <s v="zrušiť3"/>
    <m/>
    <s v="zrušiť3"/>
    <s v="Milan Ráchela"/>
    <s v="skola@dualnaakademia.sk"/>
    <m/>
    <m/>
    <m/>
    <m/>
    <m/>
    <s v="nie je"/>
  </r>
  <r>
    <s v="17337101"/>
    <s v="100000041"/>
    <s v="17337101"/>
    <s v="Gymnázium Grösslingová"/>
    <s v="Grösslingová 18, 811 09 Bratislava"/>
    <s v="Bratislava"/>
    <s v="BSK"/>
    <s v="BSK"/>
    <s v="ano"/>
    <n v="1"/>
    <s v="nie"/>
    <s v="Len výber"/>
    <m/>
    <n v="9.5"/>
    <m/>
    <m/>
    <m/>
    <n v="710"/>
    <n v="277"/>
    <n v="500"/>
    <n v="0"/>
    <n v="10"/>
    <n v="2"/>
    <n v="0.29731993299832493"/>
    <n v="0"/>
    <m/>
    <x v="14"/>
    <s v="ktovie, či majú stavebnice, pretože my obstarávame len komponenty UI k existujúcej stavebnici"/>
    <n v="1"/>
    <n v="3"/>
    <m/>
    <m/>
    <m/>
    <m/>
    <m/>
    <m/>
    <m/>
    <m/>
    <m/>
    <n v="1"/>
    <n v="1"/>
    <n v="1"/>
    <m/>
    <s v="zrušiť1"/>
    <m/>
    <m/>
    <m/>
    <m/>
    <m/>
    <n v="1"/>
    <n v="15"/>
    <m/>
    <m/>
    <n v="1"/>
    <n v="15"/>
    <m/>
    <m/>
    <s v="zrušiť2"/>
    <s v="zrušiť1"/>
    <s v="zrušiť1"/>
    <s v="zrušiť3"/>
    <s v="zrušiť1"/>
    <s v="zrušiť3"/>
    <s v="zrušiť2"/>
    <s v="Mgr. Viera Babišová"/>
    <s v="viera.babisova@gamca.sk"/>
    <s v="riaditelstvo@gamca.sk"/>
    <m/>
    <m/>
    <s v="Marek Farkaš"/>
    <s v="marek.farkas@gamca.sk"/>
    <n v="71"/>
  </r>
  <r>
    <s v="42178941 "/>
    <s v="100000855"/>
    <s v="710228295"/>
    <s v="Spojená škola Svätej Rodiny - Gymnázium"/>
    <s v="Gercenova 10, 851 01 Bratislava"/>
    <s v="Bratislava"/>
    <s v="BSK"/>
    <s v="BSK"/>
    <s v="ano"/>
    <n v="1"/>
    <s v="nie"/>
    <s v="Len výber"/>
    <m/>
    <n v="6.5"/>
    <m/>
    <m/>
    <m/>
    <n v="300"/>
    <n v="164"/>
    <n v="70"/>
    <n v="0"/>
    <n v="0"/>
    <n v="5"/>
    <n v="0.12562814070351758"/>
    <n v="0"/>
    <m/>
    <x v="14"/>
    <s v="ktovie, či majú stavebnicu, pretože my obstarávame len komponenty UI k existujúcej stavebnici"/>
    <n v="1"/>
    <n v="1"/>
    <m/>
    <m/>
    <m/>
    <m/>
    <m/>
    <m/>
    <m/>
    <m/>
    <m/>
    <m/>
    <m/>
    <m/>
    <m/>
    <m/>
    <m/>
    <m/>
    <m/>
    <m/>
    <m/>
    <m/>
    <m/>
    <m/>
    <m/>
    <n v="1"/>
    <n v="16"/>
    <m/>
    <m/>
    <s v="zrušiť4"/>
    <s v="zrušiť2"/>
    <s v="zrušiť2"/>
    <s v="zrušiť12"/>
    <s v="zrušiť2"/>
    <s v="zrušiť12"/>
    <s v="zrušiť2"/>
    <s v="Ing. Helena Jánošíková"/>
    <s v="riaditel@svr.sk"/>
    <s v="skolasvr@gmail.com"/>
    <m/>
    <m/>
    <s v="Mgr. Ján Pašuth - ŠDK"/>
    <s v="jan.pasuth@svr.sk"/>
    <n v="78"/>
  </r>
  <r>
    <m/>
    <m/>
    <m/>
    <s v="FEI TUKE  - centrum školenia inštruktorov / podporné centrum"/>
    <m/>
    <s v="Košice"/>
    <s v="nie BSK"/>
    <s v="KSK"/>
    <s v="podpora"/>
    <n v="1"/>
    <s v="ano"/>
    <s v="Podpora akad."/>
    <s v="KSK"/>
    <m/>
    <s v="NAG"/>
    <m/>
    <m/>
    <n v="2388"/>
    <m/>
    <m/>
    <m/>
    <m/>
    <m/>
    <n v="1"/>
    <m/>
    <m/>
    <x v="15"/>
    <m/>
    <n v="1"/>
    <n v="2"/>
    <m/>
    <n v="1"/>
    <n v="18"/>
    <n v="1"/>
    <n v="18"/>
    <n v="1"/>
    <n v="18"/>
    <n v="1"/>
    <n v="18"/>
    <m/>
    <m/>
    <m/>
    <m/>
    <m/>
    <m/>
    <m/>
    <m/>
    <m/>
    <m/>
    <m/>
    <m/>
    <m/>
    <m/>
    <m/>
    <m/>
    <m/>
    <m/>
    <n v="6"/>
    <m/>
    <n v="6"/>
    <n v="10"/>
    <n v="9"/>
    <s v="zle"/>
    <s v="zle"/>
    <m/>
    <s v="peter.fecilak@tuke.sk"/>
    <m/>
    <m/>
    <m/>
    <s v="Ing. Katarína Feciľaková, PhD."/>
    <s v="katarina.fecilakova@cnl.sk"/>
    <m/>
  </r>
  <r>
    <m/>
    <m/>
    <m/>
    <s v="PrírF UPJŠ  - centrum školenia inštruktorov / podporné centrum pre vybrané aktivity - kyberbezpečnosť a kvantové IT"/>
    <m/>
    <s v="Košice"/>
    <s v="nie BSK"/>
    <s v="KSK"/>
    <s v="podpora QIT"/>
    <n v="1"/>
    <s v="ano"/>
    <s v="Podpora akad."/>
    <s v="KSK"/>
    <m/>
    <m/>
    <m/>
    <m/>
    <n v="160"/>
    <m/>
    <n v="1000"/>
    <n v="600"/>
    <m/>
    <m/>
    <m/>
    <m/>
    <m/>
    <x v="15"/>
    <m/>
    <n v="1"/>
    <n v="1"/>
    <m/>
    <m/>
    <m/>
    <m/>
    <m/>
    <m/>
    <m/>
    <m/>
    <m/>
    <m/>
    <m/>
    <m/>
    <m/>
    <n v="4"/>
    <n v="1"/>
    <m/>
    <m/>
    <m/>
    <m/>
    <m/>
    <m/>
    <m/>
    <m/>
    <m/>
    <m/>
    <m/>
    <m/>
    <s v="zle"/>
    <m/>
    <s v="zle"/>
    <s v="zle"/>
    <s v="zle"/>
    <s v="zle"/>
    <s v="zle"/>
    <m/>
    <m/>
    <m/>
    <m/>
    <m/>
    <m/>
    <m/>
    <m/>
  </r>
  <r>
    <m/>
    <m/>
    <m/>
    <s v="FIIT STU  - centrum školenia inštruktorov"/>
    <m/>
    <s v="Bratislava"/>
    <s v="BSK obstarávanie len LAB A a B (zo spoluúčasti)"/>
    <s v="BSK"/>
    <s v="podpora"/>
    <n v="1"/>
    <s v="ano"/>
    <s v="Podpora akad."/>
    <s v="BSK"/>
    <m/>
    <s v="NAG"/>
    <m/>
    <m/>
    <n v="886"/>
    <m/>
    <m/>
    <m/>
    <m/>
    <m/>
    <m/>
    <m/>
    <m/>
    <x v="16"/>
    <s v="neskoro a ktovie čo mysleli"/>
    <n v="1"/>
    <n v="2"/>
    <m/>
    <n v="1"/>
    <n v="26"/>
    <s v="zrušiť1"/>
    <s v="zrušiť15"/>
    <n v="1"/>
    <n v="12"/>
    <s v="zrušiť1"/>
    <s v="zrušiť15"/>
    <m/>
    <m/>
    <m/>
    <m/>
    <s v="zrušiť4"/>
    <s v="zrušiť1"/>
    <m/>
    <m/>
    <m/>
    <m/>
    <m/>
    <m/>
    <m/>
    <m/>
    <m/>
    <m/>
    <m/>
    <m/>
    <s v="zle"/>
    <m/>
    <s v="zle"/>
    <s v="zle"/>
    <s v="zle"/>
    <s v="zle"/>
    <s v="zle"/>
    <m/>
    <m/>
    <m/>
    <m/>
    <m/>
    <m/>
    <m/>
    <m/>
  </r>
  <r>
    <m/>
    <m/>
    <m/>
    <s v="FRI UNIZA  - centrum školenia inštruktorov"/>
    <m/>
    <s v="Žilina"/>
    <s v="nie BSK"/>
    <s v="ZSK"/>
    <s v="podpora"/>
    <n v="1"/>
    <s v="ano"/>
    <s v="Podpora akad."/>
    <s v="ZSK"/>
    <m/>
    <s v="NAG"/>
    <m/>
    <m/>
    <n v="1549"/>
    <m/>
    <n v="1646"/>
    <n v="1646"/>
    <m/>
    <m/>
    <m/>
    <m/>
    <m/>
    <x v="15"/>
    <m/>
    <n v="1"/>
    <n v="5"/>
    <m/>
    <n v="2"/>
    <n v="45"/>
    <n v="2"/>
    <n v="45"/>
    <n v="1"/>
    <n v="20"/>
    <n v="1"/>
    <n v="20"/>
    <m/>
    <m/>
    <m/>
    <m/>
    <n v="4"/>
    <n v="1"/>
    <m/>
    <m/>
    <m/>
    <m/>
    <m/>
    <m/>
    <m/>
    <m/>
    <m/>
    <m/>
    <m/>
    <m/>
    <n v="6"/>
    <m/>
    <n v="7"/>
    <n v="20"/>
    <n v="12"/>
    <s v="zle"/>
    <s v="zle"/>
    <m/>
    <s v="pavel.segec@fri.uniza.sk"/>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71DB37-4AE0-0B4D-A278-3F81D5192060}" name="Kontingenčná tabuľka1" cacheId="6"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2:D59" firstHeaderRow="0" firstDataRow="1" firstDataCol="1"/>
  <pivotFields count="21">
    <pivotField showAll="0">
      <items count="62">
        <item x="20"/>
        <item x="13"/>
        <item x="4"/>
        <item x="58"/>
        <item x="60"/>
        <item x="29"/>
        <item x="59"/>
        <item x="56"/>
        <item x="49"/>
        <item x="27"/>
        <item x="18"/>
        <item x="35"/>
        <item x="31"/>
        <item x="50"/>
        <item x="39"/>
        <item x="1"/>
        <item x="57"/>
        <item x="30"/>
        <item x="52"/>
        <item x="10"/>
        <item x="26"/>
        <item x="41"/>
        <item x="38"/>
        <item x="46"/>
        <item x="25"/>
        <item x="40"/>
        <item x="33"/>
        <item x="12"/>
        <item x="19"/>
        <item x="44"/>
        <item x="34"/>
        <item x="32"/>
        <item x="2"/>
        <item x="42"/>
        <item x="54"/>
        <item x="53"/>
        <item x="45"/>
        <item x="47"/>
        <item x="5"/>
        <item x="3"/>
        <item x="22"/>
        <item x="28"/>
        <item x="43"/>
        <item x="15"/>
        <item x="51"/>
        <item x="11"/>
        <item x="9"/>
        <item x="14"/>
        <item x="24"/>
        <item x="37"/>
        <item x="7"/>
        <item x="36"/>
        <item x="0"/>
        <item x="8"/>
        <item x="23"/>
        <item x="16"/>
        <item x="6"/>
        <item x="55"/>
        <item x="21"/>
        <item x="17"/>
        <item x="48"/>
        <item t="default"/>
      </items>
    </pivotField>
    <pivotField showAll="0">
      <items count="54">
        <item x="40"/>
        <item x="48"/>
        <item x="11"/>
        <item x="38"/>
        <item x="51"/>
        <item x="50"/>
        <item x="5"/>
        <item x="28"/>
        <item x="22"/>
        <item x="39"/>
        <item x="42"/>
        <item x="6"/>
        <item x="24"/>
        <item x="16"/>
        <item x="14"/>
        <item x="3"/>
        <item x="8"/>
        <item x="4"/>
        <item x="45"/>
        <item x="46"/>
        <item x="1"/>
        <item x="34"/>
        <item x="30"/>
        <item x="17"/>
        <item x="2"/>
        <item x="0"/>
        <item x="44"/>
        <item x="25"/>
        <item x="21"/>
        <item x="27"/>
        <item x="7"/>
        <item x="36"/>
        <item x="31"/>
        <item x="49"/>
        <item x="23"/>
        <item x="20"/>
        <item x="52"/>
        <item x="37"/>
        <item x="47"/>
        <item x="41"/>
        <item x="35"/>
        <item x="10"/>
        <item x="15"/>
        <item x="9"/>
        <item x="29"/>
        <item x="13"/>
        <item x="26"/>
        <item x="18"/>
        <item x="19"/>
        <item x="32"/>
        <item x="33"/>
        <item x="12"/>
        <item x="43"/>
        <item t="default"/>
      </items>
    </pivotField>
    <pivotField showAll="0">
      <items count="10">
        <item x="3"/>
        <item x="2"/>
        <item x="4"/>
        <item x="0"/>
        <item x="5"/>
        <item x="8"/>
        <item x="1"/>
        <item x="7"/>
        <item x="6"/>
        <item t="default"/>
      </items>
    </pivotField>
    <pivotField showAll="0">
      <items count="786">
        <item x="338"/>
        <item x="17"/>
        <item x="756"/>
        <item x="429"/>
        <item x="324"/>
        <item x="691"/>
        <item x="313"/>
        <item x="507"/>
        <item x="667"/>
        <item x="476"/>
        <item x="18"/>
        <item x="270"/>
        <item x="240"/>
        <item x="516"/>
        <item x="194"/>
        <item x="339"/>
        <item x="129"/>
        <item x="635"/>
        <item x="340"/>
        <item x="395"/>
        <item x="53"/>
        <item x="238"/>
        <item x="714"/>
        <item x="609"/>
        <item x="195"/>
        <item x="265"/>
        <item x="499"/>
        <item x="772"/>
        <item x="517"/>
        <item x="54"/>
        <item x="430"/>
        <item x="55"/>
        <item x="161"/>
        <item x="431"/>
        <item x="493"/>
        <item x="692"/>
        <item x="0"/>
        <item x="56"/>
        <item x="610"/>
        <item x="611"/>
        <item x="241"/>
        <item x="242"/>
        <item x="130"/>
        <item x="196"/>
        <item x="757"/>
        <item x="162"/>
        <item x="730"/>
        <item x="693"/>
        <item x="661"/>
        <item x="163"/>
        <item x="341"/>
        <item x="694"/>
        <item x="131"/>
        <item x="57"/>
        <item x="432"/>
        <item x="773"/>
        <item x="58"/>
        <item x="19"/>
        <item x="20"/>
        <item x="271"/>
        <item x="197"/>
        <item x="494"/>
        <item x="655"/>
        <item x="9"/>
        <item x="518"/>
        <item x="559"/>
        <item x="342"/>
        <item x="433"/>
        <item x="731"/>
        <item x="500"/>
        <item x="557"/>
        <item x="198"/>
        <item x="21"/>
        <item x="434"/>
        <item x="715"/>
        <item x="549"/>
        <item x="594"/>
        <item x="668"/>
        <item x="199"/>
        <item x="675"/>
        <item x="343"/>
        <item x="515"/>
        <item x="10"/>
        <item x="344"/>
        <item x="572"/>
        <item x="164"/>
        <item x="636"/>
        <item x="345"/>
        <item x="200"/>
        <item x="716"/>
        <item x="591"/>
        <item x="695"/>
        <item x="696"/>
        <item x="732"/>
        <item x="612"/>
        <item x="330"/>
        <item x="331"/>
        <item x="332"/>
        <item x="519"/>
        <item x="396"/>
        <item x="397"/>
        <item x="314"/>
        <item x="717"/>
        <item x="520"/>
        <item x="758"/>
        <item x="243"/>
        <item x="155"/>
        <item x="266"/>
        <item x="521"/>
        <item x="435"/>
        <item x="22"/>
        <item x="272"/>
        <item x="346"/>
        <item x="508"/>
        <item x="201"/>
        <item x="347"/>
        <item x="156"/>
        <item x="157"/>
        <item x="158"/>
        <item x="159"/>
        <item x="759"/>
        <item x="348"/>
        <item x="501"/>
        <item x="349"/>
        <item x="595"/>
        <item x="59"/>
        <item x="350"/>
        <item x="351"/>
        <item x="352"/>
        <item x="353"/>
        <item x="354"/>
        <item x="599"/>
        <item x="355"/>
        <item x="356"/>
        <item x="60"/>
        <item x="357"/>
        <item x="358"/>
        <item x="165"/>
        <item x="166"/>
        <item x="398"/>
        <item x="399"/>
        <item x="733"/>
        <item x="509"/>
        <item x="167"/>
        <item x="436"/>
        <item x="774"/>
        <item x="23"/>
        <item x="522"/>
        <item x="734"/>
        <item x="61"/>
        <item x="634"/>
        <item x="760"/>
        <item x="62"/>
        <item x="735"/>
        <item x="775"/>
        <item x="761"/>
        <item x="63"/>
        <item x="573"/>
        <item x="315"/>
        <item x="697"/>
        <item x="244"/>
        <item x="64"/>
        <item x="762"/>
        <item x="763"/>
        <item x="437"/>
        <item x="438"/>
        <item x="439"/>
        <item x="440"/>
        <item x="273"/>
        <item x="441"/>
        <item x="736"/>
        <item x="274"/>
        <item x="267"/>
        <item x="764"/>
        <item x="442"/>
        <item x="560"/>
        <item x="561"/>
        <item x="245"/>
        <item x="359"/>
        <item x="65"/>
        <item x="360"/>
        <item x="776"/>
        <item x="66"/>
        <item x="443"/>
        <item x="67"/>
        <item x="444"/>
        <item x="445"/>
        <item x="246"/>
        <item x="737"/>
        <item x="68"/>
        <item x="765"/>
        <item x="69"/>
        <item x="275"/>
        <item x="70"/>
        <item x="738"/>
        <item x="168"/>
        <item x="71"/>
        <item x="72"/>
        <item x="502"/>
        <item x="659"/>
        <item x="276"/>
        <item x="361"/>
        <item x="446"/>
        <item x="523"/>
        <item x="73"/>
        <item x="74"/>
        <item x="739"/>
        <item x="362"/>
        <item x="363"/>
        <item x="364"/>
        <item x="75"/>
        <item x="365"/>
        <item x="76"/>
        <item x="77"/>
        <item x="740"/>
        <item x="741"/>
        <item x="263"/>
        <item x="169"/>
        <item x="78"/>
        <item x="1"/>
        <item x="3"/>
        <item x="503"/>
        <item x="4"/>
        <item x="5"/>
        <item x="24"/>
        <item x="6"/>
        <item x="79"/>
        <item x="656"/>
        <item x="567"/>
        <item x="495"/>
        <item x="496"/>
        <item x="630"/>
        <item x="631"/>
        <item x="323"/>
        <item x="262"/>
        <item x="80"/>
        <item x="81"/>
        <item x="82"/>
        <item x="83"/>
        <item x="84"/>
        <item x="85"/>
        <item x="86"/>
        <item x="777"/>
        <item x="366"/>
        <item x="87"/>
        <item x="202"/>
        <item x="203"/>
        <item x="204"/>
        <item x="367"/>
        <item x="88"/>
        <item x="89"/>
        <item x="11"/>
        <item x="132"/>
        <item x="726"/>
        <item x="90"/>
        <item x="676"/>
        <item x="677"/>
        <item x="277"/>
        <item x="524"/>
        <item x="637"/>
        <item x="91"/>
        <item x="407"/>
        <item x="205"/>
        <item x="504"/>
        <item x="133"/>
        <item x="742"/>
        <item x="525"/>
        <item x="170"/>
        <item x="25"/>
        <item x="206"/>
        <item x="92"/>
        <item x="447"/>
        <item x="7"/>
        <item x="568"/>
        <item x="477"/>
        <item x="514"/>
        <item x="596"/>
        <item x="718"/>
        <item x="368"/>
        <item x="574"/>
        <item x="134"/>
        <item x="613"/>
        <item x="698"/>
        <item x="26"/>
        <item x="316"/>
        <item x="400"/>
        <item x="719"/>
        <item x="699"/>
        <item x="268"/>
        <item x="207"/>
        <item x="278"/>
        <item x="135"/>
        <item x="408"/>
        <item x="401"/>
        <item x="93"/>
        <item x="94"/>
        <item x="766"/>
        <item x="478"/>
        <item x="638"/>
        <item x="639"/>
        <item x="678"/>
        <item x="208"/>
        <item x="333"/>
        <item x="640"/>
        <item x="369"/>
        <item x="171"/>
        <item x="448"/>
        <item x="406"/>
        <item x="627"/>
        <item x="136"/>
        <item x="662"/>
        <item x="778"/>
        <item x="449"/>
        <item x="669"/>
        <item x="510"/>
        <item x="450"/>
        <item x="679"/>
        <item x="8"/>
        <item x="779"/>
        <item x="479"/>
        <item x="632"/>
        <item x="209"/>
        <item x="137"/>
        <item x="95"/>
        <item x="325"/>
        <item x="27"/>
        <item x="327"/>
        <item x="172"/>
        <item x="600"/>
        <item x="28"/>
        <item x="743"/>
        <item x="720"/>
        <item x="700"/>
        <item x="727"/>
        <item x="173"/>
        <item x="29"/>
        <item x="247"/>
        <item x="641"/>
        <item x="728"/>
        <item x="562"/>
        <item x="279"/>
        <item x="575"/>
        <item x="210"/>
        <item x="451"/>
        <item x="280"/>
        <item x="211"/>
        <item x="281"/>
        <item x="576"/>
        <item x="670"/>
        <item x="511"/>
        <item x="370"/>
        <item x="160"/>
        <item x="212"/>
        <item x="402"/>
        <item x="282"/>
        <item x="174"/>
        <item x="96"/>
        <item x="553"/>
        <item x="744"/>
        <item x="409"/>
        <item x="452"/>
        <item x="410"/>
        <item x="577"/>
        <item x="745"/>
        <item x="497"/>
        <item x="642"/>
        <item x="480"/>
        <item x="138"/>
        <item x="371"/>
        <item x="213"/>
        <item x="184"/>
        <item x="643"/>
        <item x="30"/>
        <item x="283"/>
        <item x="721"/>
        <item x="31"/>
        <item x="644"/>
        <item x="248"/>
        <item x="671"/>
        <item x="526"/>
        <item x="527"/>
        <item x="139"/>
        <item x="601"/>
        <item x="528"/>
        <item x="481"/>
        <item x="505"/>
        <item x="529"/>
        <item x="97"/>
        <item x="411"/>
        <item x="249"/>
        <item x="602"/>
        <item x="317"/>
        <item x="214"/>
        <item x="645"/>
        <item x="98"/>
        <item x="530"/>
        <item x="372"/>
        <item x="373"/>
        <item x="767"/>
        <item x="374"/>
        <item x="215"/>
        <item x="185"/>
        <item x="216"/>
        <item x="403"/>
        <item x="412"/>
        <item x="453"/>
        <item x="482"/>
        <item x="531"/>
        <item x="186"/>
        <item x="614"/>
        <item x="375"/>
        <item x="615"/>
        <item x="483"/>
        <item x="746"/>
        <item x="99"/>
        <item x="646"/>
        <item x="701"/>
        <item x="454"/>
        <item x="100"/>
        <item x="532"/>
        <item x="498"/>
        <item x="250"/>
        <item x="592"/>
        <item x="413"/>
        <item x="680"/>
        <item x="578"/>
        <item x="533"/>
        <item x="414"/>
        <item x="616"/>
        <item x="376"/>
        <item x="617"/>
        <item x="579"/>
        <item x="284"/>
        <item x="455"/>
        <item x="534"/>
        <item x="618"/>
        <item x="456"/>
        <item x="535"/>
        <item x="415"/>
        <item x="660"/>
        <item x="32"/>
        <item x="187"/>
        <item x="101"/>
        <item x="747"/>
        <item x="647"/>
        <item x="664"/>
        <item x="554"/>
        <item x="102"/>
        <item x="188"/>
        <item x="175"/>
        <item x="555"/>
        <item x="103"/>
        <item x="457"/>
        <item x="104"/>
        <item x="603"/>
        <item x="285"/>
        <item x="702"/>
        <item x="377"/>
        <item x="286"/>
        <item x="484"/>
        <item x="318"/>
        <item x="722"/>
        <item x="15"/>
        <item x="580"/>
        <item x="378"/>
        <item x="458"/>
        <item x="379"/>
        <item x="176"/>
        <item x="33"/>
        <item x="251"/>
        <item x="34"/>
        <item x="287"/>
        <item x="189"/>
        <item x="252"/>
        <item x="753"/>
        <item x="140"/>
        <item x="105"/>
        <item x="106"/>
        <item x="35"/>
        <item x="380"/>
        <item x="485"/>
        <item x="288"/>
        <item x="748"/>
        <item x="217"/>
        <item x="107"/>
        <item x="536"/>
        <item x="459"/>
        <item x="672"/>
        <item x="218"/>
        <item x="289"/>
        <item x="108"/>
        <item x="581"/>
        <item x="290"/>
        <item x="253"/>
        <item x="648"/>
        <item x="109"/>
        <item x="381"/>
        <item x="291"/>
        <item x="292"/>
        <item x="681"/>
        <item x="110"/>
        <item x="537"/>
        <item x="512"/>
        <item x="703"/>
        <item x="416"/>
        <item x="404"/>
        <item x="780"/>
        <item x="682"/>
        <item x="781"/>
        <item x="111"/>
        <item x="417"/>
        <item x="604"/>
        <item x="605"/>
        <item x="538"/>
        <item x="768"/>
        <item x="683"/>
        <item x="382"/>
        <item x="383"/>
        <item x="582"/>
        <item x="112"/>
        <item x="460"/>
        <item x="384"/>
        <item x="141"/>
        <item x="583"/>
        <item x="36"/>
        <item x="293"/>
        <item x="704"/>
        <item x="113"/>
        <item x="37"/>
        <item x="254"/>
        <item x="539"/>
        <item x="486"/>
        <item x="328"/>
        <item x="684"/>
        <item x="38"/>
        <item x="142"/>
        <item x="657"/>
        <item x="334"/>
        <item x="255"/>
        <item x="219"/>
        <item x="294"/>
        <item x="190"/>
        <item x="418"/>
        <item x="606"/>
        <item x="326"/>
        <item x="705"/>
        <item x="256"/>
        <item x="295"/>
        <item x="319"/>
        <item x="220"/>
        <item x="540"/>
        <item x="584"/>
        <item x="665"/>
        <item x="143"/>
        <item x="541"/>
        <item x="563"/>
        <item x="221"/>
        <item x="296"/>
        <item x="297"/>
        <item x="607"/>
        <item x="39"/>
        <item x="144"/>
        <item x="222"/>
        <item x="298"/>
        <item x="633"/>
        <item x="223"/>
        <item x="419"/>
        <item x="666"/>
        <item x="12"/>
        <item x="40"/>
        <item x="628"/>
        <item x="41"/>
        <item x="335"/>
        <item x="299"/>
        <item x="385"/>
        <item x="769"/>
        <item x="42"/>
        <item x="550"/>
        <item x="673"/>
        <item x="420"/>
        <item x="461"/>
        <item x="13"/>
        <item x="619"/>
        <item x="177"/>
        <item x="749"/>
        <item x="462"/>
        <item x="463"/>
        <item x="239"/>
        <item x="663"/>
        <item x="145"/>
        <item x="114"/>
        <item x="750"/>
        <item x="782"/>
        <item x="487"/>
        <item x="386"/>
        <item x="685"/>
        <item x="706"/>
        <item x="43"/>
        <item x="707"/>
        <item x="751"/>
        <item x="115"/>
        <item x="464"/>
        <item x="387"/>
        <item x="465"/>
        <item x="224"/>
        <item x="116"/>
        <item x="488"/>
        <item x="421"/>
        <item x="44"/>
        <item x="117"/>
        <item x="708"/>
        <item x="770"/>
        <item x="146"/>
        <item x="542"/>
        <item x="191"/>
        <item x="300"/>
        <item x="723"/>
        <item x="301"/>
        <item x="556"/>
        <item x="118"/>
        <item x="620"/>
        <item x="225"/>
        <item x="649"/>
        <item x="257"/>
        <item x="629"/>
        <item x="226"/>
        <item x="466"/>
        <item x="585"/>
        <item x="336"/>
        <item x="119"/>
        <item x="227"/>
        <item x="569"/>
        <item x="192"/>
        <item x="302"/>
        <item x="467"/>
        <item x="422"/>
        <item x="586"/>
        <item x="45"/>
        <item x="724"/>
        <item x="120"/>
        <item x="468"/>
        <item x="423"/>
        <item x="320"/>
        <item x="121"/>
        <item x="303"/>
        <item x="506"/>
        <item x="178"/>
        <item x="709"/>
        <item x="424"/>
        <item x="122"/>
        <item x="304"/>
        <item x="551"/>
        <item x="16"/>
        <item x="305"/>
        <item x="543"/>
        <item x="489"/>
        <item x="46"/>
        <item x="321"/>
        <item x="228"/>
        <item x="490"/>
        <item x="650"/>
        <item x="269"/>
        <item x="564"/>
        <item x="570"/>
        <item x="425"/>
        <item x="587"/>
        <item x="179"/>
        <item x="47"/>
        <item x="388"/>
        <item x="306"/>
        <item x="469"/>
        <item x="147"/>
        <item x="148"/>
        <item x="322"/>
        <item x="123"/>
        <item x="229"/>
        <item x="230"/>
        <item x="231"/>
        <item x="307"/>
        <item x="593"/>
        <item x="180"/>
        <item x="470"/>
        <item x="193"/>
        <item x="491"/>
        <item x="492"/>
        <item x="329"/>
        <item x="783"/>
        <item x="725"/>
        <item x="124"/>
        <item x="258"/>
        <item x="308"/>
        <item x="232"/>
        <item x="686"/>
        <item x="687"/>
        <item x="597"/>
        <item x="309"/>
        <item x="544"/>
        <item x="426"/>
        <item x="310"/>
        <item x="48"/>
        <item x="149"/>
        <item x="688"/>
        <item x="181"/>
        <item x="552"/>
        <item x="754"/>
        <item x="259"/>
        <item x="150"/>
        <item x="49"/>
        <item x="233"/>
        <item x="565"/>
        <item x="710"/>
        <item x="471"/>
        <item x="711"/>
        <item x="621"/>
        <item x="588"/>
        <item x="651"/>
        <item x="151"/>
        <item x="125"/>
        <item x="311"/>
        <item x="14"/>
        <item x="652"/>
        <item x="784"/>
        <item x="622"/>
        <item x="389"/>
        <item x="126"/>
        <item x="260"/>
        <item x="182"/>
        <item x="571"/>
        <item x="623"/>
        <item x="589"/>
        <item x="312"/>
        <item x="472"/>
        <item x="755"/>
        <item x="674"/>
        <item x="390"/>
        <item x="152"/>
        <item x="653"/>
        <item x="545"/>
        <item x="546"/>
        <item x="391"/>
        <item x="153"/>
        <item x="234"/>
        <item x="624"/>
        <item x="598"/>
        <item x="658"/>
        <item x="392"/>
        <item x="235"/>
        <item x="608"/>
        <item x="625"/>
        <item x="558"/>
        <item x="337"/>
        <item x="50"/>
        <item x="689"/>
        <item x="712"/>
        <item x="654"/>
        <item x="427"/>
        <item x="51"/>
        <item x="127"/>
        <item x="393"/>
        <item x="729"/>
        <item x="713"/>
        <item x="513"/>
        <item x="547"/>
        <item x="690"/>
        <item x="154"/>
        <item x="771"/>
        <item x="548"/>
        <item x="566"/>
        <item x="428"/>
        <item x="405"/>
        <item x="394"/>
        <item x="183"/>
        <item x="264"/>
        <item x="626"/>
        <item x="473"/>
        <item x="590"/>
        <item x="236"/>
        <item x="128"/>
        <item x="474"/>
        <item x="261"/>
        <item x="752"/>
        <item x="237"/>
        <item x="475"/>
        <item x="52"/>
        <item x="2"/>
        <item t="default"/>
      </items>
    </pivotField>
    <pivotField showAll="0"/>
    <pivotField showAll="0"/>
    <pivotField showAll="0"/>
    <pivotField showAll="0"/>
    <pivotField axis="axisRow" showAll="0">
      <items count="57">
        <item x="24"/>
        <item x="25"/>
        <item x="44"/>
        <item x="26"/>
        <item x="18"/>
        <item x="10"/>
        <item x="9"/>
        <item x="8"/>
        <item x="11"/>
        <item x="5"/>
        <item x="4"/>
        <item x="29"/>
        <item x="53"/>
        <item x="36"/>
        <item x="45"/>
        <item x="33"/>
        <item x="30"/>
        <item x="38"/>
        <item x="54"/>
        <item x="46"/>
        <item x="43"/>
        <item x="47"/>
        <item x="41"/>
        <item x="32"/>
        <item x="0"/>
        <item x="52"/>
        <item x="15"/>
        <item x="40"/>
        <item x="31"/>
        <item x="48"/>
        <item x="13"/>
        <item x="34"/>
        <item x="3"/>
        <item x="42"/>
        <item x="27"/>
        <item x="17"/>
        <item x="51"/>
        <item x="14"/>
        <item x="50"/>
        <item x="6"/>
        <item x="49"/>
        <item x="55"/>
        <item x="1"/>
        <item x="7"/>
        <item x="35"/>
        <item x="20"/>
        <item x="39"/>
        <item x="21"/>
        <item x="23"/>
        <item x="22"/>
        <item x="19"/>
        <item x="12"/>
        <item x="16"/>
        <item x="28"/>
        <item x="37"/>
        <item x="2"/>
        <item t="default"/>
      </items>
    </pivotField>
    <pivotField showAll="0"/>
    <pivotField showAll="0"/>
    <pivotField showAll="0"/>
    <pivotField showAll="0"/>
    <pivotField showAll="0"/>
    <pivotField showAll="0"/>
    <pivotField numFmtId="178" showAll="0"/>
    <pivotField numFmtId="178" showAll="0"/>
    <pivotField numFmtId="178" showAll="0"/>
    <pivotField dataField="1" showAll="0"/>
    <pivotField dataField="1" showAll="0"/>
    <pivotField dataField="1" showAll="0"/>
  </pivotFields>
  <rowFields count="1">
    <field x="8"/>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3">
    <i>
      <x/>
    </i>
    <i i="1">
      <x v="1"/>
    </i>
    <i i="2">
      <x v="2"/>
    </i>
  </colItems>
  <dataFields count="3">
    <dataField name="Súčet z # Class Registrants2" fld="18" baseField="0" baseItem="0"/>
    <dataField name="Súčet z # Class Participants2" fld="19" baseField="0" baseItem="0"/>
    <dataField name="Súčet z # Class Completions2" fld="20" baseField="0" baseItem="0"/>
  </dataFields>
  <formats count="2">
    <format dxfId="50">
      <pivotArea outline="0" collapsedLevelsAreSubtotals="1" fieldPosition="0"/>
    </format>
    <format dxfId="4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611589-966C-D94B-BEE4-9DD0A54779EE}" name="Kontingenčná tabuľka2" cacheId="6"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3:D57" firstHeaderRow="0" firstDataRow="1" firstDataCol="1"/>
  <pivotFields count="21">
    <pivotField showAll="0" defaultSubtotal="0">
      <items count="61">
        <item x="20"/>
        <item x="13"/>
        <item x="4"/>
        <item x="58"/>
        <item x="60"/>
        <item x="29"/>
        <item x="59"/>
        <item x="56"/>
        <item x="49"/>
        <item x="27"/>
        <item x="18"/>
        <item x="35"/>
        <item x="31"/>
        <item x="50"/>
        <item x="39"/>
        <item x="1"/>
        <item x="57"/>
        <item x="30"/>
        <item x="52"/>
        <item x="10"/>
        <item x="26"/>
        <item x="41"/>
        <item x="38"/>
        <item x="46"/>
        <item x="25"/>
        <item x="40"/>
        <item x="33"/>
        <item x="12"/>
        <item x="19"/>
        <item x="44"/>
        <item x="34"/>
        <item x="32"/>
        <item x="2"/>
        <item x="42"/>
        <item x="54"/>
        <item x="53"/>
        <item x="45"/>
        <item x="47"/>
        <item x="5"/>
        <item x="3"/>
        <item x="22"/>
        <item x="28"/>
        <item x="43"/>
        <item x="15"/>
        <item x="51"/>
        <item x="11"/>
        <item x="9"/>
        <item x="14"/>
        <item x="24"/>
        <item x="37"/>
        <item x="7"/>
        <item x="36"/>
        <item x="0"/>
        <item x="8"/>
        <item x="23"/>
        <item x="16"/>
        <item x="6"/>
        <item x="55"/>
        <item x="21"/>
        <item x="17"/>
        <item x="48"/>
      </items>
    </pivotField>
    <pivotField axis="axisRow" showAll="0">
      <items count="54">
        <item x="40"/>
        <item x="48"/>
        <item x="11"/>
        <item x="38"/>
        <item x="51"/>
        <item x="50"/>
        <item x="5"/>
        <item x="28"/>
        <item x="22"/>
        <item x="39"/>
        <item x="42"/>
        <item x="6"/>
        <item x="24"/>
        <item x="16"/>
        <item x="14"/>
        <item x="3"/>
        <item x="8"/>
        <item x="4"/>
        <item x="45"/>
        <item x="46"/>
        <item x="1"/>
        <item x="34"/>
        <item x="30"/>
        <item x="17"/>
        <item x="2"/>
        <item x="0"/>
        <item x="44"/>
        <item x="25"/>
        <item x="21"/>
        <item x="27"/>
        <item x="7"/>
        <item x="36"/>
        <item x="31"/>
        <item x="49"/>
        <item x="23"/>
        <item x="20"/>
        <item x="52"/>
        <item x="37"/>
        <item x="47"/>
        <item x="41"/>
        <item x="35"/>
        <item x="10"/>
        <item x="15"/>
        <item x="9"/>
        <item x="29"/>
        <item x="13"/>
        <item x="26"/>
        <item x="18"/>
        <item x="19"/>
        <item x="32"/>
        <item x="33"/>
        <item x="12"/>
        <item x="4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8" showAll="0"/>
    <pivotField numFmtId="178" showAll="0"/>
    <pivotField numFmtId="178" showAll="0"/>
    <pivotField dataField="1" showAll="0"/>
    <pivotField dataField="1" showAll="0"/>
    <pivotField dataField="1" showAll="0"/>
  </pivotFields>
  <rowFields count="1">
    <field x="1"/>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3">
    <i>
      <x/>
    </i>
    <i i="1">
      <x v="1"/>
    </i>
    <i i="2">
      <x v="2"/>
    </i>
  </colItems>
  <dataFields count="3">
    <dataField name="Súčet z # Class Registrants2" fld="18" baseField="0" baseItem="0"/>
    <dataField name="Súčet z # Class Participants2" fld="19" baseField="0" baseItem="0"/>
    <dataField name="Súčet z # Class Completions2" fld="20" baseField="0" baseItem="0"/>
  </dataFields>
  <formats count="13">
    <format dxfId="48">
      <pivotArea collapsedLevelsAreSubtotals="1" fieldPosition="0">
        <references count="2">
          <reference field="4294967294" count="1" selected="0">
            <x v="1"/>
          </reference>
          <reference field="1" count="52">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47">
      <pivotArea collapsedLevelsAreSubtotals="1" fieldPosition="0">
        <references count="2">
          <reference field="4294967294" count="1" selected="0">
            <x v="1"/>
          </reference>
          <reference field="1" count="1">
            <x v="52"/>
          </reference>
        </references>
      </pivotArea>
    </format>
    <format dxfId="46">
      <pivotArea collapsedLevelsAreSubtotals="1" fieldPosition="0">
        <references count="2">
          <reference field="4294967294" count="1" selected="0">
            <x v="1"/>
          </reference>
          <reference field="1" count="1">
            <x v="37"/>
          </reference>
        </references>
      </pivotArea>
    </format>
    <format dxfId="45">
      <pivotArea collapsedLevelsAreSubtotals="1" fieldPosition="0">
        <references count="2">
          <reference field="4294967294" count="1" selected="0">
            <x v="1"/>
          </reference>
          <reference field="1" count="1">
            <x v="17"/>
          </reference>
        </references>
      </pivotArea>
    </format>
    <format dxfId="44">
      <pivotArea collapsedLevelsAreSubtotals="1" fieldPosition="0">
        <references count="2">
          <reference field="4294967294" count="1" selected="0">
            <x v="1"/>
          </reference>
          <reference field="1" count="4">
            <x v="4"/>
            <x v="5"/>
            <x v="6"/>
            <x v="7"/>
          </reference>
        </references>
      </pivotArea>
    </format>
    <format dxfId="43">
      <pivotArea collapsedLevelsAreSubtotals="1" fieldPosition="0">
        <references count="2">
          <reference field="4294967294" count="1" selected="0">
            <x v="1"/>
          </reference>
          <reference field="1" count="1">
            <x v="1"/>
          </reference>
        </references>
      </pivotArea>
    </format>
    <format dxfId="42">
      <pivotArea type="all" dataOnly="0" outline="0" fieldPosition="0"/>
    </format>
    <format dxfId="41">
      <pivotArea outline="0" collapsedLevelsAreSubtotals="1" fieldPosition="0"/>
    </format>
    <format dxfId="40">
      <pivotArea field="1" type="button" dataOnly="0" labelOnly="1" outline="0" axis="axisRow" fieldPosition="0"/>
    </format>
    <format dxfId="3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
      <pivotArea dataOnly="0" labelOnly="1" fieldPosition="0">
        <references count="1">
          <reference field="1" count="3">
            <x v="50"/>
            <x v="51"/>
            <x v="52"/>
          </reference>
        </references>
      </pivotArea>
    </format>
    <format dxfId="37">
      <pivotArea dataOnly="0" labelOnly="1" grandRow="1" outline="0" fieldPosition="0"/>
    </format>
    <format dxfId="3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0D8706-A30C-A04B-B2BC-11554B8C6378}" name="Kontingenčná tabuľka1" cacheId="7"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124:F142" firstHeaderRow="0" firstDataRow="1" firstDataCol="1"/>
  <pivotFields count="72">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axis="axisRow" showAll="0" includeNewItemsInFilter="1">
      <items count="21">
        <item x="3"/>
        <item x="6"/>
        <item x="0"/>
        <item x="1"/>
        <item x="7"/>
        <item x="5"/>
        <item x="2"/>
        <item m="1" x="19"/>
        <item x="4"/>
        <item m="1" x="17"/>
        <item x="8"/>
        <item x="15"/>
        <item x="9"/>
        <item x="10"/>
        <item x="11"/>
        <item x="12"/>
        <item x="13"/>
        <item x="14"/>
        <item x="16"/>
        <item m="1"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18">
    <i>
      <x/>
    </i>
    <i>
      <x v="1"/>
    </i>
    <i>
      <x v="2"/>
    </i>
    <i>
      <x v="3"/>
    </i>
    <i>
      <x v="4"/>
    </i>
    <i>
      <x v="5"/>
    </i>
    <i>
      <x v="6"/>
    </i>
    <i>
      <x v="8"/>
    </i>
    <i>
      <x v="10"/>
    </i>
    <i>
      <x v="11"/>
    </i>
    <i>
      <x v="12"/>
    </i>
    <i>
      <x v="13"/>
    </i>
    <i>
      <x v="14"/>
    </i>
    <i>
      <x v="15"/>
    </i>
    <i>
      <x v="16"/>
    </i>
    <i>
      <x v="17"/>
    </i>
    <i>
      <x v="18"/>
    </i>
    <i t="grand">
      <x/>
    </i>
  </rowItems>
  <colFields count="1">
    <field x="-2"/>
  </colFields>
  <colItems count="5">
    <i>
      <x/>
    </i>
    <i i="1">
      <x v="1"/>
    </i>
    <i i="2">
      <x v="2"/>
    </i>
    <i i="3">
      <x v="3"/>
    </i>
    <i i="4">
      <x v="4"/>
    </i>
  </colItems>
  <dataFields count="5">
    <dataField name="Súčet z Záujem?" fld="9" baseField="0" baseItem="0"/>
    <dataField name="Súčet z Poč. žiakov ODHAD25 všetci" fld="19" baseField="0" baseItem="0" numFmtId="3"/>
    <dataField name="Súčet z Poč. žiakov ODHAD25 ikt" fld="20" baseField="0" baseItem="0" numFmtId="3"/>
    <dataField name="Súčet z Poč. žiakov ODHAD25 digi.zručnosti" fld="21" baseField="0" baseItem="0" numFmtId="3"/>
    <dataField name="Súčet z Poč. žiakov ODHAD25 talentovaní" fld="22" baseField="0" baseItem="0"/>
  </dataFields>
  <formats count="3">
    <format dxfId="35">
      <pivotArea collapsedLevelsAreSubtotals="1" fieldPosition="0">
        <references count="2">
          <reference field="4294967294" count="1" selected="0">
            <x v="0"/>
          </reference>
          <reference field="26" count="1">
            <x v="4"/>
          </reference>
        </references>
      </pivotArea>
    </format>
    <format dxfId="34">
      <pivotArea collapsedLevelsAreSubtotals="1" fieldPosition="0">
        <references count="2">
          <reference field="4294967294" count="1" selected="0">
            <x v="0"/>
          </reference>
          <reference field="26" count="1">
            <x v="9"/>
          </reference>
        </references>
      </pivotArea>
    </format>
    <format dxfId="33">
      <pivotArea collapsedLevelsAreSubtotals="1" fieldPosition="0">
        <references count="2">
          <reference field="4294967294" count="1" selected="0">
            <x v="0"/>
          </reference>
          <reference field="26" count="8">
            <x v="12"/>
            <x v="13"/>
            <x v="14"/>
            <x v="15"/>
            <x v="16"/>
            <x v="17"/>
            <x v="18"/>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inedu.sk/" TargetMode="External"/><Relationship Id="rId1" Type="http://schemas.openxmlformats.org/officeDocument/2006/relationships/hyperlink" Target="mailto:andrej.bederka@minedu.s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academy.fiit.stuba.sk/kurzy" TargetMode="External"/><Relationship Id="rId3" Type="http://schemas.openxmlformats.org/officeDocument/2006/relationships/hyperlink" Target="https://www.tme.eu/sk/katalog/raspberry-pi-minipocitace_118304/?params=2390:2019966_vyrobna-seria:raspberry-pi-5&amp;utm_source=google&amp;utm_medium=cpc&amp;utm_campaign=S%C5%81OWACJA%20%5bHP%5d&amp;gad_source=1&amp;gad_campaignid=664939422&amp;gbraid=0AAAAADyylhJVtYw5ShQ27DK5EG3SrA-Ve&amp;gclid=Cj0KCQjwovPGBhDxARIsAFhgkwQrxg0WHzIwW9rlCRrTTS66gV7g2AAQQihzN98-W6POVFPmR2TNN3EaAgCiEALw_wcB" TargetMode="External"/><Relationship Id="rId7" Type="http://schemas.openxmlformats.org/officeDocument/2006/relationships/hyperlink" Target="http://netacad.kis.fri.uniza.sk/cennik-kurzov" TargetMode="External"/><Relationship Id="rId12" Type="http://schemas.openxmlformats.org/officeDocument/2006/relationships/comments" Target="../comments13.xml"/><Relationship Id="rId2" Type="http://schemas.openxmlformats.org/officeDocument/2006/relationships/hyperlink" Target="https://rlx.sk/sk/jetson-nvidia/8968-jetson-nano-development-expansion-kit-lite-version-a-incl-jetson-nano-module-ws-23668.html" TargetMode="External"/><Relationship Id="rId1" Type="http://schemas.openxmlformats.org/officeDocument/2006/relationships/hyperlink" Target="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 TargetMode="External"/><Relationship Id="rId6" Type="http://schemas.openxmlformats.org/officeDocument/2006/relationships/hyperlink" Target="https://unitc.sk/cennik/" TargetMode="External"/><Relationship Id="rId11" Type="http://schemas.openxmlformats.org/officeDocument/2006/relationships/vmlDrawing" Target="../drawings/vmlDrawing13.vml"/><Relationship Id="rId5" Type="http://schemas.openxmlformats.org/officeDocument/2006/relationships/hyperlink" Target="https://techfun.sk/?s=Arduino+Nano+33+BLE&amp;post_type=product" TargetMode="External"/><Relationship Id="rId10" Type="http://schemas.openxmlformats.org/officeDocument/2006/relationships/drawing" Target="../drawings/drawing1.xml"/><Relationship Id="rId4" Type="http://schemas.openxmlformats.org/officeDocument/2006/relationships/hyperlink" Target="https://rpishop.cz/554037/raspberry-pi-ai-hat-26-tops/"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7.xml.rels><?xml version="1.0" encoding="UTF-8" standalone="yes"?>
<Relationships xmlns="http://schemas.openxmlformats.org/package/2006/relationships"><Relationship Id="rId26" Type="http://schemas.openxmlformats.org/officeDocument/2006/relationships/hyperlink" Target="https://finance.macrosoft.sk/kurz/cisco-ccna-prepinanie-v-lan-sietach" TargetMode="External"/><Relationship Id="rId21" Type="http://schemas.openxmlformats.org/officeDocument/2006/relationships/hyperlink" Target="https://www.skolenia.sk/kurzy/175222/priprava-na-certifikaciu-ccna-skolenie-bratislava" TargetMode="External"/><Relationship Id="rId42" Type="http://schemas.openxmlformats.org/officeDocument/2006/relationships/hyperlink" Target="https://www.academytech.com/en-SK/course/encore-implementing-and-operating-cisco-enterprise-network-core-technologies-350-401-course/humenne" TargetMode="External"/><Relationship Id="rId47" Type="http://schemas.openxmlformats.org/officeDocument/2006/relationships/hyperlink" Target="https://www.gopas.sk/get-course-pdf-detail/9959202" TargetMode="External"/><Relationship Id="rId63" Type="http://schemas.openxmlformats.org/officeDocument/2006/relationships/hyperlink" Target="https://www.it-academy.sk/kurz/powershell-i-zaciatocnik/" TargetMode="External"/><Relationship Id="rId68" Type="http://schemas.openxmlformats.org/officeDocument/2006/relationships/hyperlink" Target="https://www.itlearning.sk/detail/kurz-linuxunix-sietove-sluzby/" TargetMode="External"/><Relationship Id="rId84" Type="http://schemas.openxmlformats.org/officeDocument/2006/relationships/hyperlink" Target="https://skillmea.sk/academy/javascript" TargetMode="External"/><Relationship Id="rId89" Type="http://schemas.openxmlformats.org/officeDocument/2006/relationships/hyperlink" Target="https://www.itlearning.sk/detail/kurz-linuxunix-sietove-sluzby/" TargetMode="External"/><Relationship Id="rId112" Type="http://schemas.openxmlformats.org/officeDocument/2006/relationships/hyperlink" Target="https://uck.sk/en/pricelist" TargetMode="External"/><Relationship Id="rId16" Type="http://schemas.openxmlformats.org/officeDocument/2006/relationships/hyperlink" Target="https://www.it-academy.sk/kurz/cc-i-zaciatocnik/" TargetMode="External"/><Relationship Id="rId107" Type="http://schemas.openxmlformats.org/officeDocument/2006/relationships/hyperlink" Target="https://kurzy.edumenu.cz/d-113401/presentation-skills-in-english-ii-kurz-bratislava?utm_source=chatgpt.com" TargetMode="External"/><Relationship Id="rId11" Type="http://schemas.openxmlformats.org/officeDocument/2006/relationships/hyperlink" Target="https://www.it-academy.sk/kurz/uml/" TargetMode="External"/><Relationship Id="rId32" Type="http://schemas.openxmlformats.org/officeDocument/2006/relationships/hyperlink" Target="https://finance.macrosoft.sk/kurz/cisco-ccna-prepinanie-v-lan-sietach" TargetMode="External"/><Relationship Id="rId37" Type="http://schemas.openxmlformats.org/officeDocument/2006/relationships/hyperlink" Target="https://mailroom.macrosoft.sk/kurz/cisco-ccna-smerovanie-v-ip-sietach" TargetMode="External"/><Relationship Id="rId53" Type="http://schemas.openxmlformats.org/officeDocument/2006/relationships/hyperlink" Target="https://www.skolenia.sk/kurzy/110062989/kyberneticka-bezpecnost-pre-technikov-sprava-zranitelnosti-bratislava" TargetMode="External"/><Relationship Id="rId58" Type="http://schemas.openxmlformats.org/officeDocument/2006/relationships/hyperlink" Target="https://www.skolenia.sk/kurzy/299698/it-essentials-kosice" TargetMode="External"/><Relationship Id="rId74" Type="http://schemas.openxmlformats.org/officeDocument/2006/relationships/hyperlink" Target="https://www.itlearning.sk/detail/oficialny-kurz-mikrotik-mtctce/" TargetMode="External"/><Relationship Id="rId79" Type="http://schemas.openxmlformats.org/officeDocument/2006/relationships/hyperlink" Target="https://www.it-academy.sk/kurz/cc-i-zaciatocnik/" TargetMode="External"/><Relationship Id="rId102" Type="http://schemas.openxmlformats.org/officeDocument/2006/relationships/hyperlink" Target="https://www.itlearning.sk/detail/kurz-linuxunix-sietove-sluzby/" TargetMode="External"/><Relationship Id="rId5" Type="http://schemas.openxmlformats.org/officeDocument/2006/relationships/hyperlink" Target="https://skillmea.sk/academy/python" TargetMode="External"/><Relationship Id="rId90" Type="http://schemas.openxmlformats.org/officeDocument/2006/relationships/hyperlink" Target="https://www.skolenia.sk/kurzy/386264/linux-v-sietach-bratislava/0/14815281" TargetMode="External"/><Relationship Id="rId95" Type="http://schemas.openxmlformats.org/officeDocument/2006/relationships/hyperlink" Target="https://unitc.sk/cennik/?utm_source=chatgpt.com" TargetMode="External"/><Relationship Id="rId22" Type="http://schemas.openxmlformats.org/officeDocument/2006/relationships/hyperlink" Target="https://te.macrosoft.sk/kurz/cisco-ccna-uvod-do-pocitacovych-sieti" TargetMode="External"/><Relationship Id="rId27" Type="http://schemas.openxmlformats.org/officeDocument/2006/relationships/hyperlink" Target="https://www.it-academy.sk/kurz/cisco-basics/" TargetMode="External"/><Relationship Id="rId43" Type="http://schemas.openxmlformats.org/officeDocument/2006/relationships/hyperlink" Target="https://www.it-academy.sk/kurz/cisco-asa-firewall/" TargetMode="External"/><Relationship Id="rId48" Type="http://schemas.openxmlformats.org/officeDocument/2006/relationships/hyperlink" Target="https://www.skolenia.sk/vzdelavacie-spolocnosti/1157/alef-distribution-sk" TargetMode="External"/><Relationship Id="rId64" Type="http://schemas.openxmlformats.org/officeDocument/2006/relationships/hyperlink" Target="https://www.it-academy.sk/kurz/linuxunix-i-zaciatocnik/" TargetMode="External"/><Relationship Id="rId69" Type="http://schemas.openxmlformats.org/officeDocument/2006/relationships/hyperlink" Target="https://www.skolenia.sk/kurzy/386264/linux-v-sietach-bratislava/0/14815281" TargetMode="External"/><Relationship Id="rId80" Type="http://schemas.openxmlformats.org/officeDocument/2006/relationships/hyperlink" Target="https://www.it-academy.sk/kurz/uml/" TargetMode="External"/><Relationship Id="rId85" Type="http://schemas.openxmlformats.org/officeDocument/2006/relationships/hyperlink" Target="https://www.it-academy.sk/kurz/linuxunix-i-zaciatocnik/" TargetMode="External"/><Relationship Id="rId12" Type="http://schemas.openxmlformats.org/officeDocument/2006/relationships/hyperlink" Target="https://skillmea.sk/online-kurzy/zaklady-programovania-a-oop" TargetMode="External"/><Relationship Id="rId17" Type="http://schemas.openxmlformats.org/officeDocument/2006/relationships/hyperlink" Target="https://www.it-academy.sk/kurz/uml/" TargetMode="External"/><Relationship Id="rId33" Type="http://schemas.openxmlformats.org/officeDocument/2006/relationships/hyperlink" Target="https://mailroom.macrosoft.sk/kurz/cisco-ccna-smerovanie-v-ip-sietach" TargetMode="External"/><Relationship Id="rId38" Type="http://schemas.openxmlformats.org/officeDocument/2006/relationships/hyperlink" Target="https://finance.macrosoft.sk/kurz/cisco-ccna-prepinanie-v-lan-sietach" TargetMode="External"/><Relationship Id="rId59" Type="http://schemas.openxmlformats.org/officeDocument/2006/relationships/hyperlink" Target="https://www.skolenia.sk/kurzy/389267/spravca-pocitaca-i-pocitacovy-hardver-skladanie-a-oprava-bratislava" TargetMode="External"/><Relationship Id="rId103" Type="http://schemas.openxmlformats.org/officeDocument/2006/relationships/hyperlink" Target="https://www.skolenia.sk/kurzy/386264/linux-v-sietach-bratislava/0/14815281" TargetMode="External"/><Relationship Id="rId108" Type="http://schemas.openxmlformats.org/officeDocument/2006/relationships/hyperlink" Target="https://www.skolenia.sk/kurzy/39607/jazykovy-kurz-anglictiny-zaciatocnici-pokrocili-konverz-bratislava?utm_source=chatgpt.com" TargetMode="External"/><Relationship Id="rId54" Type="http://schemas.openxmlformats.org/officeDocument/2006/relationships/hyperlink" Target="https://www.skolenia.sk/kurzy/403264/manazer-kybernetickej-bezpecnosti-podla-zakona-c692018-zz-bratislava" TargetMode="External"/><Relationship Id="rId70" Type="http://schemas.openxmlformats.org/officeDocument/2006/relationships/hyperlink" Target="https://www.it-academy.sk/kurz/cisco-asa-firewall/" TargetMode="External"/><Relationship Id="rId75" Type="http://schemas.openxmlformats.org/officeDocument/2006/relationships/hyperlink" Target="https://www.skolenia.sk/kurzy/368431/mpls-basics-sp1-bratislava-2" TargetMode="External"/><Relationship Id="rId91" Type="http://schemas.openxmlformats.org/officeDocument/2006/relationships/hyperlink" Target="https://www.it-academy.sk/kurz/python/" TargetMode="External"/><Relationship Id="rId96" Type="http://schemas.openxmlformats.org/officeDocument/2006/relationships/hyperlink" Target="https://www.skolenia.sk/kurzy/110017507/developing-app-and-automating-workflows-using-cisco-platf-bratislava-2" TargetMode="External"/><Relationship Id="rId1" Type="http://schemas.openxmlformats.org/officeDocument/2006/relationships/hyperlink" Target="https://www.itlearning.sk/detail/python-standardna-kniznica-a-bezne-ulohy-programatora/" TargetMode="External"/><Relationship Id="rId6" Type="http://schemas.openxmlformats.org/officeDocument/2006/relationships/hyperlink" Target="https://www.it-academy.sk/kurz/python/" TargetMode="External"/><Relationship Id="rId15" Type="http://schemas.openxmlformats.org/officeDocument/2006/relationships/hyperlink" Target="https://skillmea.sk/blog/objektovo-orientovane-programovanie-v-c-trieda-reprezentujuca-valec-a-nieco-viac" TargetMode="External"/><Relationship Id="rId23" Type="http://schemas.openxmlformats.org/officeDocument/2006/relationships/hyperlink" Target="https://finance.macrosoft.sk/kurz/cisco-ccna-prepinanie-v-lan-sietach" TargetMode="External"/><Relationship Id="rId28" Type="http://schemas.openxmlformats.org/officeDocument/2006/relationships/hyperlink" Target="https://www.macrosoft.sk/sk/component/hodnotenie/?idkat2=19&amp;nazov=Kurzy+po%C4%8D%C3%ADta%C4%8Dov%C3%BDch+siet%C3%AD%2C+CISCO.pdf&amp;task=downloadpdf" TargetMode="External"/><Relationship Id="rId36" Type="http://schemas.openxmlformats.org/officeDocument/2006/relationships/hyperlink" Target="https://www.it-academy.sk/kurz/cisco-basics/" TargetMode="External"/><Relationship Id="rId49" Type="http://schemas.openxmlformats.org/officeDocument/2006/relationships/hyperlink" Target="https://www.it-academy.sk/kurz/cisco-asa-firewall/" TargetMode="External"/><Relationship Id="rId57" Type="http://schemas.openxmlformats.org/officeDocument/2006/relationships/hyperlink" Target="https://www.gopas.sk/certified-ethical-hacker-v13-qa" TargetMode="External"/><Relationship Id="rId106" Type="http://schemas.openxmlformats.org/officeDocument/2006/relationships/hyperlink" Target="https://unitc.sk/cennik/?utm_source=chatgpt.com" TargetMode="External"/><Relationship Id="rId10" Type="http://schemas.openxmlformats.org/officeDocument/2006/relationships/hyperlink" Target="https://www.it-academy.sk/kurz/cc-i-zaciatocnik/" TargetMode="External"/><Relationship Id="rId31" Type="http://schemas.openxmlformats.org/officeDocument/2006/relationships/hyperlink" Target="https://te.macrosoft.sk/kurz/cisco-ccna-uvod-do-pocitacovych-sieti" TargetMode="External"/><Relationship Id="rId44" Type="http://schemas.openxmlformats.org/officeDocument/2006/relationships/hyperlink" Target="https://www.gopas.sk/get-course-pdf-detail/9959202" TargetMode="External"/><Relationship Id="rId52" Type="http://schemas.openxmlformats.org/officeDocument/2006/relationships/hyperlink" Target="https://www.gopas.sk/get-course-pdf-detail/9814120" TargetMode="External"/><Relationship Id="rId60" Type="http://schemas.openxmlformats.org/officeDocument/2006/relationships/hyperlink" Target="https://www.it-academy.sk/kurz/powershell-i-zaciatocnik/" TargetMode="External"/><Relationship Id="rId65" Type="http://schemas.openxmlformats.org/officeDocument/2006/relationships/hyperlink" Target="https://www.itlearning.sk/detail/kurz-linuxunix-sietove-sluzby/" TargetMode="External"/><Relationship Id="rId73" Type="http://schemas.openxmlformats.org/officeDocument/2006/relationships/hyperlink" Target="https://www.it-academy.sk/kurz/cisco-asa-firewall/" TargetMode="External"/><Relationship Id="rId78" Type="http://schemas.openxmlformats.org/officeDocument/2006/relationships/hyperlink" Target="https://www.skolenia.sk/kurzy/110050939/moderna-a-kreativna-grafika-bez-photoshopu-pre-zaciatocnikov-bratislava/0/13417873" TargetMode="External"/><Relationship Id="rId81" Type="http://schemas.openxmlformats.org/officeDocument/2006/relationships/hyperlink" Target="https://skillmea.sk/online-kurzy/zaklady-programovania-a-oop" TargetMode="External"/><Relationship Id="rId86" Type="http://schemas.openxmlformats.org/officeDocument/2006/relationships/hyperlink" Target="https://www.itlearning.sk/detail/kurz-linuxunix-sietove-sluzby/" TargetMode="External"/><Relationship Id="rId94" Type="http://schemas.openxmlformats.org/officeDocument/2006/relationships/hyperlink" Target="https://cybercompetence.sk/product/zaklady-kybernetickej-bezpecnosti/?utm_source=chatgpt.com" TargetMode="External"/><Relationship Id="rId99" Type="http://schemas.openxmlformats.org/officeDocument/2006/relationships/hyperlink" Target="https://www.itlearning.sk/detail/kurz-linuxunix-sietove-sluzby/" TargetMode="External"/><Relationship Id="rId101" Type="http://schemas.openxmlformats.org/officeDocument/2006/relationships/hyperlink" Target="https://www.it-academy.sk/kurz/linuxunix-i-zaciatocnik/" TargetMode="External"/><Relationship Id="rId4" Type="http://schemas.openxmlformats.org/officeDocument/2006/relationships/hyperlink" Target="https://www.itlearning.sk/detail/python-standardna-kniznica-a-bezne-ulohy-programatora/" TargetMode="External"/><Relationship Id="rId9" Type="http://schemas.openxmlformats.org/officeDocument/2006/relationships/hyperlink" Target="https://skillmea.sk/online-kurzy/zaklady-programovania-a-oop" TargetMode="External"/><Relationship Id="rId13" Type="http://schemas.openxmlformats.org/officeDocument/2006/relationships/hyperlink" Target="https://www.it-academy.sk/kurz/cc-i-zaciatocnik/" TargetMode="External"/><Relationship Id="rId18" Type="http://schemas.openxmlformats.org/officeDocument/2006/relationships/hyperlink" Target="https://skillmea.sk/blog/objektovo-orientovane-programovanie-v-c-trieda-reprezentujuca-valec-a-nieco-viac" TargetMode="External"/><Relationship Id="rId39" Type="http://schemas.openxmlformats.org/officeDocument/2006/relationships/hyperlink" Target="https://www.it-academy.sk/kurz/cisco-basics/" TargetMode="External"/><Relationship Id="rId109" Type="http://schemas.openxmlformats.org/officeDocument/2006/relationships/hyperlink" Target="https://thebridge.sk/kurz/professional-english/?utm_source=chatgpt.com" TargetMode="External"/><Relationship Id="rId34" Type="http://schemas.openxmlformats.org/officeDocument/2006/relationships/hyperlink" Target="https://mailroom.macrosoft.sk/kurz/cisco-ccna-smerovanie-v-ip-sietach" TargetMode="External"/><Relationship Id="rId50" Type="http://schemas.openxmlformats.org/officeDocument/2006/relationships/hyperlink" Target="https://www.gopas.sk/get-course-pdf-detail/9959202" TargetMode="External"/><Relationship Id="rId55" Type="http://schemas.openxmlformats.org/officeDocument/2006/relationships/hyperlink" Target="https://www.skolenia.sk/kurzy/110061900/certified-ethical-hacker-v13-elite-bratislava" TargetMode="External"/><Relationship Id="rId76" Type="http://schemas.openxmlformats.org/officeDocument/2006/relationships/hyperlink" Target="https://www.it-academy.sk/objednavka/pocitacove-siete-i-zaklady-pocitacovych-sieti/148779/" TargetMode="External"/><Relationship Id="rId97" Type="http://schemas.openxmlformats.org/officeDocument/2006/relationships/hyperlink" Target="https://unitc.sk/cennik/?utm_source=chatgpt.com" TargetMode="External"/><Relationship Id="rId104" Type="http://schemas.openxmlformats.org/officeDocument/2006/relationships/hyperlink" Target="https://www.gopas.sk/analyza-dat-nastrojom-a-sluzbou-microsoft-power-bi_moc-pl-300?utm_source=chatgpt.com" TargetMode="External"/><Relationship Id="rId7" Type="http://schemas.openxmlformats.org/officeDocument/2006/relationships/hyperlink" Target="https://www.it-academy.sk/kurz/cc-i-zaciatocnik/" TargetMode="External"/><Relationship Id="rId71" Type="http://schemas.openxmlformats.org/officeDocument/2006/relationships/hyperlink" Target="https://www.itlearning.sk/detail/oficialny-kurz-mikrotik-mtctce/" TargetMode="External"/><Relationship Id="rId92" Type="http://schemas.openxmlformats.org/officeDocument/2006/relationships/hyperlink" Target="https://skillmea.sk/academy/python" TargetMode="External"/><Relationship Id="rId2" Type="http://schemas.openxmlformats.org/officeDocument/2006/relationships/hyperlink" Target="https://skillmea.sk/academy/python" TargetMode="External"/><Relationship Id="rId29" Type="http://schemas.openxmlformats.org/officeDocument/2006/relationships/hyperlink" Target="https://unitc.sk/" TargetMode="External"/><Relationship Id="rId24" Type="http://schemas.openxmlformats.org/officeDocument/2006/relationships/hyperlink" Target="https://mailroom.macrosoft.sk/kurz/cisco-ccna-smerovanie-v-ip-sietach" TargetMode="External"/><Relationship Id="rId40" Type="http://schemas.openxmlformats.org/officeDocument/2006/relationships/hyperlink" Target="https://www.ccna.sk/sk/poplatky/" TargetMode="External"/><Relationship Id="rId45" Type="http://schemas.openxmlformats.org/officeDocument/2006/relationships/hyperlink" Target="https://www.skolenia.sk/vzdelavacie-spolocnosti/1157/alef-distribution-sk" TargetMode="External"/><Relationship Id="rId66" Type="http://schemas.openxmlformats.org/officeDocument/2006/relationships/hyperlink" Target="https://www.skolenia.sk/kurzy/386264/linux-v-sietach-bratislava/0/14815281" TargetMode="External"/><Relationship Id="rId87" Type="http://schemas.openxmlformats.org/officeDocument/2006/relationships/hyperlink" Target="https://www.skolenia.sk/kurzy/386264/linux-v-sietach-bratislava/0/14815281" TargetMode="External"/><Relationship Id="rId110" Type="http://schemas.openxmlformats.org/officeDocument/2006/relationships/hyperlink" Target="https://www.macrosoft.sk/en/kurz/interconnecting-cisco-networking-devices-en?utm_source=chatgpt.com" TargetMode="External"/><Relationship Id="rId61" Type="http://schemas.openxmlformats.org/officeDocument/2006/relationships/hyperlink" Target="https://www.skolenia.sk/kurzy/299698/it-essentials-kosice" TargetMode="External"/><Relationship Id="rId82" Type="http://schemas.openxmlformats.org/officeDocument/2006/relationships/hyperlink" Target="https://www.it-academy.sk/kurz/javascript-i-zaciatocnik/" TargetMode="External"/><Relationship Id="rId19" Type="http://schemas.openxmlformats.org/officeDocument/2006/relationships/hyperlink" Target="https://www.macrosoft.sk/sk/component/hodnotenie/?idkat2=19&amp;nazov=Kurzy+po%C4%8D%C3%ADta%C4%8Dov%C3%BDch+siet%C3%AD%2C+CISCO.pdf&amp;task=downloadpdf" TargetMode="External"/><Relationship Id="rId14" Type="http://schemas.openxmlformats.org/officeDocument/2006/relationships/hyperlink" Target="https://www.it-academy.sk/kurz/uml/" TargetMode="External"/><Relationship Id="rId30" Type="http://schemas.openxmlformats.org/officeDocument/2006/relationships/hyperlink" Target="https://www.skolenia.sk/kurzy/175222/priprava-na-certifikaciu-ccna-skolenie-bratislava" TargetMode="External"/><Relationship Id="rId35" Type="http://schemas.openxmlformats.org/officeDocument/2006/relationships/hyperlink" Target="https://finance.macrosoft.sk/kurz/cisco-ccna-prepinanie-v-lan-sietach" TargetMode="External"/><Relationship Id="rId56" Type="http://schemas.openxmlformats.org/officeDocument/2006/relationships/hyperlink" Target="https://www.gopas.sk/get-course-pdf-detail/9959202" TargetMode="External"/><Relationship Id="rId77" Type="http://schemas.openxmlformats.org/officeDocument/2006/relationships/hyperlink" Target="https://www.itlearning.sk/detail/kurz-pocitacove-siete-tcp-ip-sietove-protokoly-sietove-sluzby/" TargetMode="External"/><Relationship Id="rId100" Type="http://schemas.openxmlformats.org/officeDocument/2006/relationships/hyperlink" Target="https://www.skolenia.sk/kurzy/386264/linux-v-sietach-bratislava/0/14815281" TargetMode="External"/><Relationship Id="rId105" Type="http://schemas.openxmlformats.org/officeDocument/2006/relationships/hyperlink" Target="https://unitc.sk/cennik/?utm_source=chatgpt.com" TargetMode="External"/><Relationship Id="rId8" Type="http://schemas.openxmlformats.org/officeDocument/2006/relationships/hyperlink" Target="https://www.it-academy.sk/kurz/uml/" TargetMode="External"/><Relationship Id="rId51" Type="http://schemas.openxmlformats.org/officeDocument/2006/relationships/hyperlink" Target="https://www.skolenia.sk/vzdelavacie-spolocnosti/1157/alef-distribution-sk" TargetMode="External"/><Relationship Id="rId72" Type="http://schemas.openxmlformats.org/officeDocument/2006/relationships/hyperlink" Target="https://www.skolenia.sk/kurzy/368431/mpls-basics-sp1-bratislava-2" TargetMode="External"/><Relationship Id="rId93" Type="http://schemas.openxmlformats.org/officeDocument/2006/relationships/hyperlink" Target="https://www.itlearning.sk/detail/python-standardna-kniznica-a-bezne-ulohy-programatora/" TargetMode="External"/><Relationship Id="rId98" Type="http://schemas.openxmlformats.org/officeDocument/2006/relationships/hyperlink" Target="https://www.it-academy.sk/kurz/linuxunix-i-zaciatocnik/" TargetMode="External"/><Relationship Id="rId3" Type="http://schemas.openxmlformats.org/officeDocument/2006/relationships/hyperlink" Target="https://www.it-academy.sk/kurz/python/" TargetMode="External"/><Relationship Id="rId25" Type="http://schemas.openxmlformats.org/officeDocument/2006/relationships/hyperlink" Target="https://mailroom.macrosoft.sk/kurz/cisco-ccna-smerovanie-v-ip-sietach" TargetMode="External"/><Relationship Id="rId46" Type="http://schemas.openxmlformats.org/officeDocument/2006/relationships/hyperlink" Target="https://www.it-academy.sk/kurz/cisco-asa-firewall/" TargetMode="External"/><Relationship Id="rId67" Type="http://schemas.openxmlformats.org/officeDocument/2006/relationships/hyperlink" Target="https://www.it-academy.sk/kurz/linuxunix-i-zaciatocnik/" TargetMode="External"/><Relationship Id="rId20" Type="http://schemas.openxmlformats.org/officeDocument/2006/relationships/hyperlink" Target="https://unitc.sk/" TargetMode="External"/><Relationship Id="rId41" Type="http://schemas.openxmlformats.org/officeDocument/2006/relationships/hyperlink" Target="https://uck.sk/sk/kurzy/ccnp-enterprise/detail/20" TargetMode="External"/><Relationship Id="rId62" Type="http://schemas.openxmlformats.org/officeDocument/2006/relationships/hyperlink" Target="https://www.skolenia.sk/kurzy/389267/spravca-pocitaca-i-pocitacovy-hardver-skladanie-a-oprava-bratislava" TargetMode="External"/><Relationship Id="rId83" Type="http://schemas.openxmlformats.org/officeDocument/2006/relationships/hyperlink" Target="https://www.it-academy.sk/objednavka/javascript-iii-oop/156767/" TargetMode="External"/><Relationship Id="rId88" Type="http://schemas.openxmlformats.org/officeDocument/2006/relationships/hyperlink" Target="https://www.it-academy.sk/kurz/linuxunix-i-zaciatocnik/" TargetMode="External"/><Relationship Id="rId111" Type="http://schemas.openxmlformats.org/officeDocument/2006/relationships/hyperlink" Target="https://uck.sk/en/courses" TargetMode="External"/></Relationships>
</file>

<file path=xl/worksheets/_rels/sheet38.xml.rels><?xml version="1.0" encoding="UTF-8" standalone="yes"?>
<Relationships xmlns="http://schemas.openxmlformats.org/package/2006/relationships"><Relationship Id="rId13" Type="http://schemas.openxmlformats.org/officeDocument/2006/relationships/hyperlink" Target="mailto:frankovicova@srobarka.sk" TargetMode="External"/><Relationship Id="rId18" Type="http://schemas.openxmlformats.org/officeDocument/2006/relationships/hyperlink" Target="mailto:zastsos@ssnd.sk" TargetMode="External"/><Relationship Id="rId26" Type="http://schemas.openxmlformats.org/officeDocument/2006/relationships/hyperlink" Target="mailto:riaditel@srobarka.sk" TargetMode="External"/><Relationship Id="rId39" Type="http://schemas.openxmlformats.org/officeDocument/2006/relationships/printerSettings" Target="../printerSettings/printerSettings26.bin"/><Relationship Id="rId21" Type="http://schemas.openxmlformats.org/officeDocument/2006/relationships/hyperlink" Target="mailto:riaditel@sosthe.sk" TargetMode="External"/><Relationship Id="rId34" Type="http://schemas.openxmlformats.org/officeDocument/2006/relationships/hyperlink" Target="mailto:peter.fecilak@tuke.sk" TargetMode="External"/><Relationship Id="rId7" Type="http://schemas.openxmlformats.org/officeDocument/2006/relationships/hyperlink" Target="mailto:broda@spse-po.sk" TargetMode="External"/><Relationship Id="rId2" Type="http://schemas.openxmlformats.org/officeDocument/2006/relationships/hyperlink" Target="mailto:vido.daniel@spsepn.edu.sk" TargetMode="External"/><Relationship Id="rId16" Type="http://schemas.openxmlformats.org/officeDocument/2006/relationships/hyperlink" Target="mailto:riaditel@soshe.sk" TargetMode="External"/><Relationship Id="rId20" Type="http://schemas.openxmlformats.org/officeDocument/2006/relationships/hyperlink" Target="mailto:jaroslav.foltin@spsmy.sk" TargetMode="External"/><Relationship Id="rId29" Type="http://schemas.openxmlformats.org/officeDocument/2006/relationships/hyperlink" Target="mailto:sps@spstt.sk" TargetMode="External"/><Relationship Id="rId41" Type="http://schemas.openxmlformats.org/officeDocument/2006/relationships/comments" Target="../comments18.xml"/><Relationship Id="rId1" Type="http://schemas.openxmlformats.org/officeDocument/2006/relationships/pivotTable" Target="../pivotTables/pivotTable3.xml"/><Relationship Id="rId6" Type="http://schemas.openxmlformats.org/officeDocument/2006/relationships/hyperlink" Target="mailto:spsbn@pbi.sk" TargetMode="External"/><Relationship Id="rId11" Type="http://schemas.openxmlformats.org/officeDocument/2006/relationships/hyperlink" Target="mailto:ss.skolska7@gmail.com" TargetMode="External"/><Relationship Id="rId24" Type="http://schemas.openxmlformats.org/officeDocument/2006/relationships/hyperlink" Target="mailto:miroslav.dulikml@aos.sk" TargetMode="External"/><Relationship Id="rId32" Type="http://schemas.openxmlformats.org/officeDocument/2006/relationships/hyperlink" Target="mailto:soapostuke@gmail.com" TargetMode="External"/><Relationship Id="rId37" Type="http://schemas.openxmlformats.org/officeDocument/2006/relationships/hyperlink" Target="mailto:ssjhbj@slovanet.sk" TargetMode="External"/><Relationship Id="rId40" Type="http://schemas.openxmlformats.org/officeDocument/2006/relationships/vmlDrawing" Target="../drawings/vmlDrawing18.vml"/><Relationship Id="rId5" Type="http://schemas.openxmlformats.org/officeDocument/2006/relationships/hyperlink" Target="mailto:spsbn@pbi.sk" TargetMode="External"/><Relationship Id="rId15" Type="http://schemas.openxmlformats.org/officeDocument/2006/relationships/hyperlink" Target="mailto:antonbaca@soshe.sk" TargetMode="External"/><Relationship Id="rId23" Type="http://schemas.openxmlformats.org/officeDocument/2006/relationships/hyperlink" Target="mailto:ssmt@vuczilina.sk" TargetMode="External"/><Relationship Id="rId28" Type="http://schemas.openxmlformats.org/officeDocument/2006/relationships/hyperlink" Target="mailto:jaroslav.ihnacik@gdusecovce.sk" TargetMode="External"/><Relationship Id="rId36" Type="http://schemas.openxmlformats.org/officeDocument/2006/relationships/hyperlink" Target="mailto:ssjhbj@slovanet.sk" TargetMode="External"/><Relationship Id="rId10" Type="http://schemas.openxmlformats.org/officeDocument/2006/relationships/hyperlink" Target="mailto:riaditeltn@sgfuturum.sk" TargetMode="External"/><Relationship Id="rId19" Type="http://schemas.openxmlformats.org/officeDocument/2006/relationships/hyperlink" Target="mailto:riaditel@gymtv-sl.vucpo.sk" TargetMode="External"/><Relationship Id="rId31" Type="http://schemas.openxmlformats.org/officeDocument/2006/relationships/hyperlink" Target="mailto:skola@gjavsnv.edu.sk" TargetMode="External"/><Relationship Id="rId4" Type="http://schemas.openxmlformats.org/officeDocument/2006/relationships/hyperlink" Target="mailto:kapitan@sostmi.sk" TargetMode="External"/><Relationship Id="rId9" Type="http://schemas.openxmlformats.org/officeDocument/2006/relationships/hyperlink" Target="mailto:romana.birosova@elbaci.sk" TargetMode="External"/><Relationship Id="rId14" Type="http://schemas.openxmlformats.org/officeDocument/2006/relationships/hyperlink" Target="mailto:zastupca@srobarka.sk" TargetMode="External"/><Relationship Id="rId22" Type="http://schemas.openxmlformats.org/officeDocument/2006/relationships/hyperlink" Target="mailto:mkrupa@sosthe.sk" TargetMode="External"/><Relationship Id="rId27" Type="http://schemas.openxmlformats.org/officeDocument/2006/relationships/hyperlink" Target="mailto:pavel.novotny@gdusecovce.sk" TargetMode="External"/><Relationship Id="rId30" Type="http://schemas.openxmlformats.org/officeDocument/2006/relationships/hyperlink" Target="mailto:takacs@sosds.sk" TargetMode="External"/><Relationship Id="rId35" Type="http://schemas.openxmlformats.org/officeDocument/2006/relationships/hyperlink" Target="mailto:pavel.segec@fri.uniza.sk" TargetMode="External"/><Relationship Id="rId8" Type="http://schemas.openxmlformats.org/officeDocument/2006/relationships/hyperlink" Target="mailto:emil.blicha@elbaci.sk" TargetMode="External"/><Relationship Id="rId3" Type="http://schemas.openxmlformats.org/officeDocument/2006/relationships/hyperlink" Target="mailto:riaditel@sosthe.sk" TargetMode="External"/><Relationship Id="rId12" Type="http://schemas.openxmlformats.org/officeDocument/2006/relationships/hyperlink" Target="mailto:ss.sosebb@gmail.com" TargetMode="External"/><Relationship Id="rId17" Type="http://schemas.openxmlformats.org/officeDocument/2006/relationships/hyperlink" Target="mailto:riaditel@ssnd.sk" TargetMode="External"/><Relationship Id="rId25" Type="http://schemas.openxmlformats.org/officeDocument/2006/relationships/hyperlink" Target="mailto:rtunys@sgfuturum.sk" TargetMode="External"/><Relationship Id="rId33" Type="http://schemas.openxmlformats.org/officeDocument/2006/relationships/hyperlink" Target="mailto:katarina.fecilakova@cnl.sk" TargetMode="External"/><Relationship Id="rId38" Type="http://schemas.openxmlformats.org/officeDocument/2006/relationships/hyperlink" Target="mailto:egid.haluska@ssjh.sk"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00"/>
  </sheetPr>
  <dimension ref="A1:R40"/>
  <sheetViews>
    <sheetView zoomScaleNormal="100" workbookViewId="0"/>
  </sheetViews>
  <sheetFormatPr baseColWidth="10" defaultColWidth="8.83203125" defaultRowHeight="15" x14ac:dyDescent="0.2"/>
  <cols>
    <col min="2" max="2" width="11.6640625" customWidth="1"/>
    <col min="4" max="4" width="6.5" customWidth="1"/>
    <col min="6" max="6" width="7.6640625" customWidth="1"/>
    <col min="7" max="7" width="12.33203125" customWidth="1"/>
    <col min="8" max="8" width="6" customWidth="1"/>
    <col min="9" max="9" width="14.33203125" customWidth="1"/>
  </cols>
  <sheetData>
    <row r="1" spans="1:18" x14ac:dyDescent="0.2">
      <c r="A1" s="34"/>
      <c r="B1" s="34"/>
      <c r="C1" s="34"/>
      <c r="D1" s="34"/>
      <c r="E1" s="34"/>
      <c r="F1" s="34"/>
      <c r="G1" s="34"/>
      <c r="H1" s="34"/>
      <c r="I1" s="34"/>
      <c r="J1" s="236"/>
      <c r="K1" s="237"/>
      <c r="L1" s="237"/>
      <c r="M1" s="237"/>
      <c r="N1" s="237"/>
      <c r="O1" s="237"/>
      <c r="P1" s="237"/>
      <c r="Q1" s="237"/>
      <c r="R1" s="237"/>
    </row>
    <row r="2" spans="1:18" x14ac:dyDescent="0.2">
      <c r="A2" s="34"/>
      <c r="B2" s="34"/>
      <c r="C2" s="34"/>
      <c r="D2" s="34"/>
      <c r="E2" s="34"/>
      <c r="F2" s="34"/>
      <c r="G2" s="34"/>
      <c r="H2" s="34"/>
      <c r="I2" s="34"/>
      <c r="J2" s="237"/>
      <c r="K2" s="237"/>
      <c r="L2" s="237"/>
      <c r="M2" s="237"/>
      <c r="N2" s="237"/>
      <c r="O2" s="237"/>
      <c r="P2" s="237"/>
      <c r="Q2" s="237"/>
      <c r="R2" s="237"/>
    </row>
    <row r="3" spans="1:18" ht="15" customHeight="1" x14ac:dyDescent="0.2">
      <c r="A3" s="34"/>
      <c r="B3" s="34"/>
      <c r="C3" s="34"/>
      <c r="D3" s="34"/>
      <c r="E3" s="34"/>
      <c r="F3" s="34"/>
      <c r="G3" s="34"/>
      <c r="H3" s="34"/>
      <c r="I3" s="34"/>
      <c r="J3" s="237"/>
      <c r="K3" s="237"/>
      <c r="L3" s="237"/>
      <c r="M3" s="237"/>
      <c r="N3" s="237"/>
      <c r="O3" s="237"/>
      <c r="P3" s="237"/>
      <c r="Q3" s="237"/>
      <c r="R3" s="237"/>
    </row>
    <row r="4" spans="1:18" ht="15" customHeight="1" x14ac:dyDescent="0.2">
      <c r="A4" s="34"/>
      <c r="B4" s="34"/>
      <c r="C4" s="34"/>
      <c r="D4" s="34"/>
      <c r="E4" s="34"/>
      <c r="F4" s="34"/>
      <c r="G4" s="34"/>
      <c r="H4" s="34"/>
      <c r="I4" s="34"/>
      <c r="J4" s="237"/>
      <c r="K4" s="237"/>
      <c r="L4" s="237"/>
      <c r="M4" s="237"/>
      <c r="N4" s="237"/>
      <c r="O4" s="237"/>
      <c r="P4" s="237"/>
      <c r="Q4" s="237"/>
      <c r="R4" s="237"/>
    </row>
    <row r="5" spans="1:18" x14ac:dyDescent="0.2">
      <c r="A5" s="34"/>
      <c r="B5" s="34"/>
      <c r="C5" s="34"/>
      <c r="D5" s="34"/>
      <c r="E5" s="34"/>
      <c r="F5" s="34"/>
      <c r="G5" s="34"/>
      <c r="H5" s="34"/>
      <c r="I5" s="34"/>
      <c r="J5" s="237"/>
      <c r="K5" s="237"/>
      <c r="L5" s="237"/>
      <c r="M5" s="237"/>
      <c r="N5" s="237"/>
      <c r="O5" s="237"/>
      <c r="P5" s="237"/>
      <c r="Q5" s="237"/>
      <c r="R5" s="237"/>
    </row>
    <row r="6" spans="1:18" ht="57.75" customHeight="1" x14ac:dyDescent="0.2">
      <c r="A6" s="1267" t="s">
        <v>520</v>
      </c>
      <c r="B6" s="1267"/>
      <c r="C6" s="1267"/>
      <c r="D6" s="1267"/>
      <c r="E6" s="1267"/>
      <c r="F6" s="1267"/>
      <c r="G6" s="1267"/>
      <c r="H6" s="1267"/>
      <c r="I6" s="1267"/>
      <c r="J6" s="237"/>
      <c r="K6" s="237"/>
      <c r="L6" s="237"/>
      <c r="M6" s="237"/>
      <c r="N6" s="237"/>
      <c r="O6" s="237"/>
      <c r="P6" s="237"/>
      <c r="Q6" s="237"/>
      <c r="R6" s="237"/>
    </row>
    <row r="7" spans="1:18" x14ac:dyDescent="0.2">
      <c r="A7" s="1268"/>
      <c r="B7" s="1268"/>
      <c r="C7" s="1268"/>
      <c r="D7" s="1268"/>
      <c r="E7" s="1268"/>
      <c r="F7" s="1268"/>
      <c r="G7" s="1268"/>
      <c r="H7" s="1268"/>
      <c r="I7" s="1268"/>
      <c r="J7" s="237"/>
      <c r="K7" s="649" t="s">
        <v>772</v>
      </c>
      <c r="L7" s="237"/>
      <c r="M7" s="237"/>
      <c r="N7" s="237"/>
      <c r="O7" s="237"/>
      <c r="P7" s="237"/>
      <c r="Q7" s="237"/>
      <c r="R7" s="237"/>
    </row>
    <row r="8" spans="1:18" ht="3.75" customHeight="1" x14ac:dyDescent="0.2">
      <c r="A8" s="1268"/>
      <c r="B8" s="1268"/>
      <c r="C8" s="1268"/>
      <c r="D8" s="1268"/>
      <c r="E8" s="1268"/>
      <c r="F8" s="1268"/>
      <c r="G8" s="1268"/>
      <c r="H8" s="1268"/>
      <c r="I8" s="1268"/>
      <c r="J8" s="237"/>
      <c r="K8" s="237"/>
      <c r="L8" s="237"/>
      <c r="M8" s="237"/>
      <c r="N8" s="237"/>
      <c r="O8" s="237"/>
      <c r="P8" s="237"/>
      <c r="Q8" s="237"/>
      <c r="R8" s="237"/>
    </row>
    <row r="9" spans="1:18" ht="14.25" hidden="1" customHeight="1" x14ac:dyDescent="0.2">
      <c r="A9" s="1268"/>
      <c r="B9" s="1268"/>
      <c r="C9" s="1268"/>
      <c r="D9" s="1268"/>
      <c r="E9" s="1268"/>
      <c r="F9" s="1268"/>
      <c r="G9" s="1268"/>
      <c r="H9" s="1268"/>
      <c r="I9" s="1268"/>
      <c r="J9" s="237"/>
      <c r="K9" s="237"/>
      <c r="L9" s="237"/>
      <c r="M9" s="237"/>
      <c r="N9" s="237"/>
      <c r="O9" s="237"/>
      <c r="P9" s="237"/>
      <c r="Q9" s="237"/>
      <c r="R9" s="237"/>
    </row>
    <row r="10" spans="1:18" ht="15" customHeight="1" x14ac:dyDescent="0.2">
      <c r="A10" s="34"/>
      <c r="B10" s="34"/>
      <c r="C10" s="34"/>
      <c r="D10" s="34"/>
      <c r="E10" s="34"/>
      <c r="F10" s="34"/>
      <c r="G10" s="34"/>
      <c r="H10" s="34"/>
      <c r="I10" s="34"/>
      <c r="J10" s="237"/>
      <c r="K10" s="237"/>
      <c r="L10" s="237"/>
      <c r="M10" s="237"/>
      <c r="N10" s="237"/>
      <c r="O10" s="237"/>
      <c r="P10" s="237"/>
      <c r="Q10" s="237"/>
      <c r="R10" s="237"/>
    </row>
    <row r="11" spans="1:18" x14ac:dyDescent="0.2">
      <c r="B11" s="34"/>
      <c r="C11" s="34"/>
      <c r="D11" s="34"/>
      <c r="E11" s="34"/>
      <c r="F11" s="34"/>
      <c r="G11" s="34"/>
      <c r="H11" s="34"/>
      <c r="I11" s="34"/>
      <c r="J11" s="237"/>
      <c r="K11" s="237"/>
      <c r="L11" s="237"/>
      <c r="M11" s="237"/>
      <c r="N11" s="237"/>
      <c r="O11" s="237"/>
      <c r="P11" s="237"/>
      <c r="Q11" s="237"/>
      <c r="R11" s="237"/>
    </row>
    <row r="12" spans="1:18" ht="16" thickBot="1" x14ac:dyDescent="0.25">
      <c r="B12" s="34"/>
      <c r="C12" s="34"/>
      <c r="D12" s="34"/>
      <c r="E12" s="34"/>
      <c r="F12" s="34"/>
      <c r="G12" s="34"/>
      <c r="H12" s="34"/>
      <c r="I12" s="34"/>
      <c r="J12" s="237"/>
      <c r="K12" s="237"/>
      <c r="L12" s="237"/>
      <c r="M12" s="237"/>
      <c r="N12" s="237"/>
      <c r="O12" s="237"/>
      <c r="P12" s="237"/>
      <c r="Q12" s="237"/>
      <c r="R12" s="237"/>
    </row>
    <row r="13" spans="1:18" x14ac:dyDescent="0.2">
      <c r="A13" s="1269" t="s">
        <v>110</v>
      </c>
      <c r="B13" s="1270"/>
      <c r="C13" s="1271" t="s">
        <v>1150</v>
      </c>
      <c r="D13" s="1271"/>
      <c r="E13" s="1271"/>
      <c r="F13" s="1271"/>
      <c r="G13" s="1271"/>
      <c r="H13" s="1271"/>
      <c r="I13" s="1272"/>
      <c r="J13" s="237"/>
      <c r="K13" s="237"/>
      <c r="L13" s="237"/>
      <c r="M13" s="237"/>
      <c r="N13" s="237"/>
      <c r="O13" s="237"/>
      <c r="P13" s="237"/>
      <c r="Q13" s="237"/>
      <c r="R13" s="237"/>
    </row>
    <row r="14" spans="1:18" x14ac:dyDescent="0.2">
      <c r="A14" s="1244" t="s">
        <v>112</v>
      </c>
      <c r="B14" s="1245"/>
      <c r="C14" s="1262" t="s">
        <v>165</v>
      </c>
      <c r="D14" s="1262"/>
      <c r="E14" s="1262"/>
      <c r="F14" s="1262"/>
      <c r="G14" s="1262"/>
      <c r="H14" s="1262"/>
      <c r="I14" s="1263"/>
      <c r="J14" s="237"/>
      <c r="K14" s="237"/>
      <c r="L14" s="237"/>
      <c r="M14" s="237"/>
      <c r="N14" s="237"/>
      <c r="O14" s="237"/>
      <c r="P14" s="237"/>
      <c r="Q14" s="237"/>
      <c r="R14" s="237"/>
    </row>
    <row r="15" spans="1:18" ht="30.75" customHeight="1" x14ac:dyDescent="0.2">
      <c r="A15" s="1244" t="s">
        <v>521</v>
      </c>
      <c r="B15" s="1245"/>
      <c r="C15" s="1262" t="s">
        <v>1151</v>
      </c>
      <c r="D15" s="1262"/>
      <c r="E15" s="1262"/>
      <c r="F15" s="1262"/>
      <c r="G15" s="1262"/>
      <c r="H15" s="1262"/>
      <c r="I15" s="1263"/>
      <c r="J15" s="237"/>
      <c r="K15" s="237"/>
      <c r="L15" s="237"/>
      <c r="M15" s="237"/>
      <c r="N15" s="237"/>
      <c r="O15" s="237"/>
      <c r="P15" s="237"/>
      <c r="Q15" s="237"/>
      <c r="R15" s="237"/>
    </row>
    <row r="16" spans="1:18" ht="14.5" customHeight="1" x14ac:dyDescent="0.2">
      <c r="A16" s="1244" t="s">
        <v>51</v>
      </c>
      <c r="B16" s="1245"/>
      <c r="C16" s="1262" t="s">
        <v>1152</v>
      </c>
      <c r="D16" s="1262"/>
      <c r="E16" s="1262"/>
      <c r="F16" s="1262"/>
      <c r="G16" s="1262"/>
      <c r="H16" s="1262"/>
      <c r="I16" s="1263"/>
      <c r="J16" s="237"/>
      <c r="K16" s="237"/>
      <c r="L16" s="237"/>
      <c r="M16" s="237"/>
      <c r="N16" s="237"/>
      <c r="O16" s="237"/>
      <c r="P16" s="237"/>
      <c r="Q16" s="237"/>
      <c r="R16" s="237"/>
    </row>
    <row r="17" spans="1:18" x14ac:dyDescent="0.2">
      <c r="A17" s="1244" t="s">
        <v>52</v>
      </c>
      <c r="B17" s="1245"/>
      <c r="C17" s="1262" t="s">
        <v>1153</v>
      </c>
      <c r="D17" s="1262"/>
      <c r="E17" s="1262"/>
      <c r="F17" s="1262"/>
      <c r="G17" s="1262"/>
      <c r="H17" s="1262"/>
      <c r="I17" s="1263"/>
      <c r="J17" s="237"/>
      <c r="K17" s="237"/>
      <c r="L17" s="237"/>
      <c r="M17" s="237"/>
      <c r="N17" s="237"/>
      <c r="O17" s="237"/>
      <c r="P17" s="237"/>
      <c r="Q17" s="237"/>
      <c r="R17" s="237"/>
    </row>
    <row r="18" spans="1:18" x14ac:dyDescent="0.2">
      <c r="A18" s="1244" t="s">
        <v>53</v>
      </c>
      <c r="B18" s="1245"/>
      <c r="C18" s="1262" t="s">
        <v>1154</v>
      </c>
      <c r="D18" s="1262"/>
      <c r="E18" s="1262"/>
      <c r="F18" s="1262"/>
      <c r="G18" s="1262"/>
      <c r="H18" s="1262"/>
      <c r="I18" s="1263"/>
      <c r="J18" s="237"/>
      <c r="K18" s="237"/>
      <c r="L18" s="237"/>
      <c r="M18" s="237"/>
      <c r="N18" s="237"/>
      <c r="O18" s="237"/>
      <c r="P18" s="237"/>
      <c r="Q18" s="237"/>
      <c r="R18" s="237"/>
    </row>
    <row r="19" spans="1:18" x14ac:dyDescent="0.2">
      <c r="A19" s="1244" t="s">
        <v>54</v>
      </c>
      <c r="B19" s="1245"/>
      <c r="C19" s="1264" t="s">
        <v>1155</v>
      </c>
      <c r="D19" s="1262"/>
      <c r="E19" s="1262"/>
      <c r="F19" s="1262"/>
      <c r="G19" s="1262"/>
      <c r="H19" s="1262"/>
      <c r="I19" s="1263"/>
      <c r="J19" s="237"/>
      <c r="K19" s="237"/>
      <c r="L19" s="237"/>
      <c r="M19" s="237"/>
      <c r="N19" s="237"/>
      <c r="O19" s="237"/>
      <c r="P19" s="237"/>
      <c r="Q19" s="237"/>
      <c r="R19" s="237"/>
    </row>
    <row r="20" spans="1:18" x14ac:dyDescent="0.2">
      <c r="A20" s="1244" t="s">
        <v>55</v>
      </c>
      <c r="B20" s="1245"/>
      <c r="C20" s="1265" t="s">
        <v>1156</v>
      </c>
      <c r="D20" s="1265"/>
      <c r="E20" s="1265"/>
      <c r="F20" s="1265"/>
      <c r="G20" s="1265"/>
      <c r="H20" s="1265"/>
      <c r="I20" s="1266"/>
      <c r="J20" s="237"/>
      <c r="K20" s="237"/>
      <c r="L20" s="237"/>
      <c r="M20" s="237"/>
      <c r="N20" s="237"/>
      <c r="O20" s="237"/>
      <c r="P20" s="237"/>
      <c r="Q20" s="237"/>
      <c r="R20" s="237"/>
    </row>
    <row r="21" spans="1:18" ht="19.25" customHeight="1" x14ac:dyDescent="0.2">
      <c r="A21" s="1244" t="s">
        <v>56</v>
      </c>
      <c r="B21" s="1245"/>
      <c r="C21" s="1246" t="s">
        <v>1157</v>
      </c>
      <c r="D21" s="1246"/>
      <c r="E21" s="1246"/>
      <c r="F21" s="1246"/>
      <c r="G21" s="1246"/>
      <c r="H21" s="1246"/>
      <c r="I21" s="1247"/>
      <c r="J21" s="237"/>
      <c r="K21" s="237"/>
      <c r="L21" s="237"/>
      <c r="M21" s="237"/>
      <c r="N21" s="237"/>
      <c r="O21" s="237"/>
      <c r="P21" s="237"/>
      <c r="Q21" s="237"/>
      <c r="R21" s="237"/>
    </row>
    <row r="22" spans="1:18" ht="33" customHeight="1" thickBot="1" x14ac:dyDescent="0.25">
      <c r="A22" s="1248" t="s">
        <v>57</v>
      </c>
      <c r="B22" s="1249"/>
      <c r="C22" s="1250" t="s">
        <v>1158</v>
      </c>
      <c r="D22" s="1251"/>
      <c r="E22" s="1251"/>
      <c r="F22" s="1251"/>
      <c r="G22" s="1251"/>
      <c r="H22" s="1251"/>
      <c r="I22" s="1252"/>
      <c r="J22" s="237"/>
      <c r="K22" s="237"/>
      <c r="L22" s="237"/>
      <c r="M22" s="237"/>
      <c r="N22" s="237"/>
      <c r="O22" s="237"/>
      <c r="P22" s="237"/>
      <c r="Q22" s="237"/>
      <c r="R22" s="237"/>
    </row>
    <row r="23" spans="1:18" x14ac:dyDescent="0.2">
      <c r="A23" s="34"/>
      <c r="B23" s="34"/>
      <c r="C23" s="34"/>
      <c r="D23" s="34"/>
      <c r="E23" s="34"/>
      <c r="F23" s="34"/>
      <c r="G23" s="34"/>
      <c r="H23" s="34"/>
      <c r="I23" s="34"/>
      <c r="J23" s="237"/>
      <c r="K23" s="237"/>
      <c r="L23" s="237"/>
      <c r="M23" s="237"/>
      <c r="N23" s="237"/>
      <c r="O23" s="237"/>
      <c r="P23" s="237"/>
      <c r="Q23" s="237"/>
      <c r="R23" s="237"/>
    </row>
    <row r="24" spans="1:18" ht="16" thickBot="1" x14ac:dyDescent="0.25">
      <c r="A24" s="1253" t="s">
        <v>60</v>
      </c>
      <c r="B24" s="1253"/>
      <c r="C24" s="1253"/>
      <c r="D24" s="1253"/>
      <c r="E24" s="1253"/>
      <c r="F24" s="1253"/>
      <c r="G24" s="1253"/>
      <c r="H24" s="1253"/>
      <c r="I24" s="1253"/>
      <c r="J24" s="237"/>
      <c r="K24" s="237"/>
      <c r="L24" s="237"/>
      <c r="M24" s="237"/>
      <c r="N24" s="237"/>
      <c r="O24" s="237"/>
      <c r="P24" s="237"/>
      <c r="Q24" s="237"/>
      <c r="R24" s="237"/>
    </row>
    <row r="25" spans="1:18" ht="14.5" customHeight="1" x14ac:dyDescent="0.2">
      <c r="A25" s="1254" t="s">
        <v>58</v>
      </c>
      <c r="B25" s="1255"/>
      <c r="C25" s="1258" t="s">
        <v>59</v>
      </c>
      <c r="D25" s="1258"/>
      <c r="E25" s="1260" t="s">
        <v>61</v>
      </c>
      <c r="F25" s="1260"/>
      <c r="G25" s="1240" t="s">
        <v>62</v>
      </c>
      <c r="H25" s="1240"/>
      <c r="I25" s="1242" t="s">
        <v>63</v>
      </c>
      <c r="J25" s="237"/>
      <c r="K25" s="237"/>
      <c r="L25" s="237"/>
      <c r="M25" s="237"/>
      <c r="N25" s="237"/>
      <c r="O25" s="237"/>
      <c r="P25" s="237"/>
      <c r="Q25" s="237"/>
      <c r="R25" s="237"/>
    </row>
    <row r="26" spans="1:18" ht="16" thickBot="1" x14ac:dyDescent="0.25">
      <c r="A26" s="1256"/>
      <c r="B26" s="1257"/>
      <c r="C26" s="1259"/>
      <c r="D26" s="1259"/>
      <c r="E26" s="1261"/>
      <c r="F26" s="1261"/>
      <c r="G26" s="1241"/>
      <c r="H26" s="1241"/>
      <c r="I26" s="1243"/>
      <c r="J26" s="237"/>
      <c r="K26" s="237"/>
      <c r="L26" s="237"/>
      <c r="M26" s="237"/>
      <c r="N26" s="237"/>
      <c r="O26" s="237"/>
      <c r="P26" s="237"/>
      <c r="Q26" s="237"/>
      <c r="R26" s="237"/>
    </row>
    <row r="27" spans="1:18" x14ac:dyDescent="0.2">
      <c r="A27" s="576"/>
      <c r="B27" s="576"/>
      <c r="C27" s="1236" t="s">
        <v>505</v>
      </c>
      <c r="D27" s="1237"/>
      <c r="E27" s="576"/>
      <c r="F27" s="576"/>
      <c r="G27" s="576"/>
      <c r="H27" s="576"/>
      <c r="I27" s="576"/>
      <c r="J27" s="237"/>
      <c r="K27" s="237"/>
      <c r="L27" s="237"/>
      <c r="M27" s="237"/>
      <c r="N27" s="237"/>
      <c r="O27" s="237"/>
      <c r="P27" s="237"/>
      <c r="Q27" s="237"/>
      <c r="R27" s="237"/>
    </row>
    <row r="28" spans="1:18" ht="16" thickBot="1" x14ac:dyDescent="0.25">
      <c r="A28" s="577"/>
      <c r="B28" s="577"/>
      <c r="C28" s="1238"/>
      <c r="D28" s="1239"/>
      <c r="E28" s="577"/>
      <c r="F28" s="577"/>
      <c r="G28" s="577"/>
      <c r="H28" s="577"/>
      <c r="I28" s="577"/>
      <c r="J28" s="237"/>
      <c r="K28" s="237"/>
      <c r="L28" s="237"/>
      <c r="M28" s="237"/>
      <c r="N28" s="237"/>
      <c r="O28" s="237"/>
      <c r="P28" s="237"/>
      <c r="Q28" s="237"/>
      <c r="R28" s="237"/>
    </row>
    <row r="29" spans="1:18" x14ac:dyDescent="0.2">
      <c r="A29" s="577"/>
      <c r="B29" s="577"/>
      <c r="C29" s="577"/>
      <c r="D29" s="577"/>
      <c r="E29" s="577"/>
      <c r="F29" s="577"/>
      <c r="G29" s="577"/>
      <c r="H29" s="577"/>
      <c r="I29" s="577"/>
      <c r="J29" s="237"/>
      <c r="K29" s="237"/>
      <c r="L29" s="237"/>
      <c r="M29" s="237"/>
      <c r="N29" s="237"/>
      <c r="O29" s="237"/>
      <c r="P29" s="237"/>
      <c r="Q29" s="237"/>
      <c r="R29" s="237"/>
    </row>
    <row r="30" spans="1:18" x14ac:dyDescent="0.2">
      <c r="A30" s="78"/>
      <c r="B30" s="78"/>
      <c r="C30" s="34"/>
      <c r="D30" s="34"/>
      <c r="E30" s="34"/>
      <c r="F30" s="34"/>
      <c r="G30" s="34"/>
      <c r="H30" s="34"/>
      <c r="I30" s="34"/>
      <c r="J30" s="237"/>
      <c r="K30" s="237"/>
      <c r="L30" s="237"/>
      <c r="M30" s="237"/>
      <c r="N30" s="237"/>
      <c r="O30" s="237"/>
      <c r="P30" s="237"/>
      <c r="Q30" s="237"/>
      <c r="R30" s="237"/>
    </row>
    <row r="31" spans="1:18" x14ac:dyDescent="0.2">
      <c r="A31" s="34"/>
      <c r="B31" s="34"/>
      <c r="C31" s="34"/>
      <c r="D31" s="34"/>
      <c r="E31" s="34"/>
      <c r="F31" s="34"/>
      <c r="G31" s="34"/>
      <c r="H31" s="34"/>
      <c r="I31" s="34"/>
      <c r="J31" s="237"/>
      <c r="K31" s="237"/>
      <c r="L31" s="237"/>
      <c r="M31" s="237"/>
      <c r="N31" s="237"/>
      <c r="O31" s="237"/>
      <c r="P31" s="237"/>
      <c r="Q31" s="237"/>
      <c r="R31" s="237"/>
    </row>
    <row r="32" spans="1:18" x14ac:dyDescent="0.2">
      <c r="A32" s="34"/>
      <c r="B32" s="34"/>
      <c r="C32" s="34"/>
      <c r="D32" s="34"/>
      <c r="E32" s="34"/>
      <c r="F32" s="34"/>
      <c r="G32" s="34"/>
      <c r="H32" s="34"/>
      <c r="I32" s="34"/>
      <c r="J32" s="237"/>
      <c r="K32" s="237"/>
      <c r="L32" s="237"/>
      <c r="M32" s="237"/>
      <c r="N32" s="237"/>
      <c r="O32" s="237"/>
      <c r="P32" s="237"/>
      <c r="Q32" s="237"/>
      <c r="R32" s="237"/>
    </row>
    <row r="33" spans="1:18" x14ac:dyDescent="0.2">
      <c r="A33" s="34"/>
      <c r="B33" s="34"/>
      <c r="C33" s="34"/>
      <c r="D33" s="34"/>
      <c r="E33" s="34"/>
      <c r="F33" s="34"/>
      <c r="G33" s="34"/>
      <c r="H33" s="34"/>
      <c r="I33" s="34"/>
      <c r="J33" s="237"/>
      <c r="K33" s="237"/>
      <c r="L33" s="237"/>
      <c r="M33" s="237"/>
      <c r="N33" s="237"/>
      <c r="O33" s="237"/>
      <c r="P33" s="237"/>
      <c r="Q33" s="237"/>
      <c r="R33" s="237"/>
    </row>
    <row r="34" spans="1:18" x14ac:dyDescent="0.2">
      <c r="A34" s="34"/>
      <c r="B34" s="34"/>
      <c r="C34" s="34"/>
      <c r="D34" s="34"/>
      <c r="E34" s="34"/>
      <c r="F34" s="34"/>
      <c r="G34" s="34"/>
      <c r="H34" s="34"/>
      <c r="I34" s="34"/>
      <c r="J34" s="237"/>
      <c r="K34" s="237"/>
      <c r="L34" s="237"/>
      <c r="M34" s="237"/>
      <c r="N34" s="237"/>
      <c r="O34" s="237"/>
      <c r="P34" s="237"/>
      <c r="Q34" s="237"/>
      <c r="R34" s="237"/>
    </row>
    <row r="35" spans="1:18" x14ac:dyDescent="0.2">
      <c r="A35" s="34"/>
      <c r="B35" s="34"/>
      <c r="C35" s="34"/>
      <c r="D35" s="34"/>
      <c r="E35" s="34"/>
      <c r="F35" s="34"/>
      <c r="G35" s="34"/>
      <c r="H35" s="34"/>
      <c r="I35" s="34"/>
      <c r="J35" s="237"/>
      <c r="K35" s="237"/>
      <c r="L35" s="237"/>
      <c r="M35" s="237"/>
      <c r="N35" s="237"/>
      <c r="O35" s="237"/>
      <c r="P35" s="237"/>
      <c r="Q35" s="237"/>
      <c r="R35" s="237"/>
    </row>
    <row r="36" spans="1:18" x14ac:dyDescent="0.2">
      <c r="A36" s="34"/>
      <c r="B36" s="34"/>
      <c r="C36" s="34"/>
      <c r="D36" s="34"/>
      <c r="E36" s="34"/>
      <c r="F36" s="34"/>
      <c r="G36" s="34"/>
      <c r="H36" s="34"/>
      <c r="I36" s="34"/>
      <c r="J36" s="237"/>
      <c r="K36" s="237"/>
      <c r="L36" s="237"/>
      <c r="M36" s="237"/>
      <c r="N36" s="237"/>
      <c r="O36" s="237"/>
      <c r="P36" s="237"/>
      <c r="Q36" s="237"/>
      <c r="R36" s="237"/>
    </row>
    <row r="37" spans="1:18" x14ac:dyDescent="0.2">
      <c r="A37" s="34"/>
      <c r="B37" s="34"/>
      <c r="C37" s="34"/>
      <c r="D37" s="34"/>
      <c r="E37" s="34"/>
      <c r="F37" s="34"/>
      <c r="G37" s="34"/>
      <c r="H37" s="34"/>
      <c r="I37" s="34"/>
    </row>
    <row r="38" spans="1:18" x14ac:dyDescent="0.2">
      <c r="A38" s="34"/>
      <c r="B38" s="34"/>
      <c r="C38" s="34"/>
      <c r="D38" s="34"/>
      <c r="E38" s="34"/>
      <c r="F38" s="34"/>
      <c r="G38" s="34"/>
      <c r="H38" s="34"/>
      <c r="I38" s="34"/>
    </row>
    <row r="39" spans="1:18" x14ac:dyDescent="0.2">
      <c r="A39" s="34"/>
      <c r="B39" s="34"/>
      <c r="C39" s="34"/>
      <c r="D39" s="34"/>
      <c r="E39" s="34"/>
      <c r="F39" s="34"/>
      <c r="G39" s="34"/>
      <c r="H39" s="34"/>
      <c r="I39" s="34"/>
    </row>
    <row r="40" spans="1:18" x14ac:dyDescent="0.2">
      <c r="A40" s="34"/>
      <c r="B40" s="34"/>
      <c r="C40" s="34"/>
      <c r="D40" s="34"/>
      <c r="E40" s="34"/>
      <c r="F40" s="34"/>
      <c r="G40" s="34"/>
      <c r="H40" s="34"/>
      <c r="I40" s="34"/>
    </row>
  </sheetData>
  <mergeCells count="28">
    <mergeCell ref="A6:I9"/>
    <mergeCell ref="A16:B16"/>
    <mergeCell ref="C16:I16"/>
    <mergeCell ref="A17:B17"/>
    <mergeCell ref="C17:I17"/>
    <mergeCell ref="A13:B13"/>
    <mergeCell ref="C13:I13"/>
    <mergeCell ref="A14:B14"/>
    <mergeCell ref="C14:I14"/>
    <mergeCell ref="A15:B15"/>
    <mergeCell ref="C15:I15"/>
    <mergeCell ref="A18:B18"/>
    <mergeCell ref="C18:I18"/>
    <mergeCell ref="A19:B19"/>
    <mergeCell ref="C19:I19"/>
    <mergeCell ref="A20:B20"/>
    <mergeCell ref="C20:I20"/>
    <mergeCell ref="C27:D28"/>
    <mergeCell ref="G25:H26"/>
    <mergeCell ref="I25:I26"/>
    <mergeCell ref="A21:B21"/>
    <mergeCell ref="C21:I21"/>
    <mergeCell ref="A22:B22"/>
    <mergeCell ref="C22:I22"/>
    <mergeCell ref="A24:I24"/>
    <mergeCell ref="A25:B26"/>
    <mergeCell ref="C25:D26"/>
    <mergeCell ref="E25:F26"/>
  </mergeCells>
  <hyperlinks>
    <hyperlink ref="C22" r:id="rId1" xr:uid="{5DF4FBAF-F17F-AE49-B110-392048938B66}"/>
    <hyperlink ref="C19" r:id="rId2" xr:uid="{0CAEAFC4-BA19-A24A-91DD-5AB5A2B800D5}"/>
  </hyperlinks>
  <pageMargins left="0.7" right="0.7" top="0.75" bottom="0.75" header="0.3" footer="0.3"/>
  <pageSetup paperSize="9" orientation="portrait"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22"/>
  <sheetViews>
    <sheetView workbookViewId="0">
      <pane xSplit="1" ySplit="1" topLeftCell="B16" activePane="bottomRight" state="frozen"/>
      <selection pane="topRight" activeCell="B1" sqref="B1"/>
      <selection pane="bottomLeft" activeCell="A2" sqref="A2"/>
      <selection pane="bottomRight" activeCell="F22" sqref="F22"/>
    </sheetView>
  </sheetViews>
  <sheetFormatPr baseColWidth="10" defaultColWidth="8.83203125" defaultRowHeight="14" x14ac:dyDescent="0.2"/>
  <cols>
    <col min="1" max="1" width="8.83203125" style="620"/>
    <col min="2" max="7" width="33.33203125" style="620" customWidth="1"/>
    <col min="8" max="16384" width="8.83203125" style="620"/>
  </cols>
  <sheetData>
    <row r="1" spans="1:7" ht="15" x14ac:dyDescent="0.2">
      <c r="A1" s="620" t="s">
        <v>2</v>
      </c>
      <c r="B1" s="620">
        <v>0</v>
      </c>
      <c r="C1" s="620">
        <v>1</v>
      </c>
      <c r="D1" s="620">
        <v>2</v>
      </c>
      <c r="E1" s="620">
        <v>3</v>
      </c>
      <c r="F1" s="620">
        <v>4</v>
      </c>
      <c r="G1" s="620">
        <v>5</v>
      </c>
    </row>
    <row r="2" spans="1:7" ht="60" x14ac:dyDescent="0.2">
      <c r="A2" s="620" t="s">
        <v>365</v>
      </c>
      <c r="B2" s="620" t="s">
        <v>532</v>
      </c>
      <c r="C2" s="620" t="s">
        <v>533</v>
      </c>
      <c r="D2" s="620" t="s">
        <v>534</v>
      </c>
      <c r="E2" s="620" t="s">
        <v>535</v>
      </c>
      <c r="F2" s="620" t="s">
        <v>536</v>
      </c>
      <c r="G2" s="620" t="s">
        <v>531</v>
      </c>
    </row>
    <row r="3" spans="1:7" ht="180" x14ac:dyDescent="0.2">
      <c r="A3" s="620" t="s">
        <v>364</v>
      </c>
      <c r="B3" s="620" t="s">
        <v>537</v>
      </c>
      <c r="C3" s="620" t="s">
        <v>538</v>
      </c>
      <c r="D3" s="620" t="s">
        <v>539</v>
      </c>
      <c r="E3" s="620" t="s">
        <v>540</v>
      </c>
      <c r="F3" s="620" t="s">
        <v>542</v>
      </c>
      <c r="G3" s="620" t="s">
        <v>543</v>
      </c>
    </row>
    <row r="4" spans="1:7" ht="314" x14ac:dyDescent="0.2">
      <c r="A4" s="620" t="s">
        <v>363</v>
      </c>
      <c r="B4" s="620" t="s">
        <v>545</v>
      </c>
      <c r="C4" s="620" t="s">
        <v>546</v>
      </c>
      <c r="D4" s="620" t="s">
        <v>547</v>
      </c>
      <c r="E4" s="620" t="s">
        <v>548</v>
      </c>
      <c r="F4" s="620" t="s">
        <v>549</v>
      </c>
      <c r="G4" s="620" t="s">
        <v>550</v>
      </c>
    </row>
    <row r="5" spans="1:7" ht="240" x14ac:dyDescent="0.2">
      <c r="A5" s="620" t="s">
        <v>362</v>
      </c>
      <c r="B5" s="620" t="s">
        <v>551</v>
      </c>
      <c r="C5" s="620" t="s">
        <v>552</v>
      </c>
      <c r="D5" s="620" t="s">
        <v>553</v>
      </c>
      <c r="E5" s="620" t="s">
        <v>554</v>
      </c>
      <c r="F5" s="620" t="s">
        <v>555</v>
      </c>
      <c r="G5" s="620" t="s">
        <v>556</v>
      </c>
    </row>
    <row r="6" spans="1:7" ht="60" x14ac:dyDescent="0.2">
      <c r="A6" s="620" t="s">
        <v>361</v>
      </c>
      <c r="B6" s="620" t="s">
        <v>558</v>
      </c>
      <c r="C6" s="620" t="s">
        <v>559</v>
      </c>
      <c r="D6" s="620" t="s">
        <v>560</v>
      </c>
      <c r="E6" s="620" t="s">
        <v>561</v>
      </c>
      <c r="F6" s="620" t="s">
        <v>562</v>
      </c>
      <c r="G6" s="620" t="s">
        <v>557</v>
      </c>
    </row>
    <row r="7" spans="1:7" ht="90" x14ac:dyDescent="0.2">
      <c r="A7" s="620" t="s">
        <v>360</v>
      </c>
      <c r="B7" s="620" t="s">
        <v>563</v>
      </c>
      <c r="C7" s="620" t="s">
        <v>564</v>
      </c>
      <c r="D7" s="620" t="s">
        <v>565</v>
      </c>
      <c r="E7" s="620" t="s">
        <v>566</v>
      </c>
      <c r="F7" s="620" t="s">
        <v>567</v>
      </c>
      <c r="G7" s="620" t="s">
        <v>568</v>
      </c>
    </row>
    <row r="8" spans="1:7" ht="210" x14ac:dyDescent="0.2">
      <c r="A8" s="620" t="s">
        <v>359</v>
      </c>
      <c r="B8" s="620" t="s">
        <v>569</v>
      </c>
      <c r="C8" s="620" t="s">
        <v>571</v>
      </c>
      <c r="D8" s="620" t="s">
        <v>572</v>
      </c>
      <c r="E8" s="620" t="s">
        <v>573</v>
      </c>
      <c r="F8" s="620" t="s">
        <v>574</v>
      </c>
      <c r="G8" s="620" t="s">
        <v>570</v>
      </c>
    </row>
    <row r="9" spans="1:7" ht="240" x14ac:dyDescent="0.2">
      <c r="A9" s="620" t="s">
        <v>358</v>
      </c>
      <c r="B9" s="620" t="s">
        <v>575</v>
      </c>
      <c r="C9" s="620" t="s">
        <v>576</v>
      </c>
      <c r="D9" s="620" t="s">
        <v>577</v>
      </c>
      <c r="E9" s="620" t="s">
        <v>578</v>
      </c>
      <c r="F9" s="620" t="s">
        <v>580</v>
      </c>
      <c r="G9" s="620" t="s">
        <v>579</v>
      </c>
    </row>
    <row r="10" spans="1:7" ht="384" x14ac:dyDescent="0.2">
      <c r="A10" s="620" t="s">
        <v>357</v>
      </c>
      <c r="B10" s="620" t="s">
        <v>551</v>
      </c>
      <c r="C10" s="620" t="s">
        <v>581</v>
      </c>
      <c r="D10" s="620" t="s">
        <v>582</v>
      </c>
      <c r="E10" s="620" t="s">
        <v>583</v>
      </c>
      <c r="F10" s="620" t="s">
        <v>584</v>
      </c>
      <c r="G10" s="620" t="s">
        <v>585</v>
      </c>
    </row>
    <row r="11" spans="1:7" ht="75" x14ac:dyDescent="0.2">
      <c r="A11" s="620" t="s">
        <v>356</v>
      </c>
      <c r="B11" s="620" t="s">
        <v>586</v>
      </c>
      <c r="C11" s="620" t="s">
        <v>587</v>
      </c>
      <c r="D11" s="620" t="s">
        <v>588</v>
      </c>
      <c r="E11" s="620" t="s">
        <v>589</v>
      </c>
      <c r="F11" s="620" t="s">
        <v>590</v>
      </c>
      <c r="G11" s="620" t="s">
        <v>591</v>
      </c>
    </row>
    <row r="12" spans="1:7" ht="150" x14ac:dyDescent="0.2">
      <c r="A12" s="620" t="s">
        <v>355</v>
      </c>
      <c r="B12" s="620" t="s">
        <v>592</v>
      </c>
      <c r="C12" s="620" t="s">
        <v>593</v>
      </c>
      <c r="D12" s="620" t="s">
        <v>594</v>
      </c>
      <c r="E12" s="620" t="s">
        <v>595</v>
      </c>
      <c r="F12" s="620" t="s">
        <v>596</v>
      </c>
      <c r="G12" s="620" t="s">
        <v>597</v>
      </c>
    </row>
    <row r="13" spans="1:7" ht="45" x14ac:dyDescent="0.2">
      <c r="A13" s="620" t="s">
        <v>354</v>
      </c>
      <c r="B13" s="620" t="s">
        <v>598</v>
      </c>
      <c r="C13" s="620" t="s">
        <v>599</v>
      </c>
      <c r="D13" s="620" t="s">
        <v>600</v>
      </c>
      <c r="E13" s="620" t="s">
        <v>601</v>
      </c>
      <c r="F13" s="620" t="s">
        <v>602</v>
      </c>
      <c r="G13" s="620" t="s">
        <v>603</v>
      </c>
    </row>
    <row r="14" spans="1:7" ht="60" x14ac:dyDescent="0.2">
      <c r="A14" s="620" t="s">
        <v>353</v>
      </c>
      <c r="B14" s="620" t="s">
        <v>604</v>
      </c>
      <c r="C14" s="620" t="s">
        <v>605</v>
      </c>
      <c r="D14" s="620" t="s">
        <v>606</v>
      </c>
      <c r="E14" s="620" t="s">
        <v>607</v>
      </c>
      <c r="F14" s="620" t="s">
        <v>608</v>
      </c>
      <c r="G14" s="620" t="s">
        <v>609</v>
      </c>
    </row>
    <row r="15" spans="1:7" ht="30" x14ac:dyDescent="0.2">
      <c r="A15" s="620" t="s">
        <v>497</v>
      </c>
      <c r="B15" s="620" t="s">
        <v>610</v>
      </c>
      <c r="C15" s="620" t="s">
        <v>611</v>
      </c>
      <c r="D15" s="620" t="s">
        <v>612</v>
      </c>
      <c r="E15" s="620" t="s">
        <v>613</v>
      </c>
      <c r="F15" s="620" t="s">
        <v>614</v>
      </c>
      <c r="G15" s="620" t="s">
        <v>615</v>
      </c>
    </row>
    <row r="16" spans="1:7" ht="30" x14ac:dyDescent="0.2">
      <c r="A16" s="620" t="s">
        <v>498</v>
      </c>
      <c r="B16" s="620" t="s">
        <v>616</v>
      </c>
      <c r="C16" s="620" t="s">
        <v>617</v>
      </c>
      <c r="D16" s="620" t="s">
        <v>618</v>
      </c>
      <c r="E16" s="620" t="s">
        <v>619</v>
      </c>
      <c r="F16" s="620" t="s">
        <v>620</v>
      </c>
      <c r="G16" s="620" t="s">
        <v>621</v>
      </c>
    </row>
    <row r="17" spans="1:7" ht="60" x14ac:dyDescent="0.2">
      <c r="A17" s="620" t="s">
        <v>499</v>
      </c>
      <c r="B17" s="620" t="s">
        <v>622</v>
      </c>
      <c r="C17" s="620" t="s">
        <v>623</v>
      </c>
      <c r="D17" s="620" t="s">
        <v>624</v>
      </c>
      <c r="E17" s="620" t="s">
        <v>625</v>
      </c>
      <c r="F17" s="620" t="s">
        <v>626</v>
      </c>
      <c r="G17" s="620" t="s">
        <v>627</v>
      </c>
    </row>
    <row r="18" spans="1:7" ht="30" x14ac:dyDescent="0.2">
      <c r="A18" s="620" t="s">
        <v>500</v>
      </c>
      <c r="B18" s="620" t="s">
        <v>628</v>
      </c>
      <c r="C18" s="620" t="s">
        <v>629</v>
      </c>
      <c r="D18" s="620" t="s">
        <v>630</v>
      </c>
      <c r="E18" s="620" t="s">
        <v>631</v>
      </c>
      <c r="F18" s="620" t="s">
        <v>632</v>
      </c>
      <c r="G18" s="620" t="s">
        <v>633</v>
      </c>
    </row>
    <row r="19" spans="1:7" ht="60" x14ac:dyDescent="0.2">
      <c r="A19" s="620" t="s">
        <v>501</v>
      </c>
      <c r="B19" s="620" t="s">
        <v>634</v>
      </c>
      <c r="C19" s="620" t="s">
        <v>635</v>
      </c>
      <c r="D19" s="620" t="s">
        <v>636</v>
      </c>
      <c r="E19" s="620" t="s">
        <v>637</v>
      </c>
      <c r="F19" s="620" t="s">
        <v>638</v>
      </c>
      <c r="G19" s="620" t="s">
        <v>639</v>
      </c>
    </row>
    <row r="20" spans="1:7" ht="60" x14ac:dyDescent="0.2">
      <c r="A20" s="620" t="s">
        <v>502</v>
      </c>
      <c r="B20" s="620" t="s">
        <v>640</v>
      </c>
      <c r="C20" s="620" t="s">
        <v>641</v>
      </c>
      <c r="D20" s="620" t="s">
        <v>642</v>
      </c>
      <c r="E20" s="620" t="s">
        <v>643</v>
      </c>
      <c r="F20" s="620" t="s">
        <v>644</v>
      </c>
      <c r="G20" s="620" t="s">
        <v>645</v>
      </c>
    </row>
    <row r="21" spans="1:7" ht="30" x14ac:dyDescent="0.2">
      <c r="A21" s="620" t="s">
        <v>503</v>
      </c>
      <c r="B21" s="620" t="s">
        <v>646</v>
      </c>
      <c r="C21" s="620" t="s">
        <v>647</v>
      </c>
      <c r="D21" s="620" t="s">
        <v>648</v>
      </c>
      <c r="E21" s="620" t="s">
        <v>649</v>
      </c>
      <c r="F21" s="620" t="s">
        <v>650</v>
      </c>
      <c r="G21" s="620" t="s">
        <v>651</v>
      </c>
    </row>
    <row r="22" spans="1:7" ht="30" x14ac:dyDescent="0.2">
      <c r="A22" s="620" t="s">
        <v>504</v>
      </c>
      <c r="B22" s="620" t="s">
        <v>652</v>
      </c>
      <c r="C22" s="620" t="s">
        <v>653</v>
      </c>
      <c r="D22" s="620" t="s">
        <v>654</v>
      </c>
      <c r="E22" s="620" t="s">
        <v>655</v>
      </c>
      <c r="F22" s="620" t="s">
        <v>656</v>
      </c>
      <c r="G22" s="620" t="s">
        <v>657</v>
      </c>
    </row>
  </sheetData>
  <phoneticPr fontId="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25">
    <tabColor rgb="FFFFC000"/>
  </sheetPr>
  <dimension ref="A1:H21"/>
  <sheetViews>
    <sheetView workbookViewId="0">
      <selection activeCell="B4" sqref="B4"/>
    </sheetView>
  </sheetViews>
  <sheetFormatPr baseColWidth="10" defaultColWidth="8.83203125" defaultRowHeight="14" x14ac:dyDescent="0.2"/>
  <cols>
    <col min="1" max="1" width="18.6640625" style="409" customWidth="1"/>
    <col min="2" max="2" width="12" style="409" customWidth="1"/>
    <col min="3" max="3" width="6.1640625" style="409" customWidth="1"/>
    <col min="4" max="5" width="12" style="409" customWidth="1"/>
    <col min="6" max="7" width="11.33203125" style="409" customWidth="1"/>
    <col min="8" max="16384" width="8.83203125" style="409"/>
  </cols>
  <sheetData>
    <row r="1" spans="1:8" s="410" customFormat="1" ht="30" x14ac:dyDescent="0.2">
      <c r="A1" s="430" t="s">
        <v>396</v>
      </c>
      <c r="B1" s="430" t="s">
        <v>299</v>
      </c>
      <c r="C1" s="430" t="s">
        <v>98</v>
      </c>
      <c r="D1" s="430" t="s">
        <v>267</v>
      </c>
      <c r="E1" s="430" t="s">
        <v>395</v>
      </c>
      <c r="F1" s="430" t="s">
        <v>291</v>
      </c>
      <c r="G1" s="430" t="s">
        <v>737</v>
      </c>
    </row>
    <row r="2" spans="1:8" x14ac:dyDescent="0.2">
      <c r="A2" s="427" t="s">
        <v>294</v>
      </c>
      <c r="B2" s="428">
        <v>46113</v>
      </c>
      <c r="C2" s="425">
        <f t="shared" ref="C2:C21" si="0">IF(ISBLANK(B2),"",YEAR(B2))</f>
        <v>2026</v>
      </c>
      <c r="D2" s="428">
        <v>46752</v>
      </c>
      <c r="E2" s="418">
        <f>IF(ISBLANK(B2),"",ROUND((D2-B2+1)/30,0))</f>
        <v>21</v>
      </c>
      <c r="F2" s="425">
        <f>IF(ISBLANK(B2),"",ROUNDUP(((D2+1)-MIN($B$2:$B$21))/365,))</f>
        <v>2</v>
      </c>
      <c r="G2" s="425">
        <f>IF(ISBLANK(B2),"",ROUND((D2-$B$2+1)/30,0))</f>
        <v>21</v>
      </c>
      <c r="H2" s="429"/>
    </row>
    <row r="3" spans="1:8" x14ac:dyDescent="0.2">
      <c r="A3" s="427" t="s">
        <v>295</v>
      </c>
      <c r="B3" s="428">
        <v>46753</v>
      </c>
      <c r="C3" s="425">
        <f t="shared" si="0"/>
        <v>2028</v>
      </c>
      <c r="D3" s="428">
        <v>47483</v>
      </c>
      <c r="E3" s="418">
        <f t="shared" ref="E3:E21" si="1">IF(ISBLANK(B3),"",ROUND((D3-B3+1)/30,0))</f>
        <v>24</v>
      </c>
      <c r="F3" s="425">
        <f t="shared" ref="F3:F21" si="2">IF(ISBLANK(B3),"",ROUNDUP(((D3+1)-MIN($B$2:$B$21))/365,))</f>
        <v>4</v>
      </c>
      <c r="G3" s="425">
        <f>IF(ISBLANK(B3),"",ROUND((D3-$B$2+1)/30,0))</f>
        <v>46</v>
      </c>
    </row>
    <row r="4" spans="1:8" x14ac:dyDescent="0.2">
      <c r="A4" s="427" t="s">
        <v>296</v>
      </c>
      <c r="B4" s="428"/>
      <c r="C4" s="425" t="str">
        <f t="shared" si="0"/>
        <v/>
      </c>
      <c r="D4" s="428"/>
      <c r="E4" s="418" t="str">
        <f t="shared" si="1"/>
        <v/>
      </c>
      <c r="F4" s="425" t="str">
        <f t="shared" si="2"/>
        <v/>
      </c>
      <c r="G4" s="425" t="str">
        <f>IF(ISBLANK(B4),"",ROUND((D4-$B$2+1)/30,0))</f>
        <v/>
      </c>
    </row>
    <row r="5" spans="1:8" x14ac:dyDescent="0.2">
      <c r="A5" s="427" t="s">
        <v>394</v>
      </c>
      <c r="B5" s="426"/>
      <c r="C5" s="425" t="str">
        <f t="shared" si="0"/>
        <v/>
      </c>
      <c r="D5" s="426"/>
      <c r="E5" s="418" t="str">
        <f t="shared" si="1"/>
        <v/>
      </c>
      <c r="F5" s="425" t="str">
        <f t="shared" si="2"/>
        <v/>
      </c>
      <c r="G5" s="425"/>
    </row>
    <row r="6" spans="1:8" x14ac:dyDescent="0.2">
      <c r="A6" s="427" t="s">
        <v>393</v>
      </c>
      <c r="B6" s="426"/>
      <c r="C6" s="425" t="str">
        <f t="shared" si="0"/>
        <v/>
      </c>
      <c r="D6" s="426"/>
      <c r="E6" s="418" t="str">
        <f t="shared" si="1"/>
        <v/>
      </c>
      <c r="F6" s="425" t="str">
        <f t="shared" si="2"/>
        <v/>
      </c>
      <c r="G6" s="425"/>
    </row>
    <row r="7" spans="1:8" x14ac:dyDescent="0.2">
      <c r="A7" s="427" t="s">
        <v>392</v>
      </c>
      <c r="B7" s="426"/>
      <c r="C7" s="425" t="str">
        <f t="shared" si="0"/>
        <v/>
      </c>
      <c r="D7" s="426"/>
      <c r="E7" s="418" t="str">
        <f t="shared" si="1"/>
        <v/>
      </c>
      <c r="F7" s="425" t="str">
        <f t="shared" si="2"/>
        <v/>
      </c>
      <c r="G7" s="425"/>
    </row>
    <row r="8" spans="1:8" x14ac:dyDescent="0.2">
      <c r="A8" s="427" t="s">
        <v>391</v>
      </c>
      <c r="B8" s="426"/>
      <c r="C8" s="425" t="str">
        <f t="shared" si="0"/>
        <v/>
      </c>
      <c r="D8" s="426"/>
      <c r="E8" s="418" t="str">
        <f t="shared" si="1"/>
        <v/>
      </c>
      <c r="F8" s="425" t="str">
        <f t="shared" si="2"/>
        <v/>
      </c>
      <c r="G8" s="425"/>
    </row>
    <row r="9" spans="1:8" x14ac:dyDescent="0.2">
      <c r="A9" s="427" t="s">
        <v>390</v>
      </c>
      <c r="B9" s="426"/>
      <c r="C9" s="425" t="str">
        <f t="shared" si="0"/>
        <v/>
      </c>
      <c r="D9" s="426"/>
      <c r="E9" s="418" t="str">
        <f t="shared" si="1"/>
        <v/>
      </c>
      <c r="F9" s="425" t="str">
        <f t="shared" si="2"/>
        <v/>
      </c>
      <c r="G9" s="425"/>
    </row>
    <row r="10" spans="1:8" x14ac:dyDescent="0.2">
      <c r="A10" s="427" t="s">
        <v>389</v>
      </c>
      <c r="B10" s="426"/>
      <c r="C10" s="425" t="str">
        <f t="shared" si="0"/>
        <v/>
      </c>
      <c r="D10" s="426"/>
      <c r="E10" s="418" t="str">
        <f t="shared" si="1"/>
        <v/>
      </c>
      <c r="F10" s="425" t="str">
        <f t="shared" si="2"/>
        <v/>
      </c>
      <c r="G10" s="425"/>
    </row>
    <row r="11" spans="1:8" x14ac:dyDescent="0.2">
      <c r="A11" s="427" t="s">
        <v>388</v>
      </c>
      <c r="B11" s="426"/>
      <c r="C11" s="425" t="str">
        <f t="shared" si="0"/>
        <v/>
      </c>
      <c r="D11" s="426"/>
      <c r="E11" s="418" t="str">
        <f t="shared" si="1"/>
        <v/>
      </c>
      <c r="F11" s="425" t="str">
        <f t="shared" si="2"/>
        <v/>
      </c>
      <c r="G11" s="425"/>
    </row>
    <row r="12" spans="1:8" x14ac:dyDescent="0.2">
      <c r="A12" s="427" t="s">
        <v>387</v>
      </c>
      <c r="B12" s="426"/>
      <c r="C12" s="425" t="str">
        <f t="shared" si="0"/>
        <v/>
      </c>
      <c r="D12" s="426"/>
      <c r="E12" s="418" t="str">
        <f t="shared" si="1"/>
        <v/>
      </c>
      <c r="F12" s="425" t="str">
        <f t="shared" si="2"/>
        <v/>
      </c>
      <c r="G12" s="425"/>
    </row>
    <row r="13" spans="1:8" x14ac:dyDescent="0.2">
      <c r="A13" s="427" t="s">
        <v>386</v>
      </c>
      <c r="B13" s="426"/>
      <c r="C13" s="425" t="str">
        <f t="shared" si="0"/>
        <v/>
      </c>
      <c r="D13" s="426"/>
      <c r="E13" s="418" t="str">
        <f t="shared" si="1"/>
        <v/>
      </c>
      <c r="F13" s="425" t="str">
        <f t="shared" si="2"/>
        <v/>
      </c>
      <c r="G13" s="425"/>
    </row>
    <row r="14" spans="1:8" x14ac:dyDescent="0.2">
      <c r="A14" s="427" t="s">
        <v>385</v>
      </c>
      <c r="B14" s="426"/>
      <c r="C14" s="425" t="str">
        <f t="shared" si="0"/>
        <v/>
      </c>
      <c r="D14" s="426"/>
      <c r="E14" s="418" t="str">
        <f t="shared" si="1"/>
        <v/>
      </c>
      <c r="F14" s="425" t="str">
        <f t="shared" si="2"/>
        <v/>
      </c>
      <c r="G14" s="425"/>
    </row>
    <row r="15" spans="1:8" x14ac:dyDescent="0.2">
      <c r="A15" s="427" t="s">
        <v>384</v>
      </c>
      <c r="B15" s="426"/>
      <c r="C15" s="425" t="str">
        <f t="shared" si="0"/>
        <v/>
      </c>
      <c r="D15" s="426"/>
      <c r="E15" s="418" t="str">
        <f t="shared" si="1"/>
        <v/>
      </c>
      <c r="F15" s="425" t="str">
        <f t="shared" si="2"/>
        <v/>
      </c>
      <c r="G15" s="425"/>
    </row>
    <row r="16" spans="1:8" x14ac:dyDescent="0.2">
      <c r="A16" s="427" t="s">
        <v>383</v>
      </c>
      <c r="B16" s="426"/>
      <c r="C16" s="425" t="str">
        <f t="shared" si="0"/>
        <v/>
      </c>
      <c r="D16" s="426"/>
      <c r="E16" s="418" t="str">
        <f t="shared" si="1"/>
        <v/>
      </c>
      <c r="F16" s="425" t="str">
        <f t="shared" si="2"/>
        <v/>
      </c>
      <c r="G16" s="425"/>
    </row>
    <row r="17" spans="1:7" x14ac:dyDescent="0.2">
      <c r="A17" s="427" t="s">
        <v>382</v>
      </c>
      <c r="B17" s="426"/>
      <c r="C17" s="425" t="str">
        <f t="shared" si="0"/>
        <v/>
      </c>
      <c r="D17" s="426"/>
      <c r="E17" s="418" t="str">
        <f t="shared" si="1"/>
        <v/>
      </c>
      <c r="F17" s="425" t="str">
        <f t="shared" si="2"/>
        <v/>
      </c>
      <c r="G17" s="425"/>
    </row>
    <row r="18" spans="1:7" x14ac:dyDescent="0.2">
      <c r="A18" s="427" t="s">
        <v>381</v>
      </c>
      <c r="B18" s="426"/>
      <c r="C18" s="425" t="str">
        <f t="shared" si="0"/>
        <v/>
      </c>
      <c r="D18" s="426"/>
      <c r="E18" s="418" t="str">
        <f t="shared" si="1"/>
        <v/>
      </c>
      <c r="F18" s="425" t="str">
        <f t="shared" si="2"/>
        <v/>
      </c>
      <c r="G18" s="425"/>
    </row>
    <row r="19" spans="1:7" x14ac:dyDescent="0.2">
      <c r="A19" s="427" t="s">
        <v>380</v>
      </c>
      <c r="B19" s="426"/>
      <c r="C19" s="425" t="str">
        <f t="shared" si="0"/>
        <v/>
      </c>
      <c r="D19" s="426"/>
      <c r="E19" s="418" t="str">
        <f t="shared" si="1"/>
        <v/>
      </c>
      <c r="F19" s="425" t="str">
        <f t="shared" si="2"/>
        <v/>
      </c>
      <c r="G19" s="425"/>
    </row>
    <row r="20" spans="1:7" x14ac:dyDescent="0.2">
      <c r="A20" s="427" t="s">
        <v>379</v>
      </c>
      <c r="B20" s="426"/>
      <c r="C20" s="425" t="str">
        <f t="shared" si="0"/>
        <v/>
      </c>
      <c r="D20" s="426"/>
      <c r="E20" s="418" t="str">
        <f t="shared" si="1"/>
        <v/>
      </c>
      <c r="F20" s="425" t="str">
        <f t="shared" si="2"/>
        <v/>
      </c>
      <c r="G20" s="425"/>
    </row>
    <row r="21" spans="1:7" x14ac:dyDescent="0.2">
      <c r="A21" s="427" t="s">
        <v>378</v>
      </c>
      <c r="B21" s="426"/>
      <c r="C21" s="425" t="str">
        <f t="shared" si="0"/>
        <v/>
      </c>
      <c r="D21" s="426"/>
      <c r="E21" s="418" t="str">
        <f t="shared" si="1"/>
        <v/>
      </c>
      <c r="F21" s="425" t="str">
        <f t="shared" si="2"/>
        <v/>
      </c>
      <c r="G21" s="425"/>
    </row>
  </sheetData>
  <dataValidations count="1">
    <dataValidation type="date" allowBlank="1" showInputMessage="1" showErrorMessage="1" sqref="B2:B21 D2:D21" xr:uid="{00000000-0002-0000-0A00-000000000000}">
      <formula1>36526</formula1>
      <formula2>55153</formula2>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26">
    <tabColor rgb="FFFFC000"/>
  </sheetPr>
  <dimension ref="A1:AG298"/>
  <sheetViews>
    <sheetView topLeftCell="D1" zoomScale="85" zoomScaleNormal="85" workbookViewId="0">
      <pane ySplit="2" topLeftCell="A183" activePane="bottomLeft" state="frozen"/>
      <selection activeCell="I3" sqref="I3"/>
      <selection pane="bottomLeft" activeCell="I211" sqref="I211"/>
    </sheetView>
  </sheetViews>
  <sheetFormatPr baseColWidth="10" defaultColWidth="10.5" defaultRowHeight="14" x14ac:dyDescent="0.2"/>
  <cols>
    <col min="1" max="1" width="18.1640625" style="375" customWidth="1"/>
    <col min="2" max="2" width="46.5" style="375" customWidth="1"/>
    <col min="3" max="3" width="58.6640625" style="372" customWidth="1"/>
    <col min="4" max="4" width="50.1640625" style="372" customWidth="1"/>
    <col min="5" max="5" width="57.6640625" style="372" customWidth="1"/>
    <col min="6" max="6" width="27.5" style="372" customWidth="1"/>
    <col min="7" max="7" width="19.33203125" style="372" customWidth="1"/>
    <col min="8" max="9" width="17" style="372" customWidth="1"/>
    <col min="10" max="10" width="17" style="375" hidden="1" customWidth="1"/>
    <col min="11" max="11" width="17" style="375" customWidth="1"/>
    <col min="12" max="12" width="13.6640625" style="374" customWidth="1"/>
    <col min="13" max="14" width="13.6640625" style="375" customWidth="1"/>
    <col min="15" max="15" width="13.6640625" style="374" customWidth="1"/>
    <col min="16" max="16" width="14.33203125" style="373" customWidth="1"/>
    <col min="17" max="17" width="27.5" style="372" customWidth="1"/>
    <col min="18" max="18" width="34.33203125" style="372" customWidth="1"/>
    <col min="19" max="19" width="64.5" style="372" customWidth="1"/>
    <col min="20" max="20" width="34.5" style="372" customWidth="1"/>
    <col min="21" max="21" width="30.5" style="372" customWidth="1"/>
    <col min="22" max="22" width="26.33203125" style="372" customWidth="1"/>
    <col min="23" max="24" width="44.5" style="372" customWidth="1"/>
    <col min="25" max="26" width="36.33203125" style="372" customWidth="1"/>
    <col min="27" max="28" width="38" style="372" customWidth="1"/>
    <col min="29" max="29" width="52.6640625" style="372" customWidth="1"/>
    <col min="30" max="30" width="35.5" style="372" customWidth="1"/>
    <col min="31" max="31" width="30.33203125" style="372" customWidth="1"/>
    <col min="32" max="16384" width="10.5" style="372"/>
  </cols>
  <sheetData>
    <row r="1" spans="1:33" ht="45.5" customHeight="1" x14ac:dyDescent="0.2">
      <c r="A1" s="1363" t="s">
        <v>336</v>
      </c>
      <c r="B1" s="1364"/>
      <c r="C1" s="1364"/>
      <c r="D1" s="1364"/>
      <c r="E1" s="1364"/>
      <c r="F1" s="1364"/>
      <c r="G1" s="1364"/>
      <c r="H1" s="1364"/>
      <c r="I1" s="1364"/>
      <c r="J1" s="1364"/>
      <c r="K1" s="1364"/>
      <c r="L1" s="1364"/>
      <c r="M1" s="1364"/>
      <c r="N1" s="1364"/>
      <c r="O1" s="1364"/>
      <c r="P1" s="1364"/>
      <c r="Q1" s="1364"/>
      <c r="R1" s="1364"/>
      <c r="S1" s="1365"/>
      <c r="T1" s="1355" t="s">
        <v>335</v>
      </c>
      <c r="U1" s="1356"/>
      <c r="V1" s="1357"/>
      <c r="W1" s="1358" t="s">
        <v>334</v>
      </c>
      <c r="X1" s="1359"/>
      <c r="Y1" s="1359"/>
      <c r="Z1" s="1359"/>
      <c r="AA1" s="1359"/>
      <c r="AB1" s="1359"/>
      <c r="AC1" s="1360"/>
      <c r="AD1" s="1361" t="s">
        <v>333</v>
      </c>
      <c r="AE1" s="1362"/>
      <c r="AF1" s="408"/>
    </row>
    <row r="2" spans="1:33" s="401" customFormat="1" ht="60" x14ac:dyDescent="0.2">
      <c r="A2" s="382" t="s">
        <v>332</v>
      </c>
      <c r="B2" s="382" t="s">
        <v>331</v>
      </c>
      <c r="C2" s="382" t="s">
        <v>330</v>
      </c>
      <c r="D2" s="382" t="s">
        <v>329</v>
      </c>
      <c r="E2" s="382" t="s">
        <v>328</v>
      </c>
      <c r="F2" s="382" t="s">
        <v>327</v>
      </c>
      <c r="G2" s="382" t="s">
        <v>433</v>
      </c>
      <c r="H2" s="407" t="s">
        <v>738</v>
      </c>
      <c r="I2" s="407" t="s">
        <v>739</v>
      </c>
      <c r="J2" s="407" t="s">
        <v>326</v>
      </c>
      <c r="K2" s="407" t="s">
        <v>740</v>
      </c>
      <c r="L2" s="407" t="s">
        <v>325</v>
      </c>
      <c r="M2" s="407" t="s">
        <v>324</v>
      </c>
      <c r="N2" s="407" t="s">
        <v>323</v>
      </c>
      <c r="O2" s="407" t="s">
        <v>322</v>
      </c>
      <c r="P2" s="407" t="s">
        <v>741</v>
      </c>
      <c r="Q2" s="382" t="s">
        <v>742</v>
      </c>
      <c r="R2" s="382" t="s">
        <v>321</v>
      </c>
      <c r="S2" s="382" t="s">
        <v>320</v>
      </c>
      <c r="T2" s="406" t="s">
        <v>319</v>
      </c>
      <c r="U2" s="406" t="s">
        <v>318</v>
      </c>
      <c r="V2" s="405" t="s">
        <v>317</v>
      </c>
      <c r="W2" s="404" t="s">
        <v>316</v>
      </c>
      <c r="X2" s="404" t="s">
        <v>315</v>
      </c>
      <c r="Y2" s="404" t="s">
        <v>314</v>
      </c>
      <c r="Z2" s="404" t="s">
        <v>313</v>
      </c>
      <c r="AA2" s="404" t="s">
        <v>312</v>
      </c>
      <c r="AB2" s="404" t="s">
        <v>311</v>
      </c>
      <c r="AC2" s="404" t="s">
        <v>743</v>
      </c>
      <c r="AD2" s="403" t="s">
        <v>310</v>
      </c>
      <c r="AE2" s="402" t="s">
        <v>309</v>
      </c>
    </row>
    <row r="3" spans="1:33" s="395" customFormat="1" ht="240" x14ac:dyDescent="0.2">
      <c r="A3" s="403" t="s">
        <v>3510</v>
      </c>
      <c r="B3" s="403" t="s">
        <v>724</v>
      </c>
      <c r="C3" s="534" t="s">
        <v>1160</v>
      </c>
      <c r="D3" s="391" t="s">
        <v>1161</v>
      </c>
      <c r="E3" s="391" t="s">
        <v>1162</v>
      </c>
      <c r="F3" s="391" t="s">
        <v>1163</v>
      </c>
      <c r="G3" s="391" t="s">
        <v>821</v>
      </c>
      <c r="H3" s="381">
        <v>1</v>
      </c>
      <c r="I3" s="381">
        <v>10</v>
      </c>
      <c r="J3" s="381">
        <f t="shared" ref="J3:J33" si="0">IF(ISNUMBER(H3),H3,)</f>
        <v>1</v>
      </c>
      <c r="K3" s="646">
        <f>H3*I3</f>
        <v>10</v>
      </c>
      <c r="L3" s="647">
        <f>IFERROR(IF(B3="funkcna poziadavka",VLOOKUP(G3,MODULY_CBA!$B$3:$E$23,4,0)*H3/SUMIFS($H$3:$H$197,$G$3:$G$197,G3,$B$3:$B$197,B3),),)</f>
        <v>4.2</v>
      </c>
      <c r="M3" s="646">
        <f>IFERROR(IF(B3="Funkcna poziadavka",VLOOKUP(G3,MODULY_CBA!$B$3:$E$23,3,0),),)</f>
        <v>0.76999999999999991</v>
      </c>
      <c r="N3" s="646">
        <f>IFERROR(IF(B3="funkcna poziadavka",VLOOKUP(G3,MODULY_CBA!$B$3:$E$23,2,0),),)</f>
        <v>1.01</v>
      </c>
      <c r="O3" s="647">
        <f>(I3+L3)*M3*N3*H3</f>
        <v>11.043339999999997</v>
      </c>
      <c r="P3" s="648">
        <f>IFERROR(O3*VLOOKUP(G3,MODULY_CBA!$B$3:$F$23,5,0),)</f>
        <v>220.86679999999996</v>
      </c>
      <c r="Q3" s="481" t="str">
        <f>IFERROR(VLOOKUP(G3,MODULY_CBA!$B$3:$I$23,6,0),"")</f>
        <v>Inkrement 1</v>
      </c>
      <c r="R3" s="385"/>
      <c r="S3" s="385"/>
      <c r="T3" s="385"/>
      <c r="U3" s="385"/>
      <c r="V3" s="398"/>
      <c r="W3" s="378"/>
      <c r="X3" s="378"/>
      <c r="Y3" s="385"/>
      <c r="Z3" s="385"/>
      <c r="AA3" s="385"/>
      <c r="AB3" s="385"/>
      <c r="AC3" s="385"/>
      <c r="AD3" s="385"/>
      <c r="AE3" s="385"/>
      <c r="AF3" s="400"/>
      <c r="AG3" s="399"/>
    </row>
    <row r="4" spans="1:33" s="395" customFormat="1" ht="75" x14ac:dyDescent="0.2">
      <c r="A4" s="403" t="s">
        <v>3511</v>
      </c>
      <c r="B4" s="403" t="s">
        <v>724</v>
      </c>
      <c r="C4" s="534" t="s">
        <v>1160</v>
      </c>
      <c r="D4" s="391" t="s">
        <v>1164</v>
      </c>
      <c r="E4" s="391" t="s">
        <v>1165</v>
      </c>
      <c r="F4" s="391" t="s">
        <v>1163</v>
      </c>
      <c r="G4" s="391" t="s">
        <v>821</v>
      </c>
      <c r="H4" s="381">
        <v>1</v>
      </c>
      <c r="I4" s="381">
        <v>10</v>
      </c>
      <c r="J4" s="381">
        <f t="shared" si="0"/>
        <v>1</v>
      </c>
      <c r="K4" s="646">
        <f t="shared" ref="K4:K66" si="1">H4*I4</f>
        <v>10</v>
      </c>
      <c r="L4" s="647">
        <f>IFERROR(IF(B4="funkcna poziadavka",VLOOKUP(G4,MODULY_CBA!$B$3:$E$23,4,0)*H4/SUMIFS($H$3:$H$197,$G$3:$G$197,G4,$B$3:$B$197,B4),),)</f>
        <v>4.2</v>
      </c>
      <c r="M4" s="646">
        <f>IFERROR(IF(B4="Funkcna poziadavka",VLOOKUP(G4,MODULY_CBA!$B$3:$E$23,3,0),),)</f>
        <v>0.76999999999999991</v>
      </c>
      <c r="N4" s="646">
        <f>IFERROR(IF(B4="funkcna poziadavka",VLOOKUP(G4,MODULY_CBA!$B$3:$E$23,2,0),),)</f>
        <v>1.01</v>
      </c>
      <c r="O4" s="647">
        <f t="shared" ref="O4:O11" si="2">(I4+L4)*M4*N4*H4</f>
        <v>11.043339999999997</v>
      </c>
      <c r="P4" s="648">
        <f>IFERROR(O4*VLOOKUP(G4,MODULY_CBA!$B$3:$F$23,5,0),)</f>
        <v>220.86679999999996</v>
      </c>
      <c r="Q4" s="481" t="str">
        <f>IFERROR(VLOOKUP(G4,MODULY_CBA!$B$3:$I$23,6,0),"")</f>
        <v>Inkrement 1</v>
      </c>
      <c r="R4" s="385"/>
      <c r="S4" s="385"/>
      <c r="T4" s="385"/>
      <c r="U4" s="385"/>
      <c r="V4" s="398"/>
      <c r="W4" s="378"/>
      <c r="X4" s="378"/>
      <c r="Y4" s="385"/>
      <c r="Z4" s="385"/>
      <c r="AA4" s="385"/>
      <c r="AB4" s="385"/>
      <c r="AC4" s="385"/>
      <c r="AD4" s="385"/>
      <c r="AE4" s="385"/>
      <c r="AF4" s="400"/>
      <c r="AG4" s="399"/>
    </row>
    <row r="5" spans="1:33" s="395" customFormat="1" ht="75" x14ac:dyDescent="0.2">
      <c r="A5" s="403" t="s">
        <v>3512</v>
      </c>
      <c r="B5" s="403" t="s">
        <v>724</v>
      </c>
      <c r="C5" s="534" t="s">
        <v>1166</v>
      </c>
      <c r="D5" s="391" t="s">
        <v>1167</v>
      </c>
      <c r="E5" s="391" t="s">
        <v>1168</v>
      </c>
      <c r="F5" s="391" t="s">
        <v>1163</v>
      </c>
      <c r="G5" s="391" t="s">
        <v>821</v>
      </c>
      <c r="H5" s="381">
        <v>1</v>
      </c>
      <c r="I5" s="381">
        <v>10</v>
      </c>
      <c r="J5" s="381">
        <f t="shared" si="0"/>
        <v>1</v>
      </c>
      <c r="K5" s="646">
        <f t="shared" si="1"/>
        <v>10</v>
      </c>
      <c r="L5" s="647">
        <f>IFERROR(IF(B5="funkcna poziadavka",VLOOKUP(G5,MODULY_CBA!$B$3:$E$23,4,0)*H5/SUMIFS($H$3:$H$197,$G$3:$G$197,G5,$B$3:$B$197,B5),),)</f>
        <v>4.2</v>
      </c>
      <c r="M5" s="646">
        <f>IFERROR(IF(B5="Funkcna poziadavka",VLOOKUP(G5,MODULY_CBA!$B$3:$E$23,3,0),),)</f>
        <v>0.76999999999999991</v>
      </c>
      <c r="N5" s="646">
        <f>IFERROR(IF(B5="funkcna poziadavka",VLOOKUP(G5,MODULY_CBA!$B$3:$E$23,2,0),),)</f>
        <v>1.01</v>
      </c>
      <c r="O5" s="647">
        <f t="shared" si="2"/>
        <v>11.043339999999997</v>
      </c>
      <c r="P5" s="648">
        <f>IFERROR(O5*VLOOKUP(G5,MODULY_CBA!$B$3:$F$23,5,0),)</f>
        <v>220.86679999999996</v>
      </c>
      <c r="Q5" s="481" t="str">
        <f>IFERROR(VLOOKUP(G5,MODULY_CBA!$B$3:$I$23,6,0),"")</f>
        <v>Inkrement 1</v>
      </c>
      <c r="R5" s="385"/>
      <c r="S5" s="385"/>
      <c r="T5" s="385"/>
      <c r="U5" s="385"/>
      <c r="V5" s="398"/>
      <c r="W5" s="378"/>
      <c r="X5" s="378"/>
      <c r="Y5" s="385"/>
      <c r="Z5" s="385"/>
      <c r="AA5" s="385"/>
      <c r="AB5" s="385"/>
      <c r="AC5" s="385"/>
      <c r="AD5" s="385"/>
      <c r="AE5" s="385"/>
      <c r="AF5" s="400"/>
      <c r="AG5" s="399"/>
    </row>
    <row r="6" spans="1:33" s="395" customFormat="1" ht="30" x14ac:dyDescent="0.2">
      <c r="A6" s="403" t="s">
        <v>3513</v>
      </c>
      <c r="B6" s="403" t="s">
        <v>724</v>
      </c>
      <c r="C6" s="534" t="s">
        <v>1166</v>
      </c>
      <c r="D6" s="391" t="s">
        <v>1169</v>
      </c>
      <c r="E6" s="391" t="s">
        <v>1170</v>
      </c>
      <c r="F6" s="391" t="s">
        <v>1163</v>
      </c>
      <c r="G6" s="391" t="s">
        <v>821</v>
      </c>
      <c r="H6" s="381">
        <v>1</v>
      </c>
      <c r="I6" s="381">
        <v>10</v>
      </c>
      <c r="J6" s="381">
        <f t="shared" si="0"/>
        <v>1</v>
      </c>
      <c r="K6" s="646">
        <f t="shared" si="1"/>
        <v>10</v>
      </c>
      <c r="L6" s="647">
        <f>IFERROR(IF(B6="funkcna poziadavka",VLOOKUP(G6,MODULY_CBA!$B$3:$E$23,4,0)*H6/SUMIFS($H$3:$H$197,$G$3:$G$197,G6,$B$3:$B$197,B6),),)</f>
        <v>4.2</v>
      </c>
      <c r="M6" s="646">
        <f>IFERROR(IF(B6="Funkcna poziadavka",VLOOKUP(G6,MODULY_CBA!$B$3:$E$23,3,0),),)</f>
        <v>0.76999999999999991</v>
      </c>
      <c r="N6" s="646">
        <f>IFERROR(IF(B6="funkcna poziadavka",VLOOKUP(G6,MODULY_CBA!$B$3:$E$23,2,0),),)</f>
        <v>1.01</v>
      </c>
      <c r="O6" s="647">
        <f t="shared" si="2"/>
        <v>11.043339999999997</v>
      </c>
      <c r="P6" s="648">
        <f>IFERROR(O6*VLOOKUP(G6,MODULY_CBA!$B$3:$F$23,5,0),)</f>
        <v>220.86679999999996</v>
      </c>
      <c r="Q6" s="481" t="str">
        <f>IFERROR(VLOOKUP(G6,MODULY_CBA!$B$3:$I$23,6,0),"")</f>
        <v>Inkrement 1</v>
      </c>
      <c r="R6" s="385"/>
      <c r="S6" s="385"/>
      <c r="T6" s="385"/>
      <c r="U6" s="385"/>
      <c r="V6" s="398"/>
      <c r="W6" s="378"/>
      <c r="X6" s="378"/>
      <c r="Y6" s="385"/>
      <c r="Z6" s="385"/>
      <c r="AA6" s="385"/>
      <c r="AB6" s="385"/>
      <c r="AC6" s="385"/>
      <c r="AD6" s="385"/>
      <c r="AE6" s="385"/>
      <c r="AF6" s="400"/>
      <c r="AG6" s="399"/>
    </row>
    <row r="7" spans="1:33" s="395" customFormat="1" ht="30" x14ac:dyDescent="0.2">
      <c r="A7" s="403" t="s">
        <v>3514</v>
      </c>
      <c r="B7" s="403" t="s">
        <v>724</v>
      </c>
      <c r="C7" s="534" t="s">
        <v>1166</v>
      </c>
      <c r="D7" s="391" t="s">
        <v>1171</v>
      </c>
      <c r="E7" s="391" t="s">
        <v>1170</v>
      </c>
      <c r="F7" s="391" t="s">
        <v>1163</v>
      </c>
      <c r="G7" s="391" t="s">
        <v>821</v>
      </c>
      <c r="H7" s="381">
        <v>1</v>
      </c>
      <c r="I7" s="381">
        <v>10</v>
      </c>
      <c r="J7" s="381">
        <f t="shared" si="0"/>
        <v>1</v>
      </c>
      <c r="K7" s="646">
        <f t="shared" si="1"/>
        <v>10</v>
      </c>
      <c r="L7" s="647">
        <f>IFERROR(IF(B7="funkcna poziadavka",VLOOKUP(G7,MODULY_CBA!$B$3:$E$23,4,0)*H7/SUMIFS($H$3:$H$197,$G$3:$G$197,G7,$B$3:$B$197,B7),),)</f>
        <v>4.2</v>
      </c>
      <c r="M7" s="646">
        <f>IFERROR(IF(B7="Funkcna poziadavka",VLOOKUP(G7,MODULY_CBA!$B$3:$E$23,3,0),),)</f>
        <v>0.76999999999999991</v>
      </c>
      <c r="N7" s="646">
        <f>IFERROR(IF(B7="funkcna poziadavka",VLOOKUP(G7,MODULY_CBA!$B$3:$E$23,2,0),),)</f>
        <v>1.01</v>
      </c>
      <c r="O7" s="647">
        <f t="shared" si="2"/>
        <v>11.043339999999997</v>
      </c>
      <c r="P7" s="648">
        <f>IFERROR(O7*VLOOKUP(G7,MODULY_CBA!$B$3:$F$23,5,0),)</f>
        <v>220.86679999999996</v>
      </c>
      <c r="Q7" s="481" t="str">
        <f>IFERROR(VLOOKUP(G7,MODULY_CBA!$B$3:$I$23,6,0),"")</f>
        <v>Inkrement 1</v>
      </c>
      <c r="R7" s="385"/>
      <c r="S7" s="385"/>
      <c r="T7" s="385"/>
      <c r="U7" s="385"/>
      <c r="V7" s="398"/>
      <c r="W7" s="378"/>
      <c r="X7" s="378"/>
      <c r="Y7" s="385"/>
      <c r="Z7" s="385"/>
      <c r="AA7" s="385"/>
      <c r="AB7" s="385"/>
      <c r="AC7" s="385"/>
      <c r="AD7" s="385"/>
      <c r="AE7" s="385"/>
      <c r="AF7" s="400"/>
      <c r="AG7" s="399"/>
    </row>
    <row r="8" spans="1:33" s="395" customFormat="1" ht="45" x14ac:dyDescent="0.2">
      <c r="A8" s="403" t="s">
        <v>3515</v>
      </c>
      <c r="B8" s="403" t="s">
        <v>724</v>
      </c>
      <c r="C8" s="534" t="s">
        <v>1166</v>
      </c>
      <c r="D8" s="391" t="s">
        <v>1172</v>
      </c>
      <c r="E8" s="391" t="s">
        <v>1173</v>
      </c>
      <c r="F8" s="391" t="s">
        <v>1163</v>
      </c>
      <c r="G8" s="391" t="s">
        <v>799</v>
      </c>
      <c r="H8" s="381">
        <v>1</v>
      </c>
      <c r="I8" s="381">
        <v>10</v>
      </c>
      <c r="J8" s="381">
        <f t="shared" si="0"/>
        <v>1</v>
      </c>
      <c r="K8" s="646">
        <f t="shared" si="1"/>
        <v>10</v>
      </c>
      <c r="L8" s="647">
        <f>IFERROR(IF(B8="funkcna poziadavka",VLOOKUP(G8,MODULY_CBA!$B$3:$E$23,4,0)*H8/SUMIFS($H$3:$H$197,$G$3:$G$197,G8,$B$3:$B$197,B8),),)</f>
        <v>21</v>
      </c>
      <c r="M8" s="646">
        <f>IFERROR(IF(B8="Funkcna poziadavka",VLOOKUP(G8,MODULY_CBA!$B$3:$E$23,3,0),),)</f>
        <v>0.76999999999999991</v>
      </c>
      <c r="N8" s="646">
        <f>IFERROR(IF(B8="funkcna poziadavka",VLOOKUP(G8,MODULY_CBA!$B$3:$E$23,2,0),),)</f>
        <v>1.01</v>
      </c>
      <c r="O8" s="647">
        <f t="shared" si="2"/>
        <v>24.108699999999999</v>
      </c>
      <c r="P8" s="648">
        <f>IFERROR(O8*VLOOKUP(G8,MODULY_CBA!$B$3:$F$23,5,0),)</f>
        <v>482.17399999999998</v>
      </c>
      <c r="Q8" s="481" t="str">
        <f>IFERROR(VLOOKUP(G8,MODULY_CBA!$B$3:$I$23,6,0),"")</f>
        <v>Inkrement 1</v>
      </c>
      <c r="R8" s="385"/>
      <c r="S8" s="385"/>
      <c r="T8" s="385"/>
      <c r="U8" s="385"/>
      <c r="V8" s="398"/>
      <c r="W8" s="378"/>
      <c r="X8" s="378"/>
      <c r="Y8" s="385"/>
      <c r="Z8" s="385"/>
      <c r="AA8" s="385"/>
      <c r="AB8" s="385"/>
      <c r="AC8" s="385"/>
      <c r="AD8" s="385"/>
      <c r="AE8" s="385"/>
      <c r="AF8" s="400"/>
      <c r="AG8" s="399"/>
    </row>
    <row r="9" spans="1:33" s="395" customFormat="1" ht="30" x14ac:dyDescent="0.2">
      <c r="A9" s="403" t="s">
        <v>3516</v>
      </c>
      <c r="B9" s="403" t="s">
        <v>724</v>
      </c>
      <c r="C9" s="534" t="s">
        <v>1166</v>
      </c>
      <c r="D9" s="391" t="s">
        <v>1174</v>
      </c>
      <c r="E9" s="391" t="s">
        <v>1173</v>
      </c>
      <c r="F9" s="391" t="s">
        <v>1163</v>
      </c>
      <c r="G9" s="391" t="s">
        <v>815</v>
      </c>
      <c r="H9" s="381">
        <v>1</v>
      </c>
      <c r="I9" s="381">
        <v>10</v>
      </c>
      <c r="J9" s="381">
        <f t="shared" si="0"/>
        <v>1</v>
      </c>
      <c r="K9" s="646">
        <f t="shared" si="1"/>
        <v>10</v>
      </c>
      <c r="L9" s="647">
        <f>IFERROR(IF(B9="funkcna poziadavka",VLOOKUP(G9,MODULY_CBA!$B$3:$E$23,4,0)*H9/SUMIFS($H$3:$H$197,$G$3:$G$197,G9,$B$3:$B$197,B9),),)</f>
        <v>21</v>
      </c>
      <c r="M9" s="646">
        <f>IFERROR(IF(B9="Funkcna poziadavka",VLOOKUP(G9,MODULY_CBA!$B$3:$E$23,3,0),),)</f>
        <v>0.76999999999999991</v>
      </c>
      <c r="N9" s="646">
        <f>IFERROR(IF(B9="funkcna poziadavka",VLOOKUP(G9,MODULY_CBA!$B$3:$E$23,2,0),),)</f>
        <v>1.01</v>
      </c>
      <c r="O9" s="647">
        <f t="shared" si="2"/>
        <v>24.108699999999999</v>
      </c>
      <c r="P9" s="648">
        <f>IFERROR(O9*VLOOKUP(G9,MODULY_CBA!$B$3:$F$23,5,0),)</f>
        <v>482.17399999999998</v>
      </c>
      <c r="Q9" s="481" t="str">
        <f>IFERROR(VLOOKUP(G9,MODULY_CBA!$B$3:$I$23,6,0),"")</f>
        <v>Inkrement 1</v>
      </c>
      <c r="R9" s="385"/>
      <c r="S9" s="385"/>
      <c r="T9" s="385"/>
      <c r="U9" s="385"/>
      <c r="V9" s="398"/>
      <c r="W9" s="378"/>
      <c r="X9" s="378"/>
      <c r="Y9" s="385"/>
      <c r="Z9" s="385"/>
      <c r="AA9" s="385"/>
      <c r="AB9" s="385"/>
      <c r="AC9" s="385"/>
      <c r="AD9" s="385"/>
      <c r="AE9" s="385"/>
      <c r="AF9" s="400"/>
      <c r="AG9" s="399"/>
    </row>
    <row r="10" spans="1:33" s="395" customFormat="1" ht="30" x14ac:dyDescent="0.2">
      <c r="A10" s="403" t="s">
        <v>3517</v>
      </c>
      <c r="B10" s="403" t="s">
        <v>724</v>
      </c>
      <c r="C10" s="534" t="s">
        <v>1175</v>
      </c>
      <c r="D10" s="391" t="s">
        <v>1176</v>
      </c>
      <c r="E10" s="391" t="s">
        <v>1177</v>
      </c>
      <c r="F10" s="391" t="s">
        <v>1163</v>
      </c>
      <c r="G10" s="391" t="s">
        <v>1178</v>
      </c>
      <c r="H10" s="381">
        <v>1</v>
      </c>
      <c r="I10" s="381">
        <v>5</v>
      </c>
      <c r="J10" s="381">
        <f t="shared" si="0"/>
        <v>1</v>
      </c>
      <c r="K10" s="646">
        <f t="shared" si="1"/>
        <v>5</v>
      </c>
      <c r="L10" s="647">
        <f>IFERROR(IF(B10="funkcna poziadavka",VLOOKUP(G10,MODULY_CBA!$B$3:$E$23,4,0)*H10/SUMIFS($H$3:$H$197,$G$3:$G$197,G10,$B$3:$B$197,B10),),)</f>
        <v>7</v>
      </c>
      <c r="M10" s="646">
        <f>IFERROR(IF(B10="Funkcna poziadavka",VLOOKUP(G10,MODULY_CBA!$B$3:$E$23,3,0),),)</f>
        <v>0.76999999999999991</v>
      </c>
      <c r="N10" s="646">
        <f>IFERROR(IF(B10="funkcna poziadavka",VLOOKUP(G10,MODULY_CBA!$B$3:$E$23,2,0),),)</f>
        <v>1.01</v>
      </c>
      <c r="O10" s="647">
        <f t="shared" si="2"/>
        <v>9.332399999999998</v>
      </c>
      <c r="P10" s="648">
        <f>IFERROR(O10*VLOOKUP(G10,MODULY_CBA!$B$3:$F$23,5,0),)</f>
        <v>186.64799999999997</v>
      </c>
      <c r="Q10" s="481" t="str">
        <f>IFERROR(VLOOKUP(G10,MODULY_CBA!$B$3:$I$23,6,0),"")</f>
        <v>Inkrement 1</v>
      </c>
      <c r="R10" s="385"/>
      <c r="S10" s="385"/>
      <c r="T10" s="385"/>
      <c r="U10" s="385"/>
      <c r="V10" s="398"/>
      <c r="W10" s="378"/>
      <c r="X10" s="378"/>
      <c r="Y10" s="385"/>
      <c r="Z10" s="385"/>
      <c r="AA10" s="385"/>
      <c r="AB10" s="385"/>
      <c r="AC10" s="385"/>
      <c r="AD10" s="385"/>
      <c r="AE10" s="385"/>
      <c r="AF10" s="400"/>
      <c r="AG10" s="399"/>
    </row>
    <row r="11" spans="1:33" s="395" customFormat="1" ht="30" x14ac:dyDescent="0.2">
      <c r="A11" s="403" t="s">
        <v>3518</v>
      </c>
      <c r="B11" s="403" t="s">
        <v>724</v>
      </c>
      <c r="C11" s="534" t="s">
        <v>1175</v>
      </c>
      <c r="D11" s="391" t="s">
        <v>1179</v>
      </c>
      <c r="E11" s="724" t="s">
        <v>1180</v>
      </c>
      <c r="F11" s="391" t="s">
        <v>1163</v>
      </c>
      <c r="G11" s="391" t="s">
        <v>1178</v>
      </c>
      <c r="H11" s="381">
        <v>1</v>
      </c>
      <c r="I11" s="381">
        <v>5</v>
      </c>
      <c r="J11" s="381">
        <f t="shared" si="0"/>
        <v>1</v>
      </c>
      <c r="K11" s="646">
        <f t="shared" si="1"/>
        <v>5</v>
      </c>
      <c r="L11" s="647">
        <f>IFERROR(IF(B11="funkcna poziadavka",VLOOKUP(G11,MODULY_CBA!$B$3:$E$23,4,0)*H11/SUMIFS($H$3:$H$197,$G$3:$G$197,G11,$B$3:$B$197,B11),),)</f>
        <v>7</v>
      </c>
      <c r="M11" s="646">
        <f>IFERROR(IF(B11="Funkcna poziadavka",VLOOKUP(G11,MODULY_CBA!$B$3:$E$23,3,0),),)</f>
        <v>0.76999999999999991</v>
      </c>
      <c r="N11" s="646">
        <f>IFERROR(IF(B11="funkcna poziadavka",VLOOKUP(G11,MODULY_CBA!$B$3:$E$23,2,0),),)</f>
        <v>1.01</v>
      </c>
      <c r="O11" s="647">
        <f t="shared" si="2"/>
        <v>9.332399999999998</v>
      </c>
      <c r="P11" s="648">
        <f>IFERROR(O11*VLOOKUP(G11,MODULY_CBA!$B$3:$F$23,5,0),)</f>
        <v>186.64799999999997</v>
      </c>
      <c r="Q11" s="481" t="str">
        <f>IFERROR(VLOOKUP(G11,MODULY_CBA!$B$3:$I$23,6,0),"")</f>
        <v>Inkrement 1</v>
      </c>
      <c r="R11" s="385"/>
      <c r="S11" s="385"/>
      <c r="T11" s="385"/>
      <c r="U11" s="385"/>
      <c r="V11" s="398"/>
      <c r="W11" s="378"/>
      <c r="X11" s="378"/>
      <c r="Y11" s="385"/>
      <c r="Z11" s="385"/>
      <c r="AA11" s="385"/>
      <c r="AB11" s="385"/>
      <c r="AC11" s="385"/>
      <c r="AD11" s="385"/>
      <c r="AE11" s="385"/>
      <c r="AF11" s="397"/>
      <c r="AG11" s="396"/>
    </row>
    <row r="12" spans="1:33" ht="30" x14ac:dyDescent="0.2">
      <c r="A12" s="403" t="s">
        <v>3519</v>
      </c>
      <c r="B12" s="403" t="s">
        <v>724</v>
      </c>
      <c r="C12" s="534" t="s">
        <v>1175</v>
      </c>
      <c r="D12" s="391" t="s">
        <v>1181</v>
      </c>
      <c r="E12" s="724" t="s">
        <v>1182</v>
      </c>
      <c r="F12" s="387" t="s">
        <v>1163</v>
      </c>
      <c r="G12" s="391" t="s">
        <v>1178</v>
      </c>
      <c r="H12" s="381">
        <v>1</v>
      </c>
      <c r="I12" s="381">
        <v>5</v>
      </c>
      <c r="J12" s="381">
        <f t="shared" si="0"/>
        <v>1</v>
      </c>
      <c r="K12" s="381">
        <f t="shared" si="1"/>
        <v>5</v>
      </c>
      <c r="L12" s="647">
        <f>IFERROR(IF(B12="funkcna poziadavka",VLOOKUP(G12,MODULY_CBA!$B$3:$E$23,4,0)*H12/SUMIFS($H$3:$H$197,$G$3:$G$197,G12,$B$3:$B$197,B12),),)</f>
        <v>7</v>
      </c>
      <c r="M12" s="381">
        <f>IFERROR(IF(B12="Funkcna poziadavka",VLOOKUP(G12,MODULY_CBA!$B$3:$E$23,3,0),),)</f>
        <v>0.76999999999999991</v>
      </c>
      <c r="N12" s="381">
        <f>IFERROR(IF(B12="funkcna poziadavka",VLOOKUP(G12,MODULY_CBA!$B$3:$E$23,2,0),),)</f>
        <v>1.01</v>
      </c>
      <c r="O12" s="380">
        <f t="shared" ref="O12:O33" si="3">(K12+L12)*M12*N12</f>
        <v>9.332399999999998</v>
      </c>
      <c r="P12" s="379">
        <f>IFERROR(O12*VLOOKUP(G12,MODULY_CBA!$B$3:$F$23,5,0),)</f>
        <v>186.64799999999997</v>
      </c>
      <c r="Q12" s="481" t="str">
        <f>IFERROR(VLOOKUP(G12,MODULY_CBA!$B$3:$I$23,6,0),"")</f>
        <v>Inkrement 1</v>
      </c>
      <c r="R12" s="386"/>
      <c r="S12" s="386"/>
      <c r="T12" s="386"/>
      <c r="U12" s="386"/>
      <c r="V12" s="386"/>
      <c r="W12" s="386"/>
      <c r="X12" s="386"/>
      <c r="Y12" s="386"/>
      <c r="Z12" s="386"/>
      <c r="AA12" s="386"/>
      <c r="AB12" s="386"/>
      <c r="AC12" s="386"/>
      <c r="AD12" s="386"/>
      <c r="AE12" s="386"/>
      <c r="AF12" s="393"/>
      <c r="AG12" s="386"/>
    </row>
    <row r="13" spans="1:33" ht="45" x14ac:dyDescent="0.2">
      <c r="A13" s="403" t="s">
        <v>3520</v>
      </c>
      <c r="B13" s="403" t="s">
        <v>1185</v>
      </c>
      <c r="C13" s="534" t="s">
        <v>1183</v>
      </c>
      <c r="D13" s="391" t="s">
        <v>1183</v>
      </c>
      <c r="E13" s="725" t="s">
        <v>1184</v>
      </c>
      <c r="F13" s="387" t="s">
        <v>1163</v>
      </c>
      <c r="G13" s="391" t="s">
        <v>842</v>
      </c>
      <c r="H13" s="381"/>
      <c r="I13" s="381"/>
      <c r="J13" s="381">
        <f t="shared" si="0"/>
        <v>0</v>
      </c>
      <c r="K13" s="381">
        <f t="shared" si="1"/>
        <v>0</v>
      </c>
      <c r="L13" s="647">
        <f>IFERROR(IF(B13="funkcna poziadavka",VLOOKUP(G13,MODULY_CBA!$B$3:$E$23,4,0)*H13/SUMIFS($H$3:$H$197,$G$3:$G$197,G13,$B$3:$B$197,B13),),)</f>
        <v>0</v>
      </c>
      <c r="M13" s="381">
        <f>IFERROR(IF(B13="Funkcna poziadavka",VLOOKUP(G13,MODULY_CBA!$B$3:$E$23,3,0),),)</f>
        <v>0</v>
      </c>
      <c r="N13" s="381">
        <f>IFERROR(IF(B13="funkcna poziadavka",VLOOKUP(G13,MODULY_CBA!$B$3:$E$23,2,0),),)</f>
        <v>0</v>
      </c>
      <c r="O13" s="380">
        <f t="shared" si="3"/>
        <v>0</v>
      </c>
      <c r="P13" s="379">
        <f>IFERROR(O13*VLOOKUP(G13,MODULY_CBA!$B$3:$F$23,5,0),)</f>
        <v>0</v>
      </c>
      <c r="Q13" s="481" t="str">
        <f>IFERROR(VLOOKUP(G13,MODULY_CBA!$B$3:$I$23,6,0),"")</f>
        <v>Inkrement 1</v>
      </c>
      <c r="R13" s="386"/>
      <c r="S13" s="386"/>
      <c r="T13" s="386"/>
      <c r="U13" s="386"/>
      <c r="V13" s="386"/>
      <c r="W13" s="386"/>
      <c r="X13" s="386"/>
      <c r="Y13" s="386"/>
      <c r="Z13" s="386"/>
      <c r="AA13" s="386"/>
      <c r="AB13" s="386"/>
      <c r="AC13" s="386"/>
      <c r="AD13" s="386"/>
      <c r="AE13" s="386"/>
      <c r="AF13" s="393"/>
      <c r="AG13" s="386"/>
    </row>
    <row r="14" spans="1:33" ht="15" x14ac:dyDescent="0.2">
      <c r="A14" s="403" t="s">
        <v>3521</v>
      </c>
      <c r="B14" s="403" t="s">
        <v>1185</v>
      </c>
      <c r="C14" s="534" t="s">
        <v>1186</v>
      </c>
      <c r="D14" s="391" t="s">
        <v>1186</v>
      </c>
      <c r="E14" s="725" t="s">
        <v>1187</v>
      </c>
      <c r="F14" s="387" t="s">
        <v>1163</v>
      </c>
      <c r="G14" s="391" t="s">
        <v>842</v>
      </c>
      <c r="H14" s="381"/>
      <c r="I14" s="381"/>
      <c r="J14" s="381">
        <f t="shared" si="0"/>
        <v>0</v>
      </c>
      <c r="K14" s="381">
        <f t="shared" si="1"/>
        <v>0</v>
      </c>
      <c r="L14" s="647">
        <f>IFERROR(IF(B14="funkcna poziadavka",VLOOKUP(G14,MODULY_CBA!$B$3:$E$23,4,0)*H14/SUMIFS($H$3:$H$197,$G$3:$G$197,G14,$B$3:$B$197,B14),),)</f>
        <v>0</v>
      </c>
      <c r="M14" s="381">
        <f>IFERROR(IF(B14="Funkcna poziadavka",VLOOKUP(G14,MODULY_CBA!$B$3:$E$23,3,0),),)</f>
        <v>0</v>
      </c>
      <c r="N14" s="381">
        <f>IFERROR(IF(B14="funkcna poziadavka",VLOOKUP(G14,MODULY_CBA!$B$3:$E$23,2,0),),)</f>
        <v>0</v>
      </c>
      <c r="O14" s="380">
        <f t="shared" si="3"/>
        <v>0</v>
      </c>
      <c r="P14" s="379">
        <f>IFERROR(O14*VLOOKUP(G14,MODULY_CBA!$B$3:$F$23,5,0),)</f>
        <v>0</v>
      </c>
      <c r="Q14" s="481" t="str">
        <f>IFERROR(VLOOKUP(G14,MODULY_CBA!$B$3:$I$23,6,0),"")</f>
        <v>Inkrement 1</v>
      </c>
      <c r="R14" s="386"/>
      <c r="S14" s="386"/>
      <c r="T14" s="386"/>
      <c r="U14" s="386"/>
      <c r="V14" s="386"/>
      <c r="W14" s="386"/>
      <c r="X14" s="386"/>
      <c r="Y14" s="386"/>
      <c r="Z14" s="386"/>
      <c r="AA14" s="386"/>
      <c r="AB14" s="386"/>
      <c r="AC14" s="386"/>
      <c r="AD14" s="386"/>
      <c r="AE14" s="386"/>
      <c r="AF14" s="393"/>
      <c r="AG14" s="386"/>
    </row>
    <row r="15" spans="1:33" ht="30" x14ac:dyDescent="0.2">
      <c r="A15" s="403" t="s">
        <v>3522</v>
      </c>
      <c r="B15" s="403" t="s">
        <v>1159</v>
      </c>
      <c r="C15" s="534" t="s">
        <v>1186</v>
      </c>
      <c r="D15" s="391" t="s">
        <v>1186</v>
      </c>
      <c r="E15" s="725" t="s">
        <v>1188</v>
      </c>
      <c r="F15" s="387" t="s">
        <v>1163</v>
      </c>
      <c r="G15" s="391" t="s">
        <v>842</v>
      </c>
      <c r="H15" s="381"/>
      <c r="I15" s="381"/>
      <c r="J15" s="381">
        <f t="shared" si="0"/>
        <v>0</v>
      </c>
      <c r="K15" s="381">
        <f t="shared" si="1"/>
        <v>0</v>
      </c>
      <c r="L15" s="647">
        <f>IFERROR(IF(B15="funkcna poziadavka",VLOOKUP(G15,MODULY_CBA!$B$3:$E$23,4,0)*H15/SUMIFS($H$3:$H$197,$G$3:$G$197,G15,$B$3:$B$197,B15),),)</f>
        <v>0</v>
      </c>
      <c r="M15" s="381">
        <f>IFERROR(IF(B15="Funkcna poziadavka",VLOOKUP(G15,MODULY_CBA!$B$3:$E$23,3,0),),)</f>
        <v>0</v>
      </c>
      <c r="N15" s="381">
        <f>IFERROR(IF(B15="funkcna poziadavka",VLOOKUP(G15,MODULY_CBA!$B$3:$E$23,2,0),),)</f>
        <v>0</v>
      </c>
      <c r="O15" s="380">
        <f t="shared" si="3"/>
        <v>0</v>
      </c>
      <c r="P15" s="379">
        <f>IFERROR(O15*VLOOKUP(G15,MODULY_CBA!$B$3:$F$23,5,0),)</f>
        <v>0</v>
      </c>
      <c r="Q15" s="481" t="str">
        <f>IFERROR(VLOOKUP(G15,MODULY_CBA!$B$3:$I$23,6,0),"")</f>
        <v>Inkrement 1</v>
      </c>
      <c r="R15" s="386"/>
      <c r="S15" s="386"/>
      <c r="T15" s="386"/>
      <c r="U15" s="386"/>
      <c r="V15" s="386"/>
      <c r="W15" s="386"/>
      <c r="X15" s="386"/>
      <c r="Y15" s="386"/>
      <c r="Z15" s="386"/>
      <c r="AA15" s="386"/>
      <c r="AB15" s="386"/>
      <c r="AC15" s="386"/>
      <c r="AD15" s="386"/>
      <c r="AE15" s="386"/>
      <c r="AF15" s="393"/>
      <c r="AG15" s="386"/>
    </row>
    <row r="16" spans="1:33" ht="15" x14ac:dyDescent="0.2">
      <c r="A16" s="403" t="s">
        <v>3523</v>
      </c>
      <c r="B16" s="403" t="s">
        <v>1159</v>
      </c>
      <c r="C16" s="534" t="s">
        <v>1186</v>
      </c>
      <c r="D16" s="391" t="s">
        <v>1186</v>
      </c>
      <c r="E16" s="725" t="s">
        <v>1189</v>
      </c>
      <c r="F16" s="387" t="s">
        <v>1163</v>
      </c>
      <c r="G16" s="391" t="s">
        <v>842</v>
      </c>
      <c r="H16" s="381"/>
      <c r="I16" s="381"/>
      <c r="J16" s="381">
        <f t="shared" si="0"/>
        <v>0</v>
      </c>
      <c r="K16" s="381">
        <f t="shared" si="1"/>
        <v>0</v>
      </c>
      <c r="L16" s="647">
        <f>IFERROR(IF(B16="funkcna poziadavka",VLOOKUP(G16,MODULY_CBA!$B$3:$E$23,4,0)*H16/SUMIFS($H$3:$H$197,$G$3:$G$197,G16,$B$3:$B$197,B16),),)</f>
        <v>0</v>
      </c>
      <c r="M16" s="381">
        <f>IFERROR(IF(B16="Funkcna poziadavka",VLOOKUP(G16,MODULY_CBA!$B$3:$E$23,3,0),),)</f>
        <v>0</v>
      </c>
      <c r="N16" s="381">
        <f>IFERROR(IF(B16="funkcna poziadavka",VLOOKUP(G16,MODULY_CBA!$B$3:$E$23,2,0),),)</f>
        <v>0</v>
      </c>
      <c r="O16" s="380">
        <f t="shared" si="3"/>
        <v>0</v>
      </c>
      <c r="P16" s="379">
        <f>IFERROR(O16*VLOOKUP(G16,MODULY_CBA!$B$3:$F$23,5,0),)</f>
        <v>0</v>
      </c>
      <c r="Q16" s="481" t="str">
        <f>IFERROR(VLOOKUP(G16,MODULY_CBA!$B$3:$I$23,6,0),"")</f>
        <v>Inkrement 1</v>
      </c>
      <c r="R16" s="386"/>
      <c r="S16" s="386"/>
      <c r="T16" s="386"/>
      <c r="U16" s="386"/>
      <c r="V16" s="386"/>
      <c r="W16" s="386"/>
      <c r="X16" s="386"/>
      <c r="Y16" s="386"/>
      <c r="Z16" s="386"/>
      <c r="AA16" s="386"/>
      <c r="AB16" s="386"/>
      <c r="AC16" s="386"/>
      <c r="AD16" s="386"/>
      <c r="AE16" s="386"/>
      <c r="AF16" s="393"/>
      <c r="AG16" s="386"/>
    </row>
    <row r="17" spans="1:33" ht="15" x14ac:dyDescent="0.2">
      <c r="A17" s="403" t="s">
        <v>3524</v>
      </c>
      <c r="B17" s="403" t="s">
        <v>1185</v>
      </c>
      <c r="C17" s="534" t="s">
        <v>1190</v>
      </c>
      <c r="D17" s="536" t="s">
        <v>1190</v>
      </c>
      <c r="E17" s="725" t="s">
        <v>1191</v>
      </c>
      <c r="F17" s="387" t="s">
        <v>1163</v>
      </c>
      <c r="G17" s="391" t="s">
        <v>842</v>
      </c>
      <c r="H17" s="381"/>
      <c r="I17" s="381"/>
      <c r="J17" s="381">
        <f t="shared" si="0"/>
        <v>0</v>
      </c>
      <c r="K17" s="381">
        <f t="shared" si="1"/>
        <v>0</v>
      </c>
      <c r="L17" s="647">
        <f>IFERROR(IF(B17="funkcna poziadavka",VLOOKUP(G17,MODULY_CBA!$B$3:$E$23,4,0)*H17/SUMIFS($H$3:$H$197,$G$3:$G$197,G17,$B$3:$B$197,B17),),)</f>
        <v>0</v>
      </c>
      <c r="M17" s="381">
        <f>IFERROR(IF(B17="Funkcna poziadavka",VLOOKUP(G17,MODULY_CBA!$B$3:$E$23,3,0),),)</f>
        <v>0</v>
      </c>
      <c r="N17" s="381">
        <f>IFERROR(IF(B17="funkcna poziadavka",VLOOKUP(G17,MODULY_CBA!$B$3:$E$23,2,0),),)</f>
        <v>0</v>
      </c>
      <c r="O17" s="380">
        <f t="shared" si="3"/>
        <v>0</v>
      </c>
      <c r="P17" s="379">
        <f>IFERROR(O17*VLOOKUP(G17,MODULY_CBA!$B$3:$F$23,5,0),)</f>
        <v>0</v>
      </c>
      <c r="Q17" s="481" t="str">
        <f>IFERROR(VLOOKUP(G17,MODULY_CBA!$B$3:$I$23,6,0),"")</f>
        <v>Inkrement 1</v>
      </c>
      <c r="R17" s="386"/>
      <c r="S17" s="386"/>
      <c r="T17" s="386"/>
      <c r="U17" s="386"/>
      <c r="V17" s="386"/>
      <c r="W17" s="386"/>
      <c r="X17" s="386"/>
      <c r="Y17" s="386"/>
      <c r="Z17" s="386"/>
      <c r="AA17" s="386"/>
      <c r="AB17" s="386"/>
      <c r="AC17" s="386"/>
      <c r="AD17" s="386"/>
      <c r="AE17" s="386"/>
      <c r="AF17" s="393"/>
      <c r="AG17" s="386"/>
    </row>
    <row r="18" spans="1:33" ht="15" x14ac:dyDescent="0.2">
      <c r="A18" s="403" t="s">
        <v>3525</v>
      </c>
      <c r="B18" s="403" t="s">
        <v>1185</v>
      </c>
      <c r="C18" s="534" t="s">
        <v>1190</v>
      </c>
      <c r="D18" s="536" t="s">
        <v>1190</v>
      </c>
      <c r="E18" s="725" t="s">
        <v>1192</v>
      </c>
      <c r="F18" s="387" t="s">
        <v>1163</v>
      </c>
      <c r="G18" s="391" t="s">
        <v>842</v>
      </c>
      <c r="H18" s="381"/>
      <c r="I18" s="381"/>
      <c r="J18" s="381">
        <f t="shared" si="0"/>
        <v>0</v>
      </c>
      <c r="K18" s="381">
        <f t="shared" si="1"/>
        <v>0</v>
      </c>
      <c r="L18" s="647">
        <f>IFERROR(IF(B18="funkcna poziadavka",VLOOKUP(G18,MODULY_CBA!$B$3:$E$23,4,0)*H18/SUMIFS($H$3:$H$197,$G$3:$G$197,G18,$B$3:$B$197,B18),),)</f>
        <v>0</v>
      </c>
      <c r="M18" s="381">
        <f>IFERROR(IF(B18="Funkcna poziadavka",VLOOKUP(G18,MODULY_CBA!$B$3:$E$23,3,0),),)</f>
        <v>0</v>
      </c>
      <c r="N18" s="381">
        <f>IFERROR(IF(B18="funkcna poziadavka",VLOOKUP(G18,MODULY_CBA!$B$3:$E$23,2,0),),)</f>
        <v>0</v>
      </c>
      <c r="O18" s="380">
        <f t="shared" si="3"/>
        <v>0</v>
      </c>
      <c r="P18" s="379">
        <f>IFERROR(O18*VLOOKUP(G18,MODULY_CBA!$B$3:$F$23,5,0),)</f>
        <v>0</v>
      </c>
      <c r="Q18" s="481" t="str">
        <f>IFERROR(VLOOKUP(G18,MODULY_CBA!$B$3:$I$23,6,0),"")</f>
        <v>Inkrement 1</v>
      </c>
      <c r="R18" s="377" t="s">
        <v>167</v>
      </c>
      <c r="S18" s="377" t="s">
        <v>167</v>
      </c>
      <c r="T18" s="377" t="s">
        <v>167</v>
      </c>
      <c r="U18" s="377" t="s">
        <v>167</v>
      </c>
      <c r="V18" s="377" t="s">
        <v>167</v>
      </c>
      <c r="W18" s="377" t="s">
        <v>167</v>
      </c>
      <c r="X18" s="377" t="s">
        <v>167</v>
      </c>
      <c r="Y18" s="377" t="s">
        <v>167</v>
      </c>
      <c r="Z18" s="377" t="s">
        <v>167</v>
      </c>
      <c r="AA18" s="377" t="s">
        <v>167</v>
      </c>
      <c r="AB18" s="377" t="s">
        <v>167</v>
      </c>
      <c r="AC18" s="377" t="s">
        <v>167</v>
      </c>
      <c r="AD18" s="377" t="s">
        <v>167</v>
      </c>
      <c r="AE18" s="377" t="s">
        <v>167</v>
      </c>
      <c r="AF18" s="393"/>
      <c r="AG18" s="386"/>
    </row>
    <row r="19" spans="1:33" ht="15" x14ac:dyDescent="0.2">
      <c r="A19" s="403" t="s">
        <v>3526</v>
      </c>
      <c r="B19" s="403" t="s">
        <v>1185</v>
      </c>
      <c r="C19" s="534" t="s">
        <v>1190</v>
      </c>
      <c r="D19" s="534" t="s">
        <v>1190</v>
      </c>
      <c r="E19" s="725" t="s">
        <v>1193</v>
      </c>
      <c r="F19" s="387" t="s">
        <v>1163</v>
      </c>
      <c r="G19" s="391" t="s">
        <v>842</v>
      </c>
      <c r="H19" s="381"/>
      <c r="I19" s="381"/>
      <c r="J19" s="381">
        <f t="shared" si="0"/>
        <v>0</v>
      </c>
      <c r="K19" s="381">
        <f t="shared" si="1"/>
        <v>0</v>
      </c>
      <c r="L19" s="647">
        <f>IFERROR(IF(B19="funkcna poziadavka",VLOOKUP(G19,MODULY_CBA!$B$3:$E$23,4,0)*H19/SUMIFS($H$3:$H$197,$G$3:$G$197,G19,$B$3:$B$197,B19),),)</f>
        <v>0</v>
      </c>
      <c r="M19" s="381">
        <f>IFERROR(IF(B19="Funkcna poziadavka",VLOOKUP(G19,MODULY_CBA!$B$3:$E$23,3,0),),)</f>
        <v>0</v>
      </c>
      <c r="N19" s="381">
        <f>IFERROR(IF(B19="funkcna poziadavka",VLOOKUP(G19,MODULY_CBA!$B$3:$E$23,2,0),),)</f>
        <v>0</v>
      </c>
      <c r="O19" s="380">
        <f t="shared" si="3"/>
        <v>0</v>
      </c>
      <c r="P19" s="379">
        <f>IFERROR(O19*VLOOKUP(G19,MODULY_CBA!$B$3:$F$23,5,0),)</f>
        <v>0</v>
      </c>
      <c r="Q19" s="481" t="str">
        <f>IFERROR(VLOOKUP(G19,MODULY_CBA!$B$3:$I$23,6,0),"")</f>
        <v>Inkrement 1</v>
      </c>
      <c r="R19" s="377"/>
      <c r="S19" s="377"/>
      <c r="T19" s="377"/>
      <c r="U19" s="377"/>
      <c r="V19" s="377"/>
      <c r="W19" s="377"/>
      <c r="X19" s="377"/>
      <c r="Y19" s="377"/>
      <c r="Z19" s="377"/>
      <c r="AA19" s="377"/>
      <c r="AB19" s="377"/>
      <c r="AC19" s="377"/>
      <c r="AD19" s="377"/>
      <c r="AE19" s="377"/>
      <c r="AF19" s="393"/>
      <c r="AG19" s="386"/>
    </row>
    <row r="20" spans="1:33" ht="15" x14ac:dyDescent="0.2">
      <c r="A20" s="403" t="s">
        <v>3527</v>
      </c>
      <c r="B20" s="403" t="s">
        <v>1185</v>
      </c>
      <c r="C20" s="534" t="s">
        <v>1190</v>
      </c>
      <c r="D20" s="534" t="s">
        <v>1190</v>
      </c>
      <c r="E20" s="725" t="s">
        <v>1194</v>
      </c>
      <c r="F20" s="387" t="s">
        <v>1163</v>
      </c>
      <c r="G20" s="391" t="s">
        <v>842</v>
      </c>
      <c r="H20" s="381"/>
      <c r="I20" s="381"/>
      <c r="J20" s="381">
        <f t="shared" si="0"/>
        <v>0</v>
      </c>
      <c r="K20" s="381">
        <f t="shared" si="1"/>
        <v>0</v>
      </c>
      <c r="L20" s="647">
        <f>IFERROR(IF(B20="funkcna poziadavka",VLOOKUP(G20,MODULY_CBA!$B$3:$E$23,4,0)*H20/SUMIFS($H$3:$H$197,$G$3:$G$197,G20,$B$3:$B$197,B20),),)</f>
        <v>0</v>
      </c>
      <c r="M20" s="381">
        <f>IFERROR(IF(B20="Funkcna poziadavka",VLOOKUP(G20,MODULY_CBA!$B$3:$E$23,3,0),),)</f>
        <v>0</v>
      </c>
      <c r="N20" s="381">
        <f>IFERROR(IF(B20="funkcna poziadavka",VLOOKUP(G20,MODULY_CBA!$B$3:$E$23,2,0),),)</f>
        <v>0</v>
      </c>
      <c r="O20" s="380">
        <f t="shared" si="3"/>
        <v>0</v>
      </c>
      <c r="P20" s="379">
        <f>IFERROR(O20*VLOOKUP(G20,MODULY_CBA!$B$3:$F$23,5,0),)</f>
        <v>0</v>
      </c>
      <c r="Q20" s="481" t="str">
        <f>IFERROR(VLOOKUP(G20,MODULY_CBA!$B$3:$I$23,6,0),"")</f>
        <v>Inkrement 1</v>
      </c>
      <c r="R20" s="377"/>
      <c r="S20" s="377"/>
      <c r="T20" s="377"/>
      <c r="U20" s="377"/>
      <c r="V20" s="377"/>
      <c r="W20" s="377"/>
      <c r="X20" s="377"/>
      <c r="Y20" s="377"/>
      <c r="Z20" s="377"/>
      <c r="AA20" s="377"/>
      <c r="AB20" s="377"/>
      <c r="AC20" s="377"/>
      <c r="AD20" s="377"/>
      <c r="AE20" s="377"/>
      <c r="AF20" s="393"/>
      <c r="AG20" s="386"/>
    </row>
    <row r="21" spans="1:33" ht="15" x14ac:dyDescent="0.2">
      <c r="A21" s="403" t="s">
        <v>3528</v>
      </c>
      <c r="B21" s="403" t="s">
        <v>1185</v>
      </c>
      <c r="C21" s="534" t="s">
        <v>1195</v>
      </c>
      <c r="D21" s="534" t="s">
        <v>1195</v>
      </c>
      <c r="E21" s="725" t="s">
        <v>1196</v>
      </c>
      <c r="F21" s="387" t="s">
        <v>1163</v>
      </c>
      <c r="G21" s="391" t="s">
        <v>842</v>
      </c>
      <c r="H21" s="381"/>
      <c r="I21" s="381"/>
      <c r="J21" s="381">
        <f t="shared" si="0"/>
        <v>0</v>
      </c>
      <c r="K21" s="381">
        <f t="shared" si="1"/>
        <v>0</v>
      </c>
      <c r="L21" s="647">
        <f>IFERROR(IF(B21="funkcna poziadavka",VLOOKUP(G21,MODULY_CBA!$B$3:$E$23,4,0)*H21/SUMIFS($H$3:$H$197,$G$3:$G$197,G21,$B$3:$B$197,B21),),)</f>
        <v>0</v>
      </c>
      <c r="M21" s="381">
        <f>IFERROR(IF(B21="Funkcna poziadavka",VLOOKUP(G21,MODULY_CBA!$B$3:$E$23,3,0),),)</f>
        <v>0</v>
      </c>
      <c r="N21" s="381">
        <f>IFERROR(IF(B21="funkcna poziadavka",VLOOKUP(G21,MODULY_CBA!$B$3:$E$23,2,0),),)</f>
        <v>0</v>
      </c>
      <c r="O21" s="380">
        <f t="shared" si="3"/>
        <v>0</v>
      </c>
      <c r="P21" s="379">
        <f>IFERROR(O21*VLOOKUP(G21,MODULY_CBA!$B$3:$F$23,5,0),)</f>
        <v>0</v>
      </c>
      <c r="Q21" s="481" t="str">
        <f>IFERROR(VLOOKUP(G21,MODULY_CBA!$B$3:$I$23,6,0),"")</f>
        <v>Inkrement 1</v>
      </c>
      <c r="R21" s="377"/>
      <c r="S21" s="377"/>
      <c r="T21" s="377"/>
      <c r="U21" s="377"/>
      <c r="V21" s="377"/>
      <c r="W21" s="377"/>
      <c r="X21" s="377"/>
      <c r="Y21" s="377"/>
      <c r="Z21" s="377"/>
      <c r="AA21" s="377"/>
      <c r="AB21" s="377"/>
      <c r="AC21" s="377"/>
      <c r="AD21" s="377"/>
      <c r="AE21" s="377"/>
      <c r="AF21" s="393"/>
      <c r="AG21" s="386"/>
    </row>
    <row r="22" spans="1:33" ht="15" x14ac:dyDescent="0.2">
      <c r="A22" s="403" t="s">
        <v>3529</v>
      </c>
      <c r="B22" s="403" t="s">
        <v>1185</v>
      </c>
      <c r="C22" s="534" t="s">
        <v>1195</v>
      </c>
      <c r="D22" s="534" t="s">
        <v>1195</v>
      </c>
      <c r="E22" s="725" t="s">
        <v>1197</v>
      </c>
      <c r="F22" s="387" t="s">
        <v>1163</v>
      </c>
      <c r="G22" s="391" t="s">
        <v>842</v>
      </c>
      <c r="H22" s="381"/>
      <c r="I22" s="381"/>
      <c r="J22" s="381">
        <f t="shared" si="0"/>
        <v>0</v>
      </c>
      <c r="K22" s="381">
        <f t="shared" si="1"/>
        <v>0</v>
      </c>
      <c r="L22" s="647">
        <f>IFERROR(IF(B22="funkcna poziadavka",VLOOKUP(G22,MODULY_CBA!$B$3:$E$23,4,0)*H22/SUMIFS($H$3:$H$197,$G$3:$G$197,G22,$B$3:$B$197,B22),),)</f>
        <v>0</v>
      </c>
      <c r="M22" s="381">
        <f>IFERROR(IF(B22="Funkcna poziadavka",VLOOKUP(G22,MODULY_CBA!$B$3:$E$23,3,0),),)</f>
        <v>0</v>
      </c>
      <c r="N22" s="381">
        <f>IFERROR(IF(B22="funkcna poziadavka",VLOOKUP(G22,MODULY_CBA!$B$3:$E$23,2,0),),)</f>
        <v>0</v>
      </c>
      <c r="O22" s="380">
        <f t="shared" si="3"/>
        <v>0</v>
      </c>
      <c r="P22" s="379">
        <f>IFERROR(O22*VLOOKUP(G22,MODULY_CBA!$B$3:$F$23,5,0),)</f>
        <v>0</v>
      </c>
      <c r="Q22" s="481" t="str">
        <f>IFERROR(VLOOKUP(G22,MODULY_CBA!$B$3:$I$23,6,0),"")</f>
        <v>Inkrement 1</v>
      </c>
      <c r="R22" s="377"/>
      <c r="S22" s="377"/>
      <c r="T22" s="377"/>
      <c r="U22" s="377"/>
      <c r="V22" s="377"/>
      <c r="W22" s="377"/>
      <c r="X22" s="377"/>
      <c r="Y22" s="377"/>
      <c r="Z22" s="377"/>
      <c r="AA22" s="377"/>
      <c r="AB22" s="377"/>
      <c r="AC22" s="377"/>
      <c r="AD22" s="377"/>
      <c r="AE22" s="377"/>
      <c r="AF22" s="393"/>
      <c r="AG22" s="386"/>
    </row>
    <row r="23" spans="1:33" ht="15" x14ac:dyDescent="0.2">
      <c r="A23" s="403" t="s">
        <v>3530</v>
      </c>
      <c r="B23" s="403" t="s">
        <v>1185</v>
      </c>
      <c r="C23" s="534" t="s">
        <v>1195</v>
      </c>
      <c r="D23" s="534" t="s">
        <v>1195</v>
      </c>
      <c r="E23" s="725" t="s">
        <v>1198</v>
      </c>
      <c r="F23" s="387" t="s">
        <v>1163</v>
      </c>
      <c r="G23" s="391" t="s">
        <v>842</v>
      </c>
      <c r="H23" s="381"/>
      <c r="I23" s="381"/>
      <c r="J23" s="381">
        <f t="shared" si="0"/>
        <v>0</v>
      </c>
      <c r="K23" s="381">
        <f t="shared" si="1"/>
        <v>0</v>
      </c>
      <c r="L23" s="647">
        <f>IFERROR(IF(B23="funkcna poziadavka",VLOOKUP(G23,MODULY_CBA!$B$3:$E$23,4,0)*H23/SUMIFS($H$3:$H$197,$G$3:$G$197,G23,$B$3:$B$197,B23),),)</f>
        <v>0</v>
      </c>
      <c r="M23" s="381">
        <f>IFERROR(IF(B23="Funkcna poziadavka",VLOOKUP(G23,MODULY_CBA!$B$3:$E$23,3,0),),)</f>
        <v>0</v>
      </c>
      <c r="N23" s="381">
        <f>IFERROR(IF(B23="funkcna poziadavka",VLOOKUP(G23,MODULY_CBA!$B$3:$E$23,2,0),),)</f>
        <v>0</v>
      </c>
      <c r="O23" s="380">
        <f t="shared" si="3"/>
        <v>0</v>
      </c>
      <c r="P23" s="379">
        <f>IFERROR(O23*VLOOKUP(G23,MODULY_CBA!$B$3:$F$23,5,0),)</f>
        <v>0</v>
      </c>
      <c r="Q23" s="481" t="str">
        <f>IFERROR(VLOOKUP(G23,MODULY_CBA!$B$3:$I$23,6,0),"")</f>
        <v>Inkrement 1</v>
      </c>
      <c r="R23" s="377" t="s">
        <v>167</v>
      </c>
      <c r="S23" s="377" t="s">
        <v>167</v>
      </c>
      <c r="T23" s="377" t="s">
        <v>167</v>
      </c>
      <c r="U23" s="377" t="s">
        <v>167</v>
      </c>
      <c r="V23" s="377" t="s">
        <v>167</v>
      </c>
      <c r="W23" s="377" t="s">
        <v>167</v>
      </c>
      <c r="X23" s="377" t="s">
        <v>167</v>
      </c>
      <c r="Y23" s="377" t="s">
        <v>167</v>
      </c>
      <c r="Z23" s="377" t="s">
        <v>167</v>
      </c>
      <c r="AA23" s="377" t="s">
        <v>167</v>
      </c>
      <c r="AB23" s="377" t="s">
        <v>167</v>
      </c>
      <c r="AC23" s="377" t="s">
        <v>167</v>
      </c>
      <c r="AD23" s="377" t="s">
        <v>167</v>
      </c>
      <c r="AE23" s="377" t="s">
        <v>167</v>
      </c>
      <c r="AF23" s="393"/>
      <c r="AG23" s="386"/>
    </row>
    <row r="24" spans="1:33" ht="30" x14ac:dyDescent="0.2">
      <c r="A24" s="403" t="s">
        <v>3531</v>
      </c>
      <c r="B24" s="403" t="s">
        <v>1185</v>
      </c>
      <c r="C24" s="534" t="s">
        <v>1199</v>
      </c>
      <c r="D24" s="534" t="s">
        <v>1199</v>
      </c>
      <c r="E24" s="725" t="s">
        <v>1200</v>
      </c>
      <c r="F24" s="387" t="s">
        <v>1163</v>
      </c>
      <c r="G24" s="391" t="s">
        <v>842</v>
      </c>
      <c r="H24" s="381"/>
      <c r="I24" s="381"/>
      <c r="J24" s="381">
        <f t="shared" si="0"/>
        <v>0</v>
      </c>
      <c r="K24" s="381">
        <f t="shared" si="1"/>
        <v>0</v>
      </c>
      <c r="L24" s="647">
        <f>IFERROR(IF(B24="funkcna poziadavka",VLOOKUP(G24,MODULY_CBA!$B$3:$E$23,4,0)*H24/SUMIFS($H$3:$H$197,$G$3:$G$197,G24,$B$3:$B$197,B24),),)</f>
        <v>0</v>
      </c>
      <c r="M24" s="381">
        <f>IFERROR(IF(B24="Funkcna poziadavka",VLOOKUP(G24,MODULY_CBA!$B$3:$E$23,3,0),),)</f>
        <v>0</v>
      </c>
      <c r="N24" s="381">
        <f>IFERROR(IF(B24="funkcna poziadavka",VLOOKUP(G24,MODULY_CBA!$B$3:$E$23,2,0),),)</f>
        <v>0</v>
      </c>
      <c r="O24" s="380">
        <f t="shared" si="3"/>
        <v>0</v>
      </c>
      <c r="P24" s="379">
        <f>IFERROR(O24*VLOOKUP(G24,MODULY_CBA!$B$3:$F$23,5,0),)</f>
        <v>0</v>
      </c>
      <c r="Q24" s="481" t="str">
        <f>IFERROR(VLOOKUP(G24,MODULY_CBA!$B$3:$I$23,6,0),"")</f>
        <v>Inkrement 1</v>
      </c>
      <c r="R24" s="377" t="s">
        <v>167</v>
      </c>
      <c r="S24" s="377" t="s">
        <v>167</v>
      </c>
      <c r="T24" s="377" t="s">
        <v>167</v>
      </c>
      <c r="U24" s="377" t="s">
        <v>167</v>
      </c>
      <c r="V24" s="377" t="s">
        <v>167</v>
      </c>
      <c r="W24" s="377" t="s">
        <v>167</v>
      </c>
      <c r="X24" s="377" t="s">
        <v>167</v>
      </c>
      <c r="Y24" s="377" t="s">
        <v>167</v>
      </c>
      <c r="Z24" s="377" t="s">
        <v>167</v>
      </c>
      <c r="AA24" s="377" t="s">
        <v>167</v>
      </c>
      <c r="AB24" s="377" t="s">
        <v>167</v>
      </c>
      <c r="AC24" s="377" t="s">
        <v>167</v>
      </c>
      <c r="AD24" s="377" t="s">
        <v>167</v>
      </c>
      <c r="AE24" s="377" t="s">
        <v>167</v>
      </c>
      <c r="AF24" s="394"/>
      <c r="AG24" s="385"/>
    </row>
    <row r="25" spans="1:33" ht="30" x14ac:dyDescent="0.2">
      <c r="A25" s="403" t="s">
        <v>3532</v>
      </c>
      <c r="B25" s="403" t="s">
        <v>1185</v>
      </c>
      <c r="C25" s="534" t="s">
        <v>1201</v>
      </c>
      <c r="D25" s="534" t="s">
        <v>1201</v>
      </c>
      <c r="E25" s="725" t="s">
        <v>1202</v>
      </c>
      <c r="F25" s="387" t="s">
        <v>1163</v>
      </c>
      <c r="G25" s="391" t="s">
        <v>842</v>
      </c>
      <c r="H25" s="381"/>
      <c r="I25" s="381"/>
      <c r="J25" s="381">
        <f t="shared" si="0"/>
        <v>0</v>
      </c>
      <c r="K25" s="381">
        <f t="shared" si="1"/>
        <v>0</v>
      </c>
      <c r="L25" s="647">
        <f>IFERROR(IF(B25="funkcna poziadavka",VLOOKUP(G25,MODULY_CBA!$B$3:$E$23,4,0)*H25/SUMIFS($H$3:$H$197,$G$3:$G$197,G25,$B$3:$B$197,B25),),)</f>
        <v>0</v>
      </c>
      <c r="M25" s="381">
        <f>IFERROR(IF(B25="Funkcna poziadavka",VLOOKUP(G25,MODULY_CBA!$B$3:$E$23,3,0),),)</f>
        <v>0</v>
      </c>
      <c r="N25" s="381">
        <f>IFERROR(IF(B25="funkcna poziadavka",VLOOKUP(G25,MODULY_CBA!$B$3:$E$23,2,0),),)</f>
        <v>0</v>
      </c>
      <c r="O25" s="380">
        <f t="shared" si="3"/>
        <v>0</v>
      </c>
      <c r="P25" s="379">
        <f>IFERROR(O25*VLOOKUP(G25,MODULY_CBA!$B$3:$F$23,5,0),)</f>
        <v>0</v>
      </c>
      <c r="Q25" s="481" t="str">
        <f>IFERROR(VLOOKUP(G25,MODULY_CBA!$B$3:$I$23,6,0),"")</f>
        <v>Inkrement 1</v>
      </c>
      <c r="R25" s="377"/>
      <c r="S25" s="377"/>
      <c r="T25" s="377"/>
      <c r="U25" s="377"/>
      <c r="V25" s="377"/>
      <c r="W25" s="377"/>
      <c r="X25" s="377"/>
      <c r="Y25" s="377"/>
      <c r="Z25" s="377"/>
      <c r="AA25" s="377"/>
      <c r="AB25" s="377"/>
      <c r="AC25" s="377"/>
      <c r="AD25" s="377"/>
      <c r="AE25" s="377"/>
      <c r="AF25" s="393"/>
      <c r="AG25" s="386"/>
    </row>
    <row r="26" spans="1:33" ht="30" x14ac:dyDescent="0.2">
      <c r="A26" s="403" t="s">
        <v>3533</v>
      </c>
      <c r="B26" s="403" t="s">
        <v>1185</v>
      </c>
      <c r="C26" s="534" t="s">
        <v>1203</v>
      </c>
      <c r="D26" s="534" t="s">
        <v>1203</v>
      </c>
      <c r="E26" s="725" t="s">
        <v>1204</v>
      </c>
      <c r="F26" s="387" t="s">
        <v>1163</v>
      </c>
      <c r="G26" s="391" t="s">
        <v>842</v>
      </c>
      <c r="H26" s="381"/>
      <c r="I26" s="381"/>
      <c r="J26" s="381">
        <f t="shared" si="0"/>
        <v>0</v>
      </c>
      <c r="K26" s="381">
        <f t="shared" si="1"/>
        <v>0</v>
      </c>
      <c r="L26" s="647">
        <f>IFERROR(IF(B26="funkcna poziadavka",VLOOKUP(G26,MODULY_CBA!$B$3:$E$23,4,0)*H26/SUMIFS($H$3:$H$197,$G$3:$G$197,G26,$B$3:$B$197,B26),),)</f>
        <v>0</v>
      </c>
      <c r="M26" s="381">
        <f>IFERROR(IF(B26="Funkcna poziadavka",VLOOKUP(G26,MODULY_CBA!$B$3:$E$23,3,0),),)</f>
        <v>0</v>
      </c>
      <c r="N26" s="381">
        <f>IFERROR(IF(B26="funkcna poziadavka",VLOOKUP(G26,MODULY_CBA!$B$3:$E$23,2,0),),)</f>
        <v>0</v>
      </c>
      <c r="O26" s="380">
        <f t="shared" si="3"/>
        <v>0</v>
      </c>
      <c r="P26" s="379">
        <f>IFERROR(O26*VLOOKUP(G26,MODULY_CBA!$B$3:$F$23,5,0),)</f>
        <v>0</v>
      </c>
      <c r="Q26" s="481" t="str">
        <f>IFERROR(VLOOKUP(G26,MODULY_CBA!$B$3:$I$23,6,0),"")</f>
        <v>Inkrement 1</v>
      </c>
      <c r="R26" s="377" t="s">
        <v>167</v>
      </c>
      <c r="S26" s="377" t="s">
        <v>167</v>
      </c>
      <c r="T26" s="377" t="s">
        <v>167</v>
      </c>
      <c r="U26" s="377" t="s">
        <v>167</v>
      </c>
      <c r="V26" s="377" t="s">
        <v>167</v>
      </c>
      <c r="W26" s="377" t="s">
        <v>167</v>
      </c>
      <c r="X26" s="377" t="s">
        <v>167</v>
      </c>
      <c r="Y26" s="377" t="s">
        <v>167</v>
      </c>
      <c r="Z26" s="377" t="s">
        <v>167</v>
      </c>
      <c r="AA26" s="377" t="s">
        <v>167</v>
      </c>
      <c r="AB26" s="377" t="s">
        <v>167</v>
      </c>
      <c r="AC26" s="377" t="s">
        <v>167</v>
      </c>
      <c r="AD26" s="377" t="s">
        <v>167</v>
      </c>
      <c r="AE26" s="377" t="s">
        <v>167</v>
      </c>
      <c r="AF26" s="393"/>
      <c r="AG26" s="386"/>
    </row>
    <row r="27" spans="1:33" ht="45" x14ac:dyDescent="0.2">
      <c r="A27" s="403" t="s">
        <v>3534</v>
      </c>
      <c r="B27" s="403" t="s">
        <v>1185</v>
      </c>
      <c r="C27" s="534" t="s">
        <v>1205</v>
      </c>
      <c r="D27" s="534" t="s">
        <v>1205</v>
      </c>
      <c r="E27" s="727" t="s">
        <v>1206</v>
      </c>
      <c r="F27" s="387" t="s">
        <v>1163</v>
      </c>
      <c r="G27" s="391" t="s">
        <v>842</v>
      </c>
      <c r="H27" s="381"/>
      <c r="I27" s="381"/>
      <c r="J27" s="381">
        <f t="shared" si="0"/>
        <v>0</v>
      </c>
      <c r="K27" s="381">
        <f t="shared" si="1"/>
        <v>0</v>
      </c>
      <c r="L27" s="647">
        <f>IFERROR(IF(B27="funkcna poziadavka",VLOOKUP(G27,MODULY_CBA!$B$3:$E$23,4,0)*H27/SUMIFS($H$3:$H$197,$G$3:$G$197,G27,$B$3:$B$197,B27),),)</f>
        <v>0</v>
      </c>
      <c r="M27" s="381">
        <f>IFERROR(IF(B27="Funkcna poziadavka",VLOOKUP(G27,MODULY_CBA!$B$3:$E$23,3,0),),)</f>
        <v>0</v>
      </c>
      <c r="N27" s="381">
        <f>IFERROR(IF(B27="funkcna poziadavka",VLOOKUP(G27,MODULY_CBA!$B$3:$E$23,2,0),),)</f>
        <v>0</v>
      </c>
      <c r="O27" s="380">
        <f t="shared" si="3"/>
        <v>0</v>
      </c>
      <c r="P27" s="379">
        <f>IFERROR(O27*VLOOKUP(G27,MODULY_CBA!$B$3:$F$23,5,0),)</f>
        <v>0</v>
      </c>
      <c r="Q27" s="481" t="str">
        <f>IFERROR(VLOOKUP(G27,MODULY_CBA!$B$3:$I$23,6,0),"")</f>
        <v>Inkrement 1</v>
      </c>
      <c r="R27" s="383" t="s">
        <v>167</v>
      </c>
      <c r="S27" s="383" t="s">
        <v>167</v>
      </c>
      <c r="T27" s="383" t="s">
        <v>167</v>
      </c>
      <c r="U27" s="383" t="s">
        <v>167</v>
      </c>
      <c r="V27" s="383" t="s">
        <v>167</v>
      </c>
      <c r="W27" s="383" t="s">
        <v>167</v>
      </c>
      <c r="X27" s="383" t="s">
        <v>167</v>
      </c>
      <c r="Y27" s="383" t="s">
        <v>167</v>
      </c>
      <c r="Z27" s="383" t="s">
        <v>167</v>
      </c>
      <c r="AA27" s="383" t="s">
        <v>167</v>
      </c>
      <c r="AB27" s="383" t="s">
        <v>167</v>
      </c>
      <c r="AC27" s="383" t="s">
        <v>167</v>
      </c>
      <c r="AD27" s="383" t="s">
        <v>167</v>
      </c>
      <c r="AE27" s="383" t="s">
        <v>167</v>
      </c>
      <c r="AF27" s="393"/>
      <c r="AG27" s="386"/>
    </row>
    <row r="28" spans="1:33" ht="45" x14ac:dyDescent="0.2">
      <c r="A28" s="403" t="s">
        <v>3535</v>
      </c>
      <c r="B28" s="403" t="s">
        <v>1185</v>
      </c>
      <c r="C28" s="534" t="s">
        <v>1207</v>
      </c>
      <c r="D28" s="534" t="s">
        <v>1207</v>
      </c>
      <c r="E28" s="728" t="s">
        <v>1208</v>
      </c>
      <c r="F28" s="387" t="s">
        <v>1163</v>
      </c>
      <c r="G28" s="391" t="s">
        <v>842</v>
      </c>
      <c r="H28" s="381"/>
      <c r="I28" s="381"/>
      <c r="J28" s="381">
        <f t="shared" si="0"/>
        <v>0</v>
      </c>
      <c r="K28" s="381">
        <f t="shared" si="1"/>
        <v>0</v>
      </c>
      <c r="L28" s="647">
        <f>IFERROR(IF(B28="funkcna poziadavka",VLOOKUP(G28,MODULY_CBA!$B$3:$E$23,4,0)*H28/SUMIFS($H$3:$H$197,$G$3:$G$197,G28,$B$3:$B$197,B28),),)</f>
        <v>0</v>
      </c>
      <c r="M28" s="381">
        <f>IFERROR(IF(B28="Funkcna poziadavka",VLOOKUP(G28,MODULY_CBA!$B$3:$E$23,3,0),),)</f>
        <v>0</v>
      </c>
      <c r="N28" s="381">
        <f>IFERROR(IF(B28="funkcna poziadavka",VLOOKUP(G28,MODULY_CBA!$B$3:$E$23,2,0),),)</f>
        <v>0</v>
      </c>
      <c r="O28" s="380">
        <f t="shared" si="3"/>
        <v>0</v>
      </c>
      <c r="P28" s="379">
        <f>IFERROR(O28*VLOOKUP(G28,MODULY_CBA!$B$3:$F$23,5,0),)</f>
        <v>0</v>
      </c>
      <c r="Q28" s="481" t="str">
        <f>IFERROR(VLOOKUP(G28,MODULY_CBA!$B$3:$I$23,6,0),"")</f>
        <v>Inkrement 1</v>
      </c>
      <c r="R28" s="377"/>
      <c r="S28" s="377"/>
      <c r="T28" s="377"/>
      <c r="U28" s="377"/>
      <c r="V28" s="377"/>
      <c r="W28" s="377"/>
      <c r="X28" s="377"/>
      <c r="Y28" s="377"/>
      <c r="Z28" s="377"/>
      <c r="AA28" s="377"/>
      <c r="AB28" s="377"/>
      <c r="AC28" s="377"/>
      <c r="AD28" s="377"/>
      <c r="AE28" s="377"/>
      <c r="AF28" s="393"/>
      <c r="AG28" s="386"/>
    </row>
    <row r="29" spans="1:33" ht="30" x14ac:dyDescent="0.2">
      <c r="A29" s="403" t="s">
        <v>3536</v>
      </c>
      <c r="B29" s="403" t="s">
        <v>1185</v>
      </c>
      <c r="C29" s="534" t="s">
        <v>1209</v>
      </c>
      <c r="D29" s="534" t="s">
        <v>1209</v>
      </c>
      <c r="E29" s="725" t="s">
        <v>1210</v>
      </c>
      <c r="F29" s="387" t="s">
        <v>1163</v>
      </c>
      <c r="G29" s="391" t="s">
        <v>842</v>
      </c>
      <c r="H29" s="381"/>
      <c r="I29" s="381"/>
      <c r="J29" s="381">
        <f t="shared" si="0"/>
        <v>0</v>
      </c>
      <c r="K29" s="381">
        <f t="shared" si="1"/>
        <v>0</v>
      </c>
      <c r="L29" s="647">
        <f>IFERROR(IF(B29="funkcna poziadavka",VLOOKUP(G29,MODULY_CBA!$B$3:$E$23,4,0)*H29/SUMIFS($H$3:$H$197,$G$3:$G$197,G29,$B$3:$B$197,B29),),)</f>
        <v>0</v>
      </c>
      <c r="M29" s="381">
        <f>IFERROR(IF(B29="Funkcna poziadavka",VLOOKUP(G29,MODULY_CBA!$B$3:$E$23,3,0),),)</f>
        <v>0</v>
      </c>
      <c r="N29" s="381">
        <f>IFERROR(IF(B29="funkcna poziadavka",VLOOKUP(G29,MODULY_CBA!$B$3:$E$23,2,0),),)</f>
        <v>0</v>
      </c>
      <c r="O29" s="380">
        <f t="shared" si="3"/>
        <v>0</v>
      </c>
      <c r="P29" s="379">
        <f>IFERROR(O29*VLOOKUP(G29,MODULY_CBA!$B$3:$F$23,5,0),)</f>
        <v>0</v>
      </c>
      <c r="Q29" s="481" t="str">
        <f>IFERROR(VLOOKUP(G29,MODULY_CBA!$B$3:$I$23,6,0),"")</f>
        <v>Inkrement 1</v>
      </c>
      <c r="R29" s="377"/>
      <c r="S29" s="377"/>
      <c r="T29" s="377"/>
      <c r="U29" s="377"/>
      <c r="V29" s="377"/>
      <c r="W29" s="377"/>
      <c r="X29" s="377"/>
      <c r="Y29" s="377"/>
      <c r="Z29" s="377"/>
      <c r="AA29" s="377"/>
      <c r="AB29" s="377"/>
      <c r="AC29" s="377"/>
      <c r="AD29" s="377"/>
      <c r="AE29" s="377"/>
      <c r="AF29" s="393"/>
      <c r="AG29" s="386"/>
    </row>
    <row r="30" spans="1:33" ht="30" x14ac:dyDescent="0.2">
      <c r="A30" s="403" t="s">
        <v>3537</v>
      </c>
      <c r="B30" s="403" t="s">
        <v>1185</v>
      </c>
      <c r="C30" s="534" t="s">
        <v>1211</v>
      </c>
      <c r="D30" s="534" t="s">
        <v>1211</v>
      </c>
      <c r="E30" s="725" t="s">
        <v>1212</v>
      </c>
      <c r="F30" s="387" t="s">
        <v>1163</v>
      </c>
      <c r="G30" s="391" t="s">
        <v>842</v>
      </c>
      <c r="H30" s="381"/>
      <c r="I30" s="381"/>
      <c r="J30" s="381">
        <f t="shared" si="0"/>
        <v>0</v>
      </c>
      <c r="K30" s="381">
        <f t="shared" si="1"/>
        <v>0</v>
      </c>
      <c r="L30" s="647">
        <f>IFERROR(IF(B30="funkcna poziadavka",VLOOKUP(G30,MODULY_CBA!$B$3:$E$23,4,0)*H30/SUMIFS($H$3:$H$197,$G$3:$G$197,G30,$B$3:$B$197,B30),),)</f>
        <v>0</v>
      </c>
      <c r="M30" s="381">
        <f>IFERROR(IF(B30="Funkcna poziadavka",VLOOKUP(G30,MODULY_CBA!$B$3:$E$23,3,0),),)</f>
        <v>0</v>
      </c>
      <c r="N30" s="381">
        <f>IFERROR(IF(B30="funkcna poziadavka",VLOOKUP(G30,MODULY_CBA!$B$3:$E$23,2,0),),)</f>
        <v>0</v>
      </c>
      <c r="O30" s="380">
        <f t="shared" si="3"/>
        <v>0</v>
      </c>
      <c r="P30" s="379">
        <f>IFERROR(O30*VLOOKUP(G30,MODULY_CBA!$B$3:$F$23,5,0),)</f>
        <v>0</v>
      </c>
      <c r="Q30" s="481" t="str">
        <f>IFERROR(VLOOKUP(G30,MODULY_CBA!$B$3:$I$23,6,0),"")</f>
        <v>Inkrement 1</v>
      </c>
      <c r="R30" s="377"/>
      <c r="S30" s="377"/>
      <c r="T30" s="377"/>
      <c r="U30" s="377"/>
      <c r="V30" s="377"/>
      <c r="W30" s="377"/>
      <c r="X30" s="377"/>
      <c r="Y30" s="377"/>
      <c r="Z30" s="377"/>
      <c r="AA30" s="377"/>
      <c r="AB30" s="377"/>
      <c r="AC30" s="377"/>
      <c r="AD30" s="377"/>
      <c r="AE30" s="377"/>
      <c r="AF30" s="393"/>
      <c r="AG30" s="386"/>
    </row>
    <row r="31" spans="1:33" ht="30" x14ac:dyDescent="0.2">
      <c r="A31" s="403" t="s">
        <v>3538</v>
      </c>
      <c r="B31" s="403" t="s">
        <v>1185</v>
      </c>
      <c r="C31" s="534" t="s">
        <v>1213</v>
      </c>
      <c r="D31" s="534" t="s">
        <v>1213</v>
      </c>
      <c r="E31" s="725" t="s">
        <v>1214</v>
      </c>
      <c r="F31" s="387" t="s">
        <v>1163</v>
      </c>
      <c r="G31" s="391" t="s">
        <v>842</v>
      </c>
      <c r="H31" s="381"/>
      <c r="I31" s="381"/>
      <c r="J31" s="381">
        <f t="shared" si="0"/>
        <v>0</v>
      </c>
      <c r="K31" s="381">
        <f t="shared" si="1"/>
        <v>0</v>
      </c>
      <c r="L31" s="647">
        <f>IFERROR(IF(B31="funkcna poziadavka",VLOOKUP(G31,MODULY_CBA!$B$3:$E$23,4,0)*H31/SUMIFS($H$3:$H$197,$G$3:$G$197,G31,$B$3:$B$197,B31),),)</f>
        <v>0</v>
      </c>
      <c r="M31" s="381">
        <f>IFERROR(IF(B31="Funkcna poziadavka",VLOOKUP(G31,MODULY_CBA!$B$3:$E$23,3,0),),)</f>
        <v>0</v>
      </c>
      <c r="N31" s="381">
        <f>IFERROR(IF(B31="funkcna poziadavka",VLOOKUP(G31,MODULY_CBA!$B$3:$E$23,2,0),),)</f>
        <v>0</v>
      </c>
      <c r="O31" s="380">
        <f t="shared" si="3"/>
        <v>0</v>
      </c>
      <c r="P31" s="379">
        <f>IFERROR(O31*VLOOKUP(G31,MODULY_CBA!$B$3:$F$23,5,0),)</f>
        <v>0</v>
      </c>
      <c r="Q31" s="481" t="str">
        <f>IFERROR(VLOOKUP(G31,MODULY_CBA!$B$3:$I$23,6,0),"")</f>
        <v>Inkrement 1</v>
      </c>
      <c r="R31" s="377"/>
      <c r="S31" s="377"/>
      <c r="T31" s="377"/>
      <c r="U31" s="377"/>
      <c r="V31" s="377"/>
      <c r="W31" s="377"/>
      <c r="X31" s="377"/>
      <c r="Y31" s="377"/>
      <c r="Z31" s="377"/>
      <c r="AA31" s="377"/>
      <c r="AB31" s="377"/>
      <c r="AC31" s="377"/>
      <c r="AD31" s="377"/>
      <c r="AE31" s="377"/>
      <c r="AF31" s="393"/>
      <c r="AG31" s="386"/>
    </row>
    <row r="32" spans="1:33" ht="15" x14ac:dyDescent="0.2">
      <c r="A32" s="403" t="s">
        <v>3539</v>
      </c>
      <c r="B32" s="403" t="s">
        <v>1185</v>
      </c>
      <c r="C32" s="534" t="s">
        <v>1213</v>
      </c>
      <c r="D32" s="534" t="s">
        <v>1213</v>
      </c>
      <c r="E32" s="725" t="s">
        <v>1215</v>
      </c>
      <c r="F32" s="387" t="s">
        <v>1163</v>
      </c>
      <c r="G32" s="391" t="s">
        <v>842</v>
      </c>
      <c r="H32" s="381"/>
      <c r="I32" s="381"/>
      <c r="J32" s="381">
        <f t="shared" si="0"/>
        <v>0</v>
      </c>
      <c r="K32" s="381">
        <f t="shared" si="1"/>
        <v>0</v>
      </c>
      <c r="L32" s="647">
        <f>IFERROR(IF(B32="funkcna poziadavka",VLOOKUP(G32,MODULY_CBA!$B$3:$E$23,4,0)*H32/SUMIFS($H$3:$H$197,$G$3:$G$197,G32,$B$3:$B$197,B32),),)</f>
        <v>0</v>
      </c>
      <c r="M32" s="381">
        <f>IFERROR(IF(B32="Funkcna poziadavka",VLOOKUP(G32,MODULY_CBA!$B$3:$E$23,3,0),),)</f>
        <v>0</v>
      </c>
      <c r="N32" s="381">
        <f>IFERROR(IF(B32="funkcna poziadavka",VLOOKUP(G32,MODULY_CBA!$B$3:$E$23,2,0),),)</f>
        <v>0</v>
      </c>
      <c r="O32" s="380">
        <f t="shared" si="3"/>
        <v>0</v>
      </c>
      <c r="P32" s="379">
        <f>IFERROR(O32*VLOOKUP(G32,MODULY_CBA!$B$3:$F$23,5,0),)</f>
        <v>0</v>
      </c>
      <c r="Q32" s="481" t="str">
        <f>IFERROR(VLOOKUP(G32,MODULY_CBA!$B$3:$I$23,6,0),"")</f>
        <v>Inkrement 1</v>
      </c>
      <c r="R32" s="377"/>
      <c r="S32" s="377"/>
      <c r="T32" s="377"/>
      <c r="U32" s="377"/>
      <c r="V32" s="377"/>
      <c r="W32" s="377"/>
      <c r="X32" s="377"/>
      <c r="Y32" s="377"/>
      <c r="Z32" s="377"/>
      <c r="AA32" s="377"/>
      <c r="AB32" s="377"/>
      <c r="AC32" s="377"/>
      <c r="AD32" s="377"/>
      <c r="AE32" s="377"/>
      <c r="AF32" s="393"/>
      <c r="AG32" s="386"/>
    </row>
    <row r="33" spans="1:31" ht="15" x14ac:dyDescent="0.2">
      <c r="A33" s="403" t="s">
        <v>3540</v>
      </c>
      <c r="B33" s="403" t="s">
        <v>1185</v>
      </c>
      <c r="C33" s="534" t="s">
        <v>1216</v>
      </c>
      <c r="D33" s="534" t="s">
        <v>1216</v>
      </c>
      <c r="E33" s="725" t="s">
        <v>1217</v>
      </c>
      <c r="F33" s="387" t="s">
        <v>1163</v>
      </c>
      <c r="G33" s="391" t="s">
        <v>842</v>
      </c>
      <c r="H33" s="381"/>
      <c r="I33" s="381"/>
      <c r="J33" s="381">
        <f t="shared" si="0"/>
        <v>0</v>
      </c>
      <c r="K33" s="381">
        <f t="shared" si="1"/>
        <v>0</v>
      </c>
      <c r="L33" s="647">
        <f>IFERROR(IF(B33="funkcna poziadavka",VLOOKUP(G33,MODULY_CBA!$B$3:$E$23,4,0)*H33/SUMIFS($H$3:$H$197,$G$3:$G$197,G33,$B$3:$B$197,B33),),)</f>
        <v>0</v>
      </c>
      <c r="M33" s="381">
        <f>IFERROR(IF(B33="Funkcna poziadavka",VLOOKUP(G33,MODULY_CBA!$B$3:$E$23,3,0),),)</f>
        <v>0</v>
      </c>
      <c r="N33" s="381">
        <f>IFERROR(IF(B33="funkcna poziadavka",VLOOKUP(G33,MODULY_CBA!$B$3:$E$23,2,0),),)</f>
        <v>0</v>
      </c>
      <c r="O33" s="380">
        <f t="shared" si="3"/>
        <v>0</v>
      </c>
      <c r="P33" s="379">
        <f>IFERROR(O33*VLOOKUP(G33,MODULY_CBA!$B$3:$F$23,5,0),)</f>
        <v>0</v>
      </c>
      <c r="Q33" s="481" t="str">
        <f>IFERROR(VLOOKUP(G33,MODULY_CBA!$B$3:$I$23,6,0),"")</f>
        <v>Inkrement 1</v>
      </c>
      <c r="R33" s="383"/>
      <c r="S33" s="383"/>
      <c r="T33" s="383"/>
      <c r="U33" s="383"/>
      <c r="V33" s="383"/>
      <c r="W33" s="383"/>
      <c r="X33" s="383"/>
      <c r="Y33" s="383"/>
      <c r="Z33" s="383"/>
      <c r="AA33" s="383"/>
      <c r="AB33" s="383"/>
      <c r="AC33" s="383"/>
      <c r="AD33" s="383"/>
      <c r="AE33" s="383"/>
    </row>
    <row r="34" spans="1:31" ht="30" x14ac:dyDescent="0.2">
      <c r="A34" s="403" t="s">
        <v>3541</v>
      </c>
      <c r="B34" s="403" t="s">
        <v>1185</v>
      </c>
      <c r="C34" s="534" t="s">
        <v>1218</v>
      </c>
      <c r="D34" s="534" t="s">
        <v>1218</v>
      </c>
      <c r="E34" s="729" t="s">
        <v>1219</v>
      </c>
      <c r="F34" s="387" t="s">
        <v>1163</v>
      </c>
      <c r="G34" s="391" t="s">
        <v>842</v>
      </c>
      <c r="H34" s="381"/>
      <c r="I34" s="381"/>
      <c r="J34" s="381">
        <f t="shared" ref="J34:J65" si="4">IF(ISNUMBER(H34),H34,)</f>
        <v>0</v>
      </c>
      <c r="K34" s="381">
        <f t="shared" si="1"/>
        <v>0</v>
      </c>
      <c r="L34" s="647">
        <f>IFERROR(IF(B34="funkcna poziadavka",VLOOKUP(G34,MODULY_CBA!$B$3:$E$23,4,0)*H34/SUMIFS($H$3:$H$197,$G$3:$G$197,G34,$B$3:$B$197,B34),),)</f>
        <v>0</v>
      </c>
      <c r="M34" s="381">
        <f>IFERROR(IF(B34="Funkcna poziadavka",VLOOKUP(G34,MODULY_CBA!$B$3:$E$23,3,0),),)</f>
        <v>0</v>
      </c>
      <c r="N34" s="381">
        <f>IFERROR(IF(B34="funkcna poziadavka",VLOOKUP(G34,MODULY_CBA!$B$3:$E$23,2,0),),)</f>
        <v>0</v>
      </c>
      <c r="O34" s="380">
        <f t="shared" ref="O34:O65" si="5">(K34+L34)*M34*N34</f>
        <v>0</v>
      </c>
      <c r="P34" s="379">
        <f>IFERROR(O34*VLOOKUP(G34,MODULY_CBA!$B$3:$F$23,5,0),)</f>
        <v>0</v>
      </c>
      <c r="Q34" s="481" t="str">
        <f>IFERROR(VLOOKUP(G34,MODULY_CBA!$B$3:$I$23,6,0),"")</f>
        <v>Inkrement 1</v>
      </c>
      <c r="R34" s="383"/>
      <c r="S34" s="383"/>
      <c r="T34" s="383"/>
      <c r="U34" s="383"/>
      <c r="V34" s="383"/>
      <c r="W34" s="383"/>
      <c r="X34" s="383"/>
      <c r="Y34" s="383"/>
      <c r="Z34" s="383"/>
      <c r="AA34" s="383"/>
      <c r="AB34" s="383"/>
      <c r="AC34" s="383"/>
      <c r="AD34" s="383"/>
      <c r="AE34" s="383"/>
    </row>
    <row r="35" spans="1:31" ht="30" x14ac:dyDescent="0.2">
      <c r="A35" s="403" t="s">
        <v>3542</v>
      </c>
      <c r="B35" s="403" t="s">
        <v>1185</v>
      </c>
      <c r="C35" s="534" t="s">
        <v>1220</v>
      </c>
      <c r="D35" s="534" t="s">
        <v>1220</v>
      </c>
      <c r="E35" s="729" t="s">
        <v>1221</v>
      </c>
      <c r="F35" s="387" t="s">
        <v>1163</v>
      </c>
      <c r="G35" s="391" t="s">
        <v>842</v>
      </c>
      <c r="H35" s="381"/>
      <c r="I35" s="381"/>
      <c r="J35" s="381">
        <f t="shared" si="4"/>
        <v>0</v>
      </c>
      <c r="K35" s="381">
        <f t="shared" si="1"/>
        <v>0</v>
      </c>
      <c r="L35" s="647">
        <f>IFERROR(IF(B35="funkcna poziadavka",VLOOKUP(G35,MODULY_CBA!$B$3:$E$23,4,0)*H35/SUMIFS($H$3:$H$197,$G$3:$G$197,G35,$B$3:$B$197,B35),),)</f>
        <v>0</v>
      </c>
      <c r="M35" s="381">
        <f>IFERROR(IF(B35="Funkcna poziadavka",VLOOKUP(G35,MODULY_CBA!$B$3:$E$23,3,0),),)</f>
        <v>0</v>
      </c>
      <c r="N35" s="381">
        <f>IFERROR(IF(B35="funkcna poziadavka",VLOOKUP(G35,MODULY_CBA!$B$3:$E$23,2,0),),)</f>
        <v>0</v>
      </c>
      <c r="O35" s="380">
        <f t="shared" si="5"/>
        <v>0</v>
      </c>
      <c r="P35" s="379">
        <f>IFERROR(O35*VLOOKUP(G35,MODULY_CBA!$B$3:$F$23,5,0),)</f>
        <v>0</v>
      </c>
      <c r="Q35" s="481" t="str">
        <f>IFERROR(VLOOKUP(G35,MODULY_CBA!$B$3:$I$23,6,0),"")</f>
        <v>Inkrement 1</v>
      </c>
      <c r="R35" s="383"/>
      <c r="S35" s="383"/>
      <c r="T35" s="383"/>
      <c r="U35" s="383"/>
      <c r="V35" s="383"/>
      <c r="W35" s="383"/>
      <c r="X35" s="383"/>
      <c r="Y35" s="383"/>
      <c r="Z35" s="383"/>
      <c r="AA35" s="383"/>
      <c r="AB35" s="383"/>
      <c r="AC35" s="383"/>
      <c r="AD35" s="383"/>
      <c r="AE35" s="383"/>
    </row>
    <row r="36" spans="1:31" ht="30" x14ac:dyDescent="0.2">
      <c r="A36" s="403" t="s">
        <v>3543</v>
      </c>
      <c r="B36" s="403" t="s">
        <v>724</v>
      </c>
      <c r="C36" s="534" t="s">
        <v>1222</v>
      </c>
      <c r="D36" s="534" t="s">
        <v>1222</v>
      </c>
      <c r="E36" s="729" t="s">
        <v>1223</v>
      </c>
      <c r="F36" s="387" t="s">
        <v>1163</v>
      </c>
      <c r="G36" s="391" t="s">
        <v>842</v>
      </c>
      <c r="H36" s="381">
        <v>1</v>
      </c>
      <c r="I36" s="381">
        <v>5</v>
      </c>
      <c r="J36" s="381">
        <f t="shared" si="4"/>
        <v>1</v>
      </c>
      <c r="K36" s="381">
        <f t="shared" si="1"/>
        <v>5</v>
      </c>
      <c r="L36" s="647">
        <f>IFERROR(IF(B36="funkcna poziadavka",VLOOKUP(G36,MODULY_CBA!$B$3:$E$23,4,0)*H36/SUMIFS($H$3:$H$197,$G$3:$G$197,G36,$B$3:$B$197,B36),),)</f>
        <v>0.28378378378378377</v>
      </c>
      <c r="M36" s="381">
        <f>IFERROR(IF(B36="Funkcna poziadavka",VLOOKUP(G36,MODULY_CBA!$B$3:$E$23,3,0),),)</f>
        <v>0.76999999999999991</v>
      </c>
      <c r="N36" s="381">
        <f>IFERROR(IF(B36="funkcna poziadavka",VLOOKUP(G36,MODULY_CBA!$B$3:$E$23,2,0),),)</f>
        <v>1.01</v>
      </c>
      <c r="O36" s="380">
        <f t="shared" si="5"/>
        <v>4.1091986486486487</v>
      </c>
      <c r="P36" s="379">
        <f>IFERROR(O36*VLOOKUP(G36,MODULY_CBA!$B$3:$F$23,5,0),)</f>
        <v>82.183972972972981</v>
      </c>
      <c r="Q36" s="481" t="str">
        <f>IFERROR(VLOOKUP(G36,MODULY_CBA!$B$3:$I$23,6,0),"")</f>
        <v>Inkrement 1</v>
      </c>
      <c r="R36" s="383"/>
      <c r="S36" s="383"/>
      <c r="T36" s="383"/>
      <c r="U36" s="383"/>
      <c r="V36" s="383"/>
      <c r="W36" s="383"/>
      <c r="X36" s="383"/>
      <c r="Y36" s="383"/>
      <c r="Z36" s="383"/>
      <c r="AA36" s="383"/>
      <c r="AB36" s="383"/>
      <c r="AC36" s="383"/>
      <c r="AD36" s="383"/>
      <c r="AE36" s="383"/>
    </row>
    <row r="37" spans="1:31" ht="30" x14ac:dyDescent="0.2">
      <c r="A37" s="403" t="s">
        <v>3544</v>
      </c>
      <c r="B37" s="403" t="s">
        <v>724</v>
      </c>
      <c r="C37" s="534" t="s">
        <v>1224</v>
      </c>
      <c r="D37" s="534" t="s">
        <v>1224</v>
      </c>
      <c r="E37" s="725" t="s">
        <v>1225</v>
      </c>
      <c r="F37" s="387" t="s">
        <v>1163</v>
      </c>
      <c r="G37" s="391" t="s">
        <v>842</v>
      </c>
      <c r="H37" s="381">
        <v>1</v>
      </c>
      <c r="I37" s="381">
        <v>5</v>
      </c>
      <c r="J37" s="381">
        <f t="shared" si="4"/>
        <v>1</v>
      </c>
      <c r="K37" s="381">
        <f t="shared" si="1"/>
        <v>5</v>
      </c>
      <c r="L37" s="647">
        <f>IFERROR(IF(B37="funkcna poziadavka",VLOOKUP(G37,MODULY_CBA!$B$3:$E$23,4,0)*H37/SUMIFS($H$3:$H$197,$G$3:$G$197,G37,$B$3:$B$197,B37),),)</f>
        <v>0.28378378378378377</v>
      </c>
      <c r="M37" s="381">
        <f>IFERROR(IF(B37="Funkcna poziadavka",VLOOKUP(G37,MODULY_CBA!$B$3:$E$23,3,0),),)</f>
        <v>0.76999999999999991</v>
      </c>
      <c r="N37" s="381">
        <f>IFERROR(IF(B37="funkcna poziadavka",VLOOKUP(G37,MODULY_CBA!$B$3:$E$23,2,0),),)</f>
        <v>1.01</v>
      </c>
      <c r="O37" s="380">
        <f t="shared" si="5"/>
        <v>4.1091986486486487</v>
      </c>
      <c r="P37" s="379">
        <f>IFERROR(O37*VLOOKUP(G37,MODULY_CBA!$B$3:$F$23,5,0),)</f>
        <v>82.183972972972981</v>
      </c>
      <c r="Q37" s="481" t="str">
        <f>IFERROR(VLOOKUP(G37,MODULY_CBA!$B$3:$I$23,6,0),"")</f>
        <v>Inkrement 1</v>
      </c>
      <c r="R37" s="383"/>
      <c r="S37" s="383"/>
      <c r="T37" s="383"/>
      <c r="U37" s="383"/>
      <c r="V37" s="383"/>
      <c r="W37" s="383"/>
      <c r="X37" s="383"/>
      <c r="Y37" s="383"/>
      <c r="Z37" s="383"/>
      <c r="AA37" s="383"/>
      <c r="AB37" s="383"/>
      <c r="AC37" s="383"/>
      <c r="AD37" s="383"/>
      <c r="AE37" s="383"/>
    </row>
    <row r="38" spans="1:31" ht="30" x14ac:dyDescent="0.2">
      <c r="A38" s="403" t="s">
        <v>3545</v>
      </c>
      <c r="B38" s="403" t="s">
        <v>724</v>
      </c>
      <c r="C38" s="534" t="s">
        <v>1226</v>
      </c>
      <c r="D38" s="534" t="s">
        <v>1226</v>
      </c>
      <c r="E38" s="725" t="s">
        <v>1227</v>
      </c>
      <c r="F38" s="387" t="s">
        <v>1163</v>
      </c>
      <c r="G38" s="391" t="s">
        <v>842</v>
      </c>
      <c r="H38" s="381">
        <v>1</v>
      </c>
      <c r="I38" s="381">
        <v>5</v>
      </c>
      <c r="J38" s="381">
        <f t="shared" si="4"/>
        <v>1</v>
      </c>
      <c r="K38" s="381">
        <f t="shared" si="1"/>
        <v>5</v>
      </c>
      <c r="L38" s="647">
        <f>IFERROR(IF(B38="funkcna poziadavka",VLOOKUP(G38,MODULY_CBA!$B$3:$E$23,4,0)*H38/SUMIFS($H$3:$H$197,$G$3:$G$197,G38,$B$3:$B$197,B38),),)</f>
        <v>0.28378378378378377</v>
      </c>
      <c r="M38" s="381">
        <f>IFERROR(IF(B38="Funkcna poziadavka",VLOOKUP(G38,MODULY_CBA!$B$3:$E$23,3,0),),)</f>
        <v>0.76999999999999991</v>
      </c>
      <c r="N38" s="381">
        <f>IFERROR(IF(B38="funkcna poziadavka",VLOOKUP(G38,MODULY_CBA!$B$3:$E$23,2,0),),)</f>
        <v>1.01</v>
      </c>
      <c r="O38" s="380">
        <f t="shared" si="5"/>
        <v>4.1091986486486487</v>
      </c>
      <c r="P38" s="379">
        <f>IFERROR(O38*VLOOKUP(G38,MODULY_CBA!$B$3:$F$23,5,0),)</f>
        <v>82.183972972972981</v>
      </c>
      <c r="Q38" s="481" t="str">
        <f>IFERROR(VLOOKUP(G38,MODULY_CBA!$B$3:$I$23,6,0),"")</f>
        <v>Inkrement 1</v>
      </c>
      <c r="R38" s="383"/>
      <c r="S38" s="383"/>
      <c r="T38" s="383"/>
      <c r="U38" s="383"/>
      <c r="V38" s="383"/>
      <c r="W38" s="383"/>
      <c r="X38" s="383"/>
      <c r="Y38" s="383"/>
      <c r="Z38" s="383"/>
      <c r="AA38" s="383"/>
      <c r="AB38" s="383"/>
      <c r="AC38" s="383"/>
      <c r="AD38" s="383"/>
      <c r="AE38" s="383"/>
    </row>
    <row r="39" spans="1:31" ht="15" x14ac:dyDescent="0.2">
      <c r="A39" s="403" t="s">
        <v>3546</v>
      </c>
      <c r="B39" s="403" t="s">
        <v>1185</v>
      </c>
      <c r="C39" s="534" t="s">
        <v>1228</v>
      </c>
      <c r="D39" s="534" t="s">
        <v>1228</v>
      </c>
      <c r="E39" s="725" t="s">
        <v>1229</v>
      </c>
      <c r="F39" s="387" t="s">
        <v>1163</v>
      </c>
      <c r="G39" s="391" t="s">
        <v>842</v>
      </c>
      <c r="H39" s="381"/>
      <c r="I39" s="381"/>
      <c r="J39" s="381">
        <f t="shared" si="4"/>
        <v>0</v>
      </c>
      <c r="K39" s="381">
        <f t="shared" si="1"/>
        <v>0</v>
      </c>
      <c r="L39" s="647">
        <f>IFERROR(IF(B39="funkcna poziadavka",VLOOKUP(G39,MODULY_CBA!$B$3:$E$23,4,0)*H39/SUMIFS($H$3:$H$197,$G$3:$G$197,G39,$B$3:$B$197,B39),),)</f>
        <v>0</v>
      </c>
      <c r="M39" s="381">
        <f>IFERROR(IF(B39="Funkcna poziadavka",VLOOKUP(G39,MODULY_CBA!$B$3:$E$23,3,0),),)</f>
        <v>0</v>
      </c>
      <c r="N39" s="381">
        <f>IFERROR(IF(B39="funkcna poziadavka",VLOOKUP(G39,MODULY_CBA!$B$3:$E$23,2,0),),)</f>
        <v>0</v>
      </c>
      <c r="O39" s="380">
        <f t="shared" si="5"/>
        <v>0</v>
      </c>
      <c r="P39" s="379">
        <f>IFERROR(O39*VLOOKUP(G39,MODULY_CBA!$B$3:$F$23,5,0),)</f>
        <v>0</v>
      </c>
      <c r="Q39" s="481" t="str">
        <f>IFERROR(VLOOKUP(G39,MODULY_CBA!$B$3:$I$23,6,0),"")</f>
        <v>Inkrement 1</v>
      </c>
      <c r="R39" s="383"/>
      <c r="S39" s="383"/>
      <c r="T39" s="383"/>
      <c r="U39" s="383"/>
      <c r="V39" s="383"/>
      <c r="W39" s="383"/>
      <c r="X39" s="383"/>
      <c r="Y39" s="383"/>
      <c r="Z39" s="383"/>
      <c r="AA39" s="383"/>
      <c r="AB39" s="383"/>
      <c r="AC39" s="383"/>
      <c r="AD39" s="383"/>
      <c r="AE39" s="383"/>
    </row>
    <row r="40" spans="1:31" ht="30" x14ac:dyDescent="0.2">
      <c r="A40" s="403" t="s">
        <v>3547</v>
      </c>
      <c r="B40" s="403" t="s">
        <v>724</v>
      </c>
      <c r="C40" s="534" t="s">
        <v>1230</v>
      </c>
      <c r="D40" s="534" t="s">
        <v>1230</v>
      </c>
      <c r="E40" s="725" t="s">
        <v>1231</v>
      </c>
      <c r="F40" s="387" t="s">
        <v>1163</v>
      </c>
      <c r="G40" s="391" t="s">
        <v>842</v>
      </c>
      <c r="H40" s="381">
        <v>1</v>
      </c>
      <c r="I40" s="381">
        <v>5</v>
      </c>
      <c r="J40" s="381">
        <f t="shared" si="4"/>
        <v>1</v>
      </c>
      <c r="K40" s="381">
        <f t="shared" si="1"/>
        <v>5</v>
      </c>
      <c r="L40" s="647">
        <f>IFERROR(IF(B40="funkcna poziadavka",VLOOKUP(G40,MODULY_CBA!$B$3:$E$23,4,0)*H40/SUMIFS($H$3:$H$197,$G$3:$G$197,G40,$B$3:$B$197,B40),),)</f>
        <v>0.28378378378378377</v>
      </c>
      <c r="M40" s="381">
        <f>IFERROR(IF(B40="Funkcna poziadavka",VLOOKUP(G40,MODULY_CBA!$B$3:$E$23,3,0),),)</f>
        <v>0.76999999999999991</v>
      </c>
      <c r="N40" s="381">
        <f>IFERROR(IF(B40="funkcna poziadavka",VLOOKUP(G40,MODULY_CBA!$B$3:$E$23,2,0),),)</f>
        <v>1.01</v>
      </c>
      <c r="O40" s="380">
        <f t="shared" si="5"/>
        <v>4.1091986486486487</v>
      </c>
      <c r="P40" s="379">
        <f>IFERROR(O40*VLOOKUP(G40,MODULY_CBA!$B$3:$F$23,5,0),)</f>
        <v>82.183972972972981</v>
      </c>
      <c r="Q40" s="481" t="str">
        <f>IFERROR(VLOOKUP(G40,MODULY_CBA!$B$3:$I$23,6,0),"")</f>
        <v>Inkrement 1</v>
      </c>
      <c r="R40" s="383"/>
      <c r="S40" s="383"/>
      <c r="T40" s="383"/>
      <c r="U40" s="383"/>
      <c r="V40" s="383"/>
      <c r="W40" s="383"/>
      <c r="X40" s="383"/>
      <c r="Y40" s="383"/>
      <c r="Z40" s="383"/>
      <c r="AA40" s="383"/>
      <c r="AB40" s="383"/>
      <c r="AC40" s="383"/>
      <c r="AD40" s="383"/>
      <c r="AE40" s="383"/>
    </row>
    <row r="41" spans="1:31" ht="30" x14ac:dyDescent="0.2">
      <c r="A41" s="403" t="s">
        <v>3548</v>
      </c>
      <c r="B41" s="403" t="s">
        <v>724</v>
      </c>
      <c r="C41" s="534" t="s">
        <v>1232</v>
      </c>
      <c r="D41" s="534" t="s">
        <v>1232</v>
      </c>
      <c r="E41" s="725" t="s">
        <v>1233</v>
      </c>
      <c r="F41" s="387" t="s">
        <v>1163</v>
      </c>
      <c r="G41" s="391" t="s">
        <v>842</v>
      </c>
      <c r="H41" s="381">
        <v>1</v>
      </c>
      <c r="I41" s="381">
        <v>5</v>
      </c>
      <c r="J41" s="381">
        <f t="shared" si="4"/>
        <v>1</v>
      </c>
      <c r="K41" s="381">
        <f t="shared" si="1"/>
        <v>5</v>
      </c>
      <c r="L41" s="647">
        <f>IFERROR(IF(B41="funkcna poziadavka",VLOOKUP(G41,MODULY_CBA!$B$3:$E$23,4,0)*H41/SUMIFS($H$3:$H$197,$G$3:$G$197,G41,$B$3:$B$197,B41),),)</f>
        <v>0.28378378378378377</v>
      </c>
      <c r="M41" s="381">
        <f>IFERROR(IF(B41="Funkcna poziadavka",VLOOKUP(G41,MODULY_CBA!$B$3:$E$23,3,0),),)</f>
        <v>0.76999999999999991</v>
      </c>
      <c r="N41" s="381">
        <f>IFERROR(IF(B41="funkcna poziadavka",VLOOKUP(G41,MODULY_CBA!$B$3:$E$23,2,0),),)</f>
        <v>1.01</v>
      </c>
      <c r="O41" s="380">
        <f t="shared" si="5"/>
        <v>4.1091986486486487</v>
      </c>
      <c r="P41" s="379">
        <f>IFERROR(O41*VLOOKUP(G41,MODULY_CBA!$B$3:$F$23,5,0),)</f>
        <v>82.183972972972981</v>
      </c>
      <c r="Q41" s="481" t="str">
        <f>IFERROR(VLOOKUP(G41,MODULY_CBA!$B$3:$I$23,6,0),"")</f>
        <v>Inkrement 1</v>
      </c>
      <c r="R41" s="383"/>
      <c r="S41" s="383"/>
      <c r="T41" s="383"/>
      <c r="U41" s="383"/>
      <c r="V41" s="383"/>
      <c r="W41" s="383"/>
      <c r="X41" s="383"/>
      <c r="Y41" s="383"/>
      <c r="Z41" s="383"/>
      <c r="AA41" s="383"/>
      <c r="AB41" s="383"/>
      <c r="AC41" s="383"/>
      <c r="AD41" s="383"/>
      <c r="AE41" s="383"/>
    </row>
    <row r="42" spans="1:31" ht="30" x14ac:dyDescent="0.2">
      <c r="A42" s="403" t="s">
        <v>3549</v>
      </c>
      <c r="B42" s="403" t="s">
        <v>724</v>
      </c>
      <c r="C42" s="534" t="s">
        <v>1234</v>
      </c>
      <c r="D42" s="534" t="s">
        <v>1234</v>
      </c>
      <c r="E42" s="725" t="s">
        <v>1235</v>
      </c>
      <c r="F42" s="387" t="s">
        <v>1163</v>
      </c>
      <c r="G42" s="391" t="s">
        <v>842</v>
      </c>
      <c r="H42" s="381">
        <v>1</v>
      </c>
      <c r="I42" s="381">
        <v>5</v>
      </c>
      <c r="J42" s="381">
        <f t="shared" si="4"/>
        <v>1</v>
      </c>
      <c r="K42" s="381">
        <f t="shared" si="1"/>
        <v>5</v>
      </c>
      <c r="L42" s="647">
        <f>IFERROR(IF(B42="funkcna poziadavka",VLOOKUP(G42,MODULY_CBA!$B$3:$E$23,4,0)*H42/SUMIFS($H$3:$H$197,$G$3:$G$197,G42,$B$3:$B$197,B42),),)</f>
        <v>0.28378378378378377</v>
      </c>
      <c r="M42" s="381">
        <f>IFERROR(IF(B42="Funkcna poziadavka",VLOOKUP(G42,MODULY_CBA!$B$3:$E$23,3,0),),)</f>
        <v>0.76999999999999991</v>
      </c>
      <c r="N42" s="381">
        <f>IFERROR(IF(B42="funkcna poziadavka",VLOOKUP(G42,MODULY_CBA!$B$3:$E$23,2,0),),)</f>
        <v>1.01</v>
      </c>
      <c r="O42" s="380">
        <f t="shared" si="5"/>
        <v>4.1091986486486487</v>
      </c>
      <c r="P42" s="379">
        <f>IFERROR(O42*VLOOKUP(G42,MODULY_CBA!$B$3:$F$23,5,0),)</f>
        <v>82.183972972972981</v>
      </c>
      <c r="Q42" s="481" t="str">
        <f>IFERROR(VLOOKUP(G42,MODULY_CBA!$B$3:$I$23,6,0),"")</f>
        <v>Inkrement 1</v>
      </c>
      <c r="R42" s="383"/>
      <c r="S42" s="383"/>
      <c r="T42" s="383"/>
      <c r="U42" s="383"/>
      <c r="V42" s="383"/>
      <c r="W42" s="383"/>
      <c r="X42" s="383"/>
      <c r="Y42" s="383"/>
      <c r="Z42" s="383"/>
      <c r="AA42" s="383"/>
      <c r="AB42" s="383"/>
      <c r="AC42" s="383"/>
      <c r="AD42" s="383"/>
      <c r="AE42" s="383"/>
    </row>
    <row r="43" spans="1:31" ht="30" x14ac:dyDescent="0.2">
      <c r="A43" s="403" t="s">
        <v>3550</v>
      </c>
      <c r="B43" s="403" t="s">
        <v>724</v>
      </c>
      <c r="C43" s="534" t="s">
        <v>1236</v>
      </c>
      <c r="D43" s="534" t="s">
        <v>1236</v>
      </c>
      <c r="E43" s="729" t="s">
        <v>1237</v>
      </c>
      <c r="F43" s="387" t="s">
        <v>1163</v>
      </c>
      <c r="G43" s="391" t="s">
        <v>842</v>
      </c>
      <c r="H43" s="381">
        <v>1</v>
      </c>
      <c r="I43" s="381">
        <v>5</v>
      </c>
      <c r="J43" s="381">
        <f t="shared" si="4"/>
        <v>1</v>
      </c>
      <c r="K43" s="381">
        <f t="shared" si="1"/>
        <v>5</v>
      </c>
      <c r="L43" s="647">
        <f>IFERROR(IF(B43="funkcna poziadavka",VLOOKUP(G43,MODULY_CBA!$B$3:$E$23,4,0)*H43/SUMIFS($H$3:$H$197,$G$3:$G$197,G43,$B$3:$B$197,B43),),)</f>
        <v>0.28378378378378377</v>
      </c>
      <c r="M43" s="381">
        <f>IFERROR(IF(B43="Funkcna poziadavka",VLOOKUP(G43,MODULY_CBA!$B$3:$E$23,3,0),),)</f>
        <v>0.76999999999999991</v>
      </c>
      <c r="N43" s="381">
        <f>IFERROR(IF(B43="funkcna poziadavka",VLOOKUP(G43,MODULY_CBA!$B$3:$E$23,2,0),),)</f>
        <v>1.01</v>
      </c>
      <c r="O43" s="380">
        <f t="shared" si="5"/>
        <v>4.1091986486486487</v>
      </c>
      <c r="P43" s="379">
        <f>IFERROR(O43*VLOOKUP(G43,MODULY_CBA!$B$3:$F$23,5,0),)</f>
        <v>82.183972972972981</v>
      </c>
      <c r="Q43" s="481" t="str">
        <f>IFERROR(VLOOKUP(G43,MODULY_CBA!$B$3:$I$23,6,0),"")</f>
        <v>Inkrement 1</v>
      </c>
      <c r="R43" s="383" t="s">
        <v>167</v>
      </c>
      <c r="S43" s="383" t="s">
        <v>167</v>
      </c>
      <c r="T43" s="383" t="s">
        <v>167</v>
      </c>
      <c r="U43" s="383" t="s">
        <v>167</v>
      </c>
      <c r="V43" s="383" t="s">
        <v>167</v>
      </c>
      <c r="W43" s="383" t="s">
        <v>167</v>
      </c>
      <c r="X43" s="383" t="s">
        <v>167</v>
      </c>
      <c r="Y43" s="383" t="s">
        <v>167</v>
      </c>
      <c r="Z43" s="383" t="s">
        <v>167</v>
      </c>
      <c r="AA43" s="383" t="s">
        <v>167</v>
      </c>
      <c r="AB43" s="383" t="s">
        <v>167</v>
      </c>
      <c r="AC43" s="383" t="s">
        <v>167</v>
      </c>
      <c r="AD43" s="383" t="s">
        <v>167</v>
      </c>
      <c r="AE43" s="383" t="s">
        <v>167</v>
      </c>
    </row>
    <row r="44" spans="1:31" ht="30" x14ac:dyDescent="0.2">
      <c r="A44" s="403" t="s">
        <v>3551</v>
      </c>
      <c r="B44" s="403" t="s">
        <v>724</v>
      </c>
      <c r="C44" s="534" t="s">
        <v>1238</v>
      </c>
      <c r="D44" s="534" t="s">
        <v>1238</v>
      </c>
      <c r="E44" s="729" t="s">
        <v>1239</v>
      </c>
      <c r="F44" s="387" t="s">
        <v>1163</v>
      </c>
      <c r="G44" s="391" t="s">
        <v>842</v>
      </c>
      <c r="H44" s="381">
        <v>1</v>
      </c>
      <c r="I44" s="381">
        <v>5</v>
      </c>
      <c r="J44" s="381">
        <f t="shared" si="4"/>
        <v>1</v>
      </c>
      <c r="K44" s="381">
        <f t="shared" si="1"/>
        <v>5</v>
      </c>
      <c r="L44" s="647">
        <f>IFERROR(IF(B44="funkcna poziadavka",VLOOKUP(G44,MODULY_CBA!$B$3:$E$23,4,0)*H44/SUMIFS($H$3:$H$197,$G$3:$G$197,G44,$B$3:$B$197,B44),),)</f>
        <v>0.28378378378378377</v>
      </c>
      <c r="M44" s="381">
        <f>IFERROR(IF(B44="Funkcna poziadavka",VLOOKUP(G44,MODULY_CBA!$B$3:$E$23,3,0),),)</f>
        <v>0.76999999999999991</v>
      </c>
      <c r="N44" s="381">
        <f>IFERROR(IF(B44="funkcna poziadavka",VLOOKUP(G44,MODULY_CBA!$B$3:$E$23,2,0),),)</f>
        <v>1.01</v>
      </c>
      <c r="O44" s="380">
        <f t="shared" si="5"/>
        <v>4.1091986486486487</v>
      </c>
      <c r="P44" s="379">
        <f>IFERROR(O44*VLOOKUP(G44,MODULY_CBA!$B$3:$F$23,5,0),)</f>
        <v>82.183972972972981</v>
      </c>
      <c r="Q44" s="481" t="str">
        <f>IFERROR(VLOOKUP(G44,MODULY_CBA!$B$3:$I$23,6,0),"")</f>
        <v>Inkrement 1</v>
      </c>
      <c r="R44" s="383"/>
      <c r="S44" s="383"/>
      <c r="T44" s="383"/>
      <c r="U44" s="383"/>
      <c r="V44" s="383"/>
      <c r="W44" s="383"/>
      <c r="X44" s="383"/>
      <c r="Y44" s="383"/>
      <c r="Z44" s="383"/>
      <c r="AA44" s="383"/>
      <c r="AB44" s="383"/>
      <c r="AC44" s="383"/>
      <c r="AD44" s="383"/>
      <c r="AE44" s="383"/>
    </row>
    <row r="45" spans="1:31" ht="15" x14ac:dyDescent="0.2">
      <c r="A45" s="403" t="s">
        <v>3552</v>
      </c>
      <c r="B45" s="403" t="s">
        <v>1185</v>
      </c>
      <c r="C45" s="534" t="s">
        <v>1240</v>
      </c>
      <c r="D45" s="534" t="s">
        <v>1240</v>
      </c>
      <c r="E45" s="729" t="s">
        <v>1241</v>
      </c>
      <c r="F45" s="387" t="s">
        <v>1163</v>
      </c>
      <c r="G45" s="391" t="s">
        <v>842</v>
      </c>
      <c r="H45" s="381"/>
      <c r="I45" s="381"/>
      <c r="J45" s="381">
        <f t="shared" si="4"/>
        <v>0</v>
      </c>
      <c r="K45" s="381">
        <f t="shared" si="1"/>
        <v>0</v>
      </c>
      <c r="L45" s="647">
        <f>IFERROR(IF(B45="funkcna poziadavka",VLOOKUP(G45,MODULY_CBA!$B$3:$E$23,4,0)*H45/SUMIFS($H$3:$H$197,$G$3:$G$197,G45,$B$3:$B$197,B45),),)</f>
        <v>0</v>
      </c>
      <c r="M45" s="381">
        <f>IFERROR(IF(B45="Funkcna poziadavka",VLOOKUP(G45,MODULY_CBA!$B$3:$E$23,3,0),),)</f>
        <v>0</v>
      </c>
      <c r="N45" s="381">
        <f>IFERROR(IF(B45="funkcna poziadavka",VLOOKUP(G45,MODULY_CBA!$B$3:$E$23,2,0),),)</f>
        <v>0</v>
      </c>
      <c r="O45" s="380">
        <f t="shared" si="5"/>
        <v>0</v>
      </c>
      <c r="P45" s="379">
        <f>IFERROR(O45*VLOOKUP(G45,MODULY_CBA!$B$3:$F$23,5,0),)</f>
        <v>0</v>
      </c>
      <c r="Q45" s="481" t="str">
        <f>IFERROR(VLOOKUP(G45,MODULY_CBA!$B$3:$I$23,6,0),"")</f>
        <v>Inkrement 1</v>
      </c>
      <c r="R45" s="383" t="s">
        <v>167</v>
      </c>
      <c r="S45" s="383" t="s">
        <v>167</v>
      </c>
      <c r="T45" s="383" t="s">
        <v>167</v>
      </c>
      <c r="U45" s="383" t="s">
        <v>167</v>
      </c>
      <c r="V45" s="383" t="s">
        <v>167</v>
      </c>
      <c r="W45" s="383" t="s">
        <v>167</v>
      </c>
      <c r="X45" s="383" t="s">
        <v>167</v>
      </c>
      <c r="Y45" s="383" t="s">
        <v>167</v>
      </c>
      <c r="Z45" s="383" t="s">
        <v>167</v>
      </c>
      <c r="AA45" s="383" t="s">
        <v>167</v>
      </c>
      <c r="AB45" s="383" t="s">
        <v>167</v>
      </c>
      <c r="AC45" s="383" t="s">
        <v>167</v>
      </c>
      <c r="AD45" s="383" t="s">
        <v>167</v>
      </c>
      <c r="AE45" s="383" t="s">
        <v>167</v>
      </c>
    </row>
    <row r="46" spans="1:31" ht="15" x14ac:dyDescent="0.2">
      <c r="A46" s="403" t="s">
        <v>3553</v>
      </c>
      <c r="B46" s="403" t="s">
        <v>1185</v>
      </c>
      <c r="C46" s="534" t="s">
        <v>1240</v>
      </c>
      <c r="D46" s="534" t="s">
        <v>1240</v>
      </c>
      <c r="E46" s="729" t="s">
        <v>1242</v>
      </c>
      <c r="F46" s="387" t="s">
        <v>1163</v>
      </c>
      <c r="G46" s="391" t="s">
        <v>842</v>
      </c>
      <c r="H46" s="381"/>
      <c r="I46" s="381"/>
      <c r="J46" s="381">
        <f t="shared" si="4"/>
        <v>0</v>
      </c>
      <c r="K46" s="381">
        <f t="shared" si="1"/>
        <v>0</v>
      </c>
      <c r="L46" s="647">
        <f>IFERROR(IF(B46="funkcna poziadavka",VLOOKUP(G46,MODULY_CBA!$B$3:$E$23,4,0)*H46/SUMIFS($H$3:$H$197,$G$3:$G$197,G46,$B$3:$B$197,B46),),)</f>
        <v>0</v>
      </c>
      <c r="M46" s="381">
        <f>IFERROR(IF(B46="Funkcna poziadavka",VLOOKUP(G46,MODULY_CBA!$B$3:$E$23,3,0),),)</f>
        <v>0</v>
      </c>
      <c r="N46" s="381">
        <f>IFERROR(IF(B46="funkcna poziadavka",VLOOKUP(G46,MODULY_CBA!$B$3:$E$23,2,0),),)</f>
        <v>0</v>
      </c>
      <c r="O46" s="380">
        <f t="shared" si="5"/>
        <v>0</v>
      </c>
      <c r="P46" s="379">
        <f>IFERROR(O46*VLOOKUP(G46,MODULY_CBA!$B$3:$F$23,5,0),)</f>
        <v>0</v>
      </c>
      <c r="Q46" s="481" t="str">
        <f>IFERROR(VLOOKUP(G46,MODULY_CBA!$B$3:$I$23,6,0),"")</f>
        <v>Inkrement 1</v>
      </c>
      <c r="R46" s="383"/>
      <c r="S46" s="383"/>
      <c r="T46" s="383"/>
      <c r="U46" s="383"/>
      <c r="V46" s="383"/>
      <c r="W46" s="383"/>
      <c r="X46" s="383"/>
      <c r="Y46" s="383"/>
      <c r="Z46" s="383"/>
      <c r="AA46" s="383"/>
      <c r="AB46" s="383"/>
      <c r="AC46" s="383"/>
      <c r="AD46" s="383"/>
      <c r="AE46" s="383"/>
    </row>
    <row r="47" spans="1:31" ht="15" x14ac:dyDescent="0.2">
      <c r="A47" s="403" t="s">
        <v>3554</v>
      </c>
      <c r="B47" s="403" t="s">
        <v>1159</v>
      </c>
      <c r="C47" s="534" t="s">
        <v>1240</v>
      </c>
      <c r="D47" s="534" t="s">
        <v>1240</v>
      </c>
      <c r="E47" s="729" t="s">
        <v>1243</v>
      </c>
      <c r="F47" s="387" t="s">
        <v>1163</v>
      </c>
      <c r="G47" s="391" t="s">
        <v>842</v>
      </c>
      <c r="H47" s="381"/>
      <c r="I47" s="381"/>
      <c r="J47" s="381">
        <f t="shared" si="4"/>
        <v>0</v>
      </c>
      <c r="K47" s="381">
        <f t="shared" si="1"/>
        <v>0</v>
      </c>
      <c r="L47" s="647">
        <f>IFERROR(IF(B47="funkcna poziadavka",VLOOKUP(G47,MODULY_CBA!$B$3:$E$23,4,0)*H47/SUMIFS($H$3:$H$197,$G$3:$G$197,G47,$B$3:$B$197,B47),),)</f>
        <v>0</v>
      </c>
      <c r="M47" s="381">
        <f>IFERROR(IF(B47="Funkcna poziadavka",VLOOKUP(G47,MODULY_CBA!$B$3:$E$23,3,0),),)</f>
        <v>0</v>
      </c>
      <c r="N47" s="381">
        <f>IFERROR(IF(B47="funkcna poziadavka",VLOOKUP(G47,MODULY_CBA!$B$3:$E$23,2,0),),)</f>
        <v>0</v>
      </c>
      <c r="O47" s="380">
        <f t="shared" si="5"/>
        <v>0</v>
      </c>
      <c r="P47" s="379">
        <f>IFERROR(O47*VLOOKUP(G47,MODULY_CBA!$B$3:$F$23,5,0),)</f>
        <v>0</v>
      </c>
      <c r="Q47" s="481" t="str">
        <f>IFERROR(VLOOKUP(G47,MODULY_CBA!$B$3:$I$23,6,0),"")</f>
        <v>Inkrement 1</v>
      </c>
      <c r="R47" s="383"/>
      <c r="S47" s="383"/>
      <c r="T47" s="383"/>
      <c r="U47" s="383"/>
      <c r="V47" s="383"/>
      <c r="W47" s="383"/>
      <c r="X47" s="383"/>
      <c r="Y47" s="383"/>
      <c r="Z47" s="383"/>
      <c r="AA47" s="383"/>
      <c r="AB47" s="383"/>
      <c r="AC47" s="383"/>
      <c r="AD47" s="383"/>
      <c r="AE47" s="383"/>
    </row>
    <row r="48" spans="1:31" ht="30" x14ac:dyDescent="0.2">
      <c r="A48" s="403" t="s">
        <v>3555</v>
      </c>
      <c r="B48" s="403" t="s">
        <v>724</v>
      </c>
      <c r="C48" s="534" t="s">
        <v>1244</v>
      </c>
      <c r="D48" s="534" t="s">
        <v>1244</v>
      </c>
      <c r="E48" s="729" t="s">
        <v>1245</v>
      </c>
      <c r="F48" s="387" t="s">
        <v>1163</v>
      </c>
      <c r="G48" s="391" t="s">
        <v>842</v>
      </c>
      <c r="H48" s="381">
        <v>1</v>
      </c>
      <c r="I48" s="381">
        <v>5</v>
      </c>
      <c r="J48" s="381">
        <f t="shared" si="4"/>
        <v>1</v>
      </c>
      <c r="K48" s="381">
        <f t="shared" si="1"/>
        <v>5</v>
      </c>
      <c r="L48" s="647">
        <f>IFERROR(IF(B48="funkcna poziadavka",VLOOKUP(G48,MODULY_CBA!$B$3:$E$23,4,0)*H48/SUMIFS($H$3:$H$197,$G$3:$G$197,G48,$B$3:$B$197,B48),),)</f>
        <v>0.28378378378378377</v>
      </c>
      <c r="M48" s="381">
        <f>IFERROR(IF(B48="Funkcna poziadavka",VLOOKUP(G48,MODULY_CBA!$B$3:$E$23,3,0),),)</f>
        <v>0.76999999999999991</v>
      </c>
      <c r="N48" s="381">
        <f>IFERROR(IF(B48="funkcna poziadavka",VLOOKUP(G48,MODULY_CBA!$B$3:$E$23,2,0),),)</f>
        <v>1.01</v>
      </c>
      <c r="O48" s="380">
        <f t="shared" si="5"/>
        <v>4.1091986486486487</v>
      </c>
      <c r="P48" s="379">
        <f>IFERROR(O48*VLOOKUP(G48,MODULY_CBA!$B$3:$F$23,5,0),)</f>
        <v>82.183972972972981</v>
      </c>
      <c r="Q48" s="481" t="str">
        <f>IFERROR(VLOOKUP(G48,MODULY_CBA!$B$3:$I$23,6,0),"")</f>
        <v>Inkrement 1</v>
      </c>
      <c r="R48" s="383"/>
      <c r="S48" s="383"/>
      <c r="T48" s="383"/>
      <c r="U48" s="383"/>
      <c r="V48" s="383"/>
      <c r="W48" s="383"/>
      <c r="X48" s="383"/>
      <c r="Y48" s="383"/>
      <c r="Z48" s="383"/>
      <c r="AA48" s="383"/>
      <c r="AB48" s="383"/>
      <c r="AC48" s="383"/>
      <c r="AD48" s="383"/>
      <c r="AE48" s="383"/>
    </row>
    <row r="49" spans="1:31" ht="30" x14ac:dyDescent="0.2">
      <c r="A49" s="403" t="s">
        <v>3556</v>
      </c>
      <c r="B49" s="403" t="s">
        <v>1159</v>
      </c>
      <c r="C49" s="534" t="s">
        <v>1246</v>
      </c>
      <c r="D49" s="534" t="s">
        <v>1246</v>
      </c>
      <c r="E49" s="729" t="s">
        <v>1247</v>
      </c>
      <c r="F49" s="387" t="s">
        <v>1163</v>
      </c>
      <c r="G49" s="391" t="s">
        <v>842</v>
      </c>
      <c r="H49" s="381"/>
      <c r="I49" s="381"/>
      <c r="J49" s="381">
        <f t="shared" si="4"/>
        <v>0</v>
      </c>
      <c r="K49" s="381">
        <f t="shared" si="1"/>
        <v>0</v>
      </c>
      <c r="L49" s="647">
        <f>IFERROR(IF(B49="funkcna poziadavka",VLOOKUP(G49,MODULY_CBA!$B$3:$E$23,4,0)*H49/SUMIFS($H$3:$H$197,$G$3:$G$197,G49,$B$3:$B$197,B49),),)</f>
        <v>0</v>
      </c>
      <c r="M49" s="381">
        <f>IFERROR(IF(B49="Funkcna poziadavka",VLOOKUP(G49,MODULY_CBA!$B$3:$E$23,3,0),),)</f>
        <v>0</v>
      </c>
      <c r="N49" s="381">
        <f>IFERROR(IF(B49="funkcna poziadavka",VLOOKUP(G49,MODULY_CBA!$B$3:$E$23,2,0),),)</f>
        <v>0</v>
      </c>
      <c r="O49" s="380">
        <f t="shared" si="5"/>
        <v>0</v>
      </c>
      <c r="P49" s="379">
        <f>IFERROR(O49*VLOOKUP(G49,MODULY_CBA!$B$3:$F$23,5,0),)</f>
        <v>0</v>
      </c>
      <c r="Q49" s="481" t="str">
        <f>IFERROR(VLOOKUP(G49,MODULY_CBA!$B$3:$I$23,6,0),"")</f>
        <v>Inkrement 1</v>
      </c>
      <c r="R49" s="383"/>
      <c r="S49" s="383"/>
      <c r="T49" s="383"/>
      <c r="U49" s="383"/>
      <c r="V49" s="383"/>
      <c r="W49" s="383"/>
      <c r="X49" s="383"/>
      <c r="Y49" s="383"/>
      <c r="Z49" s="383"/>
      <c r="AA49" s="383"/>
      <c r="AB49" s="383"/>
      <c r="AC49" s="383"/>
      <c r="AD49" s="383"/>
      <c r="AE49" s="383"/>
    </row>
    <row r="50" spans="1:31" ht="30" x14ac:dyDescent="0.2">
      <c r="A50" s="403" t="s">
        <v>3557</v>
      </c>
      <c r="B50" s="403" t="s">
        <v>1159</v>
      </c>
      <c r="C50" s="534" t="s">
        <v>1248</v>
      </c>
      <c r="D50" s="534" t="s">
        <v>1248</v>
      </c>
      <c r="E50" s="729" t="s">
        <v>1249</v>
      </c>
      <c r="F50" s="387" t="s">
        <v>1163</v>
      </c>
      <c r="G50" s="391" t="s">
        <v>842</v>
      </c>
      <c r="H50" s="381"/>
      <c r="I50" s="381"/>
      <c r="J50" s="381">
        <f t="shared" si="4"/>
        <v>0</v>
      </c>
      <c r="K50" s="381">
        <f t="shared" si="1"/>
        <v>0</v>
      </c>
      <c r="L50" s="647">
        <f>IFERROR(IF(B50="funkcna poziadavka",VLOOKUP(G50,MODULY_CBA!$B$3:$E$23,4,0)*H50/SUMIFS($H$3:$H$197,$G$3:$G$197,G50,$B$3:$B$197,B50),),)</f>
        <v>0</v>
      </c>
      <c r="M50" s="381">
        <f>IFERROR(IF(B50="Funkcna poziadavka",VLOOKUP(G50,MODULY_CBA!$B$3:$E$23,3,0),),)</f>
        <v>0</v>
      </c>
      <c r="N50" s="381">
        <f>IFERROR(IF(B50="funkcna poziadavka",VLOOKUP(G50,MODULY_CBA!$B$3:$E$23,2,0),),)</f>
        <v>0</v>
      </c>
      <c r="O50" s="380">
        <f t="shared" si="5"/>
        <v>0</v>
      </c>
      <c r="P50" s="379">
        <f>IFERROR(O50*VLOOKUP(G50,MODULY_CBA!$B$3:$F$23,5,0),)</f>
        <v>0</v>
      </c>
      <c r="Q50" s="481" t="str">
        <f>IFERROR(VLOOKUP(G50,MODULY_CBA!$B$3:$I$23,6,0),"")</f>
        <v>Inkrement 1</v>
      </c>
      <c r="R50" s="383"/>
      <c r="S50" s="383"/>
      <c r="T50" s="383"/>
      <c r="U50" s="383"/>
      <c r="V50" s="383"/>
      <c r="W50" s="383"/>
      <c r="X50" s="383"/>
      <c r="Y50" s="383"/>
      <c r="Z50" s="383"/>
      <c r="AA50" s="383"/>
      <c r="AB50" s="383"/>
      <c r="AC50" s="383"/>
      <c r="AD50" s="383"/>
      <c r="AE50" s="383"/>
    </row>
    <row r="51" spans="1:31" ht="15" x14ac:dyDescent="0.2">
      <c r="A51" s="403" t="s">
        <v>3558</v>
      </c>
      <c r="B51" s="403" t="s">
        <v>724</v>
      </c>
      <c r="C51" s="534" t="s">
        <v>1250</v>
      </c>
      <c r="D51" s="534" t="s">
        <v>1250</v>
      </c>
      <c r="E51" s="729" t="s">
        <v>1251</v>
      </c>
      <c r="F51" s="387" t="s">
        <v>1163</v>
      </c>
      <c r="G51" s="391" t="s">
        <v>842</v>
      </c>
      <c r="H51" s="381">
        <v>1</v>
      </c>
      <c r="I51" s="381">
        <v>5</v>
      </c>
      <c r="J51" s="381">
        <f t="shared" si="4"/>
        <v>1</v>
      </c>
      <c r="K51" s="381">
        <f t="shared" si="1"/>
        <v>5</v>
      </c>
      <c r="L51" s="647">
        <f>IFERROR(IF(B51="funkcna poziadavka",VLOOKUP(G51,MODULY_CBA!$B$3:$E$23,4,0)*H51/SUMIFS($H$3:$H$197,$G$3:$G$197,G51,$B$3:$B$197,B51),),)</f>
        <v>0.28378378378378377</v>
      </c>
      <c r="M51" s="381">
        <f>IFERROR(IF(B51="Funkcna poziadavka",VLOOKUP(G51,MODULY_CBA!$B$3:$E$23,3,0),),)</f>
        <v>0.76999999999999991</v>
      </c>
      <c r="N51" s="381">
        <f>IFERROR(IF(B51="funkcna poziadavka",VLOOKUP(G51,MODULY_CBA!$B$3:$E$23,2,0),),)</f>
        <v>1.01</v>
      </c>
      <c r="O51" s="380">
        <f t="shared" si="5"/>
        <v>4.1091986486486487</v>
      </c>
      <c r="P51" s="379">
        <f>IFERROR(O51*VLOOKUP(G51,MODULY_CBA!$B$3:$F$23,5,0),)</f>
        <v>82.183972972972981</v>
      </c>
      <c r="Q51" s="481" t="str">
        <f>IFERROR(VLOOKUP(G51,MODULY_CBA!$B$3:$I$23,6,0),"")</f>
        <v>Inkrement 1</v>
      </c>
      <c r="R51" s="383" t="s">
        <v>167</v>
      </c>
      <c r="S51" s="383" t="s">
        <v>167</v>
      </c>
      <c r="T51" s="383" t="s">
        <v>167</v>
      </c>
      <c r="U51" s="383" t="s">
        <v>167</v>
      </c>
      <c r="V51" s="383" t="s">
        <v>167</v>
      </c>
      <c r="W51" s="383" t="s">
        <v>167</v>
      </c>
      <c r="X51" s="383" t="s">
        <v>167</v>
      </c>
      <c r="Y51" s="383" t="s">
        <v>167</v>
      </c>
      <c r="Z51" s="383" t="s">
        <v>167</v>
      </c>
      <c r="AA51" s="383" t="s">
        <v>167</v>
      </c>
      <c r="AB51" s="383" t="s">
        <v>167</v>
      </c>
      <c r="AC51" s="383" t="s">
        <v>167</v>
      </c>
      <c r="AD51" s="383" t="s">
        <v>167</v>
      </c>
      <c r="AE51" s="383" t="s">
        <v>167</v>
      </c>
    </row>
    <row r="52" spans="1:31" ht="15" x14ac:dyDescent="0.2">
      <c r="A52" s="403" t="s">
        <v>3559</v>
      </c>
      <c r="B52" s="403" t="s">
        <v>724</v>
      </c>
      <c r="C52" s="534" t="s">
        <v>1250</v>
      </c>
      <c r="D52" s="534" t="s">
        <v>1250</v>
      </c>
      <c r="E52" s="729" t="s">
        <v>1252</v>
      </c>
      <c r="F52" s="387" t="s">
        <v>1163</v>
      </c>
      <c r="G52" s="391" t="s">
        <v>842</v>
      </c>
      <c r="H52" s="381">
        <v>1</v>
      </c>
      <c r="I52" s="381">
        <v>5</v>
      </c>
      <c r="J52" s="381">
        <f t="shared" si="4"/>
        <v>1</v>
      </c>
      <c r="K52" s="381">
        <f t="shared" si="1"/>
        <v>5</v>
      </c>
      <c r="L52" s="647">
        <f>IFERROR(IF(B52="funkcna poziadavka",VLOOKUP(G52,MODULY_CBA!$B$3:$E$23,4,0)*H52/SUMIFS($H$3:$H$197,$G$3:$G$197,G52,$B$3:$B$197,B52),),)</f>
        <v>0.28378378378378377</v>
      </c>
      <c r="M52" s="381">
        <f>IFERROR(IF(B52="Funkcna poziadavka",VLOOKUP(G52,MODULY_CBA!$B$3:$E$23,3,0),),)</f>
        <v>0.76999999999999991</v>
      </c>
      <c r="N52" s="381">
        <f>IFERROR(IF(B52="funkcna poziadavka",VLOOKUP(G52,MODULY_CBA!$B$3:$E$23,2,0),),)</f>
        <v>1.01</v>
      </c>
      <c r="O52" s="380">
        <f t="shared" si="5"/>
        <v>4.1091986486486487</v>
      </c>
      <c r="P52" s="379">
        <f>IFERROR(O52*VLOOKUP(G52,MODULY_CBA!$B$3:$F$23,5,0),)</f>
        <v>82.183972972972981</v>
      </c>
      <c r="Q52" s="481" t="str">
        <f>IFERROR(VLOOKUP(G52,MODULY_CBA!$B$3:$I$23,6,0),"")</f>
        <v>Inkrement 1</v>
      </c>
      <c r="R52" s="383" t="s">
        <v>167</v>
      </c>
      <c r="S52" s="383" t="s">
        <v>167</v>
      </c>
      <c r="T52" s="383" t="s">
        <v>167</v>
      </c>
      <c r="U52" s="383" t="s">
        <v>167</v>
      </c>
      <c r="V52" s="383" t="s">
        <v>167</v>
      </c>
      <c r="W52" s="383" t="s">
        <v>167</v>
      </c>
      <c r="X52" s="383" t="s">
        <v>167</v>
      </c>
      <c r="Y52" s="383" t="s">
        <v>167</v>
      </c>
      <c r="Z52" s="383" t="s">
        <v>167</v>
      </c>
      <c r="AA52" s="383" t="s">
        <v>167</v>
      </c>
      <c r="AB52" s="383" t="s">
        <v>167</v>
      </c>
      <c r="AC52" s="383" t="s">
        <v>167</v>
      </c>
      <c r="AD52" s="383" t="s">
        <v>167</v>
      </c>
      <c r="AE52" s="383" t="s">
        <v>167</v>
      </c>
    </row>
    <row r="53" spans="1:31" ht="15" x14ac:dyDescent="0.2">
      <c r="A53" s="403" t="s">
        <v>3560</v>
      </c>
      <c r="B53" s="403" t="s">
        <v>724</v>
      </c>
      <c r="C53" s="534" t="s">
        <v>1250</v>
      </c>
      <c r="D53" s="534" t="s">
        <v>1250</v>
      </c>
      <c r="E53" s="729" t="s">
        <v>1253</v>
      </c>
      <c r="F53" s="387" t="s">
        <v>1163</v>
      </c>
      <c r="G53" s="391" t="s">
        <v>842</v>
      </c>
      <c r="H53" s="381">
        <v>1</v>
      </c>
      <c r="I53" s="381">
        <v>5</v>
      </c>
      <c r="J53" s="381">
        <f t="shared" si="4"/>
        <v>1</v>
      </c>
      <c r="K53" s="381">
        <f t="shared" si="1"/>
        <v>5</v>
      </c>
      <c r="L53" s="647">
        <f>IFERROR(IF(B53="funkcna poziadavka",VLOOKUP(G53,MODULY_CBA!$B$3:$E$23,4,0)*H53/SUMIFS($H$3:$H$197,$G$3:$G$197,G53,$B$3:$B$197,B53),),)</f>
        <v>0.28378378378378377</v>
      </c>
      <c r="M53" s="381">
        <f>IFERROR(IF(B53="Funkcna poziadavka",VLOOKUP(G53,MODULY_CBA!$B$3:$E$23,3,0),),)</f>
        <v>0.76999999999999991</v>
      </c>
      <c r="N53" s="381">
        <f>IFERROR(IF(B53="funkcna poziadavka",VLOOKUP(G53,MODULY_CBA!$B$3:$E$23,2,0),),)</f>
        <v>1.01</v>
      </c>
      <c r="O53" s="380">
        <f t="shared" si="5"/>
        <v>4.1091986486486487</v>
      </c>
      <c r="P53" s="379">
        <f>IFERROR(O53*VLOOKUP(G53,MODULY_CBA!$B$3:$F$23,5,0),)</f>
        <v>82.183972972972981</v>
      </c>
      <c r="Q53" s="481" t="str">
        <f>IFERROR(VLOOKUP(G53,MODULY_CBA!$B$3:$I$23,6,0),"")</f>
        <v>Inkrement 1</v>
      </c>
      <c r="R53" s="383"/>
      <c r="S53" s="383"/>
      <c r="T53" s="383"/>
      <c r="U53" s="383"/>
      <c r="V53" s="383"/>
      <c r="W53" s="383"/>
      <c r="X53" s="383"/>
      <c r="Y53" s="383"/>
      <c r="Z53" s="383"/>
      <c r="AA53" s="383"/>
      <c r="AB53" s="383"/>
      <c r="AC53" s="383"/>
      <c r="AD53" s="383"/>
      <c r="AE53" s="383"/>
    </row>
    <row r="54" spans="1:31" ht="30" x14ac:dyDescent="0.2">
      <c r="A54" s="403" t="s">
        <v>3561</v>
      </c>
      <c r="B54" s="403" t="s">
        <v>1159</v>
      </c>
      <c r="C54" s="534" t="s">
        <v>1254</v>
      </c>
      <c r="D54" s="534" t="s">
        <v>1254</v>
      </c>
      <c r="E54" s="730" t="s">
        <v>1255</v>
      </c>
      <c r="F54" s="387" t="s">
        <v>1163</v>
      </c>
      <c r="G54" s="391" t="s">
        <v>842</v>
      </c>
      <c r="H54" s="381"/>
      <c r="I54" s="381"/>
      <c r="J54" s="381">
        <f t="shared" si="4"/>
        <v>0</v>
      </c>
      <c r="K54" s="381">
        <f t="shared" si="1"/>
        <v>0</v>
      </c>
      <c r="L54" s="647">
        <f>IFERROR(IF(B54="funkcna poziadavka",VLOOKUP(G54,MODULY_CBA!$B$3:$E$23,4,0)*H54/SUMIFS($H$3:$H$197,$G$3:$G$197,G54,$B$3:$B$197,B54),),)</f>
        <v>0</v>
      </c>
      <c r="M54" s="381">
        <f>IFERROR(IF(B54="Funkcna poziadavka",VLOOKUP(G54,MODULY_CBA!$B$3:$E$23,3,0),),)</f>
        <v>0</v>
      </c>
      <c r="N54" s="381">
        <f>IFERROR(IF(B54="funkcna poziadavka",VLOOKUP(G54,MODULY_CBA!$B$3:$E$23,2,0),),)</f>
        <v>0</v>
      </c>
      <c r="O54" s="380">
        <f t="shared" si="5"/>
        <v>0</v>
      </c>
      <c r="P54" s="379">
        <f>IFERROR(O54*VLOOKUP(G54,MODULY_CBA!$B$3:$F$23,5,0),)</f>
        <v>0</v>
      </c>
      <c r="Q54" s="481" t="str">
        <f>IFERROR(VLOOKUP(G54,MODULY_CBA!$B$3:$I$23,6,0),"")</f>
        <v>Inkrement 1</v>
      </c>
      <c r="R54" s="383"/>
      <c r="S54" s="383"/>
      <c r="T54" s="383"/>
      <c r="U54" s="383"/>
      <c r="V54" s="383"/>
      <c r="W54" s="383"/>
      <c r="X54" s="383"/>
      <c r="Y54" s="383"/>
      <c r="Z54" s="383"/>
      <c r="AA54" s="383"/>
      <c r="AB54" s="383"/>
      <c r="AC54" s="383"/>
      <c r="AD54" s="383"/>
      <c r="AE54" s="383"/>
    </row>
    <row r="55" spans="1:31" ht="30" x14ac:dyDescent="0.2">
      <c r="A55" s="403" t="s">
        <v>3562</v>
      </c>
      <c r="B55" s="403" t="s">
        <v>1185</v>
      </c>
      <c r="C55" s="534" t="s">
        <v>1256</v>
      </c>
      <c r="D55" s="534" t="s">
        <v>1256</v>
      </c>
      <c r="E55" s="730" t="s">
        <v>1257</v>
      </c>
      <c r="F55" s="387" t="s">
        <v>1163</v>
      </c>
      <c r="G55" s="391" t="s">
        <v>842</v>
      </c>
      <c r="H55" s="381"/>
      <c r="I55" s="381"/>
      <c r="J55" s="381">
        <f t="shared" si="4"/>
        <v>0</v>
      </c>
      <c r="K55" s="381">
        <f t="shared" si="1"/>
        <v>0</v>
      </c>
      <c r="L55" s="647">
        <f>IFERROR(IF(B55="funkcna poziadavka",VLOOKUP(G55,MODULY_CBA!$B$3:$E$23,4,0)*H55/SUMIFS($H$3:$H$197,$G$3:$G$197,G55,$B$3:$B$197,B55),),)</f>
        <v>0</v>
      </c>
      <c r="M55" s="381">
        <f>IFERROR(IF(B55="Funkcna poziadavka",VLOOKUP(G55,MODULY_CBA!$B$3:$E$23,3,0),),)</f>
        <v>0</v>
      </c>
      <c r="N55" s="381">
        <f>IFERROR(IF(B55="funkcna poziadavka",VLOOKUP(G55,MODULY_CBA!$B$3:$E$23,2,0),),)</f>
        <v>0</v>
      </c>
      <c r="O55" s="380">
        <f t="shared" si="5"/>
        <v>0</v>
      </c>
      <c r="P55" s="379">
        <f>IFERROR(O55*VLOOKUP(G55,MODULY_CBA!$B$3:$F$23,5,0),)</f>
        <v>0</v>
      </c>
      <c r="Q55" s="481" t="str">
        <f>IFERROR(VLOOKUP(G55,MODULY_CBA!$B$3:$I$23,6,0),"")</f>
        <v>Inkrement 1</v>
      </c>
      <c r="R55" s="383" t="s">
        <v>167</v>
      </c>
      <c r="S55" s="383" t="s">
        <v>167</v>
      </c>
      <c r="T55" s="383" t="s">
        <v>167</v>
      </c>
      <c r="U55" s="383" t="s">
        <v>167</v>
      </c>
      <c r="V55" s="383" t="s">
        <v>167</v>
      </c>
      <c r="W55" s="383" t="s">
        <v>167</v>
      </c>
      <c r="X55" s="383" t="s">
        <v>167</v>
      </c>
      <c r="Y55" s="383" t="s">
        <v>167</v>
      </c>
      <c r="Z55" s="383" t="s">
        <v>167</v>
      </c>
      <c r="AA55" s="383" t="s">
        <v>167</v>
      </c>
      <c r="AB55" s="383" t="s">
        <v>167</v>
      </c>
      <c r="AC55" s="383" t="s">
        <v>167</v>
      </c>
      <c r="AD55" s="383" t="s">
        <v>167</v>
      </c>
      <c r="AE55" s="383" t="s">
        <v>167</v>
      </c>
    </row>
    <row r="56" spans="1:31" ht="30" x14ac:dyDescent="0.2">
      <c r="A56" s="403" t="s">
        <v>3563</v>
      </c>
      <c r="B56" s="403" t="s">
        <v>1185</v>
      </c>
      <c r="C56" s="534" t="s">
        <v>1258</v>
      </c>
      <c r="D56" s="534" t="s">
        <v>1258</v>
      </c>
      <c r="E56" s="730" t="s">
        <v>1259</v>
      </c>
      <c r="F56" s="387" t="s">
        <v>1163</v>
      </c>
      <c r="G56" s="391" t="s">
        <v>842</v>
      </c>
      <c r="H56" s="381"/>
      <c r="I56" s="381"/>
      <c r="J56" s="381">
        <f t="shared" si="4"/>
        <v>0</v>
      </c>
      <c r="K56" s="381">
        <f t="shared" si="1"/>
        <v>0</v>
      </c>
      <c r="L56" s="647">
        <f>IFERROR(IF(B56="funkcna poziadavka",VLOOKUP(G56,MODULY_CBA!$B$3:$E$23,4,0)*H56/SUMIFS($H$3:$H$197,$G$3:$G$197,G56,$B$3:$B$197,B56),),)</f>
        <v>0</v>
      </c>
      <c r="M56" s="381">
        <f>IFERROR(IF(B56="Funkcna poziadavka",VLOOKUP(G56,MODULY_CBA!$B$3:$E$23,3,0),),)</f>
        <v>0</v>
      </c>
      <c r="N56" s="381">
        <f>IFERROR(IF(B56="funkcna poziadavka",VLOOKUP(G56,MODULY_CBA!$B$3:$E$23,2,0),),)</f>
        <v>0</v>
      </c>
      <c r="O56" s="380">
        <f t="shared" si="5"/>
        <v>0</v>
      </c>
      <c r="P56" s="379">
        <f>IFERROR(O56*VLOOKUP(G56,MODULY_CBA!$B$3:$F$23,5,0),)</f>
        <v>0</v>
      </c>
      <c r="Q56" s="481" t="str">
        <f>IFERROR(VLOOKUP(G56,MODULY_CBA!$B$3:$I$23,6,0),"")</f>
        <v>Inkrement 1</v>
      </c>
      <c r="R56" s="383"/>
      <c r="S56" s="383"/>
      <c r="T56" s="383"/>
      <c r="U56" s="383"/>
      <c r="V56" s="383"/>
      <c r="W56" s="383"/>
      <c r="X56" s="383"/>
      <c r="Y56" s="383"/>
      <c r="Z56" s="383"/>
      <c r="AA56" s="383"/>
      <c r="AB56" s="383"/>
      <c r="AC56" s="383"/>
      <c r="AD56" s="383"/>
      <c r="AE56" s="383"/>
    </row>
    <row r="57" spans="1:31" ht="30" x14ac:dyDescent="0.2">
      <c r="A57" s="403" t="s">
        <v>3564</v>
      </c>
      <c r="B57" s="403" t="s">
        <v>1185</v>
      </c>
      <c r="C57" s="534" t="s">
        <v>1260</v>
      </c>
      <c r="D57" s="537" t="s">
        <v>1260</v>
      </c>
      <c r="E57" s="730" t="s">
        <v>1261</v>
      </c>
      <c r="F57" s="387" t="s">
        <v>1163</v>
      </c>
      <c r="G57" s="391" t="s">
        <v>842</v>
      </c>
      <c r="H57" s="381"/>
      <c r="I57" s="381"/>
      <c r="J57" s="381">
        <f t="shared" si="4"/>
        <v>0</v>
      </c>
      <c r="K57" s="381">
        <f t="shared" si="1"/>
        <v>0</v>
      </c>
      <c r="L57" s="647">
        <f>IFERROR(IF(B57="funkcna poziadavka",VLOOKUP(G57,MODULY_CBA!$B$3:$E$23,4,0)*H57/SUMIFS($H$3:$H$197,$G$3:$G$197,G57,$B$3:$B$197,B57),),)</f>
        <v>0</v>
      </c>
      <c r="M57" s="381">
        <f>IFERROR(IF(B57="Funkcna poziadavka",VLOOKUP(G57,MODULY_CBA!$B$3:$E$23,3,0),),)</f>
        <v>0</v>
      </c>
      <c r="N57" s="381">
        <f>IFERROR(IF(B57="funkcna poziadavka",VLOOKUP(G57,MODULY_CBA!$B$3:$E$23,2,0),),)</f>
        <v>0</v>
      </c>
      <c r="O57" s="380">
        <f t="shared" si="5"/>
        <v>0</v>
      </c>
      <c r="P57" s="379">
        <f>IFERROR(O57*VLOOKUP(G57,MODULY_CBA!$B$3:$F$23,5,0),)</f>
        <v>0</v>
      </c>
      <c r="Q57" s="481" t="str">
        <f>IFERROR(VLOOKUP(G57,MODULY_CBA!$B$3:$I$23,6,0),"")</f>
        <v>Inkrement 1</v>
      </c>
      <c r="R57" s="383"/>
      <c r="S57" s="383"/>
      <c r="T57" s="383"/>
      <c r="U57" s="383"/>
      <c r="V57" s="383"/>
      <c r="W57" s="383"/>
      <c r="X57" s="383"/>
      <c r="Y57" s="383"/>
      <c r="Z57" s="383"/>
      <c r="AA57" s="383"/>
      <c r="AB57" s="383"/>
      <c r="AC57" s="383"/>
      <c r="AD57" s="383"/>
      <c r="AE57" s="383"/>
    </row>
    <row r="58" spans="1:31" ht="30" x14ac:dyDescent="0.2">
      <c r="A58" s="403" t="s">
        <v>3565</v>
      </c>
      <c r="B58" s="403" t="s">
        <v>1159</v>
      </c>
      <c r="C58" s="534" t="s">
        <v>1262</v>
      </c>
      <c r="D58" s="534" t="s">
        <v>1262</v>
      </c>
      <c r="E58" s="730" t="s">
        <v>1263</v>
      </c>
      <c r="F58" s="387" t="s">
        <v>1163</v>
      </c>
      <c r="G58" s="391" t="s">
        <v>842</v>
      </c>
      <c r="H58" s="381"/>
      <c r="I58" s="381"/>
      <c r="J58" s="381">
        <f t="shared" si="4"/>
        <v>0</v>
      </c>
      <c r="K58" s="381">
        <f t="shared" si="1"/>
        <v>0</v>
      </c>
      <c r="L58" s="647">
        <f>IFERROR(IF(B58="funkcna poziadavka",VLOOKUP(G58,MODULY_CBA!$B$3:$E$23,4,0)*H58/SUMIFS($H$3:$H$197,$G$3:$G$197,G58,$B$3:$B$197,B58),),)</f>
        <v>0</v>
      </c>
      <c r="M58" s="381">
        <f>IFERROR(IF(B58="Funkcna poziadavka",VLOOKUP(G58,MODULY_CBA!$B$3:$E$23,3,0),),)</f>
        <v>0</v>
      </c>
      <c r="N58" s="381">
        <f>IFERROR(IF(B58="funkcna poziadavka",VLOOKUP(G58,MODULY_CBA!$B$3:$E$23,2,0),),)</f>
        <v>0</v>
      </c>
      <c r="O58" s="380">
        <f t="shared" si="5"/>
        <v>0</v>
      </c>
      <c r="P58" s="379">
        <f>IFERROR(O58*VLOOKUP(G58,MODULY_CBA!$B$3:$F$23,5,0),)</f>
        <v>0</v>
      </c>
      <c r="Q58" s="481" t="str">
        <f>IFERROR(VLOOKUP(G58,MODULY_CBA!$B$3:$I$23,6,0),"")</f>
        <v>Inkrement 1</v>
      </c>
      <c r="R58" s="383"/>
      <c r="S58" s="383"/>
      <c r="T58" s="383"/>
      <c r="U58" s="383"/>
      <c r="V58" s="383"/>
      <c r="W58" s="383"/>
      <c r="X58" s="383"/>
      <c r="Y58" s="383"/>
      <c r="Z58" s="383"/>
      <c r="AA58" s="383"/>
      <c r="AB58" s="383"/>
      <c r="AC58" s="383"/>
      <c r="AD58" s="383"/>
      <c r="AE58" s="383"/>
    </row>
    <row r="59" spans="1:31" ht="30" x14ac:dyDescent="0.2">
      <c r="A59" s="403" t="s">
        <v>3566</v>
      </c>
      <c r="B59" s="403" t="s">
        <v>1159</v>
      </c>
      <c r="C59" s="534" t="s">
        <v>1264</v>
      </c>
      <c r="D59" s="534" t="s">
        <v>1264</v>
      </c>
      <c r="E59" s="730" t="s">
        <v>1265</v>
      </c>
      <c r="F59" s="387" t="s">
        <v>1163</v>
      </c>
      <c r="G59" s="391" t="s">
        <v>842</v>
      </c>
      <c r="H59" s="381"/>
      <c r="I59" s="381"/>
      <c r="J59" s="381">
        <f t="shared" si="4"/>
        <v>0</v>
      </c>
      <c r="K59" s="381">
        <f t="shared" si="1"/>
        <v>0</v>
      </c>
      <c r="L59" s="647">
        <f>IFERROR(IF(B59="funkcna poziadavka",VLOOKUP(G59,MODULY_CBA!$B$3:$E$23,4,0)*H59/SUMIFS($H$3:$H$197,$G$3:$G$197,G59,$B$3:$B$197,B59),),)</f>
        <v>0</v>
      </c>
      <c r="M59" s="381">
        <f>IFERROR(IF(B59="Funkcna poziadavka",VLOOKUP(G59,MODULY_CBA!$B$3:$E$23,3,0),),)</f>
        <v>0</v>
      </c>
      <c r="N59" s="381">
        <f>IFERROR(IF(B59="funkcna poziadavka",VLOOKUP(G59,MODULY_CBA!$B$3:$E$23,2,0),),)</f>
        <v>0</v>
      </c>
      <c r="O59" s="380">
        <f t="shared" si="5"/>
        <v>0</v>
      </c>
      <c r="P59" s="379">
        <f>IFERROR(O59*VLOOKUP(G59,MODULY_CBA!$B$3:$F$23,5,0),)</f>
        <v>0</v>
      </c>
      <c r="Q59" s="481" t="str">
        <f>IFERROR(VLOOKUP(G59,MODULY_CBA!$B$3:$I$23,6,0),"")</f>
        <v>Inkrement 1</v>
      </c>
      <c r="R59" s="383"/>
      <c r="S59" s="383"/>
      <c r="T59" s="383"/>
      <c r="U59" s="383"/>
      <c r="V59" s="383"/>
      <c r="W59" s="383"/>
      <c r="X59" s="383"/>
      <c r="Y59" s="383"/>
      <c r="Z59" s="383"/>
      <c r="AA59" s="383"/>
      <c r="AB59" s="383"/>
      <c r="AC59" s="383"/>
      <c r="AD59" s="383"/>
      <c r="AE59" s="383"/>
    </row>
    <row r="60" spans="1:31" ht="15" x14ac:dyDescent="0.2">
      <c r="A60" s="403" t="s">
        <v>3567</v>
      </c>
      <c r="B60" s="403" t="s">
        <v>1159</v>
      </c>
      <c r="C60" s="534" t="s">
        <v>1266</v>
      </c>
      <c r="D60" s="534" t="s">
        <v>1266</v>
      </c>
      <c r="E60" s="730" t="s">
        <v>1267</v>
      </c>
      <c r="F60" s="387" t="s">
        <v>1163</v>
      </c>
      <c r="G60" s="391" t="s">
        <v>842</v>
      </c>
      <c r="H60" s="381"/>
      <c r="I60" s="381"/>
      <c r="J60" s="381">
        <f t="shared" si="4"/>
        <v>0</v>
      </c>
      <c r="K60" s="381">
        <f t="shared" si="1"/>
        <v>0</v>
      </c>
      <c r="L60" s="647">
        <f>IFERROR(IF(B60="funkcna poziadavka",VLOOKUP(G60,MODULY_CBA!$B$3:$E$23,4,0)*H60/SUMIFS($H$3:$H$197,$G$3:$G$197,G60,$B$3:$B$197,B60),),)</f>
        <v>0</v>
      </c>
      <c r="M60" s="381">
        <f>IFERROR(IF(B60="Funkcna poziadavka",VLOOKUP(G60,MODULY_CBA!$B$3:$E$23,3,0),),)</f>
        <v>0</v>
      </c>
      <c r="N60" s="381">
        <f>IFERROR(IF(B60="funkcna poziadavka",VLOOKUP(G60,MODULY_CBA!$B$3:$E$23,2,0),),)</f>
        <v>0</v>
      </c>
      <c r="O60" s="380">
        <f t="shared" si="5"/>
        <v>0</v>
      </c>
      <c r="P60" s="379">
        <f>IFERROR(O60*VLOOKUP(G60,MODULY_CBA!$B$3:$F$23,5,0),)</f>
        <v>0</v>
      </c>
      <c r="Q60" s="481" t="str">
        <f>IFERROR(VLOOKUP(G60,MODULY_CBA!$B$3:$I$23,6,0),"")</f>
        <v>Inkrement 1</v>
      </c>
      <c r="R60" s="383"/>
      <c r="S60" s="383"/>
      <c r="T60" s="383"/>
      <c r="U60" s="383"/>
      <c r="V60" s="383"/>
      <c r="W60" s="383"/>
      <c r="X60" s="383"/>
      <c r="Y60" s="383"/>
      <c r="Z60" s="383"/>
      <c r="AA60" s="383"/>
      <c r="AB60" s="383"/>
      <c r="AC60" s="383"/>
      <c r="AD60" s="383"/>
      <c r="AE60" s="383"/>
    </row>
    <row r="61" spans="1:31" ht="15" x14ac:dyDescent="0.2">
      <c r="A61" s="403" t="s">
        <v>3568</v>
      </c>
      <c r="B61" s="403" t="s">
        <v>1159</v>
      </c>
      <c r="C61" s="534" t="s">
        <v>1268</v>
      </c>
      <c r="D61" s="537" t="s">
        <v>1268</v>
      </c>
      <c r="E61" s="730" t="s">
        <v>1269</v>
      </c>
      <c r="F61" s="387" t="s">
        <v>1163</v>
      </c>
      <c r="G61" s="391" t="s">
        <v>842</v>
      </c>
      <c r="H61" s="381"/>
      <c r="I61" s="381"/>
      <c r="J61" s="381">
        <f t="shared" si="4"/>
        <v>0</v>
      </c>
      <c r="K61" s="381">
        <f t="shared" si="1"/>
        <v>0</v>
      </c>
      <c r="L61" s="647">
        <f>IFERROR(IF(B61="funkcna poziadavka",VLOOKUP(G61,MODULY_CBA!$B$3:$E$23,4,0)*H61/SUMIFS($H$3:$H$197,$G$3:$G$197,G61,$B$3:$B$197,B61),),)</f>
        <v>0</v>
      </c>
      <c r="M61" s="381">
        <f>IFERROR(IF(B61="Funkcna poziadavka",VLOOKUP(G61,MODULY_CBA!$B$3:$E$23,3,0),),)</f>
        <v>0</v>
      </c>
      <c r="N61" s="381">
        <f>IFERROR(IF(B61="funkcna poziadavka",VLOOKUP(G61,MODULY_CBA!$B$3:$E$23,2,0),),)</f>
        <v>0</v>
      </c>
      <c r="O61" s="380">
        <f t="shared" si="5"/>
        <v>0</v>
      </c>
      <c r="P61" s="379">
        <f>IFERROR(O61*VLOOKUP(G61,MODULY_CBA!$B$3:$F$23,5,0),)</f>
        <v>0</v>
      </c>
      <c r="Q61" s="481" t="str">
        <f>IFERROR(VLOOKUP(G61,MODULY_CBA!$B$3:$I$23,6,0),"")</f>
        <v>Inkrement 1</v>
      </c>
      <c r="R61" s="383"/>
      <c r="S61" s="383"/>
      <c r="T61" s="383"/>
      <c r="U61" s="383"/>
      <c r="V61" s="383"/>
      <c r="W61" s="383"/>
      <c r="X61" s="383"/>
      <c r="Y61" s="383"/>
      <c r="Z61" s="383"/>
      <c r="AA61" s="383"/>
      <c r="AB61" s="383"/>
      <c r="AC61" s="383"/>
      <c r="AD61" s="383"/>
      <c r="AE61" s="383"/>
    </row>
    <row r="62" spans="1:31" ht="15" x14ac:dyDescent="0.2">
      <c r="A62" s="403" t="s">
        <v>3569</v>
      </c>
      <c r="B62" s="403" t="s">
        <v>1159</v>
      </c>
      <c r="C62" s="534" t="s">
        <v>1270</v>
      </c>
      <c r="D62" s="534" t="s">
        <v>1270</v>
      </c>
      <c r="E62" s="726" t="s">
        <v>1271</v>
      </c>
      <c r="F62" s="387" t="s">
        <v>1163</v>
      </c>
      <c r="G62" s="391" t="s">
        <v>842</v>
      </c>
      <c r="H62" s="381"/>
      <c r="I62" s="381"/>
      <c r="J62" s="381">
        <f t="shared" si="4"/>
        <v>0</v>
      </c>
      <c r="K62" s="381">
        <f t="shared" si="1"/>
        <v>0</v>
      </c>
      <c r="L62" s="647">
        <f>IFERROR(IF(B62="funkcna poziadavka",VLOOKUP(G62,MODULY_CBA!$B$3:$E$23,4,0)*H62/SUMIFS($H$3:$H$197,$G$3:$G$197,G62,$B$3:$B$197,B62),),)</f>
        <v>0</v>
      </c>
      <c r="M62" s="381">
        <f>IFERROR(IF(B62="Funkcna poziadavka",VLOOKUP(G62,MODULY_CBA!$B$3:$E$23,3,0),),)</f>
        <v>0</v>
      </c>
      <c r="N62" s="381">
        <f>IFERROR(IF(B62="funkcna poziadavka",VLOOKUP(G62,MODULY_CBA!$B$3:$E$23,2,0),),)</f>
        <v>0</v>
      </c>
      <c r="O62" s="380">
        <f t="shared" si="5"/>
        <v>0</v>
      </c>
      <c r="P62" s="379">
        <f>IFERROR(O62*VLOOKUP(G62,MODULY_CBA!$B$3:$F$23,5,0),)</f>
        <v>0</v>
      </c>
      <c r="Q62" s="481" t="str">
        <f>IFERROR(VLOOKUP(G62,MODULY_CBA!$B$3:$I$23,6,0),"")</f>
        <v>Inkrement 1</v>
      </c>
      <c r="R62" s="383"/>
      <c r="S62" s="383"/>
      <c r="T62" s="383"/>
      <c r="U62" s="383"/>
      <c r="V62" s="383"/>
      <c r="W62" s="383"/>
      <c r="X62" s="383"/>
      <c r="Y62" s="383"/>
      <c r="Z62" s="383"/>
      <c r="AA62" s="383"/>
      <c r="AB62" s="383"/>
      <c r="AC62" s="383"/>
      <c r="AD62" s="383"/>
      <c r="AE62" s="383"/>
    </row>
    <row r="63" spans="1:31" ht="15" x14ac:dyDescent="0.2">
      <c r="A63" s="403" t="s">
        <v>3570</v>
      </c>
      <c r="B63" s="403" t="s">
        <v>1185</v>
      </c>
      <c r="C63" s="534" t="s">
        <v>1272</v>
      </c>
      <c r="D63" s="534" t="s">
        <v>1272</v>
      </c>
      <c r="E63" s="726" t="s">
        <v>1273</v>
      </c>
      <c r="F63" s="387" t="s">
        <v>1163</v>
      </c>
      <c r="G63" s="391" t="s">
        <v>842</v>
      </c>
      <c r="H63" s="381"/>
      <c r="I63" s="381"/>
      <c r="J63" s="381">
        <f t="shared" si="4"/>
        <v>0</v>
      </c>
      <c r="K63" s="381">
        <f t="shared" si="1"/>
        <v>0</v>
      </c>
      <c r="L63" s="647">
        <f>IFERROR(IF(B63="funkcna poziadavka",VLOOKUP(G63,MODULY_CBA!$B$3:$E$23,4,0)*H63/SUMIFS($H$3:$H$197,$G$3:$G$197,G63,$B$3:$B$197,B63),),)</f>
        <v>0</v>
      </c>
      <c r="M63" s="381">
        <f>IFERROR(IF(B63="Funkcna poziadavka",VLOOKUP(G63,MODULY_CBA!$B$3:$E$23,3,0),),)</f>
        <v>0</v>
      </c>
      <c r="N63" s="381">
        <f>IFERROR(IF(B63="funkcna poziadavka",VLOOKUP(G63,MODULY_CBA!$B$3:$E$23,2,0),),)</f>
        <v>0</v>
      </c>
      <c r="O63" s="380">
        <f t="shared" si="5"/>
        <v>0</v>
      </c>
      <c r="P63" s="379">
        <f>IFERROR(O63*VLOOKUP(G63,MODULY_CBA!$B$3:$F$23,5,0),)</f>
        <v>0</v>
      </c>
      <c r="Q63" s="481" t="str">
        <f>IFERROR(VLOOKUP(G63,MODULY_CBA!$B$3:$I$23,6,0),"")</f>
        <v>Inkrement 1</v>
      </c>
      <c r="R63" s="383"/>
      <c r="S63" s="383"/>
      <c r="T63" s="383"/>
      <c r="U63" s="383"/>
      <c r="V63" s="383"/>
      <c r="W63" s="383"/>
      <c r="X63" s="383"/>
      <c r="Y63" s="383"/>
      <c r="Z63" s="383"/>
      <c r="AA63" s="383"/>
      <c r="AB63" s="383"/>
      <c r="AC63" s="383"/>
      <c r="AD63" s="383"/>
      <c r="AE63" s="383"/>
    </row>
    <row r="64" spans="1:31" ht="30" x14ac:dyDescent="0.2">
      <c r="A64" s="403" t="s">
        <v>3571</v>
      </c>
      <c r="B64" s="403" t="s">
        <v>1185</v>
      </c>
      <c r="C64" s="534" t="s">
        <v>1274</v>
      </c>
      <c r="D64" s="534" t="s">
        <v>1274</v>
      </c>
      <c r="E64" s="730" t="s">
        <v>1275</v>
      </c>
      <c r="F64" s="387" t="s">
        <v>1163</v>
      </c>
      <c r="G64" s="391" t="s">
        <v>842</v>
      </c>
      <c r="H64" s="381"/>
      <c r="I64" s="381"/>
      <c r="J64" s="381">
        <f t="shared" si="4"/>
        <v>0</v>
      </c>
      <c r="K64" s="381">
        <f t="shared" si="1"/>
        <v>0</v>
      </c>
      <c r="L64" s="647">
        <f>IFERROR(IF(B64="funkcna poziadavka",VLOOKUP(G64,MODULY_CBA!$B$3:$E$23,4,0)*H64/SUMIFS($H$3:$H$197,$G$3:$G$197,G64,$B$3:$B$197,B64),),)</f>
        <v>0</v>
      </c>
      <c r="M64" s="381">
        <f>IFERROR(IF(B64="Funkcna poziadavka",VLOOKUP(G64,MODULY_CBA!$B$3:$E$23,3,0),),)</f>
        <v>0</v>
      </c>
      <c r="N64" s="381">
        <f>IFERROR(IF(B64="funkcna poziadavka",VLOOKUP(G64,MODULY_CBA!$B$3:$E$23,2,0),),)</f>
        <v>0</v>
      </c>
      <c r="O64" s="380">
        <f t="shared" si="5"/>
        <v>0</v>
      </c>
      <c r="P64" s="379">
        <f>IFERROR(O64*VLOOKUP(G64,MODULY_CBA!$B$3:$F$23,5,0),)</f>
        <v>0</v>
      </c>
      <c r="Q64" s="481" t="str">
        <f>IFERROR(VLOOKUP(G64,MODULY_CBA!$B$3:$I$23,6,0),"")</f>
        <v>Inkrement 1</v>
      </c>
      <c r="R64" s="383"/>
      <c r="S64" s="383"/>
      <c r="T64" s="383"/>
      <c r="U64" s="383"/>
      <c r="V64" s="383"/>
      <c r="W64" s="383"/>
      <c r="X64" s="383"/>
      <c r="Y64" s="383"/>
      <c r="Z64" s="383"/>
      <c r="AA64" s="383"/>
      <c r="AB64" s="383"/>
      <c r="AC64" s="383"/>
      <c r="AD64" s="383"/>
      <c r="AE64" s="383"/>
    </row>
    <row r="65" spans="1:31" ht="30" x14ac:dyDescent="0.2">
      <c r="A65" s="403" t="s">
        <v>3572</v>
      </c>
      <c r="B65" s="403" t="s">
        <v>1185</v>
      </c>
      <c r="C65" s="534" t="s">
        <v>1209</v>
      </c>
      <c r="D65" s="534" t="s">
        <v>1209</v>
      </c>
      <c r="E65" s="726" t="s">
        <v>1276</v>
      </c>
      <c r="F65" s="387" t="s">
        <v>1163</v>
      </c>
      <c r="G65" s="391" t="s">
        <v>842</v>
      </c>
      <c r="H65" s="381"/>
      <c r="I65" s="381"/>
      <c r="J65" s="381">
        <f t="shared" si="4"/>
        <v>0</v>
      </c>
      <c r="K65" s="381">
        <f t="shared" si="1"/>
        <v>0</v>
      </c>
      <c r="L65" s="647">
        <f>IFERROR(IF(B65="funkcna poziadavka",VLOOKUP(G65,MODULY_CBA!$B$3:$E$23,4,0)*H65/SUMIFS($H$3:$H$197,$G$3:$G$197,G65,$B$3:$B$197,B65),),)</f>
        <v>0</v>
      </c>
      <c r="M65" s="381">
        <f>IFERROR(IF(B65="Funkcna poziadavka",VLOOKUP(G65,MODULY_CBA!$B$3:$E$23,3,0),),)</f>
        <v>0</v>
      </c>
      <c r="N65" s="381">
        <f>IFERROR(IF(B65="funkcna poziadavka",VLOOKUP(G65,MODULY_CBA!$B$3:$E$23,2,0),),)</f>
        <v>0</v>
      </c>
      <c r="O65" s="380">
        <f t="shared" si="5"/>
        <v>0</v>
      </c>
      <c r="P65" s="379">
        <f>IFERROR(O65*VLOOKUP(G65,MODULY_CBA!$B$3:$F$23,5,0),)</f>
        <v>0</v>
      </c>
      <c r="Q65" s="481" t="str">
        <f>IFERROR(VLOOKUP(G65,MODULY_CBA!$B$3:$I$23,6,0),"")</f>
        <v>Inkrement 1</v>
      </c>
      <c r="R65" s="383"/>
      <c r="S65" s="383"/>
      <c r="T65" s="383"/>
      <c r="U65" s="383"/>
      <c r="V65" s="383"/>
      <c r="W65" s="383"/>
      <c r="X65" s="383"/>
      <c r="Y65" s="383"/>
      <c r="Z65" s="383"/>
      <c r="AA65" s="383"/>
      <c r="AB65" s="383"/>
      <c r="AC65" s="383"/>
      <c r="AD65" s="383"/>
      <c r="AE65" s="383"/>
    </row>
    <row r="66" spans="1:31" ht="15" x14ac:dyDescent="0.2">
      <c r="A66" s="403" t="s">
        <v>3573</v>
      </c>
      <c r="B66" s="403" t="s">
        <v>1185</v>
      </c>
      <c r="C66" s="534" t="s">
        <v>1277</v>
      </c>
      <c r="D66" s="534" t="s">
        <v>1277</v>
      </c>
      <c r="E66" s="726" t="s">
        <v>1278</v>
      </c>
      <c r="F66" s="387" t="s">
        <v>1163</v>
      </c>
      <c r="G66" s="391" t="s">
        <v>842</v>
      </c>
      <c r="H66" s="381"/>
      <c r="I66" s="381"/>
      <c r="J66" s="381">
        <f t="shared" ref="J66:J97" si="6">IF(ISNUMBER(H66),H66,)</f>
        <v>0</v>
      </c>
      <c r="K66" s="381">
        <f t="shared" si="1"/>
        <v>0</v>
      </c>
      <c r="L66" s="647">
        <f>IFERROR(IF(B66="funkcna poziadavka",VLOOKUP(G66,MODULY_CBA!$B$3:$E$23,4,0)*H66/SUMIFS($H$3:$H$197,$G$3:$G$197,G66,$B$3:$B$197,B66),),)</f>
        <v>0</v>
      </c>
      <c r="M66" s="381">
        <f>IFERROR(IF(B66="Funkcna poziadavka",VLOOKUP(G66,MODULY_CBA!$B$3:$E$23,3,0),),)</f>
        <v>0</v>
      </c>
      <c r="N66" s="381">
        <f>IFERROR(IF(B66="funkcna poziadavka",VLOOKUP(G66,MODULY_CBA!$B$3:$E$23,2,0),),)</f>
        <v>0</v>
      </c>
      <c r="O66" s="380">
        <f t="shared" ref="O66:O97" si="7">(K66+L66)*M66*N66</f>
        <v>0</v>
      </c>
      <c r="P66" s="379">
        <f>IFERROR(O66*VLOOKUP(G66,MODULY_CBA!$B$3:$F$23,5,0),)</f>
        <v>0</v>
      </c>
      <c r="Q66" s="481" t="str">
        <f>IFERROR(VLOOKUP(G66,MODULY_CBA!$B$3:$I$23,6,0),"")</f>
        <v>Inkrement 1</v>
      </c>
      <c r="R66" s="383"/>
      <c r="S66" s="383"/>
      <c r="T66" s="383"/>
      <c r="U66" s="383"/>
      <c r="V66" s="383"/>
      <c r="W66" s="383"/>
      <c r="X66" s="383"/>
      <c r="Y66" s="383"/>
      <c r="Z66" s="383"/>
      <c r="AA66" s="383"/>
      <c r="AB66" s="383"/>
      <c r="AC66" s="383"/>
      <c r="AD66" s="383"/>
      <c r="AE66" s="383"/>
    </row>
    <row r="67" spans="1:31" ht="30" x14ac:dyDescent="0.2">
      <c r="A67" s="403" t="s">
        <v>3574</v>
      </c>
      <c r="B67" s="403" t="s">
        <v>1159</v>
      </c>
      <c r="C67" s="534" t="s">
        <v>1279</v>
      </c>
      <c r="D67" s="534" t="s">
        <v>1279</v>
      </c>
      <c r="E67" s="726" t="s">
        <v>1280</v>
      </c>
      <c r="F67" s="387" t="s">
        <v>1163</v>
      </c>
      <c r="G67" s="391" t="s">
        <v>842</v>
      </c>
      <c r="H67" s="381"/>
      <c r="I67" s="381"/>
      <c r="J67" s="381">
        <f t="shared" si="6"/>
        <v>0</v>
      </c>
      <c r="K67" s="381">
        <f t="shared" ref="K67:K130" si="8">H67*I67</f>
        <v>0</v>
      </c>
      <c r="L67" s="647">
        <f>IFERROR(IF(B67="funkcna poziadavka",VLOOKUP(G67,MODULY_CBA!$B$3:$E$23,4,0)*H67/SUMIFS($H$3:$H$197,$G$3:$G$197,G67,$B$3:$B$197,B67),),)</f>
        <v>0</v>
      </c>
      <c r="M67" s="381">
        <f>IFERROR(IF(B67="Funkcna poziadavka",VLOOKUP(G67,MODULY_CBA!$B$3:$E$23,3,0),),)</f>
        <v>0</v>
      </c>
      <c r="N67" s="381">
        <f>IFERROR(IF(B67="funkcna poziadavka",VLOOKUP(G67,MODULY_CBA!$B$3:$E$23,2,0),),)</f>
        <v>0</v>
      </c>
      <c r="O67" s="380">
        <f t="shared" si="7"/>
        <v>0</v>
      </c>
      <c r="P67" s="379">
        <f>IFERROR(O67*VLOOKUP(G67,MODULY_CBA!$B$3:$F$23,5,0),)</f>
        <v>0</v>
      </c>
      <c r="Q67" s="481" t="str">
        <f>IFERROR(VLOOKUP(G67,MODULY_CBA!$B$3:$I$23,6,0),"")</f>
        <v>Inkrement 1</v>
      </c>
      <c r="R67" s="383"/>
      <c r="S67" s="383"/>
      <c r="T67" s="383"/>
      <c r="U67" s="383"/>
      <c r="V67" s="383"/>
      <c r="W67" s="383"/>
      <c r="X67" s="383"/>
      <c r="Y67" s="383"/>
      <c r="Z67" s="383"/>
      <c r="AA67" s="383"/>
      <c r="AB67" s="383"/>
      <c r="AC67" s="383"/>
      <c r="AD67" s="383"/>
      <c r="AE67" s="383"/>
    </row>
    <row r="68" spans="1:31" ht="30" x14ac:dyDescent="0.2">
      <c r="A68" s="403" t="s">
        <v>3575</v>
      </c>
      <c r="B68" s="403" t="s">
        <v>1159</v>
      </c>
      <c r="C68" s="534" t="s">
        <v>1281</v>
      </c>
      <c r="D68" s="534" t="s">
        <v>1281</v>
      </c>
      <c r="E68" s="726" t="s">
        <v>1282</v>
      </c>
      <c r="F68" s="387" t="s">
        <v>1163</v>
      </c>
      <c r="G68" s="391" t="s">
        <v>842</v>
      </c>
      <c r="H68" s="381"/>
      <c r="I68" s="381"/>
      <c r="J68" s="381">
        <f t="shared" si="6"/>
        <v>0</v>
      </c>
      <c r="K68" s="381">
        <f t="shared" si="8"/>
        <v>0</v>
      </c>
      <c r="L68" s="647">
        <f>IFERROR(IF(B68="funkcna poziadavka",VLOOKUP(G68,MODULY_CBA!$B$3:$E$23,4,0)*H68/SUMIFS($H$3:$H$197,$G$3:$G$197,G68,$B$3:$B$197,B68),),)</f>
        <v>0</v>
      </c>
      <c r="M68" s="381">
        <f>IFERROR(IF(B68="Funkcna poziadavka",VLOOKUP(G68,MODULY_CBA!$B$3:$E$23,3,0),),)</f>
        <v>0</v>
      </c>
      <c r="N68" s="381">
        <f>IFERROR(IF(B68="funkcna poziadavka",VLOOKUP(G68,MODULY_CBA!$B$3:$E$23,2,0),),)</f>
        <v>0</v>
      </c>
      <c r="O68" s="380">
        <f t="shared" si="7"/>
        <v>0</v>
      </c>
      <c r="P68" s="379">
        <f>IFERROR(O68*VLOOKUP(G68,MODULY_CBA!$B$3:$F$23,5,0),)</f>
        <v>0</v>
      </c>
      <c r="Q68" s="481" t="str">
        <f>IFERROR(VLOOKUP(G68,MODULY_CBA!$B$3:$I$23,6,0),"")</f>
        <v>Inkrement 1</v>
      </c>
      <c r="R68" s="383"/>
      <c r="S68" s="383"/>
      <c r="T68" s="383"/>
      <c r="U68" s="383"/>
      <c r="V68" s="383"/>
      <c r="W68" s="383"/>
      <c r="X68" s="383"/>
      <c r="Y68" s="383"/>
      <c r="Z68" s="383"/>
      <c r="AA68" s="383"/>
      <c r="AB68" s="383"/>
      <c r="AC68" s="383"/>
      <c r="AD68" s="383"/>
      <c r="AE68" s="383"/>
    </row>
    <row r="69" spans="1:31" ht="30" x14ac:dyDescent="0.2">
      <c r="A69" s="403" t="s">
        <v>3576</v>
      </c>
      <c r="B69" s="403" t="s">
        <v>1159</v>
      </c>
      <c r="C69" s="384" t="s">
        <v>1283</v>
      </c>
      <c r="D69" s="534" t="s">
        <v>1283</v>
      </c>
      <c r="E69" s="726" t="s">
        <v>1284</v>
      </c>
      <c r="F69" s="387" t="s">
        <v>1163</v>
      </c>
      <c r="G69" s="391" t="s">
        <v>842</v>
      </c>
      <c r="H69" s="381"/>
      <c r="I69" s="381"/>
      <c r="J69" s="381">
        <f t="shared" si="6"/>
        <v>0</v>
      </c>
      <c r="K69" s="381">
        <f t="shared" si="8"/>
        <v>0</v>
      </c>
      <c r="L69" s="647">
        <f>IFERROR(IF(B69="funkcna poziadavka",VLOOKUP(G69,MODULY_CBA!$B$3:$E$23,4,0)*H69/SUMIFS($H$3:$H$197,$G$3:$G$197,G69,$B$3:$B$197,B69),),)</f>
        <v>0</v>
      </c>
      <c r="M69" s="381">
        <f>IFERROR(IF(B69="Funkcna poziadavka",VLOOKUP(G69,MODULY_CBA!$B$3:$E$23,3,0),),)</f>
        <v>0</v>
      </c>
      <c r="N69" s="381">
        <f>IFERROR(IF(B69="funkcna poziadavka",VLOOKUP(G69,MODULY_CBA!$B$3:$E$23,2,0),),)</f>
        <v>0</v>
      </c>
      <c r="O69" s="380">
        <f t="shared" si="7"/>
        <v>0</v>
      </c>
      <c r="P69" s="379">
        <f>IFERROR(O69*VLOOKUP(G69,MODULY_CBA!$B$3:$F$23,5,0),)</f>
        <v>0</v>
      </c>
      <c r="Q69" s="481" t="str">
        <f>IFERROR(VLOOKUP(G69,MODULY_CBA!$B$3:$I$23,6,0),"")</f>
        <v>Inkrement 1</v>
      </c>
      <c r="R69" s="383"/>
      <c r="S69" s="383"/>
      <c r="T69" s="383"/>
      <c r="U69" s="383"/>
      <c r="V69" s="383"/>
      <c r="W69" s="383"/>
      <c r="X69" s="383"/>
      <c r="Y69" s="383"/>
      <c r="Z69" s="383"/>
      <c r="AA69" s="383"/>
      <c r="AB69" s="383"/>
      <c r="AC69" s="383"/>
      <c r="AD69" s="383"/>
      <c r="AE69" s="383"/>
    </row>
    <row r="70" spans="1:31" ht="30" x14ac:dyDescent="0.2">
      <c r="A70" s="403" t="s">
        <v>3577</v>
      </c>
      <c r="B70" s="403" t="s">
        <v>1159</v>
      </c>
      <c r="C70" s="534" t="s">
        <v>1285</v>
      </c>
      <c r="D70" s="534" t="s">
        <v>1285</v>
      </c>
      <c r="E70" s="726" t="s">
        <v>1286</v>
      </c>
      <c r="F70" s="387" t="s">
        <v>1163</v>
      </c>
      <c r="G70" s="391" t="s">
        <v>842</v>
      </c>
      <c r="H70" s="381"/>
      <c r="I70" s="381"/>
      <c r="J70" s="381">
        <f t="shared" si="6"/>
        <v>0</v>
      </c>
      <c r="K70" s="381">
        <f t="shared" si="8"/>
        <v>0</v>
      </c>
      <c r="L70" s="647">
        <f>IFERROR(IF(B70="funkcna poziadavka",VLOOKUP(G70,MODULY_CBA!$B$3:$E$23,4,0)*H70/SUMIFS($H$3:$H$197,$G$3:$G$197,G70,$B$3:$B$197,B70),),)</f>
        <v>0</v>
      </c>
      <c r="M70" s="381">
        <f>IFERROR(IF(B70="Funkcna poziadavka",VLOOKUP(G70,MODULY_CBA!$B$3:$E$23,3,0),),)</f>
        <v>0</v>
      </c>
      <c r="N70" s="381">
        <f>IFERROR(IF(B70="funkcna poziadavka",VLOOKUP(G70,MODULY_CBA!$B$3:$E$23,2,0),),)</f>
        <v>0</v>
      </c>
      <c r="O70" s="380">
        <f t="shared" si="7"/>
        <v>0</v>
      </c>
      <c r="P70" s="379">
        <f>IFERROR(O70*VLOOKUP(G70,MODULY_CBA!$B$3:$F$23,5,0),)</f>
        <v>0</v>
      </c>
      <c r="Q70" s="481" t="str">
        <f>IFERROR(VLOOKUP(G70,MODULY_CBA!$B$3:$I$23,6,0),"")</f>
        <v>Inkrement 1</v>
      </c>
      <c r="R70" s="383"/>
      <c r="S70" s="383"/>
      <c r="T70" s="383"/>
      <c r="U70" s="383"/>
      <c r="V70" s="383"/>
      <c r="W70" s="383"/>
      <c r="X70" s="383"/>
      <c r="Y70" s="383"/>
      <c r="Z70" s="383"/>
      <c r="AA70" s="383"/>
      <c r="AB70" s="383"/>
      <c r="AC70" s="383"/>
      <c r="AD70" s="383"/>
      <c r="AE70" s="383"/>
    </row>
    <row r="71" spans="1:31" ht="30" x14ac:dyDescent="0.2">
      <c r="A71" s="403" t="s">
        <v>3578</v>
      </c>
      <c r="B71" s="403" t="s">
        <v>1159</v>
      </c>
      <c r="C71" s="534" t="s">
        <v>1287</v>
      </c>
      <c r="D71" s="534" t="s">
        <v>1287</v>
      </c>
      <c r="E71" s="726" t="s">
        <v>1288</v>
      </c>
      <c r="F71" s="387" t="s">
        <v>1163</v>
      </c>
      <c r="G71" s="391" t="s">
        <v>842</v>
      </c>
      <c r="H71" s="381"/>
      <c r="I71" s="381"/>
      <c r="J71" s="381">
        <f t="shared" si="6"/>
        <v>0</v>
      </c>
      <c r="K71" s="381">
        <f t="shared" si="8"/>
        <v>0</v>
      </c>
      <c r="L71" s="647">
        <f>IFERROR(IF(B71="funkcna poziadavka",VLOOKUP(G71,MODULY_CBA!$B$3:$E$23,4,0)*H71/SUMIFS($H$3:$H$197,$G$3:$G$197,G71,$B$3:$B$197,B71),),)</f>
        <v>0</v>
      </c>
      <c r="M71" s="381">
        <f>IFERROR(IF(B71="Funkcna poziadavka",VLOOKUP(G71,MODULY_CBA!$B$3:$E$23,3,0),),)</f>
        <v>0</v>
      </c>
      <c r="N71" s="381">
        <f>IFERROR(IF(B71="funkcna poziadavka",VLOOKUP(G71,MODULY_CBA!$B$3:$E$23,2,0),),)</f>
        <v>0</v>
      </c>
      <c r="O71" s="380">
        <f t="shared" si="7"/>
        <v>0</v>
      </c>
      <c r="P71" s="379">
        <f>IFERROR(O71*VLOOKUP(G71,MODULY_CBA!$B$3:$F$23,5,0),)</f>
        <v>0</v>
      </c>
      <c r="Q71" s="481" t="str">
        <f>IFERROR(VLOOKUP(G71,MODULY_CBA!$B$3:$I$23,6,0),"")</f>
        <v>Inkrement 1</v>
      </c>
      <c r="R71" s="383"/>
      <c r="S71" s="383"/>
      <c r="T71" s="383"/>
      <c r="U71" s="383"/>
      <c r="V71" s="383"/>
      <c r="W71" s="383"/>
      <c r="X71" s="383"/>
      <c r="Y71" s="383"/>
      <c r="Z71" s="383"/>
      <c r="AA71" s="383"/>
      <c r="AB71" s="383"/>
      <c r="AC71" s="383"/>
      <c r="AD71" s="383"/>
      <c r="AE71" s="383"/>
    </row>
    <row r="72" spans="1:31" ht="30" x14ac:dyDescent="0.2">
      <c r="A72" s="403" t="s">
        <v>3579</v>
      </c>
      <c r="B72" s="403" t="s">
        <v>1159</v>
      </c>
      <c r="C72" s="534" t="s">
        <v>1289</v>
      </c>
      <c r="D72" s="534" t="s">
        <v>1289</v>
      </c>
      <c r="E72" s="726" t="s">
        <v>1290</v>
      </c>
      <c r="F72" s="387" t="s">
        <v>1163</v>
      </c>
      <c r="G72" s="391" t="s">
        <v>842</v>
      </c>
      <c r="H72" s="381"/>
      <c r="I72" s="381"/>
      <c r="J72" s="381">
        <f t="shared" si="6"/>
        <v>0</v>
      </c>
      <c r="K72" s="381">
        <f t="shared" si="8"/>
        <v>0</v>
      </c>
      <c r="L72" s="647">
        <f>IFERROR(IF(B72="funkcna poziadavka",VLOOKUP(G72,MODULY_CBA!$B$3:$E$23,4,0)*H72/SUMIFS($H$3:$H$197,$G$3:$G$197,G72,$B$3:$B$197,B72),),)</f>
        <v>0</v>
      </c>
      <c r="M72" s="381">
        <f>IFERROR(IF(B72="Funkcna poziadavka",VLOOKUP(G72,MODULY_CBA!$B$3:$E$23,3,0),),)</f>
        <v>0</v>
      </c>
      <c r="N72" s="381">
        <f>IFERROR(IF(B72="funkcna poziadavka",VLOOKUP(G72,MODULY_CBA!$B$3:$E$23,2,0),),)</f>
        <v>0</v>
      </c>
      <c r="O72" s="380">
        <f t="shared" si="7"/>
        <v>0</v>
      </c>
      <c r="P72" s="379">
        <f>IFERROR(O72*VLOOKUP(G72,MODULY_CBA!$B$3:$F$23,5,0),)</f>
        <v>0</v>
      </c>
      <c r="Q72" s="481" t="str">
        <f>IFERROR(VLOOKUP(G72,MODULY_CBA!$B$3:$I$23,6,0),"")</f>
        <v>Inkrement 1</v>
      </c>
      <c r="R72" s="383"/>
      <c r="S72" s="383"/>
      <c r="T72" s="383"/>
      <c r="U72" s="383"/>
      <c r="V72" s="383"/>
      <c r="W72" s="383"/>
      <c r="X72" s="383"/>
      <c r="Y72" s="383"/>
      <c r="Z72" s="383"/>
      <c r="AA72" s="383"/>
      <c r="AB72" s="383"/>
      <c r="AC72" s="383"/>
      <c r="AD72" s="383"/>
      <c r="AE72" s="383"/>
    </row>
    <row r="73" spans="1:31" ht="30" x14ac:dyDescent="0.2">
      <c r="A73" s="403" t="s">
        <v>3580</v>
      </c>
      <c r="B73" s="403" t="s">
        <v>1159</v>
      </c>
      <c r="C73" s="534" t="s">
        <v>1291</v>
      </c>
      <c r="D73" s="538" t="s">
        <v>1291</v>
      </c>
      <c r="E73" s="726" t="s">
        <v>1292</v>
      </c>
      <c r="F73" s="387" t="s">
        <v>1163</v>
      </c>
      <c r="G73" s="391" t="s">
        <v>842</v>
      </c>
      <c r="H73" s="381"/>
      <c r="I73" s="381"/>
      <c r="J73" s="381">
        <f t="shared" si="6"/>
        <v>0</v>
      </c>
      <c r="K73" s="381">
        <f t="shared" si="8"/>
        <v>0</v>
      </c>
      <c r="L73" s="647">
        <f>IFERROR(IF(B73="funkcna poziadavka",VLOOKUP(G73,MODULY_CBA!$B$3:$E$23,4,0)*H73/SUMIFS($H$3:$H$197,$G$3:$G$197,G73,$B$3:$B$197,B73),),)</f>
        <v>0</v>
      </c>
      <c r="M73" s="381">
        <f>IFERROR(IF(B73="Funkcna poziadavka",VLOOKUP(G73,MODULY_CBA!$B$3:$E$23,3,0),),)</f>
        <v>0</v>
      </c>
      <c r="N73" s="381">
        <f>IFERROR(IF(B73="funkcna poziadavka",VLOOKUP(G73,MODULY_CBA!$B$3:$E$23,2,0),),)</f>
        <v>0</v>
      </c>
      <c r="O73" s="380">
        <f t="shared" si="7"/>
        <v>0</v>
      </c>
      <c r="P73" s="379">
        <f>IFERROR(O73*VLOOKUP(G73,MODULY_CBA!$B$3:$F$23,5,0),)</f>
        <v>0</v>
      </c>
      <c r="Q73" s="481" t="str">
        <f>IFERROR(VLOOKUP(G73,MODULY_CBA!$B$3:$I$23,6,0),"")</f>
        <v>Inkrement 1</v>
      </c>
      <c r="R73" s="383"/>
      <c r="S73" s="383"/>
      <c r="T73" s="383"/>
      <c r="U73" s="383"/>
      <c r="V73" s="383"/>
      <c r="W73" s="383"/>
      <c r="X73" s="383"/>
      <c r="Y73" s="383"/>
      <c r="Z73" s="383"/>
      <c r="AA73" s="383"/>
      <c r="AB73" s="383"/>
      <c r="AC73" s="383"/>
      <c r="AD73" s="383"/>
      <c r="AE73" s="383"/>
    </row>
    <row r="74" spans="1:31" ht="30" x14ac:dyDescent="0.2">
      <c r="A74" s="403" t="s">
        <v>3581</v>
      </c>
      <c r="B74" s="403" t="s">
        <v>1159</v>
      </c>
      <c r="C74" s="534" t="s">
        <v>1293</v>
      </c>
      <c r="D74" s="534" t="s">
        <v>1293</v>
      </c>
      <c r="E74" s="726" t="s">
        <v>1294</v>
      </c>
      <c r="F74" s="387" t="s">
        <v>1163</v>
      </c>
      <c r="G74" s="391" t="s">
        <v>842</v>
      </c>
      <c r="H74" s="381"/>
      <c r="I74" s="381"/>
      <c r="J74" s="381">
        <f t="shared" si="6"/>
        <v>0</v>
      </c>
      <c r="K74" s="381">
        <f t="shared" si="8"/>
        <v>0</v>
      </c>
      <c r="L74" s="647">
        <f>IFERROR(IF(B74="funkcna poziadavka",VLOOKUP(G74,MODULY_CBA!$B$3:$E$23,4,0)*H74/SUMIFS($H$3:$H$197,$G$3:$G$197,G74,$B$3:$B$197,B74),),)</f>
        <v>0</v>
      </c>
      <c r="M74" s="381">
        <f>IFERROR(IF(B74="Funkcna poziadavka",VLOOKUP(G74,MODULY_CBA!$B$3:$E$23,3,0),),)</f>
        <v>0</v>
      </c>
      <c r="N74" s="381">
        <f>IFERROR(IF(B74="funkcna poziadavka",VLOOKUP(G74,MODULY_CBA!$B$3:$E$23,2,0),),)</f>
        <v>0</v>
      </c>
      <c r="O74" s="380">
        <f t="shared" si="7"/>
        <v>0</v>
      </c>
      <c r="P74" s="379">
        <f>IFERROR(O74*VLOOKUP(G74,MODULY_CBA!$B$3:$F$23,5,0),)</f>
        <v>0</v>
      </c>
      <c r="Q74" s="481" t="str">
        <f>IFERROR(VLOOKUP(G74,MODULY_CBA!$B$3:$I$23,6,0),"")</f>
        <v>Inkrement 1</v>
      </c>
      <c r="R74" s="383"/>
      <c r="S74" s="383"/>
      <c r="T74" s="383"/>
      <c r="U74" s="383"/>
      <c r="V74" s="383"/>
      <c r="W74" s="383"/>
      <c r="X74" s="383"/>
      <c r="Y74" s="383"/>
      <c r="Z74" s="383"/>
      <c r="AA74" s="383"/>
      <c r="AB74" s="383"/>
      <c r="AC74" s="383"/>
      <c r="AD74" s="383"/>
      <c r="AE74" s="383"/>
    </row>
    <row r="75" spans="1:31" ht="30" x14ac:dyDescent="0.2">
      <c r="A75" s="403" t="s">
        <v>3582</v>
      </c>
      <c r="B75" s="403" t="s">
        <v>1159</v>
      </c>
      <c r="C75" s="534" t="s">
        <v>1295</v>
      </c>
      <c r="D75" s="534" t="s">
        <v>1295</v>
      </c>
      <c r="E75" s="726" t="s">
        <v>1296</v>
      </c>
      <c r="F75" s="387" t="s">
        <v>1163</v>
      </c>
      <c r="G75" s="391" t="s">
        <v>842</v>
      </c>
      <c r="H75" s="381"/>
      <c r="I75" s="381"/>
      <c r="J75" s="381">
        <f t="shared" si="6"/>
        <v>0</v>
      </c>
      <c r="K75" s="381">
        <f t="shared" si="8"/>
        <v>0</v>
      </c>
      <c r="L75" s="647">
        <f>IFERROR(IF(B75="funkcna poziadavka",VLOOKUP(G75,MODULY_CBA!$B$3:$E$23,4,0)*H75/SUMIFS($H$3:$H$197,$G$3:$G$197,G75,$B$3:$B$197,B75),),)</f>
        <v>0</v>
      </c>
      <c r="M75" s="381">
        <f>IFERROR(IF(B75="Funkcna poziadavka",VLOOKUP(G75,MODULY_CBA!$B$3:$E$23,3,0),),)</f>
        <v>0</v>
      </c>
      <c r="N75" s="381">
        <f>IFERROR(IF(B75="funkcna poziadavka",VLOOKUP(G75,MODULY_CBA!$B$3:$E$23,2,0),),)</f>
        <v>0</v>
      </c>
      <c r="O75" s="380">
        <f t="shared" si="7"/>
        <v>0</v>
      </c>
      <c r="P75" s="379">
        <f>IFERROR(O75*VLOOKUP(G75,MODULY_CBA!$B$3:$F$23,5,0),)</f>
        <v>0</v>
      </c>
      <c r="Q75" s="481" t="str">
        <f>IFERROR(VLOOKUP(G75,MODULY_CBA!$B$3:$I$23,6,0),"")</f>
        <v>Inkrement 1</v>
      </c>
      <c r="R75" s="383"/>
      <c r="S75" s="383"/>
      <c r="T75" s="383"/>
      <c r="U75" s="383"/>
      <c r="V75" s="383"/>
      <c r="W75" s="383"/>
      <c r="X75" s="383"/>
      <c r="Y75" s="383"/>
      <c r="Z75" s="383"/>
      <c r="AA75" s="383"/>
      <c r="AB75" s="383"/>
      <c r="AC75" s="383"/>
      <c r="AD75" s="383"/>
      <c r="AE75" s="383"/>
    </row>
    <row r="76" spans="1:31" ht="30" x14ac:dyDescent="0.2">
      <c r="A76" s="403" t="s">
        <v>3583</v>
      </c>
      <c r="B76" s="403" t="s">
        <v>1159</v>
      </c>
      <c r="C76" s="534" t="s">
        <v>1297</v>
      </c>
      <c r="D76" s="534" t="s">
        <v>1297</v>
      </c>
      <c r="E76" s="726" t="s">
        <v>1298</v>
      </c>
      <c r="F76" s="387" t="s">
        <v>1163</v>
      </c>
      <c r="G76" s="391" t="s">
        <v>842</v>
      </c>
      <c r="H76" s="381"/>
      <c r="I76" s="381"/>
      <c r="J76" s="381">
        <f t="shared" si="6"/>
        <v>0</v>
      </c>
      <c r="K76" s="381">
        <f t="shared" si="8"/>
        <v>0</v>
      </c>
      <c r="L76" s="647">
        <f>IFERROR(IF(B76="funkcna poziadavka",VLOOKUP(G76,MODULY_CBA!$B$3:$E$23,4,0)*H76/SUMIFS($H$3:$H$197,$G$3:$G$197,G76,$B$3:$B$197,B76),),)</f>
        <v>0</v>
      </c>
      <c r="M76" s="381">
        <f>IFERROR(IF(B76="Funkcna poziadavka",VLOOKUP(G76,MODULY_CBA!$B$3:$E$23,3,0),),)</f>
        <v>0</v>
      </c>
      <c r="N76" s="381">
        <f>IFERROR(IF(B76="funkcna poziadavka",VLOOKUP(G76,MODULY_CBA!$B$3:$E$23,2,0),),)</f>
        <v>0</v>
      </c>
      <c r="O76" s="380">
        <f t="shared" si="7"/>
        <v>0</v>
      </c>
      <c r="P76" s="379">
        <f>IFERROR(O76*VLOOKUP(G76,MODULY_CBA!$B$3:$F$23,5,0),)</f>
        <v>0</v>
      </c>
      <c r="Q76" s="481" t="str">
        <f>IFERROR(VLOOKUP(G76,MODULY_CBA!$B$3:$I$23,6,0),"")</f>
        <v>Inkrement 1</v>
      </c>
      <c r="R76" s="383"/>
      <c r="S76" s="383"/>
      <c r="T76" s="383"/>
      <c r="U76" s="383"/>
      <c r="V76" s="383"/>
      <c r="W76" s="383"/>
      <c r="X76" s="383"/>
      <c r="Y76" s="383"/>
      <c r="Z76" s="383"/>
      <c r="AA76" s="383"/>
      <c r="AB76" s="383"/>
      <c r="AC76" s="383"/>
      <c r="AD76" s="383"/>
      <c r="AE76" s="383"/>
    </row>
    <row r="77" spans="1:31" ht="30" x14ac:dyDescent="0.2">
      <c r="A77" s="403" t="s">
        <v>3584</v>
      </c>
      <c r="B77" s="403" t="s">
        <v>1159</v>
      </c>
      <c r="C77" s="534" t="s">
        <v>1299</v>
      </c>
      <c r="D77" s="534" t="s">
        <v>1299</v>
      </c>
      <c r="E77" s="726" t="s">
        <v>1300</v>
      </c>
      <c r="F77" s="387" t="s">
        <v>1163</v>
      </c>
      <c r="G77" s="391" t="s">
        <v>842</v>
      </c>
      <c r="H77" s="381"/>
      <c r="I77" s="381"/>
      <c r="J77" s="381">
        <f t="shared" si="6"/>
        <v>0</v>
      </c>
      <c r="K77" s="381">
        <f t="shared" si="8"/>
        <v>0</v>
      </c>
      <c r="L77" s="647">
        <f>IFERROR(IF(B77="funkcna poziadavka",VLOOKUP(G77,MODULY_CBA!$B$3:$E$23,4,0)*H77/SUMIFS($H$3:$H$197,$G$3:$G$197,G77,$B$3:$B$197,B77),),)</f>
        <v>0</v>
      </c>
      <c r="M77" s="381">
        <f>IFERROR(IF(B77="Funkcna poziadavka",VLOOKUP(G77,MODULY_CBA!$B$3:$E$23,3,0),),)</f>
        <v>0</v>
      </c>
      <c r="N77" s="381">
        <f>IFERROR(IF(B77="funkcna poziadavka",VLOOKUP(G77,MODULY_CBA!$B$3:$E$23,2,0),),)</f>
        <v>0</v>
      </c>
      <c r="O77" s="380">
        <f t="shared" si="7"/>
        <v>0</v>
      </c>
      <c r="P77" s="379">
        <f>IFERROR(O77*VLOOKUP(G77,MODULY_CBA!$B$3:$F$23,5,0),)</f>
        <v>0</v>
      </c>
      <c r="Q77" s="481" t="str">
        <f>IFERROR(VLOOKUP(G77,MODULY_CBA!$B$3:$I$23,6,0),"")</f>
        <v>Inkrement 1</v>
      </c>
      <c r="R77" s="383"/>
      <c r="S77" s="383"/>
      <c r="T77" s="383"/>
      <c r="U77" s="383"/>
      <c r="V77" s="383"/>
      <c r="W77" s="383"/>
      <c r="X77" s="383"/>
      <c r="Y77" s="383"/>
      <c r="Z77" s="383"/>
      <c r="AA77" s="383"/>
      <c r="AB77" s="383"/>
      <c r="AC77" s="383"/>
      <c r="AD77" s="383"/>
      <c r="AE77" s="383"/>
    </row>
    <row r="78" spans="1:31" ht="30" x14ac:dyDescent="0.2">
      <c r="A78" s="403" t="s">
        <v>3585</v>
      </c>
      <c r="B78" s="403" t="s">
        <v>1159</v>
      </c>
      <c r="C78" s="534" t="s">
        <v>1301</v>
      </c>
      <c r="D78" s="534" t="s">
        <v>1301</v>
      </c>
      <c r="E78" s="726" t="s">
        <v>1302</v>
      </c>
      <c r="F78" s="387" t="s">
        <v>1163</v>
      </c>
      <c r="G78" s="391" t="s">
        <v>842</v>
      </c>
      <c r="H78" s="381"/>
      <c r="I78" s="381"/>
      <c r="J78" s="381">
        <f t="shared" si="6"/>
        <v>0</v>
      </c>
      <c r="K78" s="381">
        <f t="shared" si="8"/>
        <v>0</v>
      </c>
      <c r="L78" s="647">
        <f>IFERROR(IF(B78="funkcna poziadavka",VLOOKUP(G78,MODULY_CBA!$B$3:$E$23,4,0)*H78/SUMIFS($H$3:$H$197,$G$3:$G$197,G78,$B$3:$B$197,B78),),)</f>
        <v>0</v>
      </c>
      <c r="M78" s="381">
        <f>IFERROR(IF(B78="Funkcna poziadavka",VLOOKUP(G78,MODULY_CBA!$B$3:$E$23,3,0),),)</f>
        <v>0</v>
      </c>
      <c r="N78" s="381">
        <f>IFERROR(IF(B78="funkcna poziadavka",VLOOKUP(G78,MODULY_CBA!$B$3:$E$23,2,0),),)</f>
        <v>0</v>
      </c>
      <c r="O78" s="380">
        <f t="shared" si="7"/>
        <v>0</v>
      </c>
      <c r="P78" s="379">
        <f>IFERROR(O78*VLOOKUP(G78,MODULY_CBA!$B$3:$F$23,5,0),)</f>
        <v>0</v>
      </c>
      <c r="Q78" s="481" t="str">
        <f>IFERROR(VLOOKUP(G78,MODULY_CBA!$B$3:$I$23,6,0),"")</f>
        <v>Inkrement 1</v>
      </c>
      <c r="R78" s="383"/>
      <c r="S78" s="383"/>
      <c r="T78" s="383"/>
      <c r="U78" s="383"/>
      <c r="V78" s="383"/>
      <c r="W78" s="383"/>
      <c r="X78" s="383"/>
      <c r="Y78" s="383"/>
      <c r="Z78" s="383"/>
      <c r="AA78" s="383"/>
      <c r="AB78" s="383"/>
      <c r="AC78" s="383"/>
      <c r="AD78" s="383"/>
      <c r="AE78" s="383"/>
    </row>
    <row r="79" spans="1:31" ht="30" x14ac:dyDescent="0.2">
      <c r="A79" s="403" t="s">
        <v>3586</v>
      </c>
      <c r="B79" s="403" t="s">
        <v>1159</v>
      </c>
      <c r="C79" s="534" t="s">
        <v>1303</v>
      </c>
      <c r="D79" s="534" t="s">
        <v>1303</v>
      </c>
      <c r="E79" s="730" t="s">
        <v>1304</v>
      </c>
      <c r="F79" s="387" t="s">
        <v>1163</v>
      </c>
      <c r="G79" s="391" t="s">
        <v>842</v>
      </c>
      <c r="H79" s="381"/>
      <c r="I79" s="381"/>
      <c r="J79" s="381">
        <f t="shared" si="6"/>
        <v>0</v>
      </c>
      <c r="K79" s="381">
        <f t="shared" si="8"/>
        <v>0</v>
      </c>
      <c r="L79" s="647">
        <f>IFERROR(IF(B79="funkcna poziadavka",VLOOKUP(G79,MODULY_CBA!$B$3:$E$23,4,0)*H79/SUMIFS($H$3:$H$197,$G$3:$G$197,G79,$B$3:$B$197,B79),),)</f>
        <v>0</v>
      </c>
      <c r="M79" s="381">
        <f>IFERROR(IF(B79="Funkcna poziadavka",VLOOKUP(G79,MODULY_CBA!$B$3:$E$23,3,0),),)</f>
        <v>0</v>
      </c>
      <c r="N79" s="381">
        <f>IFERROR(IF(B79="funkcna poziadavka",VLOOKUP(G79,MODULY_CBA!$B$3:$E$23,2,0),),)</f>
        <v>0</v>
      </c>
      <c r="O79" s="380">
        <f t="shared" si="7"/>
        <v>0</v>
      </c>
      <c r="P79" s="379">
        <f>IFERROR(O79*VLOOKUP(G79,MODULY_CBA!$B$3:$F$23,5,0),)</f>
        <v>0</v>
      </c>
      <c r="Q79" s="481" t="str">
        <f>IFERROR(VLOOKUP(G79,MODULY_CBA!$B$3:$I$23,6,0),"")</f>
        <v>Inkrement 1</v>
      </c>
      <c r="R79" s="383"/>
      <c r="S79" s="383"/>
      <c r="T79" s="383"/>
      <c r="U79" s="383"/>
      <c r="V79" s="383"/>
      <c r="W79" s="383"/>
      <c r="X79" s="383"/>
      <c r="Y79" s="383"/>
      <c r="Z79" s="383"/>
      <c r="AA79" s="383"/>
      <c r="AB79" s="383"/>
      <c r="AC79" s="383"/>
      <c r="AD79" s="383"/>
      <c r="AE79" s="383"/>
    </row>
    <row r="80" spans="1:31" ht="30" x14ac:dyDescent="0.2">
      <c r="A80" s="403" t="s">
        <v>3587</v>
      </c>
      <c r="B80" s="403" t="s">
        <v>1159</v>
      </c>
      <c r="C80" s="534" t="s">
        <v>1305</v>
      </c>
      <c r="D80" s="534" t="s">
        <v>1305</v>
      </c>
      <c r="E80" s="730" t="s">
        <v>1306</v>
      </c>
      <c r="F80" s="387" t="s">
        <v>1163</v>
      </c>
      <c r="G80" s="391" t="s">
        <v>842</v>
      </c>
      <c r="H80" s="381"/>
      <c r="I80" s="381"/>
      <c r="J80" s="381">
        <f t="shared" si="6"/>
        <v>0</v>
      </c>
      <c r="K80" s="381">
        <f t="shared" si="8"/>
        <v>0</v>
      </c>
      <c r="L80" s="647">
        <f>IFERROR(IF(B80="funkcna poziadavka",VLOOKUP(G80,MODULY_CBA!$B$3:$E$23,4,0)*H80/SUMIFS($H$3:$H$197,$G$3:$G$197,G80,$B$3:$B$197,B80),),)</f>
        <v>0</v>
      </c>
      <c r="M80" s="381">
        <f>IFERROR(IF(B80="Funkcna poziadavka",VLOOKUP(G80,MODULY_CBA!$B$3:$E$23,3,0),),)</f>
        <v>0</v>
      </c>
      <c r="N80" s="381">
        <f>IFERROR(IF(B80="funkcna poziadavka",VLOOKUP(G80,MODULY_CBA!$B$3:$E$23,2,0),),)</f>
        <v>0</v>
      </c>
      <c r="O80" s="380">
        <f t="shared" si="7"/>
        <v>0</v>
      </c>
      <c r="P80" s="379">
        <f>IFERROR(O80*VLOOKUP(G80,MODULY_CBA!$B$3:$F$23,5,0),)</f>
        <v>0</v>
      </c>
      <c r="Q80" s="481" t="str">
        <f>IFERROR(VLOOKUP(G80,MODULY_CBA!$B$3:$I$23,6,0),"")</f>
        <v>Inkrement 1</v>
      </c>
      <c r="R80" s="383"/>
      <c r="S80" s="383"/>
      <c r="T80" s="383"/>
      <c r="U80" s="383"/>
      <c r="V80" s="383"/>
      <c r="W80" s="383"/>
      <c r="X80" s="383"/>
      <c r="Y80" s="383"/>
      <c r="Z80" s="383"/>
      <c r="AA80" s="383"/>
      <c r="AB80" s="383"/>
      <c r="AC80" s="383"/>
      <c r="AD80" s="383"/>
      <c r="AE80" s="383"/>
    </row>
    <row r="81" spans="1:31" ht="15" x14ac:dyDescent="0.2">
      <c r="A81" s="403" t="s">
        <v>3588</v>
      </c>
      <c r="B81" s="403" t="s">
        <v>1159</v>
      </c>
      <c r="C81" s="534" t="s">
        <v>1307</v>
      </c>
      <c r="D81" s="534" t="s">
        <v>1307</v>
      </c>
      <c r="E81" s="730" t="s">
        <v>1308</v>
      </c>
      <c r="F81" s="387" t="s">
        <v>1163</v>
      </c>
      <c r="G81" s="391" t="s">
        <v>842</v>
      </c>
      <c r="H81" s="381"/>
      <c r="I81" s="381"/>
      <c r="J81" s="381">
        <f t="shared" si="6"/>
        <v>0</v>
      </c>
      <c r="K81" s="381">
        <f t="shared" si="8"/>
        <v>0</v>
      </c>
      <c r="L81" s="647">
        <f>IFERROR(IF(B81="funkcna poziadavka",VLOOKUP(G81,MODULY_CBA!$B$3:$E$23,4,0)*H81/SUMIFS($H$3:$H$197,$G$3:$G$197,G81,$B$3:$B$197,B81),),)</f>
        <v>0</v>
      </c>
      <c r="M81" s="381">
        <f>IFERROR(IF(B81="Funkcna poziadavka",VLOOKUP(G81,MODULY_CBA!$B$3:$E$23,3,0),),)</f>
        <v>0</v>
      </c>
      <c r="N81" s="381">
        <f>IFERROR(IF(B81="funkcna poziadavka",VLOOKUP(G81,MODULY_CBA!$B$3:$E$23,2,0),),)</f>
        <v>0</v>
      </c>
      <c r="O81" s="380">
        <f t="shared" si="7"/>
        <v>0</v>
      </c>
      <c r="P81" s="379">
        <f>IFERROR(O81*VLOOKUP(G81,MODULY_CBA!$B$3:$F$23,5,0),)</f>
        <v>0</v>
      </c>
      <c r="Q81" s="481" t="str">
        <f>IFERROR(VLOOKUP(G81,MODULY_CBA!$B$3:$I$23,6,0),"")</f>
        <v>Inkrement 1</v>
      </c>
      <c r="R81" s="383"/>
      <c r="S81" s="383"/>
      <c r="T81" s="383"/>
      <c r="U81" s="383"/>
      <c r="V81" s="383"/>
      <c r="W81" s="383"/>
      <c r="X81" s="383"/>
      <c r="Y81" s="383"/>
      <c r="Z81" s="383"/>
      <c r="AA81" s="383"/>
      <c r="AB81" s="383"/>
      <c r="AC81" s="383"/>
      <c r="AD81" s="383"/>
      <c r="AE81" s="383"/>
    </row>
    <row r="82" spans="1:31" ht="30" x14ac:dyDescent="0.2">
      <c r="A82" s="403" t="s">
        <v>3589</v>
      </c>
      <c r="B82" s="403" t="s">
        <v>1159</v>
      </c>
      <c r="C82" s="534" t="s">
        <v>1309</v>
      </c>
      <c r="D82" s="534" t="s">
        <v>1309</v>
      </c>
      <c r="E82" s="730" t="s">
        <v>1310</v>
      </c>
      <c r="F82" s="387" t="s">
        <v>1163</v>
      </c>
      <c r="G82" s="391" t="s">
        <v>842</v>
      </c>
      <c r="H82" s="381"/>
      <c r="I82" s="381"/>
      <c r="J82" s="381">
        <f t="shared" si="6"/>
        <v>0</v>
      </c>
      <c r="K82" s="381">
        <f t="shared" si="8"/>
        <v>0</v>
      </c>
      <c r="L82" s="647">
        <f>IFERROR(IF(B82="funkcna poziadavka",VLOOKUP(G82,MODULY_CBA!$B$3:$E$23,4,0)*H82/SUMIFS($H$3:$H$197,$G$3:$G$197,G82,$B$3:$B$197,B82),),)</f>
        <v>0</v>
      </c>
      <c r="M82" s="381">
        <f>IFERROR(IF(B82="Funkcna poziadavka",VLOOKUP(G82,MODULY_CBA!$B$3:$E$23,3,0),),)</f>
        <v>0</v>
      </c>
      <c r="N82" s="381">
        <f>IFERROR(IF(B82="funkcna poziadavka",VLOOKUP(G82,MODULY_CBA!$B$3:$E$23,2,0),),)</f>
        <v>0</v>
      </c>
      <c r="O82" s="380">
        <f t="shared" si="7"/>
        <v>0</v>
      </c>
      <c r="P82" s="379">
        <f>IFERROR(O82*VLOOKUP(G82,MODULY_CBA!$B$3:$F$23,5,0),)</f>
        <v>0</v>
      </c>
      <c r="Q82" s="481" t="str">
        <f>IFERROR(VLOOKUP(G82,MODULY_CBA!$B$3:$I$23,6,0),"")</f>
        <v>Inkrement 1</v>
      </c>
      <c r="R82" s="388"/>
      <c r="S82" s="388"/>
      <c r="T82" s="392"/>
      <c r="U82" s="392"/>
      <c r="V82" s="392"/>
      <c r="W82" s="392"/>
      <c r="X82" s="392"/>
      <c r="Y82" s="392"/>
      <c r="Z82" s="392"/>
      <c r="AA82" s="392"/>
      <c r="AB82" s="392"/>
      <c r="AC82" s="392"/>
      <c r="AD82" s="392"/>
      <c r="AE82" s="392"/>
    </row>
    <row r="83" spans="1:31" ht="30" x14ac:dyDescent="0.2">
      <c r="A83" s="403" t="s">
        <v>3590</v>
      </c>
      <c r="B83" s="403" t="s">
        <v>1159</v>
      </c>
      <c r="C83" s="536" t="s">
        <v>1311</v>
      </c>
      <c r="D83" s="536" t="s">
        <v>1311</v>
      </c>
      <c r="E83" s="730" t="s">
        <v>1312</v>
      </c>
      <c r="F83" s="387" t="s">
        <v>1163</v>
      </c>
      <c r="G83" s="391" t="s">
        <v>842</v>
      </c>
      <c r="H83" s="381"/>
      <c r="I83" s="381"/>
      <c r="J83" s="381">
        <f t="shared" si="6"/>
        <v>0</v>
      </c>
      <c r="K83" s="381">
        <f t="shared" si="8"/>
        <v>0</v>
      </c>
      <c r="L83" s="647">
        <f>IFERROR(IF(B83="funkcna poziadavka",VLOOKUP(G83,MODULY_CBA!$B$3:$E$23,4,0)*H83/SUMIFS($H$3:$H$197,$G$3:$G$197,G83,$B$3:$B$197,B83),),)</f>
        <v>0</v>
      </c>
      <c r="M83" s="381">
        <f>IFERROR(IF(B83="Funkcna poziadavka",VLOOKUP(G83,MODULY_CBA!$B$3:$E$23,3,0),),)</f>
        <v>0</v>
      </c>
      <c r="N83" s="381">
        <f>IFERROR(IF(B83="funkcna poziadavka",VLOOKUP(G83,MODULY_CBA!$B$3:$E$23,2,0),),)</f>
        <v>0</v>
      </c>
      <c r="O83" s="380">
        <f t="shared" si="7"/>
        <v>0</v>
      </c>
      <c r="P83" s="379">
        <f>IFERROR(O83*VLOOKUP(G83,MODULY_CBA!$B$3:$F$23,5,0),)</f>
        <v>0</v>
      </c>
      <c r="Q83" s="481" t="str">
        <f>IFERROR(VLOOKUP(G83,MODULY_CBA!$B$3:$I$23,6,0),"")</f>
        <v>Inkrement 1</v>
      </c>
      <c r="R83" s="388"/>
      <c r="S83" s="388"/>
      <c r="T83" s="392"/>
      <c r="U83" s="392"/>
      <c r="V83" s="392"/>
      <c r="W83" s="392"/>
      <c r="X83" s="392"/>
      <c r="Y83" s="392"/>
      <c r="Z83" s="392"/>
      <c r="AA83" s="392"/>
      <c r="AB83" s="392"/>
      <c r="AC83" s="392"/>
      <c r="AD83" s="392"/>
      <c r="AE83" s="392"/>
    </row>
    <row r="84" spans="1:31" ht="30" x14ac:dyDescent="0.2">
      <c r="A84" s="403" t="s">
        <v>3591</v>
      </c>
      <c r="B84" s="403" t="s">
        <v>1159</v>
      </c>
      <c r="C84" s="539" t="s">
        <v>1313</v>
      </c>
      <c r="D84" s="536" t="s">
        <v>1313</v>
      </c>
      <c r="E84" s="730" t="s">
        <v>1314</v>
      </c>
      <c r="F84" s="387" t="s">
        <v>1163</v>
      </c>
      <c r="G84" s="391" t="s">
        <v>842</v>
      </c>
      <c r="H84" s="381"/>
      <c r="I84" s="381"/>
      <c r="J84" s="381">
        <f t="shared" si="6"/>
        <v>0</v>
      </c>
      <c r="K84" s="381">
        <f t="shared" si="8"/>
        <v>0</v>
      </c>
      <c r="L84" s="647">
        <f>IFERROR(IF(B84="funkcna poziadavka",VLOOKUP(G84,MODULY_CBA!$B$3:$E$23,4,0)*H84/SUMIFS($H$3:$H$197,$G$3:$G$197,G84,$B$3:$B$197,B84),),)</f>
        <v>0</v>
      </c>
      <c r="M84" s="381">
        <f>IFERROR(IF(B84="Funkcna poziadavka",VLOOKUP(G84,MODULY_CBA!$B$3:$E$23,3,0),),)</f>
        <v>0</v>
      </c>
      <c r="N84" s="381">
        <f>IFERROR(IF(B84="funkcna poziadavka",VLOOKUP(G84,MODULY_CBA!$B$3:$E$23,2,0),),)</f>
        <v>0</v>
      </c>
      <c r="O84" s="380">
        <f t="shared" si="7"/>
        <v>0</v>
      </c>
      <c r="P84" s="379">
        <f>IFERROR(O84*VLOOKUP(G84,MODULY_CBA!$B$3:$F$23,5,0),)</f>
        <v>0</v>
      </c>
      <c r="Q84" s="481" t="str">
        <f>IFERROR(VLOOKUP(G84,MODULY_CBA!$B$3:$I$23,6,0),"")</f>
        <v>Inkrement 1</v>
      </c>
      <c r="R84" s="388"/>
      <c r="S84" s="388"/>
      <c r="T84" s="392"/>
      <c r="U84" s="392"/>
      <c r="V84" s="392"/>
      <c r="W84" s="392"/>
      <c r="X84" s="392"/>
      <c r="Y84" s="392"/>
      <c r="Z84" s="392"/>
      <c r="AA84" s="392"/>
      <c r="AB84" s="392"/>
      <c r="AC84" s="392"/>
      <c r="AD84" s="392"/>
      <c r="AE84" s="392"/>
    </row>
    <row r="85" spans="1:31" ht="30" x14ac:dyDescent="0.2">
      <c r="A85" s="403" t="s">
        <v>3592</v>
      </c>
      <c r="B85" s="403" t="s">
        <v>724</v>
      </c>
      <c r="C85" s="536" t="s">
        <v>1315</v>
      </c>
      <c r="D85" s="536" t="s">
        <v>1315</v>
      </c>
      <c r="E85" s="730" t="s">
        <v>1316</v>
      </c>
      <c r="F85" s="387" t="s">
        <v>1163</v>
      </c>
      <c r="G85" s="391" t="s">
        <v>842</v>
      </c>
      <c r="H85" s="381">
        <v>1</v>
      </c>
      <c r="I85" s="381">
        <v>5</v>
      </c>
      <c r="J85" s="381">
        <f t="shared" si="6"/>
        <v>1</v>
      </c>
      <c r="K85" s="381">
        <f t="shared" si="8"/>
        <v>5</v>
      </c>
      <c r="L85" s="647">
        <f>IFERROR(IF(B85="funkcna poziadavka",VLOOKUP(G85,MODULY_CBA!$B$3:$E$23,4,0)*H85/SUMIFS($H$3:$H$197,$G$3:$G$197,G85,$B$3:$B$197,B85),),)</f>
        <v>0.28378378378378377</v>
      </c>
      <c r="M85" s="381">
        <f>IFERROR(IF(B85="Funkcna poziadavka",VLOOKUP(G85,MODULY_CBA!$B$3:$E$23,3,0),),)</f>
        <v>0.76999999999999991</v>
      </c>
      <c r="N85" s="381">
        <f>IFERROR(IF(B85="funkcna poziadavka",VLOOKUP(G85,MODULY_CBA!$B$3:$E$23,2,0),),)</f>
        <v>1.01</v>
      </c>
      <c r="O85" s="380">
        <f t="shared" si="7"/>
        <v>4.1091986486486487</v>
      </c>
      <c r="P85" s="379">
        <f>IFERROR(O85*VLOOKUP(G85,MODULY_CBA!$B$3:$F$23,5,0),)</f>
        <v>82.183972972972981</v>
      </c>
      <c r="Q85" s="481" t="str">
        <f>IFERROR(VLOOKUP(G85,MODULY_CBA!$B$3:$I$23,6,0),"")</f>
        <v>Inkrement 1</v>
      </c>
      <c r="R85" s="388"/>
      <c r="S85" s="388"/>
      <c r="T85" s="392"/>
      <c r="U85" s="392"/>
      <c r="V85" s="392"/>
      <c r="W85" s="392"/>
      <c r="X85" s="392"/>
      <c r="Y85" s="392"/>
      <c r="Z85" s="392"/>
      <c r="AA85" s="392"/>
      <c r="AB85" s="392"/>
      <c r="AC85" s="392"/>
      <c r="AD85" s="392"/>
      <c r="AE85" s="392"/>
    </row>
    <row r="86" spans="1:31" ht="30" x14ac:dyDescent="0.2">
      <c r="A86" s="403" t="s">
        <v>3593</v>
      </c>
      <c r="B86" s="403" t="s">
        <v>724</v>
      </c>
      <c r="C86" s="536" t="s">
        <v>1317</v>
      </c>
      <c r="D86" s="536" t="s">
        <v>1317</v>
      </c>
      <c r="E86" s="730" t="s">
        <v>1318</v>
      </c>
      <c r="F86" s="387" t="s">
        <v>1163</v>
      </c>
      <c r="G86" s="391" t="s">
        <v>842</v>
      </c>
      <c r="H86" s="381">
        <v>1</v>
      </c>
      <c r="I86" s="381">
        <v>5</v>
      </c>
      <c r="J86" s="381">
        <f t="shared" si="6"/>
        <v>1</v>
      </c>
      <c r="K86" s="381">
        <f t="shared" si="8"/>
        <v>5</v>
      </c>
      <c r="L86" s="647">
        <f>IFERROR(IF(B86="funkcna poziadavka",VLOOKUP(G86,MODULY_CBA!$B$3:$E$23,4,0)*H86/SUMIFS($H$3:$H$197,$G$3:$G$197,G86,$B$3:$B$197,B86),),)</f>
        <v>0.28378378378378377</v>
      </c>
      <c r="M86" s="381">
        <f>IFERROR(IF(B86="Funkcna poziadavka",VLOOKUP(G86,MODULY_CBA!$B$3:$E$23,3,0),),)</f>
        <v>0.76999999999999991</v>
      </c>
      <c r="N86" s="381">
        <f>IFERROR(IF(B86="funkcna poziadavka",VLOOKUP(G86,MODULY_CBA!$B$3:$E$23,2,0),),)</f>
        <v>1.01</v>
      </c>
      <c r="O86" s="380">
        <f t="shared" si="7"/>
        <v>4.1091986486486487</v>
      </c>
      <c r="P86" s="379">
        <f>IFERROR(O86*VLOOKUP(G86,MODULY_CBA!$B$3:$F$23,5,0),)</f>
        <v>82.183972972972981</v>
      </c>
      <c r="Q86" s="481" t="str">
        <f>IFERROR(VLOOKUP(G86,MODULY_CBA!$B$3:$I$23,6,0),"")</f>
        <v>Inkrement 1</v>
      </c>
      <c r="R86" s="388"/>
      <c r="S86" s="388"/>
      <c r="T86" s="392"/>
      <c r="U86" s="392"/>
      <c r="V86" s="392"/>
      <c r="W86" s="392"/>
      <c r="X86" s="392"/>
      <c r="Y86" s="392"/>
      <c r="Z86" s="392"/>
      <c r="AA86" s="392"/>
      <c r="AB86" s="392"/>
      <c r="AC86" s="392"/>
      <c r="AD86" s="392"/>
      <c r="AE86" s="392"/>
    </row>
    <row r="87" spans="1:31" ht="15" x14ac:dyDescent="0.2">
      <c r="A87" s="403" t="s">
        <v>3594</v>
      </c>
      <c r="B87" s="403" t="s">
        <v>724</v>
      </c>
      <c r="C87" s="536" t="s">
        <v>1319</v>
      </c>
      <c r="D87" s="536" t="s">
        <v>1319</v>
      </c>
      <c r="E87" s="730" t="s">
        <v>1320</v>
      </c>
      <c r="F87" s="387" t="s">
        <v>1163</v>
      </c>
      <c r="G87" s="391" t="s">
        <v>842</v>
      </c>
      <c r="H87" s="381">
        <v>1</v>
      </c>
      <c r="I87" s="381">
        <v>5</v>
      </c>
      <c r="J87" s="381">
        <f t="shared" si="6"/>
        <v>1</v>
      </c>
      <c r="K87" s="381">
        <f t="shared" si="8"/>
        <v>5</v>
      </c>
      <c r="L87" s="647">
        <f>IFERROR(IF(B87="funkcna poziadavka",VLOOKUP(G87,MODULY_CBA!$B$3:$E$23,4,0)*H87/SUMIFS($H$3:$H$197,$G$3:$G$197,G87,$B$3:$B$197,B87),),)</f>
        <v>0.28378378378378377</v>
      </c>
      <c r="M87" s="381">
        <f>IFERROR(IF(B87="Funkcna poziadavka",VLOOKUP(G87,MODULY_CBA!$B$3:$E$23,3,0),),)</f>
        <v>0.76999999999999991</v>
      </c>
      <c r="N87" s="381">
        <f>IFERROR(IF(B87="funkcna poziadavka",VLOOKUP(G87,MODULY_CBA!$B$3:$E$23,2,0),),)</f>
        <v>1.01</v>
      </c>
      <c r="O87" s="380">
        <f t="shared" si="7"/>
        <v>4.1091986486486487</v>
      </c>
      <c r="P87" s="379">
        <f>IFERROR(O87*VLOOKUP(G87,MODULY_CBA!$B$3:$F$23,5,0),)</f>
        <v>82.183972972972981</v>
      </c>
      <c r="Q87" s="481" t="str">
        <f>IFERROR(VLOOKUP(G87,MODULY_CBA!$B$3:$I$23,6,0),"")</f>
        <v>Inkrement 1</v>
      </c>
      <c r="R87" s="388"/>
      <c r="S87" s="388"/>
      <c r="T87" s="392"/>
      <c r="U87" s="392"/>
      <c r="V87" s="392"/>
      <c r="W87" s="392"/>
      <c r="X87" s="392"/>
      <c r="Y87" s="392"/>
      <c r="Z87" s="392"/>
      <c r="AA87" s="392"/>
      <c r="AB87" s="392"/>
      <c r="AC87" s="392"/>
      <c r="AD87" s="392"/>
      <c r="AE87" s="392"/>
    </row>
    <row r="88" spans="1:31" ht="30" x14ac:dyDescent="0.2">
      <c r="A88" s="403" t="s">
        <v>3595</v>
      </c>
      <c r="B88" s="403" t="s">
        <v>724</v>
      </c>
      <c r="C88" s="539" t="s">
        <v>1321</v>
      </c>
      <c r="D88" s="536" t="s">
        <v>1321</v>
      </c>
      <c r="E88" s="730" t="s">
        <v>1322</v>
      </c>
      <c r="F88" s="387" t="s">
        <v>1163</v>
      </c>
      <c r="G88" s="391" t="s">
        <v>842</v>
      </c>
      <c r="H88" s="381">
        <v>1</v>
      </c>
      <c r="I88" s="381">
        <v>5</v>
      </c>
      <c r="J88" s="381">
        <f t="shared" si="6"/>
        <v>1</v>
      </c>
      <c r="K88" s="381">
        <f t="shared" si="8"/>
        <v>5</v>
      </c>
      <c r="L88" s="647">
        <f>IFERROR(IF(B88="funkcna poziadavka",VLOOKUP(G88,MODULY_CBA!$B$3:$E$23,4,0)*H88/SUMIFS($H$3:$H$197,$G$3:$G$197,G88,$B$3:$B$197,B88),),)</f>
        <v>0.28378378378378377</v>
      </c>
      <c r="M88" s="381">
        <f>IFERROR(IF(B88="Funkcna poziadavka",VLOOKUP(G88,MODULY_CBA!$B$3:$E$23,3,0),),)</f>
        <v>0.76999999999999991</v>
      </c>
      <c r="N88" s="381">
        <f>IFERROR(IF(B88="funkcna poziadavka",VLOOKUP(G88,MODULY_CBA!$B$3:$E$23,2,0),),)</f>
        <v>1.01</v>
      </c>
      <c r="O88" s="380">
        <f t="shared" si="7"/>
        <v>4.1091986486486487</v>
      </c>
      <c r="P88" s="379">
        <f>IFERROR(O88*VLOOKUP(G88,MODULY_CBA!$B$3:$F$23,5,0),)</f>
        <v>82.183972972972981</v>
      </c>
      <c r="Q88" s="481" t="str">
        <f>IFERROR(VLOOKUP(G88,MODULY_CBA!$B$3:$I$23,6,0),"")</f>
        <v>Inkrement 1</v>
      </c>
      <c r="R88" s="386"/>
      <c r="S88" s="386"/>
      <c r="T88" s="386"/>
      <c r="U88" s="386"/>
      <c r="V88" s="386"/>
      <c r="W88" s="386"/>
      <c r="X88" s="386"/>
      <c r="Y88" s="386"/>
      <c r="Z88" s="386"/>
      <c r="AA88" s="386"/>
      <c r="AB88" s="386"/>
      <c r="AC88" s="386"/>
      <c r="AD88" s="386"/>
      <c r="AE88" s="386"/>
    </row>
    <row r="89" spans="1:31" ht="30" x14ac:dyDescent="0.2">
      <c r="A89" s="403" t="s">
        <v>3596</v>
      </c>
      <c r="B89" s="403" t="s">
        <v>724</v>
      </c>
      <c r="C89" s="391" t="s">
        <v>1323</v>
      </c>
      <c r="D89" s="540" t="s">
        <v>1323</v>
      </c>
      <c r="E89" s="730" t="s">
        <v>1324</v>
      </c>
      <c r="F89" s="387" t="s">
        <v>1163</v>
      </c>
      <c r="G89" s="391" t="s">
        <v>842</v>
      </c>
      <c r="H89" s="381">
        <v>1</v>
      </c>
      <c r="I89" s="381">
        <v>5</v>
      </c>
      <c r="J89" s="381">
        <f t="shared" si="6"/>
        <v>1</v>
      </c>
      <c r="K89" s="381">
        <f t="shared" si="8"/>
        <v>5</v>
      </c>
      <c r="L89" s="647">
        <f>IFERROR(IF(B89="funkcna poziadavka",VLOOKUP(G89,MODULY_CBA!$B$3:$E$23,4,0)*H89/SUMIFS($H$3:$H$197,$G$3:$G$197,G89,$B$3:$B$197,B89),),)</f>
        <v>0.28378378378378377</v>
      </c>
      <c r="M89" s="381">
        <f>IFERROR(IF(B89="Funkcna poziadavka",VLOOKUP(G89,MODULY_CBA!$B$3:$E$23,3,0),),)</f>
        <v>0.76999999999999991</v>
      </c>
      <c r="N89" s="381">
        <f>IFERROR(IF(B89="funkcna poziadavka",VLOOKUP(G89,MODULY_CBA!$B$3:$E$23,2,0),),)</f>
        <v>1.01</v>
      </c>
      <c r="O89" s="380">
        <f t="shared" si="7"/>
        <v>4.1091986486486487</v>
      </c>
      <c r="P89" s="379">
        <f>IFERROR(O89*VLOOKUP(G89,MODULY_CBA!$B$3:$F$23,5,0),)</f>
        <v>82.183972972972981</v>
      </c>
      <c r="Q89" s="481" t="str">
        <f>IFERROR(VLOOKUP(G89,MODULY_CBA!$B$3:$I$23,6,0),"")</f>
        <v>Inkrement 1</v>
      </c>
      <c r="R89" s="386"/>
      <c r="S89" s="386"/>
      <c r="T89" s="386"/>
      <c r="U89" s="386"/>
      <c r="V89" s="386"/>
      <c r="W89" s="386"/>
      <c r="X89" s="386"/>
      <c r="Y89" s="386"/>
      <c r="Z89" s="386"/>
      <c r="AA89" s="386"/>
      <c r="AB89" s="386"/>
      <c r="AC89" s="386"/>
      <c r="AD89" s="386"/>
      <c r="AE89" s="386"/>
    </row>
    <row r="90" spans="1:31" ht="30" x14ac:dyDescent="0.2">
      <c r="A90" s="403" t="s">
        <v>3597</v>
      </c>
      <c r="B90" s="403" t="s">
        <v>724</v>
      </c>
      <c r="C90" s="391" t="s">
        <v>1325</v>
      </c>
      <c r="D90" s="540" t="s">
        <v>1325</v>
      </c>
      <c r="E90" s="730" t="s">
        <v>1326</v>
      </c>
      <c r="F90" s="387" t="s">
        <v>1163</v>
      </c>
      <c r="G90" s="391" t="s">
        <v>842</v>
      </c>
      <c r="H90" s="381">
        <v>1</v>
      </c>
      <c r="I90" s="381">
        <v>5</v>
      </c>
      <c r="J90" s="381">
        <f t="shared" si="6"/>
        <v>1</v>
      </c>
      <c r="K90" s="381">
        <f t="shared" si="8"/>
        <v>5</v>
      </c>
      <c r="L90" s="647">
        <f>IFERROR(IF(B90="funkcna poziadavka",VLOOKUP(G90,MODULY_CBA!$B$3:$E$23,4,0)*H90/SUMIFS($H$3:$H$197,$G$3:$G$197,G90,$B$3:$B$197,B90),),)</f>
        <v>0.28378378378378377</v>
      </c>
      <c r="M90" s="381">
        <f>IFERROR(IF(B90="Funkcna poziadavka",VLOOKUP(G90,MODULY_CBA!$B$3:$E$23,3,0),),)</f>
        <v>0.76999999999999991</v>
      </c>
      <c r="N90" s="381">
        <f>IFERROR(IF(B90="funkcna poziadavka",VLOOKUP(G90,MODULY_CBA!$B$3:$E$23,2,0),),)</f>
        <v>1.01</v>
      </c>
      <c r="O90" s="380">
        <f t="shared" si="7"/>
        <v>4.1091986486486487</v>
      </c>
      <c r="P90" s="379">
        <f>IFERROR(O90*VLOOKUP(G90,MODULY_CBA!$B$3:$F$23,5,0),)</f>
        <v>82.183972972972981</v>
      </c>
      <c r="Q90" s="481" t="str">
        <f>IFERROR(VLOOKUP(G90,MODULY_CBA!$B$3:$I$23,6,0),"")</f>
        <v>Inkrement 1</v>
      </c>
      <c r="R90" s="386"/>
      <c r="S90" s="386"/>
      <c r="T90" s="386"/>
      <c r="U90" s="386"/>
      <c r="V90" s="386"/>
      <c r="W90" s="386"/>
      <c r="X90" s="386"/>
      <c r="Y90" s="386"/>
      <c r="Z90" s="386"/>
      <c r="AA90" s="386"/>
      <c r="AB90" s="386"/>
      <c r="AC90" s="386"/>
      <c r="AD90" s="386"/>
      <c r="AE90" s="386"/>
    </row>
    <row r="91" spans="1:31" ht="30" x14ac:dyDescent="0.2">
      <c r="A91" s="403" t="s">
        <v>3598</v>
      </c>
      <c r="B91" s="403" t="s">
        <v>724</v>
      </c>
      <c r="C91" s="391" t="s">
        <v>1327</v>
      </c>
      <c r="D91" s="536" t="s">
        <v>1327</v>
      </c>
      <c r="E91" s="730" t="s">
        <v>1328</v>
      </c>
      <c r="F91" s="387" t="s">
        <v>1163</v>
      </c>
      <c r="G91" s="391" t="s">
        <v>842</v>
      </c>
      <c r="H91" s="381">
        <v>1</v>
      </c>
      <c r="I91" s="381">
        <v>5</v>
      </c>
      <c r="J91" s="381">
        <f t="shared" si="6"/>
        <v>1</v>
      </c>
      <c r="K91" s="381">
        <f t="shared" si="8"/>
        <v>5</v>
      </c>
      <c r="L91" s="647">
        <f>IFERROR(IF(B91="funkcna poziadavka",VLOOKUP(G91,MODULY_CBA!$B$3:$E$23,4,0)*H91/SUMIFS($H$3:$H$197,$G$3:$G$197,G91,$B$3:$B$197,B91),),)</f>
        <v>0.28378378378378377</v>
      </c>
      <c r="M91" s="381">
        <f>IFERROR(IF(B91="Funkcna poziadavka",VLOOKUP(G91,MODULY_CBA!$B$3:$E$23,3,0),),)</f>
        <v>0.76999999999999991</v>
      </c>
      <c r="N91" s="381">
        <f>IFERROR(IF(B91="funkcna poziadavka",VLOOKUP(G91,MODULY_CBA!$B$3:$E$23,2,0),),)</f>
        <v>1.01</v>
      </c>
      <c r="O91" s="380">
        <f t="shared" si="7"/>
        <v>4.1091986486486487</v>
      </c>
      <c r="P91" s="379">
        <f>IFERROR(O91*VLOOKUP(G91,MODULY_CBA!$B$3:$F$23,5,0),)</f>
        <v>82.183972972972981</v>
      </c>
      <c r="Q91" s="481" t="str">
        <f>IFERROR(VLOOKUP(G91,MODULY_CBA!$B$3:$I$23,6,0),"")</f>
        <v>Inkrement 1</v>
      </c>
      <c r="R91" s="386"/>
      <c r="S91" s="386"/>
      <c r="T91" s="386"/>
      <c r="U91" s="386"/>
      <c r="V91" s="386"/>
      <c r="W91" s="386"/>
      <c r="X91" s="386"/>
      <c r="Y91" s="386"/>
      <c r="Z91" s="386"/>
      <c r="AA91" s="386"/>
      <c r="AB91" s="386"/>
      <c r="AC91" s="386"/>
      <c r="AD91" s="386"/>
      <c r="AE91" s="386"/>
    </row>
    <row r="92" spans="1:31" ht="30" x14ac:dyDescent="0.2">
      <c r="A92" s="403" t="s">
        <v>3599</v>
      </c>
      <c r="B92" s="403" t="s">
        <v>724</v>
      </c>
      <c r="C92" s="391" t="s">
        <v>1329</v>
      </c>
      <c r="D92" s="536" t="s">
        <v>1329</v>
      </c>
      <c r="E92" s="731" t="s">
        <v>1330</v>
      </c>
      <c r="F92" s="387" t="s">
        <v>1163</v>
      </c>
      <c r="G92" s="391" t="s">
        <v>842</v>
      </c>
      <c r="H92" s="381">
        <v>1</v>
      </c>
      <c r="I92" s="381">
        <v>5</v>
      </c>
      <c r="J92" s="381">
        <f t="shared" si="6"/>
        <v>1</v>
      </c>
      <c r="K92" s="381">
        <f t="shared" si="8"/>
        <v>5</v>
      </c>
      <c r="L92" s="647">
        <f>IFERROR(IF(B92="funkcna poziadavka",VLOOKUP(G92,MODULY_CBA!$B$3:$E$23,4,0)*H92/SUMIFS($H$3:$H$197,$G$3:$G$197,G92,$B$3:$B$197,B92),),)</f>
        <v>0.28378378378378377</v>
      </c>
      <c r="M92" s="381">
        <f>IFERROR(IF(B92="Funkcna poziadavka",VLOOKUP(G92,MODULY_CBA!$B$3:$E$23,3,0),),)</f>
        <v>0.76999999999999991</v>
      </c>
      <c r="N92" s="381">
        <f>IFERROR(IF(B92="funkcna poziadavka",VLOOKUP(G92,MODULY_CBA!$B$3:$E$23,2,0),),)</f>
        <v>1.01</v>
      </c>
      <c r="O92" s="380">
        <f t="shared" si="7"/>
        <v>4.1091986486486487</v>
      </c>
      <c r="P92" s="379">
        <f>IFERROR(O92*VLOOKUP(G92,MODULY_CBA!$B$3:$F$23,5,0),)</f>
        <v>82.183972972972981</v>
      </c>
      <c r="Q92" s="481" t="str">
        <f>IFERROR(VLOOKUP(G92,MODULY_CBA!$B$3:$I$23,6,0),"")</f>
        <v>Inkrement 1</v>
      </c>
      <c r="R92" s="386"/>
      <c r="S92" s="386"/>
      <c r="T92" s="386"/>
      <c r="U92" s="386"/>
      <c r="V92" s="386"/>
      <c r="W92" s="386"/>
      <c r="X92" s="386"/>
      <c r="Y92" s="386"/>
      <c r="Z92" s="386"/>
      <c r="AA92" s="386"/>
      <c r="AB92" s="386"/>
      <c r="AC92" s="386"/>
      <c r="AD92" s="386"/>
      <c r="AE92" s="386"/>
    </row>
    <row r="93" spans="1:31" ht="30" x14ac:dyDescent="0.2">
      <c r="A93" s="403" t="s">
        <v>3600</v>
      </c>
      <c r="B93" s="403" t="s">
        <v>724</v>
      </c>
      <c r="C93" s="391" t="s">
        <v>1331</v>
      </c>
      <c r="D93" s="536" t="s">
        <v>1331</v>
      </c>
      <c r="E93" s="731" t="s">
        <v>1332</v>
      </c>
      <c r="F93" s="387" t="s">
        <v>1163</v>
      </c>
      <c r="G93" s="391" t="s">
        <v>842</v>
      </c>
      <c r="H93" s="381">
        <v>1</v>
      </c>
      <c r="I93" s="381">
        <v>5</v>
      </c>
      <c r="J93" s="381">
        <f t="shared" si="6"/>
        <v>1</v>
      </c>
      <c r="K93" s="381">
        <f t="shared" si="8"/>
        <v>5</v>
      </c>
      <c r="L93" s="647">
        <f>IFERROR(IF(B93="funkcna poziadavka",VLOOKUP(G93,MODULY_CBA!$B$3:$E$23,4,0)*H93/SUMIFS($H$3:$H$197,$G$3:$G$197,G93,$B$3:$B$197,B93),),)</f>
        <v>0.28378378378378377</v>
      </c>
      <c r="M93" s="381">
        <f>IFERROR(IF(B93="Funkcna poziadavka",VLOOKUP(G93,MODULY_CBA!$B$3:$E$23,3,0),),)</f>
        <v>0.76999999999999991</v>
      </c>
      <c r="N93" s="381">
        <f>IFERROR(IF(B93="funkcna poziadavka",VLOOKUP(G93,MODULY_CBA!$B$3:$E$23,2,0),),)</f>
        <v>1.01</v>
      </c>
      <c r="O93" s="380">
        <f t="shared" si="7"/>
        <v>4.1091986486486487</v>
      </c>
      <c r="P93" s="379">
        <f>IFERROR(O93*VLOOKUP(G93,MODULY_CBA!$B$3:$F$23,5,0),)</f>
        <v>82.183972972972981</v>
      </c>
      <c r="Q93" s="481" t="str">
        <f>IFERROR(VLOOKUP(G93,MODULY_CBA!$B$3:$I$23,6,0),"")</f>
        <v>Inkrement 1</v>
      </c>
      <c r="R93" s="386"/>
      <c r="S93" s="386"/>
      <c r="T93" s="386"/>
      <c r="U93" s="386"/>
      <c r="V93" s="386"/>
      <c r="W93" s="386"/>
      <c r="X93" s="386"/>
      <c r="Y93" s="386"/>
      <c r="Z93" s="386"/>
      <c r="AA93" s="386"/>
      <c r="AB93" s="386"/>
      <c r="AC93" s="386"/>
      <c r="AD93" s="386"/>
      <c r="AE93" s="386"/>
    </row>
    <row r="94" spans="1:31" ht="30" x14ac:dyDescent="0.2">
      <c r="A94" s="403" t="s">
        <v>3601</v>
      </c>
      <c r="B94" s="403" t="s">
        <v>724</v>
      </c>
      <c r="C94" s="391" t="s">
        <v>1333</v>
      </c>
      <c r="D94" s="536" t="s">
        <v>1333</v>
      </c>
      <c r="E94" s="731" t="s">
        <v>1334</v>
      </c>
      <c r="F94" s="387" t="s">
        <v>1163</v>
      </c>
      <c r="G94" s="391" t="s">
        <v>842</v>
      </c>
      <c r="H94" s="381">
        <v>1</v>
      </c>
      <c r="I94" s="381">
        <v>5</v>
      </c>
      <c r="J94" s="381">
        <f t="shared" si="6"/>
        <v>1</v>
      </c>
      <c r="K94" s="381">
        <f t="shared" si="8"/>
        <v>5</v>
      </c>
      <c r="L94" s="647">
        <f>IFERROR(IF(B94="funkcna poziadavka",VLOOKUP(G94,MODULY_CBA!$B$3:$E$23,4,0)*H94/SUMIFS($H$3:$H$197,$G$3:$G$197,G94,$B$3:$B$197,B94),),)</f>
        <v>0.28378378378378377</v>
      </c>
      <c r="M94" s="381">
        <f>IFERROR(IF(B94="Funkcna poziadavka",VLOOKUP(G94,MODULY_CBA!$B$3:$E$23,3,0),),)</f>
        <v>0.76999999999999991</v>
      </c>
      <c r="N94" s="381">
        <f>IFERROR(IF(B94="funkcna poziadavka",VLOOKUP(G94,MODULY_CBA!$B$3:$E$23,2,0),),)</f>
        <v>1.01</v>
      </c>
      <c r="O94" s="380">
        <f t="shared" si="7"/>
        <v>4.1091986486486487</v>
      </c>
      <c r="P94" s="379">
        <f>IFERROR(O94*VLOOKUP(G94,MODULY_CBA!$B$3:$F$23,5,0),)</f>
        <v>82.183972972972981</v>
      </c>
      <c r="Q94" s="481" t="str">
        <f>IFERROR(VLOOKUP(G94,MODULY_CBA!$B$3:$I$23,6,0),"")</f>
        <v>Inkrement 1</v>
      </c>
      <c r="R94" s="386"/>
      <c r="S94" s="386"/>
      <c r="T94" s="386"/>
      <c r="U94" s="386"/>
      <c r="V94" s="386"/>
      <c r="W94" s="386"/>
      <c r="X94" s="386"/>
      <c r="Y94" s="386"/>
      <c r="Z94" s="386"/>
      <c r="AA94" s="386"/>
      <c r="AB94" s="386"/>
      <c r="AC94" s="386"/>
      <c r="AD94" s="386"/>
      <c r="AE94" s="386"/>
    </row>
    <row r="95" spans="1:31" ht="30" x14ac:dyDescent="0.2">
      <c r="A95" s="403" t="s">
        <v>3602</v>
      </c>
      <c r="B95" s="403" t="s">
        <v>724</v>
      </c>
      <c r="C95" s="391" t="s">
        <v>1335</v>
      </c>
      <c r="D95" s="536" t="s">
        <v>1335</v>
      </c>
      <c r="E95" s="731" t="s">
        <v>1336</v>
      </c>
      <c r="F95" s="387" t="s">
        <v>1163</v>
      </c>
      <c r="G95" s="391" t="s">
        <v>842</v>
      </c>
      <c r="H95" s="381">
        <v>1</v>
      </c>
      <c r="I95" s="381">
        <v>5</v>
      </c>
      <c r="J95" s="381">
        <f t="shared" si="6"/>
        <v>1</v>
      </c>
      <c r="K95" s="381">
        <f t="shared" si="8"/>
        <v>5</v>
      </c>
      <c r="L95" s="647">
        <f>IFERROR(IF(B95="funkcna poziadavka",VLOOKUP(G95,MODULY_CBA!$B$3:$E$23,4,0)*H95/SUMIFS($H$3:$H$197,$G$3:$G$197,G95,$B$3:$B$197,B95),),)</f>
        <v>0.28378378378378377</v>
      </c>
      <c r="M95" s="381">
        <f>IFERROR(IF(B95="Funkcna poziadavka",VLOOKUP(G95,MODULY_CBA!$B$3:$E$23,3,0),),)</f>
        <v>0.76999999999999991</v>
      </c>
      <c r="N95" s="381">
        <f>IFERROR(IF(B95="funkcna poziadavka",VLOOKUP(G95,MODULY_CBA!$B$3:$E$23,2,0),),)</f>
        <v>1.01</v>
      </c>
      <c r="O95" s="380">
        <f t="shared" si="7"/>
        <v>4.1091986486486487</v>
      </c>
      <c r="P95" s="379">
        <f>IFERROR(O95*VLOOKUP(G95,MODULY_CBA!$B$3:$F$23,5,0),)</f>
        <v>82.183972972972981</v>
      </c>
      <c r="Q95" s="481" t="str">
        <f>IFERROR(VLOOKUP(G95,MODULY_CBA!$B$3:$I$23,6,0),"")</f>
        <v>Inkrement 1</v>
      </c>
      <c r="R95" s="386"/>
      <c r="S95" s="386"/>
      <c r="T95" s="386"/>
      <c r="U95" s="386"/>
      <c r="V95" s="386"/>
      <c r="W95" s="386"/>
      <c r="X95" s="386"/>
      <c r="Y95" s="386"/>
      <c r="Z95" s="386"/>
      <c r="AA95" s="386"/>
      <c r="AB95" s="386"/>
      <c r="AC95" s="386"/>
      <c r="AD95" s="386"/>
      <c r="AE95" s="386"/>
    </row>
    <row r="96" spans="1:31" ht="30" x14ac:dyDescent="0.2">
      <c r="A96" s="403" t="s">
        <v>3603</v>
      </c>
      <c r="B96" s="403" t="s">
        <v>724</v>
      </c>
      <c r="C96" s="391" t="s">
        <v>1337</v>
      </c>
      <c r="D96" s="536" t="s">
        <v>1337</v>
      </c>
      <c r="E96" s="731" t="s">
        <v>1338</v>
      </c>
      <c r="F96" s="387" t="s">
        <v>1163</v>
      </c>
      <c r="G96" s="391" t="s">
        <v>842</v>
      </c>
      <c r="H96" s="381">
        <v>1</v>
      </c>
      <c r="I96" s="381">
        <v>5</v>
      </c>
      <c r="J96" s="381">
        <f t="shared" si="6"/>
        <v>1</v>
      </c>
      <c r="K96" s="381">
        <f t="shared" si="8"/>
        <v>5</v>
      </c>
      <c r="L96" s="647">
        <f>IFERROR(IF(B96="funkcna poziadavka",VLOOKUP(G96,MODULY_CBA!$B$3:$E$23,4,0)*H96/SUMIFS($H$3:$H$197,$G$3:$G$197,G96,$B$3:$B$197,B96),),)</f>
        <v>0.28378378378378377</v>
      </c>
      <c r="M96" s="381">
        <f>IFERROR(IF(B96="Funkcna poziadavka",VLOOKUP(G96,MODULY_CBA!$B$3:$E$23,3,0),),)</f>
        <v>0.76999999999999991</v>
      </c>
      <c r="N96" s="381">
        <f>IFERROR(IF(B96="funkcna poziadavka",VLOOKUP(G96,MODULY_CBA!$B$3:$E$23,2,0),),)</f>
        <v>1.01</v>
      </c>
      <c r="O96" s="380">
        <f t="shared" si="7"/>
        <v>4.1091986486486487</v>
      </c>
      <c r="P96" s="379">
        <f>IFERROR(O96*VLOOKUP(G96,MODULY_CBA!$B$3:$F$23,5,0),)</f>
        <v>82.183972972972981</v>
      </c>
      <c r="Q96" s="481" t="str">
        <f>IFERROR(VLOOKUP(G96,MODULY_CBA!$B$3:$I$23,6,0),"")</f>
        <v>Inkrement 1</v>
      </c>
      <c r="R96" s="385"/>
      <c r="S96" s="385"/>
      <c r="T96" s="385"/>
      <c r="U96" s="385"/>
      <c r="V96" s="390"/>
      <c r="W96" s="389"/>
      <c r="X96" s="389"/>
      <c r="Y96" s="385"/>
      <c r="Z96" s="385"/>
      <c r="AA96" s="385"/>
      <c r="AB96" s="385"/>
      <c r="AC96" s="385"/>
      <c r="AD96" s="385"/>
      <c r="AE96" s="385"/>
    </row>
    <row r="97" spans="1:31" ht="15" x14ac:dyDescent="0.2">
      <c r="A97" s="403" t="s">
        <v>3604</v>
      </c>
      <c r="B97" s="403" t="s">
        <v>724</v>
      </c>
      <c r="C97" s="391" t="s">
        <v>1339</v>
      </c>
      <c r="D97" s="391" t="s">
        <v>1339</v>
      </c>
      <c r="E97" s="731" t="s">
        <v>1340</v>
      </c>
      <c r="F97" s="387" t="s">
        <v>1163</v>
      </c>
      <c r="G97" s="391" t="s">
        <v>842</v>
      </c>
      <c r="H97" s="381">
        <v>1</v>
      </c>
      <c r="I97" s="381">
        <v>5</v>
      </c>
      <c r="J97" s="381">
        <f t="shared" si="6"/>
        <v>1</v>
      </c>
      <c r="K97" s="381">
        <f t="shared" si="8"/>
        <v>5</v>
      </c>
      <c r="L97" s="647">
        <f>IFERROR(IF(B97="funkcna poziadavka",VLOOKUP(G97,MODULY_CBA!$B$3:$E$23,4,0)*H97/SUMIFS($H$3:$H$197,$G$3:$G$197,G97,$B$3:$B$197,B97),),)</f>
        <v>0.28378378378378377</v>
      </c>
      <c r="M97" s="381">
        <f>IFERROR(IF(B97="Funkcna poziadavka",VLOOKUP(G97,MODULY_CBA!$B$3:$E$23,3,0),),)</f>
        <v>0.76999999999999991</v>
      </c>
      <c r="N97" s="381">
        <f>IFERROR(IF(B97="funkcna poziadavka",VLOOKUP(G97,MODULY_CBA!$B$3:$E$23,2,0),),)</f>
        <v>1.01</v>
      </c>
      <c r="O97" s="380">
        <f t="shared" si="7"/>
        <v>4.1091986486486487</v>
      </c>
      <c r="P97" s="379">
        <f>IFERROR(O97*VLOOKUP(G97,MODULY_CBA!$B$3:$F$23,5,0),)</f>
        <v>82.183972972972981</v>
      </c>
      <c r="Q97" s="481" t="str">
        <f>IFERROR(VLOOKUP(G97,MODULY_CBA!$B$3:$I$23,6,0),"")</f>
        <v>Inkrement 1</v>
      </c>
      <c r="R97" s="386"/>
      <c r="S97" s="386"/>
      <c r="T97" s="386"/>
      <c r="U97" s="386"/>
      <c r="V97" s="386"/>
      <c r="W97" s="386"/>
      <c r="X97" s="386"/>
      <c r="Y97" s="386"/>
      <c r="Z97" s="386"/>
      <c r="AA97" s="386"/>
      <c r="AB97" s="386"/>
      <c r="AC97" s="386"/>
      <c r="AD97" s="386"/>
      <c r="AE97" s="386"/>
    </row>
    <row r="98" spans="1:31" ht="30" x14ac:dyDescent="0.2">
      <c r="A98" s="403" t="s">
        <v>3605</v>
      </c>
      <c r="B98" s="403" t="s">
        <v>1185</v>
      </c>
      <c r="C98" s="391" t="s">
        <v>1341</v>
      </c>
      <c r="D98" s="536" t="s">
        <v>1341</v>
      </c>
      <c r="E98" s="732" t="s">
        <v>1342</v>
      </c>
      <c r="F98" s="387" t="s">
        <v>1163</v>
      </c>
      <c r="G98" s="391" t="s">
        <v>842</v>
      </c>
      <c r="H98" s="652"/>
      <c r="I98" s="652"/>
      <c r="J98" s="381">
        <f t="shared" ref="J98:J129" si="9">IF(ISNUMBER(H98),H98,)</f>
        <v>0</v>
      </c>
      <c r="K98" s="381">
        <f t="shared" si="8"/>
        <v>0</v>
      </c>
      <c r="L98" s="647">
        <f>IFERROR(IF(B98="funkcna poziadavka",VLOOKUP(G98,MODULY_CBA!$B$3:$E$23,4,0)*H98/SUMIFS($H$3:$H$197,$G$3:$G$197,G98,$B$3:$B$197,B98),),)</f>
        <v>0</v>
      </c>
      <c r="M98" s="381">
        <f>IFERROR(IF(B98="Funkcna poziadavka",VLOOKUP(G98,MODULY_CBA!$B$3:$E$23,3,0),),)</f>
        <v>0</v>
      </c>
      <c r="N98" s="381">
        <f>IFERROR(IF(B98="funkcna poziadavka",VLOOKUP(G98,MODULY_CBA!$B$3:$E$23,2,0),),)</f>
        <v>0</v>
      </c>
      <c r="O98" s="380">
        <f t="shared" ref="O98:O129" si="10">(K98+L98)*M98*N98</f>
        <v>0</v>
      </c>
      <c r="P98" s="379">
        <f>IFERROR(O98*VLOOKUP(G98,MODULY_CBA!$B$3:$F$23,5,0),)</f>
        <v>0</v>
      </c>
      <c r="Q98" s="481" t="str">
        <f>IFERROR(VLOOKUP(G98,MODULY_CBA!$B$3:$I$23,6,0),"")</f>
        <v>Inkrement 1</v>
      </c>
      <c r="R98" s="386"/>
      <c r="S98" s="386"/>
      <c r="T98" s="386"/>
      <c r="U98" s="386"/>
      <c r="V98" s="386"/>
      <c r="W98" s="386"/>
      <c r="X98" s="386"/>
      <c r="Y98" s="386"/>
      <c r="Z98" s="386"/>
      <c r="AA98" s="386"/>
      <c r="AB98" s="386"/>
      <c r="AC98" s="386"/>
      <c r="AD98" s="386"/>
      <c r="AE98" s="386"/>
    </row>
    <row r="99" spans="1:31" ht="30" x14ac:dyDescent="0.2">
      <c r="A99" s="403" t="s">
        <v>3606</v>
      </c>
      <c r="B99" s="403" t="s">
        <v>724</v>
      </c>
      <c r="C99" s="387" t="s">
        <v>1343</v>
      </c>
      <c r="D99" s="536" t="s">
        <v>1343</v>
      </c>
      <c r="E99" s="732" t="s">
        <v>1344</v>
      </c>
      <c r="F99" s="387" t="s">
        <v>1163</v>
      </c>
      <c r="G99" s="391" t="s">
        <v>842</v>
      </c>
      <c r="H99" s="381">
        <v>1</v>
      </c>
      <c r="I99" s="381">
        <v>5</v>
      </c>
      <c r="J99" s="381">
        <f t="shared" si="9"/>
        <v>1</v>
      </c>
      <c r="K99" s="381">
        <f t="shared" si="8"/>
        <v>5</v>
      </c>
      <c r="L99" s="647">
        <f>IFERROR(IF(B99="funkcna poziadavka",VLOOKUP(G99,MODULY_CBA!$B$3:$E$23,4,0)*H99/SUMIFS($H$3:$H$197,$G$3:$G$197,G99,$B$3:$B$197,B99),),)</f>
        <v>0.28378378378378377</v>
      </c>
      <c r="M99" s="381">
        <f>IFERROR(IF(B99="Funkcna poziadavka",VLOOKUP(G99,MODULY_CBA!$B$3:$E$23,3,0),),)</f>
        <v>0.76999999999999991</v>
      </c>
      <c r="N99" s="381">
        <f>IFERROR(IF(B99="funkcna poziadavka",VLOOKUP(G99,MODULY_CBA!$B$3:$E$23,2,0),),)</f>
        <v>1.01</v>
      </c>
      <c r="O99" s="380">
        <f t="shared" si="10"/>
        <v>4.1091986486486487</v>
      </c>
      <c r="P99" s="379">
        <f>IFERROR(O99*VLOOKUP(G99,MODULY_CBA!$B$3:$F$23,5,0),)</f>
        <v>82.183972972972981</v>
      </c>
      <c r="Q99" s="481" t="str">
        <f>IFERROR(VLOOKUP(G99,MODULY_CBA!$B$3:$I$23,6,0),"")</f>
        <v>Inkrement 1</v>
      </c>
      <c r="R99" s="386"/>
      <c r="S99" s="386"/>
      <c r="T99" s="386"/>
      <c r="U99" s="386"/>
      <c r="V99" s="386"/>
      <c r="W99" s="386"/>
      <c r="X99" s="386"/>
      <c r="Y99" s="386"/>
      <c r="Z99" s="386"/>
      <c r="AA99" s="386"/>
      <c r="AB99" s="386"/>
      <c r="AC99" s="386"/>
      <c r="AD99" s="386"/>
      <c r="AE99" s="386"/>
    </row>
    <row r="100" spans="1:31" ht="30" x14ac:dyDescent="0.2">
      <c r="A100" s="403" t="s">
        <v>3607</v>
      </c>
      <c r="B100" s="403" t="s">
        <v>724</v>
      </c>
      <c r="C100" s="391" t="s">
        <v>1345</v>
      </c>
      <c r="D100" s="536" t="s">
        <v>1345</v>
      </c>
      <c r="E100" s="731" t="s">
        <v>1346</v>
      </c>
      <c r="F100" s="387" t="s">
        <v>1163</v>
      </c>
      <c r="G100" s="391" t="s">
        <v>842</v>
      </c>
      <c r="H100" s="381">
        <v>1</v>
      </c>
      <c r="I100" s="381">
        <v>5</v>
      </c>
      <c r="J100" s="381">
        <f t="shared" si="9"/>
        <v>1</v>
      </c>
      <c r="K100" s="381">
        <f t="shared" si="8"/>
        <v>5</v>
      </c>
      <c r="L100" s="647">
        <f>IFERROR(IF(B100="funkcna poziadavka",VLOOKUP(G100,MODULY_CBA!$B$3:$E$23,4,0)*H100/SUMIFS($H$3:$H$197,$G$3:$G$197,G100,$B$3:$B$197,B100),),)</f>
        <v>0.28378378378378377</v>
      </c>
      <c r="M100" s="381">
        <f>IFERROR(IF(B100="Funkcna poziadavka",VLOOKUP(G100,MODULY_CBA!$B$3:$E$23,3,0),),)</f>
        <v>0.76999999999999991</v>
      </c>
      <c r="N100" s="381">
        <f>IFERROR(IF(B100="funkcna poziadavka",VLOOKUP(G100,MODULY_CBA!$B$3:$E$23,2,0),),)</f>
        <v>1.01</v>
      </c>
      <c r="O100" s="380">
        <f t="shared" si="10"/>
        <v>4.1091986486486487</v>
      </c>
      <c r="P100" s="379">
        <f>IFERROR(O100*VLOOKUP(G100,MODULY_CBA!$B$3:$F$23,5,0),)</f>
        <v>82.183972972972981</v>
      </c>
      <c r="Q100" s="481" t="str">
        <f>IFERROR(VLOOKUP(G100,MODULY_CBA!$B$3:$I$23,6,0),"")</f>
        <v>Inkrement 1</v>
      </c>
      <c r="R100" s="386"/>
      <c r="S100" s="386"/>
      <c r="T100" s="386"/>
      <c r="U100" s="386"/>
      <c r="V100" s="386"/>
      <c r="W100" s="386"/>
      <c r="X100" s="386"/>
      <c r="Y100" s="386"/>
      <c r="Z100" s="386"/>
      <c r="AA100" s="386"/>
      <c r="AB100" s="386"/>
      <c r="AC100" s="386"/>
      <c r="AD100" s="386"/>
      <c r="AE100" s="386"/>
    </row>
    <row r="101" spans="1:31" ht="30" x14ac:dyDescent="0.2">
      <c r="A101" s="403" t="s">
        <v>3608</v>
      </c>
      <c r="B101" s="403" t="s">
        <v>1159</v>
      </c>
      <c r="C101" s="391" t="s">
        <v>1347</v>
      </c>
      <c r="D101" s="536" t="s">
        <v>1347</v>
      </c>
      <c r="E101" s="731" t="s">
        <v>1348</v>
      </c>
      <c r="F101" s="387" t="s">
        <v>1163</v>
      </c>
      <c r="G101" s="391" t="s">
        <v>842</v>
      </c>
      <c r="H101" s="652"/>
      <c r="I101" s="652"/>
      <c r="J101" s="381">
        <f t="shared" si="9"/>
        <v>0</v>
      </c>
      <c r="K101" s="381">
        <f t="shared" si="8"/>
        <v>0</v>
      </c>
      <c r="L101" s="647">
        <f>IFERROR(IF(B101="funkcna poziadavka",VLOOKUP(G101,MODULY_CBA!$B$3:$E$23,4,0)*H101/SUMIFS($H$3:$H$197,$G$3:$G$197,G101,$B$3:$B$197,B101),),)</f>
        <v>0</v>
      </c>
      <c r="M101" s="381">
        <f>IFERROR(IF(B101="Funkcna poziadavka",VLOOKUP(G101,MODULY_CBA!$B$3:$E$23,3,0),),)</f>
        <v>0</v>
      </c>
      <c r="N101" s="381">
        <f>IFERROR(IF(B101="funkcna poziadavka",VLOOKUP(G101,MODULY_CBA!$B$3:$E$23,2,0),),)</f>
        <v>0</v>
      </c>
      <c r="O101" s="380">
        <f t="shared" si="10"/>
        <v>0</v>
      </c>
      <c r="P101" s="379">
        <f>IFERROR(O101*VLOOKUP(G101,MODULY_CBA!$B$3:$F$23,5,0),)</f>
        <v>0</v>
      </c>
      <c r="Q101" s="481" t="str">
        <f>IFERROR(VLOOKUP(G101,MODULY_CBA!$B$3:$I$23,6,0),"")</f>
        <v>Inkrement 1</v>
      </c>
      <c r="R101" s="386"/>
      <c r="S101" s="386"/>
      <c r="T101" s="386"/>
      <c r="U101" s="386"/>
      <c r="V101" s="386"/>
      <c r="W101" s="386"/>
      <c r="X101" s="386"/>
      <c r="Y101" s="386"/>
      <c r="Z101" s="386"/>
      <c r="AA101" s="386"/>
      <c r="AB101" s="386"/>
      <c r="AC101" s="386"/>
      <c r="AD101" s="386"/>
      <c r="AE101" s="386"/>
    </row>
    <row r="102" spans="1:31" ht="30" x14ac:dyDescent="0.2">
      <c r="A102" s="403" t="s">
        <v>3609</v>
      </c>
      <c r="B102" s="403" t="s">
        <v>1159</v>
      </c>
      <c r="C102" s="387" t="s">
        <v>1349</v>
      </c>
      <c r="D102" s="536" t="s">
        <v>1349</v>
      </c>
      <c r="E102" s="731" t="s">
        <v>1350</v>
      </c>
      <c r="F102" s="387" t="s">
        <v>1163</v>
      </c>
      <c r="G102" s="391" t="s">
        <v>842</v>
      </c>
      <c r="H102" s="652"/>
      <c r="I102" s="652"/>
      <c r="J102" s="381">
        <f t="shared" si="9"/>
        <v>0</v>
      </c>
      <c r="K102" s="381">
        <f t="shared" si="8"/>
        <v>0</v>
      </c>
      <c r="L102" s="647">
        <f>IFERROR(IF(B102="funkcna poziadavka",VLOOKUP(G102,MODULY_CBA!$B$3:$E$23,4,0)*H102/SUMIFS($H$3:$H$197,$G$3:$G$197,G102,$B$3:$B$197,B102),),)</f>
        <v>0</v>
      </c>
      <c r="M102" s="381">
        <f>IFERROR(IF(B102="Funkcna poziadavka",VLOOKUP(G102,MODULY_CBA!$B$3:$E$23,3,0),),)</f>
        <v>0</v>
      </c>
      <c r="N102" s="381">
        <f>IFERROR(IF(B102="funkcna poziadavka",VLOOKUP(G102,MODULY_CBA!$B$3:$E$23,2,0),),)</f>
        <v>0</v>
      </c>
      <c r="O102" s="380">
        <f t="shared" si="10"/>
        <v>0</v>
      </c>
      <c r="P102" s="379">
        <f>IFERROR(O102*VLOOKUP(G102,MODULY_CBA!$B$3:$F$23,5,0),)</f>
        <v>0</v>
      </c>
      <c r="Q102" s="481" t="str">
        <f>IFERROR(VLOOKUP(G102,MODULY_CBA!$B$3:$I$23,6,0),"")</f>
        <v>Inkrement 1</v>
      </c>
      <c r="R102" s="386"/>
      <c r="S102" s="386"/>
      <c r="T102" s="386"/>
      <c r="U102" s="386"/>
      <c r="V102" s="386"/>
      <c r="W102" s="386"/>
      <c r="X102" s="386"/>
      <c r="Y102" s="386"/>
      <c r="Z102" s="386"/>
      <c r="AA102" s="386"/>
      <c r="AB102" s="386"/>
      <c r="AC102" s="386"/>
      <c r="AD102" s="386"/>
      <c r="AE102" s="386"/>
    </row>
    <row r="103" spans="1:31" ht="30" x14ac:dyDescent="0.2">
      <c r="A103" s="403" t="s">
        <v>3610</v>
      </c>
      <c r="B103" s="403" t="s">
        <v>1159</v>
      </c>
      <c r="C103" s="391" t="s">
        <v>1351</v>
      </c>
      <c r="D103" s="536" t="s">
        <v>1351</v>
      </c>
      <c r="E103" s="731" t="s">
        <v>1352</v>
      </c>
      <c r="F103" s="387" t="s">
        <v>1163</v>
      </c>
      <c r="G103" s="391" t="s">
        <v>842</v>
      </c>
      <c r="H103" s="653"/>
      <c r="I103" s="653"/>
      <c r="J103" s="381">
        <f t="shared" si="9"/>
        <v>0</v>
      </c>
      <c r="K103" s="381">
        <f t="shared" si="8"/>
        <v>0</v>
      </c>
      <c r="L103" s="647">
        <f>IFERROR(IF(B103="funkcna poziadavka",VLOOKUP(G103,MODULY_CBA!$B$3:$E$23,4,0)*H103/SUMIFS($H$3:$H$197,$G$3:$G$197,G103,$B$3:$B$197,B103),),)</f>
        <v>0</v>
      </c>
      <c r="M103" s="381">
        <f>IFERROR(IF(B103="Funkcna poziadavka",VLOOKUP(G103,MODULY_CBA!$B$3:$E$23,3,0),),)</f>
        <v>0</v>
      </c>
      <c r="N103" s="381">
        <f>IFERROR(IF(B103="funkcna poziadavka",VLOOKUP(G103,MODULY_CBA!$B$3:$E$23,2,0),),)</f>
        <v>0</v>
      </c>
      <c r="O103" s="380">
        <f t="shared" si="10"/>
        <v>0</v>
      </c>
      <c r="P103" s="379">
        <f>IFERROR(O103*VLOOKUP(G103,MODULY_CBA!$B$3:$F$23,5,0),)</f>
        <v>0</v>
      </c>
      <c r="Q103" s="481" t="str">
        <f>IFERROR(VLOOKUP(G103,MODULY_CBA!$B$3:$I$23,6,0),"")</f>
        <v>Inkrement 1</v>
      </c>
      <c r="R103" s="377"/>
      <c r="S103" s="377"/>
      <c r="T103" s="377"/>
      <c r="U103" s="377"/>
      <c r="V103" s="377"/>
      <c r="W103" s="377"/>
      <c r="X103" s="377"/>
      <c r="Y103" s="377"/>
      <c r="Z103" s="377"/>
      <c r="AA103" s="377"/>
      <c r="AB103" s="377"/>
      <c r="AC103" s="377"/>
      <c r="AD103" s="377"/>
      <c r="AE103" s="377"/>
    </row>
    <row r="104" spans="1:31" ht="30" x14ac:dyDescent="0.2">
      <c r="A104" s="403" t="s">
        <v>3611</v>
      </c>
      <c r="B104" s="403" t="s">
        <v>1159</v>
      </c>
      <c r="C104" s="534" t="s">
        <v>1353</v>
      </c>
      <c r="D104" s="534" t="s">
        <v>1353</v>
      </c>
      <c r="E104" s="731" t="s">
        <v>1354</v>
      </c>
      <c r="F104" s="387" t="s">
        <v>1163</v>
      </c>
      <c r="G104" s="391" t="s">
        <v>842</v>
      </c>
      <c r="H104" s="381"/>
      <c r="I104" s="381"/>
      <c r="J104" s="381">
        <f t="shared" si="9"/>
        <v>0</v>
      </c>
      <c r="K104" s="381">
        <f t="shared" si="8"/>
        <v>0</v>
      </c>
      <c r="L104" s="647">
        <f>IFERROR(IF(B104="funkcna poziadavka",VLOOKUP(G104,MODULY_CBA!$B$3:$E$23,4,0)*H104/SUMIFS($H$3:$H$197,$G$3:$G$197,G104,$B$3:$B$197,B104),),)</f>
        <v>0</v>
      </c>
      <c r="M104" s="381">
        <f>IFERROR(IF(B104="Funkcna poziadavka",VLOOKUP(G104,MODULY_CBA!$B$3:$E$23,3,0),),)</f>
        <v>0</v>
      </c>
      <c r="N104" s="381">
        <f>IFERROR(IF(B104="funkcna poziadavka",VLOOKUP(G104,MODULY_CBA!$B$3:$E$23,2,0),),)</f>
        <v>0</v>
      </c>
      <c r="O104" s="380">
        <f t="shared" si="10"/>
        <v>0</v>
      </c>
      <c r="P104" s="379">
        <f>IFERROR(O104*VLOOKUP(G104,MODULY_CBA!$B$3:$F$23,5,0),)</f>
        <v>0</v>
      </c>
      <c r="Q104" s="481" t="str">
        <f>IFERROR(VLOOKUP(G104,MODULY_CBA!$B$3:$I$23,6,0),"")</f>
        <v>Inkrement 1</v>
      </c>
      <c r="R104" s="377" t="s">
        <v>167</v>
      </c>
      <c r="S104" s="377" t="s">
        <v>167</v>
      </c>
      <c r="T104" s="377" t="s">
        <v>167</v>
      </c>
      <c r="U104" s="377" t="s">
        <v>167</v>
      </c>
      <c r="V104" s="377" t="s">
        <v>167</v>
      </c>
      <c r="W104" s="377" t="s">
        <v>167</v>
      </c>
      <c r="X104" s="377" t="s">
        <v>167</v>
      </c>
      <c r="Y104" s="377" t="s">
        <v>167</v>
      </c>
      <c r="Z104" s="377" t="s">
        <v>167</v>
      </c>
      <c r="AA104" s="377" t="s">
        <v>167</v>
      </c>
      <c r="AB104" s="377" t="s">
        <v>167</v>
      </c>
      <c r="AC104" s="377" t="s">
        <v>167</v>
      </c>
      <c r="AD104" s="377" t="s">
        <v>167</v>
      </c>
      <c r="AE104" s="377" t="s">
        <v>167</v>
      </c>
    </row>
    <row r="105" spans="1:31" ht="15" x14ac:dyDescent="0.2">
      <c r="A105" s="403" t="s">
        <v>3612</v>
      </c>
      <c r="B105" s="403" t="s">
        <v>1159</v>
      </c>
      <c r="C105" s="534" t="s">
        <v>1355</v>
      </c>
      <c r="D105" s="534" t="s">
        <v>1355</v>
      </c>
      <c r="E105" s="731" t="s">
        <v>1356</v>
      </c>
      <c r="F105" s="387" t="s">
        <v>1163</v>
      </c>
      <c r="G105" s="391" t="s">
        <v>842</v>
      </c>
      <c r="H105" s="381"/>
      <c r="I105" s="381"/>
      <c r="J105" s="381">
        <f t="shared" si="9"/>
        <v>0</v>
      </c>
      <c r="K105" s="381">
        <f t="shared" si="8"/>
        <v>0</v>
      </c>
      <c r="L105" s="647">
        <f>IFERROR(IF(B105="funkcna poziadavka",VLOOKUP(G105,MODULY_CBA!$B$3:$E$23,4,0)*H105/SUMIFS($H$3:$H$197,$G$3:$G$197,G105,$B$3:$B$197,B105),),)</f>
        <v>0</v>
      </c>
      <c r="M105" s="381">
        <f>IFERROR(IF(B105="Funkcna poziadavka",VLOOKUP(G105,MODULY_CBA!$B$3:$E$23,3,0),),)</f>
        <v>0</v>
      </c>
      <c r="N105" s="381">
        <f>IFERROR(IF(B105="funkcna poziadavka",VLOOKUP(G105,MODULY_CBA!$B$3:$E$23,2,0),),)</f>
        <v>0</v>
      </c>
      <c r="O105" s="380">
        <f t="shared" si="10"/>
        <v>0</v>
      </c>
      <c r="P105" s="379">
        <f>IFERROR(O105*VLOOKUP(G105,MODULY_CBA!$B$3:$F$23,5,0),)</f>
        <v>0</v>
      </c>
      <c r="Q105" s="481" t="str">
        <f>IFERROR(VLOOKUP(G105,MODULY_CBA!$B$3:$I$23,6,0),"")</f>
        <v>Inkrement 1</v>
      </c>
      <c r="R105" s="377" t="s">
        <v>167</v>
      </c>
      <c r="S105" s="377" t="s">
        <v>167</v>
      </c>
      <c r="T105" s="377" t="s">
        <v>167</v>
      </c>
      <c r="U105" s="377" t="s">
        <v>167</v>
      </c>
      <c r="V105" s="377" t="s">
        <v>167</v>
      </c>
      <c r="W105" s="377" t="s">
        <v>167</v>
      </c>
      <c r="X105" s="377" t="s">
        <v>167</v>
      </c>
      <c r="Y105" s="377" t="s">
        <v>167</v>
      </c>
      <c r="Z105" s="377" t="s">
        <v>167</v>
      </c>
      <c r="AA105" s="377" t="s">
        <v>167</v>
      </c>
      <c r="AB105" s="377" t="s">
        <v>167</v>
      </c>
      <c r="AC105" s="377" t="s">
        <v>167</v>
      </c>
      <c r="AD105" s="377" t="s">
        <v>167</v>
      </c>
      <c r="AE105" s="377" t="s">
        <v>167</v>
      </c>
    </row>
    <row r="106" spans="1:31" ht="15" x14ac:dyDescent="0.2">
      <c r="A106" s="403" t="s">
        <v>3613</v>
      </c>
      <c r="B106" s="403" t="s">
        <v>1159</v>
      </c>
      <c r="C106" s="534" t="s">
        <v>1357</v>
      </c>
      <c r="D106" s="534" t="s">
        <v>1357</v>
      </c>
      <c r="E106" s="731" t="s">
        <v>1358</v>
      </c>
      <c r="F106" s="387" t="s">
        <v>1163</v>
      </c>
      <c r="G106" s="391" t="s">
        <v>842</v>
      </c>
      <c r="H106" s="381"/>
      <c r="I106" s="381"/>
      <c r="J106" s="381">
        <f t="shared" si="9"/>
        <v>0</v>
      </c>
      <c r="K106" s="381">
        <f t="shared" si="8"/>
        <v>0</v>
      </c>
      <c r="L106" s="647">
        <f>IFERROR(IF(B106="funkcna poziadavka",VLOOKUP(G106,MODULY_CBA!$B$3:$E$23,4,0)*H106/SUMIFS($H$3:$H$197,$G$3:$G$197,G106,$B$3:$B$197,B106),),)</f>
        <v>0</v>
      </c>
      <c r="M106" s="381">
        <f>IFERROR(IF(B106="Funkcna poziadavka",VLOOKUP(G106,MODULY_CBA!$B$3:$E$23,3,0),),)</f>
        <v>0</v>
      </c>
      <c r="N106" s="381">
        <f>IFERROR(IF(B106="funkcna poziadavka",VLOOKUP(G106,MODULY_CBA!$B$3:$E$23,2,0),),)</f>
        <v>0</v>
      </c>
      <c r="O106" s="380">
        <f t="shared" si="10"/>
        <v>0</v>
      </c>
      <c r="P106" s="379">
        <f>IFERROR(O106*VLOOKUP(G106,MODULY_CBA!$B$3:$F$23,5,0),)</f>
        <v>0</v>
      </c>
      <c r="Q106" s="481" t="str">
        <f>IFERROR(VLOOKUP(G106,MODULY_CBA!$B$3:$I$23,6,0),"")</f>
        <v>Inkrement 1</v>
      </c>
      <c r="R106" s="383" t="s">
        <v>167</v>
      </c>
      <c r="S106" s="383" t="s">
        <v>167</v>
      </c>
      <c r="T106" s="383" t="s">
        <v>167</v>
      </c>
      <c r="U106" s="383" t="s">
        <v>167</v>
      </c>
      <c r="V106" s="383" t="s">
        <v>167</v>
      </c>
      <c r="W106" s="383" t="s">
        <v>167</v>
      </c>
      <c r="X106" s="383" t="s">
        <v>167</v>
      </c>
      <c r="Y106" s="383" t="s">
        <v>167</v>
      </c>
      <c r="Z106" s="383" t="s">
        <v>167</v>
      </c>
      <c r="AA106" s="383" t="s">
        <v>167</v>
      </c>
      <c r="AB106" s="383" t="s">
        <v>167</v>
      </c>
      <c r="AC106" s="383" t="s">
        <v>167</v>
      </c>
      <c r="AD106" s="383" t="s">
        <v>167</v>
      </c>
      <c r="AE106" s="383" t="s">
        <v>167</v>
      </c>
    </row>
    <row r="107" spans="1:31" ht="15" x14ac:dyDescent="0.2">
      <c r="A107" s="403" t="s">
        <v>3614</v>
      </c>
      <c r="B107" s="403" t="s">
        <v>1159</v>
      </c>
      <c r="C107" s="534" t="s">
        <v>1359</v>
      </c>
      <c r="D107" s="534" t="s">
        <v>1359</v>
      </c>
      <c r="E107" s="731" t="s">
        <v>1360</v>
      </c>
      <c r="F107" s="387" t="s">
        <v>1163</v>
      </c>
      <c r="G107" s="391" t="s">
        <v>842</v>
      </c>
      <c r="H107" s="381"/>
      <c r="I107" s="381"/>
      <c r="J107" s="381">
        <f t="shared" si="9"/>
        <v>0</v>
      </c>
      <c r="K107" s="381">
        <f t="shared" si="8"/>
        <v>0</v>
      </c>
      <c r="L107" s="647">
        <f>IFERROR(IF(B107="funkcna poziadavka",VLOOKUP(G107,MODULY_CBA!$B$3:$E$23,4,0)*H107/SUMIFS($H$3:$H$197,$G$3:$G$197,G107,$B$3:$B$197,B107),),)</f>
        <v>0</v>
      </c>
      <c r="M107" s="381">
        <f>IFERROR(IF(B107="Funkcna poziadavka",VLOOKUP(G107,MODULY_CBA!$B$3:$E$23,3,0),),)</f>
        <v>0</v>
      </c>
      <c r="N107" s="381">
        <f>IFERROR(IF(B107="funkcna poziadavka",VLOOKUP(G107,MODULY_CBA!$B$3:$E$23,2,0),),)</f>
        <v>0</v>
      </c>
      <c r="O107" s="380">
        <f t="shared" si="10"/>
        <v>0</v>
      </c>
      <c r="P107" s="379">
        <f>IFERROR(O107*VLOOKUP(G107,MODULY_CBA!$B$3:$F$23,5,0),)</f>
        <v>0</v>
      </c>
      <c r="Q107" s="481" t="str">
        <f>IFERROR(VLOOKUP(G107,MODULY_CBA!$B$3:$I$23,6,0),"")</f>
        <v>Inkrement 1</v>
      </c>
      <c r="R107" s="383"/>
      <c r="S107" s="383"/>
      <c r="T107" s="383"/>
      <c r="U107" s="383"/>
      <c r="V107" s="383"/>
      <c r="W107" s="383"/>
      <c r="X107" s="383"/>
      <c r="Y107" s="383"/>
      <c r="Z107" s="383"/>
      <c r="AA107" s="383"/>
      <c r="AB107" s="383"/>
      <c r="AC107" s="383"/>
      <c r="AD107" s="383"/>
      <c r="AE107" s="383"/>
    </row>
    <row r="108" spans="1:31" ht="30" x14ac:dyDescent="0.2">
      <c r="A108" s="403" t="s">
        <v>3615</v>
      </c>
      <c r="B108" s="403" t="s">
        <v>1159</v>
      </c>
      <c r="C108" s="534" t="s">
        <v>1361</v>
      </c>
      <c r="D108" s="534" t="s">
        <v>1361</v>
      </c>
      <c r="E108" s="726" t="s">
        <v>1362</v>
      </c>
      <c r="F108" s="387" t="s">
        <v>1163</v>
      </c>
      <c r="G108" s="391" t="s">
        <v>842</v>
      </c>
      <c r="H108" s="381"/>
      <c r="I108" s="381"/>
      <c r="J108" s="381">
        <f t="shared" si="9"/>
        <v>0</v>
      </c>
      <c r="K108" s="381">
        <f t="shared" si="8"/>
        <v>0</v>
      </c>
      <c r="L108" s="647">
        <f>IFERROR(IF(B108="funkcna poziadavka",VLOOKUP(G108,MODULY_CBA!$B$3:$E$23,4,0)*H108/SUMIFS($H$3:$H$197,$G$3:$G$197,G108,$B$3:$B$197,B108),),)</f>
        <v>0</v>
      </c>
      <c r="M108" s="381">
        <f>IFERROR(IF(B108="Funkcna poziadavka",VLOOKUP(G108,MODULY_CBA!$B$3:$E$23,3,0),),)</f>
        <v>0</v>
      </c>
      <c r="N108" s="381">
        <f>IFERROR(IF(B108="funkcna poziadavka",VLOOKUP(G108,MODULY_CBA!$B$3:$E$23,2,0),),)</f>
        <v>0</v>
      </c>
      <c r="O108" s="380">
        <f t="shared" si="10"/>
        <v>0</v>
      </c>
      <c r="P108" s="379">
        <f>IFERROR(O108*VLOOKUP(G108,MODULY_CBA!$B$3:$F$23,5,0),)</f>
        <v>0</v>
      </c>
      <c r="Q108" s="481" t="str">
        <f>IFERROR(VLOOKUP(G108,MODULY_CBA!$B$3:$I$23,6,0),"")</f>
        <v>Inkrement 1</v>
      </c>
      <c r="R108" s="383"/>
      <c r="S108" s="383"/>
      <c r="T108" s="383"/>
      <c r="U108" s="383"/>
      <c r="V108" s="383"/>
      <c r="W108" s="383"/>
      <c r="X108" s="383"/>
      <c r="Y108" s="383"/>
      <c r="Z108" s="383"/>
      <c r="AA108" s="383"/>
      <c r="AB108" s="383"/>
      <c r="AC108" s="383"/>
      <c r="AD108" s="383"/>
      <c r="AE108" s="383"/>
    </row>
    <row r="109" spans="1:31" ht="30" x14ac:dyDescent="0.2">
      <c r="A109" s="403" t="s">
        <v>3616</v>
      </c>
      <c r="B109" s="403" t="s">
        <v>1185</v>
      </c>
      <c r="C109" s="534" t="s">
        <v>1363</v>
      </c>
      <c r="D109" s="534" t="s">
        <v>1363</v>
      </c>
      <c r="E109" s="731" t="s">
        <v>1364</v>
      </c>
      <c r="F109" s="387" t="s">
        <v>1163</v>
      </c>
      <c r="G109" s="391" t="s">
        <v>842</v>
      </c>
      <c r="H109" s="653"/>
      <c r="I109" s="653"/>
      <c r="J109" s="381">
        <f t="shared" si="9"/>
        <v>0</v>
      </c>
      <c r="K109" s="381">
        <f t="shared" si="8"/>
        <v>0</v>
      </c>
      <c r="L109" s="647">
        <f>IFERROR(IF(B109="funkcna poziadavka",VLOOKUP(G109,MODULY_CBA!$B$3:$E$23,4,0)*H109/SUMIFS($H$3:$H$197,$G$3:$G$197,G109,$B$3:$B$197,B109),),)</f>
        <v>0</v>
      </c>
      <c r="M109" s="381">
        <f>IFERROR(IF(B109="Funkcna poziadavka",VLOOKUP(G109,MODULY_CBA!$B$3:$E$23,3,0),),)</f>
        <v>0</v>
      </c>
      <c r="N109" s="381">
        <f>IFERROR(IF(B109="funkcna poziadavka",VLOOKUP(G109,MODULY_CBA!$B$3:$E$23,2,0),),)</f>
        <v>0</v>
      </c>
      <c r="O109" s="380">
        <f t="shared" si="10"/>
        <v>0</v>
      </c>
      <c r="P109" s="379">
        <f>IFERROR(O109*VLOOKUP(G109,MODULY_CBA!$B$3:$F$23,5,0),)</f>
        <v>0</v>
      </c>
      <c r="Q109" s="481" t="str">
        <f>IFERROR(VLOOKUP(G109,MODULY_CBA!$B$3:$I$23,6,0),"")</f>
        <v>Inkrement 1</v>
      </c>
      <c r="R109" s="383"/>
      <c r="S109" s="383"/>
      <c r="T109" s="383"/>
      <c r="U109" s="383"/>
      <c r="V109" s="383"/>
      <c r="W109" s="383"/>
      <c r="X109" s="383"/>
      <c r="Y109" s="383"/>
      <c r="Z109" s="383"/>
      <c r="AA109" s="383"/>
      <c r="AB109" s="383"/>
      <c r="AC109" s="383"/>
      <c r="AD109" s="383"/>
      <c r="AE109" s="383"/>
    </row>
    <row r="110" spans="1:31" ht="30" x14ac:dyDescent="0.2">
      <c r="A110" s="403" t="s">
        <v>3617</v>
      </c>
      <c r="B110" s="403" t="s">
        <v>1185</v>
      </c>
      <c r="C110" s="534" t="s">
        <v>1365</v>
      </c>
      <c r="D110" s="534" t="s">
        <v>1365</v>
      </c>
      <c r="E110" s="731" t="s">
        <v>1366</v>
      </c>
      <c r="F110" s="387" t="s">
        <v>1163</v>
      </c>
      <c r="G110" s="391" t="s">
        <v>842</v>
      </c>
      <c r="H110" s="653"/>
      <c r="I110" s="653"/>
      <c r="J110" s="381">
        <f t="shared" si="9"/>
        <v>0</v>
      </c>
      <c r="K110" s="381">
        <f t="shared" si="8"/>
        <v>0</v>
      </c>
      <c r="L110" s="647">
        <f>IFERROR(IF(B110="funkcna poziadavka",VLOOKUP(G110,MODULY_CBA!$B$3:$E$23,4,0)*H110/SUMIFS($H$3:$H$197,$G$3:$G$197,G110,$B$3:$B$197,B110),),)</f>
        <v>0</v>
      </c>
      <c r="M110" s="381">
        <f>IFERROR(IF(B110="Funkcna poziadavka",VLOOKUP(G110,MODULY_CBA!$B$3:$E$23,3,0),),)</f>
        <v>0</v>
      </c>
      <c r="N110" s="381">
        <f>IFERROR(IF(B110="funkcna poziadavka",VLOOKUP(G110,MODULY_CBA!$B$3:$E$23,2,0),),)</f>
        <v>0</v>
      </c>
      <c r="O110" s="380">
        <f t="shared" si="10"/>
        <v>0</v>
      </c>
      <c r="P110" s="379">
        <f>IFERROR(O110*VLOOKUP(G110,MODULY_CBA!$B$3:$F$23,5,0),)</f>
        <v>0</v>
      </c>
      <c r="Q110" s="481" t="str">
        <f>IFERROR(VLOOKUP(G110,MODULY_CBA!$B$3:$I$23,6,0),"")</f>
        <v>Inkrement 1</v>
      </c>
      <c r="R110" s="383"/>
      <c r="S110" s="383"/>
      <c r="T110" s="383"/>
      <c r="U110" s="383"/>
      <c r="V110" s="383"/>
      <c r="W110" s="383"/>
      <c r="X110" s="383"/>
      <c r="Y110" s="383"/>
      <c r="Z110" s="383"/>
      <c r="AA110" s="383"/>
      <c r="AB110" s="383"/>
      <c r="AC110" s="383"/>
      <c r="AD110" s="383"/>
      <c r="AE110" s="383"/>
    </row>
    <row r="111" spans="1:31" ht="15" x14ac:dyDescent="0.2">
      <c r="A111" s="403" t="s">
        <v>3618</v>
      </c>
      <c r="B111" s="403" t="s">
        <v>724</v>
      </c>
      <c r="C111" s="534" t="s">
        <v>1367</v>
      </c>
      <c r="D111" s="534" t="s">
        <v>1367</v>
      </c>
      <c r="E111" s="731" t="s">
        <v>1368</v>
      </c>
      <c r="F111" s="387" t="s">
        <v>1163</v>
      </c>
      <c r="G111" s="391" t="s">
        <v>842</v>
      </c>
      <c r="H111" s="381">
        <v>1</v>
      </c>
      <c r="I111" s="381">
        <v>5</v>
      </c>
      <c r="J111" s="381">
        <f t="shared" si="9"/>
        <v>1</v>
      </c>
      <c r="K111" s="381">
        <f t="shared" si="8"/>
        <v>5</v>
      </c>
      <c r="L111" s="647">
        <f>IFERROR(IF(B111="funkcna poziadavka",VLOOKUP(G111,MODULY_CBA!$B$3:$E$23,4,0)*H111/SUMIFS($H$3:$H$197,$G$3:$G$197,G111,$B$3:$B$197,B111),),)</f>
        <v>0.28378378378378377</v>
      </c>
      <c r="M111" s="381">
        <f>IFERROR(IF(B111="Funkcna poziadavka",VLOOKUP(G111,MODULY_CBA!$B$3:$E$23,3,0),),)</f>
        <v>0.76999999999999991</v>
      </c>
      <c r="N111" s="381">
        <f>IFERROR(IF(B111="funkcna poziadavka",VLOOKUP(G111,MODULY_CBA!$B$3:$E$23,2,0),),)</f>
        <v>1.01</v>
      </c>
      <c r="O111" s="380">
        <f t="shared" si="10"/>
        <v>4.1091986486486487</v>
      </c>
      <c r="P111" s="379">
        <f>IFERROR(O111*VLOOKUP(G111,MODULY_CBA!$B$3:$F$23,5,0),)</f>
        <v>82.183972972972981</v>
      </c>
      <c r="Q111" s="481" t="str">
        <f>IFERROR(VLOOKUP(G111,MODULY_CBA!$B$3:$I$23,6,0),"")</f>
        <v>Inkrement 1</v>
      </c>
      <c r="R111" s="383"/>
      <c r="S111" s="383"/>
      <c r="T111" s="383"/>
      <c r="U111" s="383"/>
      <c r="V111" s="383"/>
      <c r="W111" s="383"/>
      <c r="X111" s="383"/>
      <c r="Y111" s="383"/>
      <c r="Z111" s="383"/>
      <c r="AA111" s="383"/>
      <c r="AB111" s="383"/>
      <c r="AC111" s="383"/>
      <c r="AD111" s="383"/>
      <c r="AE111" s="383"/>
    </row>
    <row r="112" spans="1:31" ht="15" x14ac:dyDescent="0.2">
      <c r="A112" s="403" t="s">
        <v>3619</v>
      </c>
      <c r="B112" s="403" t="s">
        <v>724</v>
      </c>
      <c r="C112" s="534" t="s">
        <v>1369</v>
      </c>
      <c r="D112" s="534" t="s">
        <v>1369</v>
      </c>
      <c r="E112" s="730" t="s">
        <v>1370</v>
      </c>
      <c r="F112" s="387" t="s">
        <v>1163</v>
      </c>
      <c r="G112" s="391" t="s">
        <v>842</v>
      </c>
      <c r="H112" s="381">
        <v>1</v>
      </c>
      <c r="I112" s="381">
        <v>5</v>
      </c>
      <c r="J112" s="381">
        <f t="shared" si="9"/>
        <v>1</v>
      </c>
      <c r="K112" s="381">
        <f t="shared" si="8"/>
        <v>5</v>
      </c>
      <c r="L112" s="647">
        <f>IFERROR(IF(B112="funkcna poziadavka",VLOOKUP(G112,MODULY_CBA!$B$3:$E$23,4,0)*H112/SUMIFS($H$3:$H$197,$G$3:$G$197,G112,$B$3:$B$197,B112),),)</f>
        <v>0.28378378378378377</v>
      </c>
      <c r="M112" s="381">
        <f>IFERROR(IF(B112="Funkcna poziadavka",VLOOKUP(G112,MODULY_CBA!$B$3:$E$23,3,0),),)</f>
        <v>0.76999999999999991</v>
      </c>
      <c r="N112" s="381">
        <f>IFERROR(IF(B112="funkcna poziadavka",VLOOKUP(G112,MODULY_CBA!$B$3:$E$23,2,0),),)</f>
        <v>1.01</v>
      </c>
      <c r="O112" s="380">
        <f t="shared" si="10"/>
        <v>4.1091986486486487</v>
      </c>
      <c r="P112" s="379">
        <f>IFERROR(O112*VLOOKUP(G112,MODULY_CBA!$B$3:$F$23,5,0),)</f>
        <v>82.183972972972981</v>
      </c>
      <c r="Q112" s="481" t="str">
        <f>IFERROR(VLOOKUP(G112,MODULY_CBA!$B$3:$I$23,6,0),"")</f>
        <v>Inkrement 1</v>
      </c>
      <c r="R112" s="383"/>
      <c r="S112" s="383"/>
      <c r="T112" s="383"/>
      <c r="U112" s="383"/>
      <c r="V112" s="383"/>
      <c r="W112" s="383"/>
      <c r="X112" s="383"/>
      <c r="Y112" s="383"/>
      <c r="Z112" s="383"/>
      <c r="AA112" s="383"/>
      <c r="AB112" s="383"/>
      <c r="AC112" s="383"/>
      <c r="AD112" s="383"/>
      <c r="AE112" s="383"/>
    </row>
    <row r="113" spans="1:31" ht="15" x14ac:dyDescent="0.2">
      <c r="A113" s="403" t="s">
        <v>3620</v>
      </c>
      <c r="B113" s="403" t="s">
        <v>724</v>
      </c>
      <c r="C113" s="534" t="s">
        <v>1371</v>
      </c>
      <c r="D113" s="534" t="s">
        <v>1371</v>
      </c>
      <c r="E113" s="730" t="s">
        <v>1372</v>
      </c>
      <c r="F113" s="387" t="s">
        <v>1163</v>
      </c>
      <c r="G113" s="391" t="s">
        <v>842</v>
      </c>
      <c r="H113" s="381">
        <v>1</v>
      </c>
      <c r="I113" s="381">
        <v>5</v>
      </c>
      <c r="J113" s="381">
        <f t="shared" si="9"/>
        <v>1</v>
      </c>
      <c r="K113" s="381">
        <f t="shared" si="8"/>
        <v>5</v>
      </c>
      <c r="L113" s="647">
        <f>IFERROR(IF(B113="funkcna poziadavka",VLOOKUP(G113,MODULY_CBA!$B$3:$E$23,4,0)*H113/SUMIFS($H$3:$H$197,$G$3:$G$197,G113,$B$3:$B$197,B113),),)</f>
        <v>0.28378378378378377</v>
      </c>
      <c r="M113" s="381">
        <f>IFERROR(IF(B113="Funkcna poziadavka",VLOOKUP(G113,MODULY_CBA!$B$3:$E$23,3,0),),)</f>
        <v>0.76999999999999991</v>
      </c>
      <c r="N113" s="381">
        <f>IFERROR(IF(B113="funkcna poziadavka",VLOOKUP(G113,MODULY_CBA!$B$3:$E$23,2,0),),)</f>
        <v>1.01</v>
      </c>
      <c r="O113" s="380">
        <f t="shared" si="10"/>
        <v>4.1091986486486487</v>
      </c>
      <c r="P113" s="379">
        <f>IFERROR(O113*VLOOKUP(G113,MODULY_CBA!$B$3:$F$23,5,0),)</f>
        <v>82.183972972972981</v>
      </c>
      <c r="Q113" s="481" t="str">
        <f>IFERROR(VLOOKUP(G113,MODULY_CBA!$B$3:$I$23,6,0),"")</f>
        <v>Inkrement 1</v>
      </c>
      <c r="R113" s="383" t="s">
        <v>167</v>
      </c>
      <c r="S113" s="383" t="s">
        <v>167</v>
      </c>
      <c r="T113" s="383" t="s">
        <v>167</v>
      </c>
      <c r="U113" s="383" t="s">
        <v>167</v>
      </c>
      <c r="V113" s="383" t="s">
        <v>167</v>
      </c>
      <c r="W113" s="383" t="s">
        <v>167</v>
      </c>
      <c r="X113" s="383" t="s">
        <v>167</v>
      </c>
      <c r="Y113" s="383" t="s">
        <v>167</v>
      </c>
      <c r="Z113" s="383" t="s">
        <v>167</v>
      </c>
      <c r="AA113" s="383" t="s">
        <v>167</v>
      </c>
      <c r="AB113" s="383" t="s">
        <v>167</v>
      </c>
      <c r="AC113" s="383" t="s">
        <v>167</v>
      </c>
      <c r="AD113" s="383" t="s">
        <v>167</v>
      </c>
      <c r="AE113" s="383" t="s">
        <v>167</v>
      </c>
    </row>
    <row r="114" spans="1:31" ht="15" x14ac:dyDescent="0.2">
      <c r="A114" s="403" t="s">
        <v>3621</v>
      </c>
      <c r="B114" s="403" t="s">
        <v>724</v>
      </c>
      <c r="C114" s="534" t="s">
        <v>1373</v>
      </c>
      <c r="D114" s="534" t="s">
        <v>1373</v>
      </c>
      <c r="E114" s="730" t="s">
        <v>1374</v>
      </c>
      <c r="F114" s="387" t="s">
        <v>1163</v>
      </c>
      <c r="G114" s="391" t="s">
        <v>842</v>
      </c>
      <c r="H114" s="381">
        <v>1</v>
      </c>
      <c r="I114" s="381">
        <v>5</v>
      </c>
      <c r="J114" s="381">
        <f t="shared" si="9"/>
        <v>1</v>
      </c>
      <c r="K114" s="381">
        <f t="shared" si="8"/>
        <v>5</v>
      </c>
      <c r="L114" s="647">
        <f>IFERROR(IF(B114="funkcna poziadavka",VLOOKUP(G114,MODULY_CBA!$B$3:$E$23,4,0)*H114/SUMIFS($H$3:$H$197,$G$3:$G$197,G114,$B$3:$B$197,B114),),)</f>
        <v>0.28378378378378377</v>
      </c>
      <c r="M114" s="381">
        <f>IFERROR(IF(B114="Funkcna poziadavka",VLOOKUP(G114,MODULY_CBA!$B$3:$E$23,3,0),),)</f>
        <v>0.76999999999999991</v>
      </c>
      <c r="N114" s="381">
        <f>IFERROR(IF(B114="funkcna poziadavka",VLOOKUP(G114,MODULY_CBA!$B$3:$E$23,2,0),),)</f>
        <v>1.01</v>
      </c>
      <c r="O114" s="380">
        <f t="shared" si="10"/>
        <v>4.1091986486486487</v>
      </c>
      <c r="P114" s="379">
        <f>IFERROR(O114*VLOOKUP(G114,MODULY_CBA!$B$3:$F$23,5,0),)</f>
        <v>82.183972972972981</v>
      </c>
      <c r="Q114" s="481" t="str">
        <f>IFERROR(VLOOKUP(G114,MODULY_CBA!$B$3:$I$23,6,0),"")</f>
        <v>Inkrement 1</v>
      </c>
      <c r="R114" s="383"/>
      <c r="S114" s="383"/>
      <c r="T114" s="383"/>
      <c r="U114" s="383"/>
      <c r="V114" s="383"/>
      <c r="W114" s="383"/>
      <c r="X114" s="383"/>
      <c r="Y114" s="383"/>
      <c r="Z114" s="383"/>
      <c r="AA114" s="383"/>
      <c r="AB114" s="383"/>
      <c r="AC114" s="383"/>
      <c r="AD114" s="383"/>
      <c r="AE114" s="383"/>
    </row>
    <row r="115" spans="1:31" ht="15" x14ac:dyDescent="0.2">
      <c r="A115" s="403" t="s">
        <v>3622</v>
      </c>
      <c r="B115" s="403" t="s">
        <v>724</v>
      </c>
      <c r="C115" s="534" t="s">
        <v>1375</v>
      </c>
      <c r="D115" s="534" t="s">
        <v>1375</v>
      </c>
      <c r="E115" s="730" t="s">
        <v>1376</v>
      </c>
      <c r="F115" s="387" t="s">
        <v>1163</v>
      </c>
      <c r="G115" s="391" t="s">
        <v>842</v>
      </c>
      <c r="H115" s="381">
        <v>1</v>
      </c>
      <c r="I115" s="381">
        <v>5</v>
      </c>
      <c r="J115" s="381">
        <f t="shared" si="9"/>
        <v>1</v>
      </c>
      <c r="K115" s="381">
        <f t="shared" si="8"/>
        <v>5</v>
      </c>
      <c r="L115" s="647">
        <f>IFERROR(IF(B115="funkcna poziadavka",VLOOKUP(G115,MODULY_CBA!$B$3:$E$23,4,0)*H115/SUMIFS($H$3:$H$197,$G$3:$G$197,G115,$B$3:$B$197,B115),),)</f>
        <v>0.28378378378378377</v>
      </c>
      <c r="M115" s="381">
        <f>IFERROR(IF(B115="Funkcna poziadavka",VLOOKUP(G115,MODULY_CBA!$B$3:$E$23,3,0),),)</f>
        <v>0.76999999999999991</v>
      </c>
      <c r="N115" s="381">
        <f>IFERROR(IF(B115="funkcna poziadavka",VLOOKUP(G115,MODULY_CBA!$B$3:$E$23,2,0),),)</f>
        <v>1.01</v>
      </c>
      <c r="O115" s="380">
        <f t="shared" si="10"/>
        <v>4.1091986486486487</v>
      </c>
      <c r="P115" s="379">
        <f>IFERROR(O115*VLOOKUP(G115,MODULY_CBA!$B$3:$F$23,5,0),)</f>
        <v>82.183972972972981</v>
      </c>
      <c r="Q115" s="481" t="str">
        <f>IFERROR(VLOOKUP(G115,MODULY_CBA!$B$3:$I$23,6,0),"")</f>
        <v>Inkrement 1</v>
      </c>
      <c r="R115" s="383"/>
      <c r="S115" s="383"/>
      <c r="T115" s="383"/>
      <c r="U115" s="383"/>
      <c r="V115" s="383"/>
      <c r="W115" s="383"/>
      <c r="X115" s="383"/>
      <c r="Y115" s="383"/>
      <c r="Z115" s="383"/>
      <c r="AA115" s="383"/>
      <c r="AB115" s="383"/>
      <c r="AC115" s="383"/>
      <c r="AD115" s="383"/>
      <c r="AE115" s="383"/>
    </row>
    <row r="116" spans="1:31" ht="15" x14ac:dyDescent="0.2">
      <c r="A116" s="403" t="s">
        <v>3623</v>
      </c>
      <c r="B116" s="403" t="s">
        <v>724</v>
      </c>
      <c r="C116" s="534" t="s">
        <v>1377</v>
      </c>
      <c r="D116" s="534" t="s">
        <v>1377</v>
      </c>
      <c r="E116" s="730" t="s">
        <v>1378</v>
      </c>
      <c r="F116" s="387" t="s">
        <v>1163</v>
      </c>
      <c r="G116" s="391" t="s">
        <v>842</v>
      </c>
      <c r="H116" s="381">
        <v>1</v>
      </c>
      <c r="I116" s="381">
        <v>5</v>
      </c>
      <c r="J116" s="381">
        <f t="shared" si="9"/>
        <v>1</v>
      </c>
      <c r="K116" s="381">
        <f t="shared" si="8"/>
        <v>5</v>
      </c>
      <c r="L116" s="647">
        <f>IFERROR(IF(B116="funkcna poziadavka",VLOOKUP(G116,MODULY_CBA!$B$3:$E$23,4,0)*H116/SUMIFS($H$3:$H$197,$G$3:$G$197,G116,$B$3:$B$197,B116),),)</f>
        <v>0.28378378378378377</v>
      </c>
      <c r="M116" s="381">
        <f>IFERROR(IF(B116="Funkcna poziadavka",VLOOKUP(G116,MODULY_CBA!$B$3:$E$23,3,0),),)</f>
        <v>0.76999999999999991</v>
      </c>
      <c r="N116" s="381">
        <f>IFERROR(IF(B116="funkcna poziadavka",VLOOKUP(G116,MODULY_CBA!$B$3:$E$23,2,0),),)</f>
        <v>1.01</v>
      </c>
      <c r="O116" s="380">
        <f t="shared" si="10"/>
        <v>4.1091986486486487</v>
      </c>
      <c r="P116" s="379">
        <f>IFERROR(O116*VLOOKUP(G116,MODULY_CBA!$B$3:$F$23,5,0),)</f>
        <v>82.183972972972981</v>
      </c>
      <c r="Q116" s="481" t="str">
        <f>IFERROR(VLOOKUP(G116,MODULY_CBA!$B$3:$I$23,6,0),"")</f>
        <v>Inkrement 1</v>
      </c>
      <c r="R116" s="383"/>
      <c r="S116" s="383"/>
      <c r="T116" s="383"/>
      <c r="U116" s="383"/>
      <c r="V116" s="383"/>
      <c r="W116" s="383"/>
      <c r="X116" s="383"/>
      <c r="Y116" s="383"/>
      <c r="Z116" s="383"/>
      <c r="AA116" s="383"/>
      <c r="AB116" s="383"/>
      <c r="AC116" s="383"/>
      <c r="AD116" s="383"/>
      <c r="AE116" s="383"/>
    </row>
    <row r="117" spans="1:31" ht="30" x14ac:dyDescent="0.2">
      <c r="A117" s="403" t="s">
        <v>3624</v>
      </c>
      <c r="B117" s="403" t="s">
        <v>724</v>
      </c>
      <c r="C117" s="534" t="s">
        <v>1379</v>
      </c>
      <c r="D117" s="534" t="s">
        <v>1379</v>
      </c>
      <c r="E117" s="730" t="s">
        <v>1380</v>
      </c>
      <c r="F117" s="387" t="s">
        <v>1163</v>
      </c>
      <c r="G117" s="391" t="s">
        <v>842</v>
      </c>
      <c r="H117" s="381">
        <v>1</v>
      </c>
      <c r="I117" s="381">
        <v>5</v>
      </c>
      <c r="J117" s="381">
        <f t="shared" si="9"/>
        <v>1</v>
      </c>
      <c r="K117" s="381">
        <f t="shared" si="8"/>
        <v>5</v>
      </c>
      <c r="L117" s="647">
        <f>IFERROR(IF(B117="funkcna poziadavka",VLOOKUP(G117,MODULY_CBA!$B$3:$E$23,4,0)*H117/SUMIFS($H$3:$H$197,$G$3:$G$197,G117,$B$3:$B$197,B117),),)</f>
        <v>0.28378378378378377</v>
      </c>
      <c r="M117" s="381">
        <f>IFERROR(IF(B117="Funkcna poziadavka",VLOOKUP(G117,MODULY_CBA!$B$3:$E$23,3,0),),)</f>
        <v>0.76999999999999991</v>
      </c>
      <c r="N117" s="381">
        <f>IFERROR(IF(B117="funkcna poziadavka",VLOOKUP(G117,MODULY_CBA!$B$3:$E$23,2,0),),)</f>
        <v>1.01</v>
      </c>
      <c r="O117" s="380">
        <f t="shared" si="10"/>
        <v>4.1091986486486487</v>
      </c>
      <c r="P117" s="379">
        <f>IFERROR(O117*VLOOKUP(G117,MODULY_CBA!$B$3:$F$23,5,0),)</f>
        <v>82.183972972972981</v>
      </c>
      <c r="Q117" s="481" t="str">
        <f>IFERROR(VLOOKUP(G117,MODULY_CBA!$B$3:$I$23,6,0),"")</f>
        <v>Inkrement 1</v>
      </c>
      <c r="R117" s="383"/>
      <c r="S117" s="383"/>
      <c r="T117" s="383"/>
      <c r="U117" s="383"/>
      <c r="V117" s="383"/>
      <c r="W117" s="383"/>
      <c r="X117" s="383"/>
      <c r="Y117" s="383"/>
      <c r="Z117" s="383"/>
      <c r="AA117" s="383"/>
      <c r="AB117" s="383"/>
      <c r="AC117" s="383"/>
      <c r="AD117" s="383"/>
      <c r="AE117" s="383"/>
    </row>
    <row r="118" spans="1:31" ht="15" x14ac:dyDescent="0.2">
      <c r="A118" s="403" t="s">
        <v>3625</v>
      </c>
      <c r="B118" s="403" t="s">
        <v>724</v>
      </c>
      <c r="C118" s="534" t="s">
        <v>1232</v>
      </c>
      <c r="D118" s="534" t="s">
        <v>1232</v>
      </c>
      <c r="E118" s="730" t="s">
        <v>1381</v>
      </c>
      <c r="F118" s="387" t="s">
        <v>1163</v>
      </c>
      <c r="G118" s="391" t="s">
        <v>842</v>
      </c>
      <c r="H118" s="381">
        <v>1</v>
      </c>
      <c r="I118" s="381">
        <v>5</v>
      </c>
      <c r="J118" s="381">
        <f t="shared" si="9"/>
        <v>1</v>
      </c>
      <c r="K118" s="381">
        <f t="shared" si="8"/>
        <v>5</v>
      </c>
      <c r="L118" s="647">
        <f>IFERROR(IF(B118="funkcna poziadavka",VLOOKUP(G118,MODULY_CBA!$B$3:$E$23,4,0)*H118/SUMIFS($H$3:$H$197,$G$3:$G$197,G118,$B$3:$B$197,B118),),)</f>
        <v>0.28378378378378377</v>
      </c>
      <c r="M118" s="381">
        <f>IFERROR(IF(B118="Funkcna poziadavka",VLOOKUP(G118,MODULY_CBA!$B$3:$E$23,3,0),),)</f>
        <v>0.76999999999999991</v>
      </c>
      <c r="N118" s="381">
        <f>IFERROR(IF(B118="funkcna poziadavka",VLOOKUP(G118,MODULY_CBA!$B$3:$E$23,2,0),),)</f>
        <v>1.01</v>
      </c>
      <c r="O118" s="380">
        <f t="shared" si="10"/>
        <v>4.1091986486486487</v>
      </c>
      <c r="P118" s="379">
        <f>IFERROR(O118*VLOOKUP(G118,MODULY_CBA!$B$3:$F$23,5,0),)</f>
        <v>82.183972972972981</v>
      </c>
      <c r="Q118" s="481" t="str">
        <f>IFERROR(VLOOKUP(G118,MODULY_CBA!$B$3:$I$23,6,0),"")</f>
        <v>Inkrement 1</v>
      </c>
      <c r="R118" s="383"/>
      <c r="S118" s="383"/>
      <c r="T118" s="383"/>
      <c r="U118" s="383"/>
      <c r="V118" s="383"/>
      <c r="W118" s="383"/>
      <c r="X118" s="383"/>
      <c r="Y118" s="383"/>
      <c r="Z118" s="383"/>
      <c r="AA118" s="383"/>
      <c r="AB118" s="383"/>
      <c r="AC118" s="383"/>
      <c r="AD118" s="383"/>
      <c r="AE118" s="383"/>
    </row>
    <row r="119" spans="1:31" ht="15" x14ac:dyDescent="0.2">
      <c r="A119" s="403" t="s">
        <v>3626</v>
      </c>
      <c r="B119" s="403" t="s">
        <v>724</v>
      </c>
      <c r="C119" s="391" t="s">
        <v>1382</v>
      </c>
      <c r="D119" s="534" t="s">
        <v>1382</v>
      </c>
      <c r="E119" s="730" t="s">
        <v>1383</v>
      </c>
      <c r="F119" s="387" t="s">
        <v>1163</v>
      </c>
      <c r="G119" s="391" t="s">
        <v>842</v>
      </c>
      <c r="H119" s="381">
        <v>1</v>
      </c>
      <c r="I119" s="381">
        <v>5</v>
      </c>
      <c r="J119" s="381">
        <f t="shared" si="9"/>
        <v>1</v>
      </c>
      <c r="K119" s="381">
        <f t="shared" si="8"/>
        <v>5</v>
      </c>
      <c r="L119" s="647">
        <f>IFERROR(IF(B119="funkcna poziadavka",VLOOKUP(G119,MODULY_CBA!$B$3:$E$23,4,0)*H119/SUMIFS($H$3:$H$197,$G$3:$G$197,G119,$B$3:$B$197,B119),),)</f>
        <v>0.28378378378378377</v>
      </c>
      <c r="M119" s="381">
        <f>IFERROR(IF(B119="Funkcna poziadavka",VLOOKUP(G119,MODULY_CBA!$B$3:$E$23,3,0),),)</f>
        <v>0.76999999999999991</v>
      </c>
      <c r="N119" s="381">
        <f>IFERROR(IF(B119="funkcna poziadavka",VLOOKUP(G119,MODULY_CBA!$B$3:$E$23,2,0),),)</f>
        <v>1.01</v>
      </c>
      <c r="O119" s="380">
        <f t="shared" si="10"/>
        <v>4.1091986486486487</v>
      </c>
      <c r="P119" s="379">
        <f>IFERROR(O119*VLOOKUP(G119,MODULY_CBA!$B$3:$F$23,5,0),)</f>
        <v>82.183972972972981</v>
      </c>
      <c r="Q119" s="481" t="str">
        <f>IFERROR(VLOOKUP(G119,MODULY_CBA!$B$3:$I$23,6,0),"")</f>
        <v>Inkrement 1</v>
      </c>
      <c r="R119" s="383"/>
      <c r="S119" s="383"/>
      <c r="T119" s="383"/>
      <c r="U119" s="383"/>
      <c r="V119" s="383"/>
      <c r="W119" s="383"/>
      <c r="X119" s="383"/>
      <c r="Y119" s="383"/>
      <c r="Z119" s="383"/>
      <c r="AA119" s="383"/>
      <c r="AB119" s="383"/>
      <c r="AC119" s="383"/>
      <c r="AD119" s="383"/>
      <c r="AE119" s="383"/>
    </row>
    <row r="120" spans="1:31" ht="15" x14ac:dyDescent="0.2">
      <c r="A120" s="403" t="s">
        <v>3627</v>
      </c>
      <c r="B120" s="403" t="s">
        <v>724</v>
      </c>
      <c r="C120" s="534" t="s">
        <v>1303</v>
      </c>
      <c r="D120" s="534" t="s">
        <v>1303</v>
      </c>
      <c r="E120" s="730" t="s">
        <v>1384</v>
      </c>
      <c r="F120" s="387" t="s">
        <v>1163</v>
      </c>
      <c r="G120" s="391" t="s">
        <v>842</v>
      </c>
      <c r="H120" s="381">
        <v>1</v>
      </c>
      <c r="I120" s="381">
        <v>5</v>
      </c>
      <c r="J120" s="381">
        <f t="shared" si="9"/>
        <v>1</v>
      </c>
      <c r="K120" s="381">
        <f t="shared" si="8"/>
        <v>5</v>
      </c>
      <c r="L120" s="647">
        <f>IFERROR(IF(B120="funkcna poziadavka",VLOOKUP(G120,MODULY_CBA!$B$3:$E$23,4,0)*H120/SUMIFS($H$3:$H$197,$G$3:$G$197,G120,$B$3:$B$197,B120),),)</f>
        <v>0.28378378378378377</v>
      </c>
      <c r="M120" s="381">
        <f>IFERROR(IF(B120="Funkcna poziadavka",VLOOKUP(G120,MODULY_CBA!$B$3:$E$23,3,0),),)</f>
        <v>0.76999999999999991</v>
      </c>
      <c r="N120" s="381">
        <f>IFERROR(IF(B120="funkcna poziadavka",VLOOKUP(G120,MODULY_CBA!$B$3:$E$23,2,0),),)</f>
        <v>1.01</v>
      </c>
      <c r="O120" s="380">
        <f t="shared" si="10"/>
        <v>4.1091986486486487</v>
      </c>
      <c r="P120" s="379">
        <f>IFERROR(O120*VLOOKUP(G120,MODULY_CBA!$B$3:$F$23,5,0),)</f>
        <v>82.183972972972981</v>
      </c>
      <c r="Q120" s="481" t="str">
        <f>IFERROR(VLOOKUP(G120,MODULY_CBA!$B$3:$I$23,6,0),"")</f>
        <v>Inkrement 1</v>
      </c>
      <c r="R120" s="383"/>
      <c r="S120" s="383"/>
      <c r="T120" s="383"/>
      <c r="U120" s="383"/>
      <c r="V120" s="383"/>
      <c r="W120" s="383"/>
      <c r="X120" s="383"/>
      <c r="Y120" s="383"/>
      <c r="Z120" s="383"/>
      <c r="AA120" s="383"/>
      <c r="AB120" s="383"/>
      <c r="AC120" s="383"/>
      <c r="AD120" s="383"/>
      <c r="AE120" s="383"/>
    </row>
    <row r="121" spans="1:31" ht="15" x14ac:dyDescent="0.2">
      <c r="A121" s="403" t="s">
        <v>3628</v>
      </c>
      <c r="B121" s="403" t="s">
        <v>724</v>
      </c>
      <c r="C121" s="534" t="s">
        <v>1307</v>
      </c>
      <c r="D121" s="534" t="s">
        <v>1307</v>
      </c>
      <c r="E121" s="730" t="s">
        <v>1385</v>
      </c>
      <c r="F121" s="387" t="s">
        <v>1163</v>
      </c>
      <c r="G121" s="391" t="s">
        <v>842</v>
      </c>
      <c r="H121" s="381">
        <v>1</v>
      </c>
      <c r="I121" s="381">
        <v>5</v>
      </c>
      <c r="J121" s="381">
        <f t="shared" si="9"/>
        <v>1</v>
      </c>
      <c r="K121" s="381">
        <f t="shared" si="8"/>
        <v>5</v>
      </c>
      <c r="L121" s="647">
        <f>IFERROR(IF(B121="funkcna poziadavka",VLOOKUP(G121,MODULY_CBA!$B$3:$E$23,4,0)*H121/SUMIFS($H$3:$H$197,$G$3:$G$197,G121,$B$3:$B$197,B121),),)</f>
        <v>0.28378378378378377</v>
      </c>
      <c r="M121" s="381">
        <f>IFERROR(IF(B121="Funkcna poziadavka",VLOOKUP(G121,MODULY_CBA!$B$3:$E$23,3,0),),)</f>
        <v>0.76999999999999991</v>
      </c>
      <c r="N121" s="381">
        <f>IFERROR(IF(B121="funkcna poziadavka",VLOOKUP(G121,MODULY_CBA!$B$3:$E$23,2,0),),)</f>
        <v>1.01</v>
      </c>
      <c r="O121" s="380">
        <f t="shared" si="10"/>
        <v>4.1091986486486487</v>
      </c>
      <c r="P121" s="379">
        <f>IFERROR(O121*VLOOKUP(G121,MODULY_CBA!$B$3:$F$23,5,0),)</f>
        <v>82.183972972972981</v>
      </c>
      <c r="Q121" s="481" t="str">
        <f>IFERROR(VLOOKUP(G121,MODULY_CBA!$B$3:$I$23,6,0),"")</f>
        <v>Inkrement 1</v>
      </c>
      <c r="R121" s="383"/>
      <c r="S121" s="383"/>
      <c r="T121" s="383"/>
      <c r="U121" s="383"/>
      <c r="V121" s="383"/>
      <c r="W121" s="383"/>
      <c r="X121" s="383"/>
      <c r="Y121" s="383"/>
      <c r="Z121" s="383"/>
      <c r="AA121" s="383"/>
      <c r="AB121" s="383"/>
      <c r="AC121" s="383"/>
      <c r="AD121" s="383"/>
      <c r="AE121" s="383"/>
    </row>
    <row r="122" spans="1:31" ht="15" x14ac:dyDescent="0.2">
      <c r="A122" s="403" t="s">
        <v>3629</v>
      </c>
      <c r="B122" s="403" t="s">
        <v>724</v>
      </c>
      <c r="C122" s="534" t="s">
        <v>1386</v>
      </c>
      <c r="D122" s="534" t="s">
        <v>1386</v>
      </c>
      <c r="E122" s="730" t="s">
        <v>1387</v>
      </c>
      <c r="F122" s="387" t="s">
        <v>1163</v>
      </c>
      <c r="G122" s="391" t="s">
        <v>842</v>
      </c>
      <c r="H122" s="381">
        <v>1</v>
      </c>
      <c r="I122" s="381">
        <v>5</v>
      </c>
      <c r="J122" s="381">
        <f t="shared" si="9"/>
        <v>1</v>
      </c>
      <c r="K122" s="381">
        <f t="shared" si="8"/>
        <v>5</v>
      </c>
      <c r="L122" s="647">
        <f>IFERROR(IF(B122="funkcna poziadavka",VLOOKUP(G122,MODULY_CBA!$B$3:$E$23,4,0)*H122/SUMIFS($H$3:$H$197,$G$3:$G$197,G122,$B$3:$B$197,B122),),)</f>
        <v>0.28378378378378377</v>
      </c>
      <c r="M122" s="381">
        <f>IFERROR(IF(B122="Funkcna poziadavka",VLOOKUP(G122,MODULY_CBA!$B$3:$E$23,3,0),),)</f>
        <v>0.76999999999999991</v>
      </c>
      <c r="N122" s="381">
        <f>IFERROR(IF(B122="funkcna poziadavka",VLOOKUP(G122,MODULY_CBA!$B$3:$E$23,2,0),),)</f>
        <v>1.01</v>
      </c>
      <c r="O122" s="380">
        <f t="shared" si="10"/>
        <v>4.1091986486486487</v>
      </c>
      <c r="P122" s="379">
        <f>IFERROR(O122*VLOOKUP(G122,MODULY_CBA!$B$3:$F$23,5,0),)</f>
        <v>82.183972972972981</v>
      </c>
      <c r="Q122" s="481" t="str">
        <f>IFERROR(VLOOKUP(G122,MODULY_CBA!$B$3:$I$23,6,0),"")</f>
        <v>Inkrement 1</v>
      </c>
      <c r="R122" s="383"/>
      <c r="S122" s="383"/>
      <c r="T122" s="383"/>
      <c r="U122" s="383"/>
      <c r="V122" s="383"/>
      <c r="W122" s="383"/>
      <c r="X122" s="383"/>
      <c r="Y122" s="383"/>
      <c r="Z122" s="383"/>
      <c r="AA122" s="383"/>
      <c r="AB122" s="383"/>
      <c r="AC122" s="383"/>
      <c r="AD122" s="383"/>
      <c r="AE122" s="383"/>
    </row>
    <row r="123" spans="1:31" ht="15" x14ac:dyDescent="0.2">
      <c r="A123" s="403" t="s">
        <v>3630</v>
      </c>
      <c r="B123" s="403" t="s">
        <v>724</v>
      </c>
      <c r="C123" s="534" t="s">
        <v>1388</v>
      </c>
      <c r="D123" s="534" t="s">
        <v>1388</v>
      </c>
      <c r="E123" s="726" t="s">
        <v>1389</v>
      </c>
      <c r="F123" s="387" t="s">
        <v>1163</v>
      </c>
      <c r="G123" s="391" t="s">
        <v>842</v>
      </c>
      <c r="H123" s="381">
        <v>1</v>
      </c>
      <c r="I123" s="381">
        <v>5</v>
      </c>
      <c r="J123" s="381">
        <f t="shared" si="9"/>
        <v>1</v>
      </c>
      <c r="K123" s="381">
        <f t="shared" si="8"/>
        <v>5</v>
      </c>
      <c r="L123" s="647">
        <f>IFERROR(IF(B123="funkcna poziadavka",VLOOKUP(G123,MODULY_CBA!$B$3:$E$23,4,0)*H123/SUMIFS($H$3:$H$197,$G$3:$G$197,G123,$B$3:$B$197,B123),),)</f>
        <v>0.28378378378378377</v>
      </c>
      <c r="M123" s="381">
        <f>IFERROR(IF(B123="Funkcna poziadavka",VLOOKUP(G123,MODULY_CBA!$B$3:$E$23,3,0),),)</f>
        <v>0.76999999999999991</v>
      </c>
      <c r="N123" s="381">
        <f>IFERROR(IF(B123="funkcna poziadavka",VLOOKUP(G123,MODULY_CBA!$B$3:$E$23,2,0),),)</f>
        <v>1.01</v>
      </c>
      <c r="O123" s="380">
        <f t="shared" si="10"/>
        <v>4.1091986486486487</v>
      </c>
      <c r="P123" s="379">
        <f>IFERROR(O123*VLOOKUP(G123,MODULY_CBA!$B$3:$F$23,5,0),)</f>
        <v>82.183972972972981</v>
      </c>
      <c r="Q123" s="481" t="str">
        <f>IFERROR(VLOOKUP(G123,MODULY_CBA!$B$3:$I$23,6,0),"")</f>
        <v>Inkrement 1</v>
      </c>
      <c r="R123" s="383"/>
      <c r="S123" s="383"/>
      <c r="T123" s="383"/>
      <c r="U123" s="383"/>
      <c r="V123" s="383"/>
      <c r="W123" s="383"/>
      <c r="X123" s="383"/>
      <c r="Y123" s="383"/>
      <c r="Z123" s="383"/>
      <c r="AA123" s="383"/>
      <c r="AB123" s="383"/>
      <c r="AC123" s="383"/>
      <c r="AD123" s="383"/>
      <c r="AE123" s="383"/>
    </row>
    <row r="124" spans="1:31" ht="15" x14ac:dyDescent="0.2">
      <c r="A124" s="403" t="s">
        <v>3631</v>
      </c>
      <c r="B124" s="403" t="s">
        <v>724</v>
      </c>
      <c r="C124" s="534" t="s">
        <v>1390</v>
      </c>
      <c r="D124" s="534" t="s">
        <v>1390</v>
      </c>
      <c r="E124" s="726" t="s">
        <v>1391</v>
      </c>
      <c r="F124" s="387" t="s">
        <v>1163</v>
      </c>
      <c r="G124" s="391" t="s">
        <v>842</v>
      </c>
      <c r="H124" s="381">
        <v>1</v>
      </c>
      <c r="I124" s="381">
        <v>5</v>
      </c>
      <c r="J124" s="381">
        <f t="shared" si="9"/>
        <v>1</v>
      </c>
      <c r="K124" s="381">
        <f t="shared" si="8"/>
        <v>5</v>
      </c>
      <c r="L124" s="647">
        <f>IFERROR(IF(B124="funkcna poziadavka",VLOOKUP(G124,MODULY_CBA!$B$3:$E$23,4,0)*H124/SUMIFS($H$3:$H$197,$G$3:$G$197,G124,$B$3:$B$197,B124),),)</f>
        <v>0.28378378378378377</v>
      </c>
      <c r="M124" s="381">
        <f>IFERROR(IF(B124="Funkcna poziadavka",VLOOKUP(G124,MODULY_CBA!$B$3:$E$23,3,0),),)</f>
        <v>0.76999999999999991</v>
      </c>
      <c r="N124" s="381">
        <f>IFERROR(IF(B124="funkcna poziadavka",VLOOKUP(G124,MODULY_CBA!$B$3:$E$23,2,0),),)</f>
        <v>1.01</v>
      </c>
      <c r="O124" s="380">
        <f t="shared" si="10"/>
        <v>4.1091986486486487</v>
      </c>
      <c r="P124" s="379">
        <f>IFERROR(O124*VLOOKUP(G124,MODULY_CBA!$B$3:$F$23,5,0),)</f>
        <v>82.183972972972981</v>
      </c>
      <c r="Q124" s="481" t="str">
        <f>IFERROR(VLOOKUP(G124,MODULY_CBA!$B$3:$I$23,6,0),"")</f>
        <v>Inkrement 1</v>
      </c>
      <c r="R124" s="383"/>
      <c r="S124" s="383"/>
      <c r="T124" s="383"/>
      <c r="U124" s="383"/>
      <c r="V124" s="383"/>
      <c r="W124" s="383"/>
      <c r="X124" s="383"/>
      <c r="Y124" s="383"/>
      <c r="Z124" s="383"/>
      <c r="AA124" s="383"/>
      <c r="AB124" s="383"/>
      <c r="AC124" s="383"/>
      <c r="AD124" s="383"/>
      <c r="AE124" s="383"/>
    </row>
    <row r="125" spans="1:31" ht="15" x14ac:dyDescent="0.2">
      <c r="A125" s="403" t="s">
        <v>3632</v>
      </c>
      <c r="B125" s="403" t="s">
        <v>724</v>
      </c>
      <c r="C125" s="534" t="s">
        <v>1392</v>
      </c>
      <c r="D125" s="534" t="s">
        <v>1392</v>
      </c>
      <c r="E125" s="726" t="s">
        <v>1393</v>
      </c>
      <c r="F125" s="387" t="s">
        <v>1163</v>
      </c>
      <c r="G125" s="391" t="s">
        <v>842</v>
      </c>
      <c r="H125" s="381">
        <v>1</v>
      </c>
      <c r="I125" s="381">
        <v>5</v>
      </c>
      <c r="J125" s="381">
        <f t="shared" si="9"/>
        <v>1</v>
      </c>
      <c r="K125" s="381">
        <f t="shared" si="8"/>
        <v>5</v>
      </c>
      <c r="L125" s="647">
        <f>IFERROR(IF(B125="funkcna poziadavka",VLOOKUP(G125,MODULY_CBA!$B$3:$E$23,4,0)*H125/SUMIFS($H$3:$H$197,$G$3:$G$197,G125,$B$3:$B$197,B125),),)</f>
        <v>0.28378378378378377</v>
      </c>
      <c r="M125" s="381">
        <f>IFERROR(IF(B125="Funkcna poziadavka",VLOOKUP(G125,MODULY_CBA!$B$3:$E$23,3,0),),)</f>
        <v>0.76999999999999991</v>
      </c>
      <c r="N125" s="381">
        <f>IFERROR(IF(B125="funkcna poziadavka",VLOOKUP(G125,MODULY_CBA!$B$3:$E$23,2,0),),)</f>
        <v>1.01</v>
      </c>
      <c r="O125" s="380">
        <f t="shared" si="10"/>
        <v>4.1091986486486487</v>
      </c>
      <c r="P125" s="379">
        <f>IFERROR(O125*VLOOKUP(G125,MODULY_CBA!$B$3:$F$23,5,0),)</f>
        <v>82.183972972972981</v>
      </c>
      <c r="Q125" s="481" t="str">
        <f>IFERROR(VLOOKUP(G125,MODULY_CBA!$B$3:$I$23,6,0),"")</f>
        <v>Inkrement 1</v>
      </c>
      <c r="R125" s="383"/>
      <c r="S125" s="383"/>
      <c r="T125" s="383"/>
      <c r="U125" s="383"/>
      <c r="V125" s="383"/>
      <c r="W125" s="383"/>
      <c r="X125" s="383"/>
      <c r="Y125" s="383"/>
      <c r="Z125" s="383"/>
      <c r="AA125" s="383"/>
      <c r="AB125" s="383"/>
      <c r="AC125" s="383"/>
      <c r="AD125" s="383"/>
      <c r="AE125" s="383"/>
    </row>
    <row r="126" spans="1:31" ht="15" x14ac:dyDescent="0.2">
      <c r="A126" s="403" t="s">
        <v>3633</v>
      </c>
      <c r="B126" s="403" t="s">
        <v>724</v>
      </c>
      <c r="C126" s="534" t="s">
        <v>1394</v>
      </c>
      <c r="D126" s="534" t="s">
        <v>1394</v>
      </c>
      <c r="E126" s="726" t="s">
        <v>1395</v>
      </c>
      <c r="F126" s="387" t="s">
        <v>1163</v>
      </c>
      <c r="G126" s="391" t="s">
        <v>842</v>
      </c>
      <c r="H126" s="381">
        <v>1</v>
      </c>
      <c r="I126" s="381">
        <v>5</v>
      </c>
      <c r="J126" s="381">
        <f t="shared" si="9"/>
        <v>1</v>
      </c>
      <c r="K126" s="381">
        <f t="shared" si="8"/>
        <v>5</v>
      </c>
      <c r="L126" s="647">
        <f>IFERROR(IF(B126="funkcna poziadavka",VLOOKUP(G126,MODULY_CBA!$B$3:$E$23,4,0)*H126/SUMIFS($H$3:$H$197,$G$3:$G$197,G126,$B$3:$B$197,B126),),)</f>
        <v>0.28378378378378377</v>
      </c>
      <c r="M126" s="381">
        <f>IFERROR(IF(B126="Funkcna poziadavka",VLOOKUP(G126,MODULY_CBA!$B$3:$E$23,3,0),),)</f>
        <v>0.76999999999999991</v>
      </c>
      <c r="N126" s="381">
        <f>IFERROR(IF(B126="funkcna poziadavka",VLOOKUP(G126,MODULY_CBA!$B$3:$E$23,2,0),),)</f>
        <v>1.01</v>
      </c>
      <c r="O126" s="380">
        <f t="shared" si="10"/>
        <v>4.1091986486486487</v>
      </c>
      <c r="P126" s="379">
        <f>IFERROR(O126*VLOOKUP(G126,MODULY_CBA!$B$3:$F$23,5,0),)</f>
        <v>82.183972972972981</v>
      </c>
      <c r="Q126" s="481" t="str">
        <f>IFERROR(VLOOKUP(G126,MODULY_CBA!$B$3:$I$23,6,0),"")</f>
        <v>Inkrement 1</v>
      </c>
      <c r="R126" s="383"/>
      <c r="S126" s="383"/>
      <c r="T126" s="383"/>
      <c r="U126" s="383"/>
      <c r="V126" s="383"/>
      <c r="W126" s="383"/>
      <c r="X126" s="383"/>
      <c r="Y126" s="383"/>
      <c r="Z126" s="383"/>
      <c r="AA126" s="383"/>
      <c r="AB126" s="383"/>
      <c r="AC126" s="383"/>
      <c r="AD126" s="383"/>
      <c r="AE126" s="383"/>
    </row>
    <row r="127" spans="1:31" ht="15" x14ac:dyDescent="0.2">
      <c r="A127" s="403" t="s">
        <v>3634</v>
      </c>
      <c r="B127" s="403" t="s">
        <v>724</v>
      </c>
      <c r="C127" s="534" t="s">
        <v>1396</v>
      </c>
      <c r="D127" s="534" t="s">
        <v>1396</v>
      </c>
      <c r="E127" s="726" t="s">
        <v>1397</v>
      </c>
      <c r="F127" s="387" t="s">
        <v>1163</v>
      </c>
      <c r="G127" s="391" t="s">
        <v>842</v>
      </c>
      <c r="H127" s="381">
        <v>1</v>
      </c>
      <c r="I127" s="381">
        <v>5</v>
      </c>
      <c r="J127" s="381">
        <f t="shared" si="9"/>
        <v>1</v>
      </c>
      <c r="K127" s="381">
        <f t="shared" si="8"/>
        <v>5</v>
      </c>
      <c r="L127" s="647">
        <f>IFERROR(IF(B127="funkcna poziadavka",VLOOKUP(G127,MODULY_CBA!$B$3:$E$23,4,0)*H127/SUMIFS($H$3:$H$197,$G$3:$G$197,G127,$B$3:$B$197,B127),),)</f>
        <v>0.28378378378378377</v>
      </c>
      <c r="M127" s="381">
        <f>IFERROR(IF(B127="Funkcna poziadavka",VLOOKUP(G127,MODULY_CBA!$B$3:$E$23,3,0),),)</f>
        <v>0.76999999999999991</v>
      </c>
      <c r="N127" s="381">
        <f>IFERROR(IF(B127="funkcna poziadavka",VLOOKUP(G127,MODULY_CBA!$B$3:$E$23,2,0),),)</f>
        <v>1.01</v>
      </c>
      <c r="O127" s="380">
        <f t="shared" si="10"/>
        <v>4.1091986486486487</v>
      </c>
      <c r="P127" s="379">
        <f>IFERROR(O127*VLOOKUP(G127,MODULY_CBA!$B$3:$F$23,5,0),)</f>
        <v>82.183972972972981</v>
      </c>
      <c r="Q127" s="481" t="str">
        <f>IFERROR(VLOOKUP(G127,MODULY_CBA!$B$3:$I$23,6,0),"")</f>
        <v>Inkrement 1</v>
      </c>
      <c r="R127" s="383" t="s">
        <v>167</v>
      </c>
      <c r="S127" s="383" t="s">
        <v>167</v>
      </c>
      <c r="T127" s="383" t="s">
        <v>167</v>
      </c>
      <c r="U127" s="383" t="s">
        <v>167</v>
      </c>
      <c r="V127" s="383" t="s">
        <v>167</v>
      </c>
      <c r="W127" s="383" t="s">
        <v>167</v>
      </c>
      <c r="X127" s="383" t="s">
        <v>167</v>
      </c>
      <c r="Y127" s="383" t="s">
        <v>167</v>
      </c>
      <c r="Z127" s="383" t="s">
        <v>167</v>
      </c>
      <c r="AA127" s="383" t="s">
        <v>167</v>
      </c>
      <c r="AB127" s="383" t="s">
        <v>167</v>
      </c>
      <c r="AC127" s="383" t="s">
        <v>167</v>
      </c>
      <c r="AD127" s="383" t="s">
        <v>167</v>
      </c>
      <c r="AE127" s="383" t="s">
        <v>167</v>
      </c>
    </row>
    <row r="128" spans="1:31" ht="15" x14ac:dyDescent="0.2">
      <c r="A128" s="403" t="s">
        <v>3635</v>
      </c>
      <c r="B128" s="403" t="s">
        <v>724</v>
      </c>
      <c r="C128" s="534" t="s">
        <v>1398</v>
      </c>
      <c r="D128" s="534" t="s">
        <v>1398</v>
      </c>
      <c r="E128" s="726" t="s">
        <v>1399</v>
      </c>
      <c r="F128" s="387" t="s">
        <v>1163</v>
      </c>
      <c r="G128" s="391" t="s">
        <v>842</v>
      </c>
      <c r="H128" s="381">
        <v>1</v>
      </c>
      <c r="I128" s="381">
        <v>5</v>
      </c>
      <c r="J128" s="381">
        <f t="shared" si="9"/>
        <v>1</v>
      </c>
      <c r="K128" s="381">
        <f t="shared" si="8"/>
        <v>5</v>
      </c>
      <c r="L128" s="647">
        <f>IFERROR(IF(B128="funkcna poziadavka",VLOOKUP(G128,MODULY_CBA!$B$3:$E$23,4,0)*H128/SUMIFS($H$3:$H$197,$G$3:$G$197,G128,$B$3:$B$197,B128),),)</f>
        <v>0.28378378378378377</v>
      </c>
      <c r="M128" s="381">
        <f>IFERROR(IF(B128="Funkcna poziadavka",VLOOKUP(G128,MODULY_CBA!$B$3:$E$23,3,0),),)</f>
        <v>0.76999999999999991</v>
      </c>
      <c r="N128" s="381">
        <f>IFERROR(IF(B128="funkcna poziadavka",VLOOKUP(G128,MODULY_CBA!$B$3:$E$23,2,0),),)</f>
        <v>1.01</v>
      </c>
      <c r="O128" s="380">
        <f t="shared" si="10"/>
        <v>4.1091986486486487</v>
      </c>
      <c r="P128" s="379">
        <f>IFERROR(O128*VLOOKUP(G128,MODULY_CBA!$B$3:$F$23,5,0),)</f>
        <v>82.183972972972981</v>
      </c>
      <c r="Q128" s="481" t="str">
        <f>IFERROR(VLOOKUP(G128,MODULY_CBA!$B$3:$I$23,6,0),"")</f>
        <v>Inkrement 1</v>
      </c>
      <c r="R128" s="383"/>
      <c r="S128" s="383"/>
      <c r="T128" s="383"/>
      <c r="U128" s="383"/>
      <c r="V128" s="383"/>
      <c r="W128" s="383"/>
      <c r="X128" s="383"/>
      <c r="Y128" s="383"/>
      <c r="Z128" s="383"/>
      <c r="AA128" s="383"/>
      <c r="AB128" s="383"/>
      <c r="AC128" s="383"/>
      <c r="AD128" s="383"/>
      <c r="AE128" s="383"/>
    </row>
    <row r="129" spans="1:31" ht="15" x14ac:dyDescent="0.2">
      <c r="A129" s="403" t="s">
        <v>3636</v>
      </c>
      <c r="B129" s="403" t="s">
        <v>724</v>
      </c>
      <c r="C129" s="534" t="s">
        <v>1224</v>
      </c>
      <c r="D129" s="534" t="s">
        <v>1224</v>
      </c>
      <c r="E129" s="726" t="s">
        <v>1400</v>
      </c>
      <c r="F129" s="387" t="s">
        <v>1163</v>
      </c>
      <c r="G129" s="391" t="s">
        <v>842</v>
      </c>
      <c r="H129" s="381">
        <v>1</v>
      </c>
      <c r="I129" s="381">
        <v>5</v>
      </c>
      <c r="J129" s="381">
        <f t="shared" si="9"/>
        <v>1</v>
      </c>
      <c r="K129" s="381">
        <f t="shared" si="8"/>
        <v>5</v>
      </c>
      <c r="L129" s="647">
        <f>IFERROR(IF(B129="funkcna poziadavka",VLOOKUP(G129,MODULY_CBA!$B$3:$E$23,4,0)*H129/SUMIFS($H$3:$H$197,$G$3:$G$197,G129,$B$3:$B$197,B129),),)</f>
        <v>0.28378378378378377</v>
      </c>
      <c r="M129" s="381">
        <f>IFERROR(IF(B129="Funkcna poziadavka",VLOOKUP(G129,MODULY_CBA!$B$3:$E$23,3,0),),)</f>
        <v>0.76999999999999991</v>
      </c>
      <c r="N129" s="381">
        <f>IFERROR(IF(B129="funkcna poziadavka",VLOOKUP(G129,MODULY_CBA!$B$3:$E$23,2,0),),)</f>
        <v>1.01</v>
      </c>
      <c r="O129" s="380">
        <f t="shared" si="10"/>
        <v>4.1091986486486487</v>
      </c>
      <c r="P129" s="379">
        <f>IFERROR(O129*VLOOKUP(G129,MODULY_CBA!$B$3:$F$23,5,0),)</f>
        <v>82.183972972972981</v>
      </c>
      <c r="Q129" s="481" t="str">
        <f>IFERROR(VLOOKUP(G129,MODULY_CBA!$B$3:$I$23,6,0),"")</f>
        <v>Inkrement 1</v>
      </c>
      <c r="R129" s="383"/>
      <c r="S129" s="383"/>
      <c r="T129" s="383"/>
      <c r="U129" s="383"/>
      <c r="V129" s="383"/>
      <c r="W129" s="383"/>
      <c r="X129" s="383"/>
      <c r="Y129" s="383"/>
      <c r="Z129" s="383"/>
      <c r="AA129" s="383"/>
      <c r="AB129" s="383"/>
      <c r="AC129" s="383"/>
      <c r="AD129" s="383"/>
      <c r="AE129" s="383"/>
    </row>
    <row r="130" spans="1:31" ht="15" x14ac:dyDescent="0.2">
      <c r="A130" s="403" t="s">
        <v>3637</v>
      </c>
      <c r="B130" s="403" t="s">
        <v>724</v>
      </c>
      <c r="C130" s="534" t="s">
        <v>1401</v>
      </c>
      <c r="D130" s="534" t="s">
        <v>1401</v>
      </c>
      <c r="E130" s="726" t="s">
        <v>1402</v>
      </c>
      <c r="F130" s="387" t="s">
        <v>1163</v>
      </c>
      <c r="G130" s="391" t="s">
        <v>842</v>
      </c>
      <c r="H130" s="381">
        <v>1</v>
      </c>
      <c r="I130" s="381">
        <v>5</v>
      </c>
      <c r="J130" s="381">
        <f t="shared" ref="J130:J160" si="11">IF(ISNUMBER(H130),H130,)</f>
        <v>1</v>
      </c>
      <c r="K130" s="381">
        <f t="shared" si="8"/>
        <v>5</v>
      </c>
      <c r="L130" s="647">
        <f>IFERROR(IF(B130="funkcna poziadavka",VLOOKUP(G130,MODULY_CBA!$B$3:$E$23,4,0)*H130/SUMIFS($H$3:$H$197,$G$3:$G$197,G130,$B$3:$B$197,B130),),)</f>
        <v>0.28378378378378377</v>
      </c>
      <c r="M130" s="381">
        <f>IFERROR(IF(B130="Funkcna poziadavka",VLOOKUP(G130,MODULY_CBA!$B$3:$E$23,3,0),),)</f>
        <v>0.76999999999999991</v>
      </c>
      <c r="N130" s="381">
        <f>IFERROR(IF(B130="funkcna poziadavka",VLOOKUP(G130,MODULY_CBA!$B$3:$E$23,2,0),),)</f>
        <v>1.01</v>
      </c>
      <c r="O130" s="380">
        <f t="shared" ref="O130:O160" si="12">(K130+L130)*M130*N130</f>
        <v>4.1091986486486487</v>
      </c>
      <c r="P130" s="379">
        <f>IFERROR(O130*VLOOKUP(G130,MODULY_CBA!$B$3:$F$23,5,0),)</f>
        <v>82.183972972972981</v>
      </c>
      <c r="Q130" s="481" t="str">
        <f>IFERROR(VLOOKUP(G130,MODULY_CBA!$B$3:$I$23,6,0),"")</f>
        <v>Inkrement 1</v>
      </c>
      <c r="R130" s="383"/>
      <c r="S130" s="383"/>
      <c r="T130" s="383"/>
      <c r="U130" s="383"/>
      <c r="V130" s="383"/>
      <c r="W130" s="383"/>
      <c r="X130" s="383"/>
      <c r="Y130" s="383"/>
      <c r="Z130" s="383"/>
      <c r="AA130" s="383"/>
      <c r="AB130" s="383"/>
      <c r="AC130" s="383"/>
      <c r="AD130" s="383"/>
      <c r="AE130" s="383"/>
    </row>
    <row r="131" spans="1:31" ht="15" x14ac:dyDescent="0.2">
      <c r="A131" s="403" t="s">
        <v>3638</v>
      </c>
      <c r="B131" s="403" t="s">
        <v>724</v>
      </c>
      <c r="C131" s="534" t="s">
        <v>1403</v>
      </c>
      <c r="D131" s="534" t="s">
        <v>1403</v>
      </c>
      <c r="E131" s="726" t="s">
        <v>1404</v>
      </c>
      <c r="F131" s="387" t="s">
        <v>1163</v>
      </c>
      <c r="G131" s="391" t="s">
        <v>842</v>
      </c>
      <c r="H131" s="381">
        <v>1</v>
      </c>
      <c r="I131" s="381">
        <v>5</v>
      </c>
      <c r="J131" s="381">
        <f t="shared" si="11"/>
        <v>1</v>
      </c>
      <c r="K131" s="381">
        <f t="shared" ref="K131:K167" si="13">H131*I131</f>
        <v>5</v>
      </c>
      <c r="L131" s="647">
        <f>IFERROR(IF(B131="funkcna poziadavka",VLOOKUP(G131,MODULY_CBA!$B$3:$E$23,4,0)*H131/SUMIFS($H$3:$H$197,$G$3:$G$197,G131,$B$3:$B$197,B131),),)</f>
        <v>0.28378378378378377</v>
      </c>
      <c r="M131" s="381">
        <f>IFERROR(IF(B131="Funkcna poziadavka",VLOOKUP(G131,MODULY_CBA!$B$3:$E$23,3,0),),)</f>
        <v>0.76999999999999991</v>
      </c>
      <c r="N131" s="381">
        <f>IFERROR(IF(B131="funkcna poziadavka",VLOOKUP(G131,MODULY_CBA!$B$3:$E$23,2,0),),)</f>
        <v>1.01</v>
      </c>
      <c r="O131" s="380">
        <f t="shared" si="12"/>
        <v>4.1091986486486487</v>
      </c>
      <c r="P131" s="379">
        <f>IFERROR(O131*VLOOKUP(G131,MODULY_CBA!$B$3:$F$23,5,0),)</f>
        <v>82.183972972972981</v>
      </c>
      <c r="Q131" s="481" t="str">
        <f>IFERROR(VLOOKUP(G131,MODULY_CBA!$B$3:$I$23,6,0),"")</f>
        <v>Inkrement 1</v>
      </c>
      <c r="R131" s="383"/>
      <c r="S131" s="383"/>
      <c r="T131" s="383"/>
      <c r="U131" s="383"/>
      <c r="V131" s="383"/>
      <c r="W131" s="383"/>
      <c r="X131" s="383"/>
      <c r="Y131" s="383"/>
      <c r="Z131" s="383"/>
      <c r="AA131" s="383"/>
      <c r="AB131" s="383"/>
      <c r="AC131" s="383"/>
      <c r="AD131" s="383"/>
      <c r="AE131" s="383"/>
    </row>
    <row r="132" spans="1:31" ht="15" x14ac:dyDescent="0.2">
      <c r="A132" s="403" t="s">
        <v>3639</v>
      </c>
      <c r="B132" s="403" t="s">
        <v>724</v>
      </c>
      <c r="C132" s="534" t="s">
        <v>1405</v>
      </c>
      <c r="D132" s="534" t="s">
        <v>1405</v>
      </c>
      <c r="E132" s="726" t="s">
        <v>1406</v>
      </c>
      <c r="F132" s="387" t="s">
        <v>1163</v>
      </c>
      <c r="G132" s="391" t="s">
        <v>842</v>
      </c>
      <c r="H132" s="381">
        <v>1</v>
      </c>
      <c r="I132" s="381">
        <v>5</v>
      </c>
      <c r="J132" s="381">
        <f t="shared" si="11"/>
        <v>1</v>
      </c>
      <c r="K132" s="381">
        <f t="shared" si="13"/>
        <v>5</v>
      </c>
      <c r="L132" s="647">
        <f>IFERROR(IF(B132="funkcna poziadavka",VLOOKUP(G132,MODULY_CBA!$B$3:$E$23,4,0)*H132/SUMIFS($H$3:$H$197,$G$3:$G$197,G132,$B$3:$B$197,B132),),)</f>
        <v>0.28378378378378377</v>
      </c>
      <c r="M132" s="381">
        <f>IFERROR(IF(B132="Funkcna poziadavka",VLOOKUP(G132,MODULY_CBA!$B$3:$E$23,3,0),),)</f>
        <v>0.76999999999999991</v>
      </c>
      <c r="N132" s="381">
        <f>IFERROR(IF(B132="funkcna poziadavka",VLOOKUP(G132,MODULY_CBA!$B$3:$E$23,2,0),),)</f>
        <v>1.01</v>
      </c>
      <c r="O132" s="380">
        <f t="shared" si="12"/>
        <v>4.1091986486486487</v>
      </c>
      <c r="P132" s="379">
        <f>IFERROR(O132*VLOOKUP(G132,MODULY_CBA!$B$3:$F$23,5,0),)</f>
        <v>82.183972972972981</v>
      </c>
      <c r="Q132" s="481" t="str">
        <f>IFERROR(VLOOKUP(G132,MODULY_CBA!$B$3:$I$23,6,0),"")</f>
        <v>Inkrement 1</v>
      </c>
      <c r="R132" s="383"/>
      <c r="S132" s="383"/>
      <c r="T132" s="383"/>
      <c r="U132" s="383"/>
      <c r="V132" s="383"/>
      <c r="W132" s="383"/>
      <c r="X132" s="383"/>
      <c r="Y132" s="383"/>
      <c r="Z132" s="383"/>
      <c r="AA132" s="383"/>
      <c r="AB132" s="383"/>
      <c r="AC132" s="383"/>
      <c r="AD132" s="383"/>
      <c r="AE132" s="383"/>
    </row>
    <row r="133" spans="1:31" ht="15" x14ac:dyDescent="0.2">
      <c r="A133" s="403" t="s">
        <v>3640</v>
      </c>
      <c r="B133" s="403" t="s">
        <v>724</v>
      </c>
      <c r="C133" s="534" t="s">
        <v>1407</v>
      </c>
      <c r="D133" s="534" t="s">
        <v>1407</v>
      </c>
      <c r="E133" s="726" t="s">
        <v>1408</v>
      </c>
      <c r="F133" s="387" t="s">
        <v>1163</v>
      </c>
      <c r="G133" s="391" t="s">
        <v>842</v>
      </c>
      <c r="H133" s="381">
        <v>1</v>
      </c>
      <c r="I133" s="381">
        <v>5</v>
      </c>
      <c r="J133" s="381">
        <f t="shared" si="11"/>
        <v>1</v>
      </c>
      <c r="K133" s="381">
        <f t="shared" si="13"/>
        <v>5</v>
      </c>
      <c r="L133" s="647">
        <f>IFERROR(IF(B133="funkcna poziadavka",VLOOKUP(G133,MODULY_CBA!$B$3:$E$23,4,0)*H133/SUMIFS($H$3:$H$197,$G$3:$G$197,G133,$B$3:$B$197,B133),),)</f>
        <v>0.28378378378378377</v>
      </c>
      <c r="M133" s="381">
        <f>IFERROR(IF(B133="Funkcna poziadavka",VLOOKUP(G133,MODULY_CBA!$B$3:$E$23,3,0),),)</f>
        <v>0.76999999999999991</v>
      </c>
      <c r="N133" s="381">
        <f>IFERROR(IF(B133="funkcna poziadavka",VLOOKUP(G133,MODULY_CBA!$B$3:$E$23,2,0),),)</f>
        <v>1.01</v>
      </c>
      <c r="O133" s="380">
        <f t="shared" si="12"/>
        <v>4.1091986486486487</v>
      </c>
      <c r="P133" s="379">
        <f>IFERROR(O133*VLOOKUP(G133,MODULY_CBA!$B$3:$F$23,5,0),)</f>
        <v>82.183972972972981</v>
      </c>
      <c r="Q133" s="481" t="str">
        <f>IFERROR(VLOOKUP(G133,MODULY_CBA!$B$3:$I$23,6,0),"")</f>
        <v>Inkrement 1</v>
      </c>
      <c r="R133" s="383" t="s">
        <v>167</v>
      </c>
      <c r="S133" s="383" t="s">
        <v>167</v>
      </c>
      <c r="T133" s="383" t="s">
        <v>167</v>
      </c>
      <c r="U133" s="383" t="s">
        <v>167</v>
      </c>
      <c r="V133" s="383" t="s">
        <v>167</v>
      </c>
      <c r="W133" s="383" t="s">
        <v>167</v>
      </c>
      <c r="X133" s="383" t="s">
        <v>167</v>
      </c>
      <c r="Y133" s="383" t="s">
        <v>167</v>
      </c>
      <c r="Z133" s="383" t="s">
        <v>167</v>
      </c>
      <c r="AA133" s="383" t="s">
        <v>167</v>
      </c>
      <c r="AB133" s="383" t="s">
        <v>167</v>
      </c>
      <c r="AC133" s="383" t="s">
        <v>167</v>
      </c>
      <c r="AD133" s="383" t="s">
        <v>167</v>
      </c>
      <c r="AE133" s="383" t="s">
        <v>167</v>
      </c>
    </row>
    <row r="134" spans="1:31" ht="15" x14ac:dyDescent="0.2">
      <c r="A134" s="403" t="s">
        <v>3641</v>
      </c>
      <c r="B134" s="403" t="s">
        <v>724</v>
      </c>
      <c r="C134" s="534" t="s">
        <v>1409</v>
      </c>
      <c r="D134" s="534" t="s">
        <v>1409</v>
      </c>
      <c r="E134" s="726" t="s">
        <v>1410</v>
      </c>
      <c r="F134" s="387" t="s">
        <v>1163</v>
      </c>
      <c r="G134" s="391" t="s">
        <v>842</v>
      </c>
      <c r="H134" s="381">
        <v>1</v>
      </c>
      <c r="I134" s="381">
        <v>5</v>
      </c>
      <c r="J134" s="381">
        <f t="shared" si="11"/>
        <v>1</v>
      </c>
      <c r="K134" s="381">
        <f t="shared" si="13"/>
        <v>5</v>
      </c>
      <c r="L134" s="647">
        <f>IFERROR(IF(B134="funkcna poziadavka",VLOOKUP(G134,MODULY_CBA!$B$3:$E$23,4,0)*H134/SUMIFS($H$3:$H$197,$G$3:$G$197,G134,$B$3:$B$197,B134),),)</f>
        <v>0.28378378378378377</v>
      </c>
      <c r="M134" s="381">
        <f>IFERROR(IF(B134="Funkcna poziadavka",VLOOKUP(G134,MODULY_CBA!$B$3:$E$23,3,0),),)</f>
        <v>0.76999999999999991</v>
      </c>
      <c r="N134" s="381">
        <f>IFERROR(IF(B134="funkcna poziadavka",VLOOKUP(G134,MODULY_CBA!$B$3:$E$23,2,0),),)</f>
        <v>1.01</v>
      </c>
      <c r="O134" s="380">
        <f t="shared" si="12"/>
        <v>4.1091986486486487</v>
      </c>
      <c r="P134" s="379">
        <f>IFERROR(O134*VLOOKUP(G134,MODULY_CBA!$B$3:$F$23,5,0),)</f>
        <v>82.183972972972981</v>
      </c>
      <c r="Q134" s="481" t="str">
        <f>IFERROR(VLOOKUP(G134,MODULY_CBA!$B$3:$I$23,6,0),"")</f>
        <v>Inkrement 1</v>
      </c>
      <c r="R134" s="383" t="s">
        <v>167</v>
      </c>
      <c r="S134" s="383" t="s">
        <v>167</v>
      </c>
      <c r="T134" s="383" t="s">
        <v>167</v>
      </c>
      <c r="U134" s="383" t="s">
        <v>167</v>
      </c>
      <c r="V134" s="383" t="s">
        <v>167</v>
      </c>
      <c r="W134" s="383" t="s">
        <v>167</v>
      </c>
      <c r="X134" s="383" t="s">
        <v>167</v>
      </c>
      <c r="Y134" s="383" t="s">
        <v>167</v>
      </c>
      <c r="Z134" s="383" t="s">
        <v>167</v>
      </c>
      <c r="AA134" s="383" t="s">
        <v>167</v>
      </c>
      <c r="AB134" s="383" t="s">
        <v>167</v>
      </c>
      <c r="AC134" s="383" t="s">
        <v>167</v>
      </c>
      <c r="AD134" s="383" t="s">
        <v>167</v>
      </c>
      <c r="AE134" s="383" t="s">
        <v>167</v>
      </c>
    </row>
    <row r="135" spans="1:31" ht="15" x14ac:dyDescent="0.2">
      <c r="A135" s="403" t="s">
        <v>3642</v>
      </c>
      <c r="B135" s="403" t="s">
        <v>724</v>
      </c>
      <c r="C135" s="534" t="s">
        <v>1411</v>
      </c>
      <c r="D135" s="534" t="s">
        <v>1411</v>
      </c>
      <c r="E135" s="726" t="s">
        <v>1412</v>
      </c>
      <c r="F135" s="387" t="s">
        <v>1163</v>
      </c>
      <c r="G135" s="391" t="s">
        <v>842</v>
      </c>
      <c r="H135" s="381">
        <v>1</v>
      </c>
      <c r="I135" s="381">
        <v>5</v>
      </c>
      <c r="J135" s="381">
        <f t="shared" si="11"/>
        <v>1</v>
      </c>
      <c r="K135" s="381">
        <f t="shared" si="13"/>
        <v>5</v>
      </c>
      <c r="L135" s="647">
        <f>IFERROR(IF(B135="funkcna poziadavka",VLOOKUP(G135,MODULY_CBA!$B$3:$E$23,4,0)*H135/SUMIFS($H$3:$H$197,$G$3:$G$197,G135,$B$3:$B$197,B135),),)</f>
        <v>0.28378378378378377</v>
      </c>
      <c r="M135" s="381">
        <f>IFERROR(IF(B135="Funkcna poziadavka",VLOOKUP(G135,MODULY_CBA!$B$3:$E$23,3,0),),)</f>
        <v>0.76999999999999991</v>
      </c>
      <c r="N135" s="381">
        <f>IFERROR(IF(B135="funkcna poziadavka",VLOOKUP(G135,MODULY_CBA!$B$3:$E$23,2,0),),)</f>
        <v>1.01</v>
      </c>
      <c r="O135" s="380">
        <f t="shared" si="12"/>
        <v>4.1091986486486487</v>
      </c>
      <c r="P135" s="379">
        <f>IFERROR(O135*VLOOKUP(G135,MODULY_CBA!$B$3:$F$23,5,0),)</f>
        <v>82.183972972972981</v>
      </c>
      <c r="Q135" s="481" t="str">
        <f>IFERROR(VLOOKUP(G135,MODULY_CBA!$B$3:$I$23,6,0),"")</f>
        <v>Inkrement 1</v>
      </c>
      <c r="R135" s="383"/>
      <c r="S135" s="383"/>
      <c r="T135" s="383"/>
      <c r="U135" s="383"/>
      <c r="V135" s="383"/>
      <c r="W135" s="383"/>
      <c r="X135" s="383"/>
      <c r="Y135" s="383"/>
      <c r="Z135" s="383"/>
      <c r="AA135" s="383"/>
      <c r="AB135" s="383"/>
      <c r="AC135" s="383"/>
      <c r="AD135" s="383"/>
      <c r="AE135" s="383"/>
    </row>
    <row r="136" spans="1:31" ht="15" x14ac:dyDescent="0.2">
      <c r="A136" s="403" t="s">
        <v>3643</v>
      </c>
      <c r="B136" s="403" t="s">
        <v>724</v>
      </c>
      <c r="C136" s="534" t="s">
        <v>1413</v>
      </c>
      <c r="D136" s="534" t="s">
        <v>1413</v>
      </c>
      <c r="E136" s="730" t="s">
        <v>1414</v>
      </c>
      <c r="F136" s="387" t="s">
        <v>1163</v>
      </c>
      <c r="G136" s="391" t="s">
        <v>842</v>
      </c>
      <c r="H136" s="381">
        <v>1</v>
      </c>
      <c r="I136" s="381">
        <v>5</v>
      </c>
      <c r="J136" s="381">
        <f t="shared" si="11"/>
        <v>1</v>
      </c>
      <c r="K136" s="381">
        <f t="shared" si="13"/>
        <v>5</v>
      </c>
      <c r="L136" s="647">
        <f>IFERROR(IF(B136="funkcna poziadavka",VLOOKUP(G136,MODULY_CBA!$B$3:$E$23,4,0)*H136/SUMIFS($H$3:$H$197,$G$3:$G$197,G136,$B$3:$B$197,B136),),)</f>
        <v>0.28378378378378377</v>
      </c>
      <c r="M136" s="381">
        <f>IFERROR(IF(B136="Funkcna poziadavka",VLOOKUP(G136,MODULY_CBA!$B$3:$E$23,3,0),),)</f>
        <v>0.76999999999999991</v>
      </c>
      <c r="N136" s="381">
        <f>IFERROR(IF(B136="funkcna poziadavka",VLOOKUP(G136,MODULY_CBA!$B$3:$E$23,2,0),),)</f>
        <v>1.01</v>
      </c>
      <c r="O136" s="380">
        <f t="shared" si="12"/>
        <v>4.1091986486486487</v>
      </c>
      <c r="P136" s="379">
        <f>IFERROR(O136*VLOOKUP(G136,MODULY_CBA!$B$3:$F$23,5,0),)</f>
        <v>82.183972972972981</v>
      </c>
      <c r="Q136" s="481" t="str">
        <f>IFERROR(VLOOKUP(G136,MODULY_CBA!$B$3:$I$23,6,0),"")</f>
        <v>Inkrement 1</v>
      </c>
      <c r="R136" s="383"/>
      <c r="S136" s="383"/>
      <c r="T136" s="383"/>
      <c r="U136" s="383"/>
      <c r="V136" s="383"/>
      <c r="W136" s="383"/>
      <c r="X136" s="383"/>
      <c r="Y136" s="383"/>
      <c r="Z136" s="383"/>
      <c r="AA136" s="383"/>
      <c r="AB136" s="383"/>
      <c r="AC136" s="383"/>
      <c r="AD136" s="383"/>
      <c r="AE136" s="383"/>
    </row>
    <row r="137" spans="1:31" ht="15" x14ac:dyDescent="0.2">
      <c r="A137" s="403" t="s">
        <v>3644</v>
      </c>
      <c r="B137" s="403" t="s">
        <v>724</v>
      </c>
      <c r="C137" s="534" t="s">
        <v>1415</v>
      </c>
      <c r="D137" s="534" t="s">
        <v>1415</v>
      </c>
      <c r="E137" s="730" t="s">
        <v>1416</v>
      </c>
      <c r="F137" s="387" t="s">
        <v>1163</v>
      </c>
      <c r="G137" s="391" t="s">
        <v>842</v>
      </c>
      <c r="H137" s="381">
        <v>1</v>
      </c>
      <c r="I137" s="381">
        <v>5</v>
      </c>
      <c r="J137" s="381">
        <f t="shared" si="11"/>
        <v>1</v>
      </c>
      <c r="K137" s="381">
        <f t="shared" si="13"/>
        <v>5</v>
      </c>
      <c r="L137" s="647">
        <f>IFERROR(IF(B137="funkcna poziadavka",VLOOKUP(G137,MODULY_CBA!$B$3:$E$23,4,0)*H137/SUMIFS($H$3:$H$197,$G$3:$G$197,G137,$B$3:$B$197,B137),),)</f>
        <v>0.28378378378378377</v>
      </c>
      <c r="M137" s="381">
        <f>IFERROR(IF(B137="Funkcna poziadavka",VLOOKUP(G137,MODULY_CBA!$B$3:$E$23,3,0),),)</f>
        <v>0.76999999999999991</v>
      </c>
      <c r="N137" s="381">
        <f>IFERROR(IF(B137="funkcna poziadavka",VLOOKUP(G137,MODULY_CBA!$B$3:$E$23,2,0),),)</f>
        <v>1.01</v>
      </c>
      <c r="O137" s="380">
        <f t="shared" si="12"/>
        <v>4.1091986486486487</v>
      </c>
      <c r="P137" s="379">
        <f>IFERROR(O137*VLOOKUP(G137,MODULY_CBA!$B$3:$F$23,5,0),)</f>
        <v>82.183972972972981</v>
      </c>
      <c r="Q137" s="481" t="str">
        <f>IFERROR(VLOOKUP(G137,MODULY_CBA!$B$3:$I$23,6,0),"")</f>
        <v>Inkrement 1</v>
      </c>
      <c r="R137" s="383" t="s">
        <v>167</v>
      </c>
      <c r="S137" s="383" t="s">
        <v>167</v>
      </c>
      <c r="T137" s="383" t="s">
        <v>167</v>
      </c>
      <c r="U137" s="383" t="s">
        <v>167</v>
      </c>
      <c r="V137" s="383" t="s">
        <v>167</v>
      </c>
      <c r="W137" s="383" t="s">
        <v>167</v>
      </c>
      <c r="X137" s="383" t="s">
        <v>167</v>
      </c>
      <c r="Y137" s="383" t="s">
        <v>167</v>
      </c>
      <c r="Z137" s="383" t="s">
        <v>167</v>
      </c>
      <c r="AA137" s="383" t="s">
        <v>167</v>
      </c>
      <c r="AB137" s="383" t="s">
        <v>167</v>
      </c>
      <c r="AC137" s="383" t="s">
        <v>167</v>
      </c>
      <c r="AD137" s="383" t="s">
        <v>167</v>
      </c>
      <c r="AE137" s="383" t="s">
        <v>167</v>
      </c>
    </row>
    <row r="138" spans="1:31" ht="15" x14ac:dyDescent="0.2">
      <c r="A138" s="403" t="s">
        <v>3645</v>
      </c>
      <c r="B138" s="403" t="s">
        <v>724</v>
      </c>
      <c r="C138" s="534" t="s">
        <v>1315</v>
      </c>
      <c r="D138" s="534" t="s">
        <v>1315</v>
      </c>
      <c r="E138" s="730" t="s">
        <v>1417</v>
      </c>
      <c r="F138" s="387" t="s">
        <v>1163</v>
      </c>
      <c r="G138" s="391" t="s">
        <v>842</v>
      </c>
      <c r="H138" s="381">
        <v>1</v>
      </c>
      <c r="I138" s="381">
        <v>5</v>
      </c>
      <c r="J138" s="381">
        <f t="shared" si="11"/>
        <v>1</v>
      </c>
      <c r="K138" s="381">
        <f t="shared" si="13"/>
        <v>5</v>
      </c>
      <c r="L138" s="647">
        <f>IFERROR(IF(B138="funkcna poziadavka",VLOOKUP(G138,MODULY_CBA!$B$3:$E$23,4,0)*H138/SUMIFS($H$3:$H$197,$G$3:$G$197,G138,$B$3:$B$197,B138),),)</f>
        <v>0.28378378378378377</v>
      </c>
      <c r="M138" s="381">
        <f>IFERROR(IF(B138="Funkcna poziadavka",VLOOKUP(G138,MODULY_CBA!$B$3:$E$23,3,0),),)</f>
        <v>0.76999999999999991</v>
      </c>
      <c r="N138" s="381">
        <f>IFERROR(IF(B138="funkcna poziadavka",VLOOKUP(G138,MODULY_CBA!$B$3:$E$23,2,0),),)</f>
        <v>1.01</v>
      </c>
      <c r="O138" s="380">
        <f t="shared" si="12"/>
        <v>4.1091986486486487</v>
      </c>
      <c r="P138" s="379">
        <f>IFERROR(O138*VLOOKUP(G138,MODULY_CBA!$B$3:$F$23,5,0),)</f>
        <v>82.183972972972981</v>
      </c>
      <c r="Q138" s="481" t="str">
        <f>IFERROR(VLOOKUP(G138,MODULY_CBA!$B$3:$I$23,6,0),"")</f>
        <v>Inkrement 1</v>
      </c>
      <c r="R138" s="383"/>
      <c r="S138" s="383"/>
      <c r="T138" s="383"/>
      <c r="U138" s="383"/>
      <c r="V138" s="383"/>
      <c r="W138" s="383"/>
      <c r="X138" s="383"/>
      <c r="Y138" s="383"/>
      <c r="Z138" s="383"/>
      <c r="AA138" s="383"/>
      <c r="AB138" s="383"/>
      <c r="AC138" s="383"/>
      <c r="AD138" s="383"/>
      <c r="AE138" s="383"/>
    </row>
    <row r="139" spans="1:31" ht="15" x14ac:dyDescent="0.2">
      <c r="A139" s="403" t="s">
        <v>3646</v>
      </c>
      <c r="B139" s="403" t="s">
        <v>724</v>
      </c>
      <c r="C139" s="534" t="s">
        <v>1418</v>
      </c>
      <c r="D139" s="534" t="s">
        <v>1418</v>
      </c>
      <c r="E139" s="730" t="s">
        <v>1419</v>
      </c>
      <c r="F139" s="387" t="s">
        <v>1163</v>
      </c>
      <c r="G139" s="391" t="s">
        <v>842</v>
      </c>
      <c r="H139" s="381">
        <v>1</v>
      </c>
      <c r="I139" s="381">
        <v>5</v>
      </c>
      <c r="J139" s="381">
        <f t="shared" si="11"/>
        <v>1</v>
      </c>
      <c r="K139" s="381">
        <f t="shared" si="13"/>
        <v>5</v>
      </c>
      <c r="L139" s="647">
        <f>IFERROR(IF(B139="funkcna poziadavka",VLOOKUP(G139,MODULY_CBA!$B$3:$E$23,4,0)*H139/SUMIFS($H$3:$H$197,$G$3:$G$197,G139,$B$3:$B$197,B139),),)</f>
        <v>0.28378378378378377</v>
      </c>
      <c r="M139" s="381">
        <f>IFERROR(IF(B139="Funkcna poziadavka",VLOOKUP(G139,MODULY_CBA!$B$3:$E$23,3,0),),)</f>
        <v>0.76999999999999991</v>
      </c>
      <c r="N139" s="381">
        <f>IFERROR(IF(B139="funkcna poziadavka",VLOOKUP(G139,MODULY_CBA!$B$3:$E$23,2,0),),)</f>
        <v>1.01</v>
      </c>
      <c r="O139" s="380">
        <f t="shared" si="12"/>
        <v>4.1091986486486487</v>
      </c>
      <c r="P139" s="379">
        <f>IFERROR(O139*VLOOKUP(G139,MODULY_CBA!$B$3:$F$23,5,0),)</f>
        <v>82.183972972972981</v>
      </c>
      <c r="Q139" s="481" t="str">
        <f>IFERROR(VLOOKUP(G139,MODULY_CBA!$B$3:$I$23,6,0),"")</f>
        <v>Inkrement 1</v>
      </c>
      <c r="R139" s="383"/>
      <c r="S139" s="383"/>
      <c r="T139" s="383"/>
      <c r="U139" s="383"/>
      <c r="V139" s="383"/>
      <c r="W139" s="383"/>
      <c r="X139" s="383"/>
      <c r="Y139" s="383"/>
      <c r="Z139" s="383"/>
      <c r="AA139" s="383"/>
      <c r="AB139" s="383"/>
      <c r="AC139" s="383"/>
      <c r="AD139" s="383"/>
      <c r="AE139" s="383"/>
    </row>
    <row r="140" spans="1:31" ht="15" x14ac:dyDescent="0.2">
      <c r="A140" s="403" t="s">
        <v>3647</v>
      </c>
      <c r="B140" s="403" t="s">
        <v>724</v>
      </c>
      <c r="C140" s="534" t="s">
        <v>1420</v>
      </c>
      <c r="D140" s="534" t="s">
        <v>1420</v>
      </c>
      <c r="E140" s="730" t="s">
        <v>1421</v>
      </c>
      <c r="F140" s="387" t="s">
        <v>1163</v>
      </c>
      <c r="G140" s="391" t="s">
        <v>842</v>
      </c>
      <c r="H140" s="381">
        <v>1</v>
      </c>
      <c r="I140" s="381">
        <v>5</v>
      </c>
      <c r="J140" s="381">
        <f t="shared" si="11"/>
        <v>1</v>
      </c>
      <c r="K140" s="381">
        <f t="shared" si="13"/>
        <v>5</v>
      </c>
      <c r="L140" s="647">
        <f>IFERROR(IF(B140="funkcna poziadavka",VLOOKUP(G140,MODULY_CBA!$B$3:$E$23,4,0)*H140/SUMIFS($H$3:$H$197,$G$3:$G$197,G140,$B$3:$B$197,B140),),)</f>
        <v>0.28378378378378377</v>
      </c>
      <c r="M140" s="381">
        <f>IFERROR(IF(B140="Funkcna poziadavka",VLOOKUP(G140,MODULY_CBA!$B$3:$E$23,3,0),),)</f>
        <v>0.76999999999999991</v>
      </c>
      <c r="N140" s="381">
        <f>IFERROR(IF(B140="funkcna poziadavka",VLOOKUP(G140,MODULY_CBA!$B$3:$E$23,2,0),),)</f>
        <v>1.01</v>
      </c>
      <c r="O140" s="380">
        <f t="shared" si="12"/>
        <v>4.1091986486486487</v>
      </c>
      <c r="P140" s="379">
        <f>IFERROR(O140*VLOOKUP(G140,MODULY_CBA!$B$3:$F$23,5,0),)</f>
        <v>82.183972972972981</v>
      </c>
      <c r="Q140" s="481" t="str">
        <f>IFERROR(VLOOKUP(G140,MODULY_CBA!$B$3:$I$23,6,0),"")</f>
        <v>Inkrement 1</v>
      </c>
      <c r="R140" s="383" t="s">
        <v>167</v>
      </c>
      <c r="S140" s="383" t="s">
        <v>167</v>
      </c>
      <c r="T140" s="383" t="s">
        <v>167</v>
      </c>
      <c r="U140" s="383" t="s">
        <v>167</v>
      </c>
      <c r="V140" s="383" t="s">
        <v>167</v>
      </c>
      <c r="W140" s="383" t="s">
        <v>167</v>
      </c>
      <c r="X140" s="383" t="s">
        <v>167</v>
      </c>
      <c r="Y140" s="383" t="s">
        <v>167</v>
      </c>
      <c r="Z140" s="383" t="s">
        <v>167</v>
      </c>
      <c r="AA140" s="383" t="s">
        <v>167</v>
      </c>
      <c r="AB140" s="383" t="s">
        <v>167</v>
      </c>
      <c r="AC140" s="383" t="s">
        <v>167</v>
      </c>
      <c r="AD140" s="383" t="s">
        <v>167</v>
      </c>
      <c r="AE140" s="383" t="s">
        <v>167</v>
      </c>
    </row>
    <row r="141" spans="1:31" ht="15" x14ac:dyDescent="0.2">
      <c r="A141" s="403" t="s">
        <v>3648</v>
      </c>
      <c r="B141" s="403" t="s">
        <v>724</v>
      </c>
      <c r="C141" s="534" t="s">
        <v>1422</v>
      </c>
      <c r="D141" s="534" t="s">
        <v>1422</v>
      </c>
      <c r="E141" s="730" t="s">
        <v>1423</v>
      </c>
      <c r="F141" s="387" t="s">
        <v>1163</v>
      </c>
      <c r="G141" s="391" t="s">
        <v>842</v>
      </c>
      <c r="H141" s="381">
        <v>1</v>
      </c>
      <c r="I141" s="381">
        <v>5</v>
      </c>
      <c r="J141" s="381">
        <f t="shared" si="11"/>
        <v>1</v>
      </c>
      <c r="K141" s="381">
        <f t="shared" si="13"/>
        <v>5</v>
      </c>
      <c r="L141" s="647">
        <f>IFERROR(IF(B141="funkcna poziadavka",VLOOKUP(G141,MODULY_CBA!$B$3:$E$23,4,0)*H141/SUMIFS($H$3:$H$197,$G$3:$G$197,G141,$B$3:$B$197,B141),),)</f>
        <v>0.28378378378378377</v>
      </c>
      <c r="M141" s="381">
        <f>IFERROR(IF(B141="Funkcna poziadavka",VLOOKUP(G141,MODULY_CBA!$B$3:$E$23,3,0),),)</f>
        <v>0.76999999999999991</v>
      </c>
      <c r="N141" s="381">
        <f>IFERROR(IF(B141="funkcna poziadavka",VLOOKUP(G141,MODULY_CBA!$B$3:$E$23,2,0),),)</f>
        <v>1.01</v>
      </c>
      <c r="O141" s="380">
        <f t="shared" si="12"/>
        <v>4.1091986486486487</v>
      </c>
      <c r="P141" s="379">
        <f>IFERROR(O141*VLOOKUP(G141,MODULY_CBA!$B$3:$F$23,5,0),)</f>
        <v>82.183972972972981</v>
      </c>
      <c r="Q141" s="481" t="str">
        <f>IFERROR(VLOOKUP(G141,MODULY_CBA!$B$3:$I$23,6,0),"")</f>
        <v>Inkrement 1</v>
      </c>
      <c r="R141" s="383" t="s">
        <v>167</v>
      </c>
      <c r="S141" s="383" t="s">
        <v>167</v>
      </c>
      <c r="T141" s="383" t="s">
        <v>167</v>
      </c>
      <c r="U141" s="383" t="s">
        <v>167</v>
      </c>
      <c r="V141" s="383" t="s">
        <v>167</v>
      </c>
      <c r="W141" s="383" t="s">
        <v>167</v>
      </c>
      <c r="X141" s="383" t="s">
        <v>167</v>
      </c>
      <c r="Y141" s="383" t="s">
        <v>167</v>
      </c>
      <c r="Z141" s="383" t="s">
        <v>167</v>
      </c>
      <c r="AA141" s="383" t="s">
        <v>167</v>
      </c>
      <c r="AB141" s="383" t="s">
        <v>167</v>
      </c>
      <c r="AC141" s="383" t="s">
        <v>167</v>
      </c>
      <c r="AD141" s="383" t="s">
        <v>167</v>
      </c>
      <c r="AE141" s="383" t="s">
        <v>167</v>
      </c>
    </row>
    <row r="142" spans="1:31" ht="15" x14ac:dyDescent="0.2">
      <c r="A142" s="403" t="s">
        <v>3649</v>
      </c>
      <c r="B142" s="403" t="s">
        <v>724</v>
      </c>
      <c r="C142" s="534" t="s">
        <v>1424</v>
      </c>
      <c r="D142" s="534" t="s">
        <v>1424</v>
      </c>
      <c r="E142" s="730" t="s">
        <v>1425</v>
      </c>
      <c r="F142" s="387" t="s">
        <v>1163</v>
      </c>
      <c r="G142" s="391" t="s">
        <v>842</v>
      </c>
      <c r="H142" s="381">
        <v>1</v>
      </c>
      <c r="I142" s="381">
        <v>5</v>
      </c>
      <c r="J142" s="381">
        <f t="shared" si="11"/>
        <v>1</v>
      </c>
      <c r="K142" s="381">
        <f t="shared" si="13"/>
        <v>5</v>
      </c>
      <c r="L142" s="647">
        <f>IFERROR(IF(B142="funkcna poziadavka",VLOOKUP(G142,MODULY_CBA!$B$3:$E$23,4,0)*H142/SUMIFS($H$3:$H$197,$G$3:$G$197,G142,$B$3:$B$197,B142),),)</f>
        <v>0.28378378378378377</v>
      </c>
      <c r="M142" s="381">
        <f>IFERROR(IF(B142="Funkcna poziadavka",VLOOKUP(G142,MODULY_CBA!$B$3:$E$23,3,0),),)</f>
        <v>0.76999999999999991</v>
      </c>
      <c r="N142" s="381">
        <f>IFERROR(IF(B142="funkcna poziadavka",VLOOKUP(G142,MODULY_CBA!$B$3:$E$23,2,0),),)</f>
        <v>1.01</v>
      </c>
      <c r="O142" s="380">
        <f t="shared" si="12"/>
        <v>4.1091986486486487</v>
      </c>
      <c r="P142" s="379">
        <f>IFERROR(O142*VLOOKUP(G142,MODULY_CBA!$B$3:$F$23,5,0),)</f>
        <v>82.183972972972981</v>
      </c>
      <c r="Q142" s="481" t="str">
        <f>IFERROR(VLOOKUP(G142,MODULY_CBA!$B$3:$I$23,6,0),"")</f>
        <v>Inkrement 1</v>
      </c>
      <c r="R142" s="383"/>
      <c r="S142" s="383"/>
      <c r="T142" s="383"/>
      <c r="U142" s="383"/>
      <c r="V142" s="383"/>
      <c r="W142" s="383"/>
      <c r="X142" s="383"/>
      <c r="Y142" s="383"/>
      <c r="Z142" s="383"/>
      <c r="AA142" s="383"/>
      <c r="AB142" s="383"/>
      <c r="AC142" s="383"/>
      <c r="AD142" s="383"/>
      <c r="AE142" s="383"/>
    </row>
    <row r="143" spans="1:31" ht="15" x14ac:dyDescent="0.2">
      <c r="A143" s="403" t="s">
        <v>3650</v>
      </c>
      <c r="B143" s="403" t="s">
        <v>724</v>
      </c>
      <c r="C143" s="534" t="s">
        <v>1426</v>
      </c>
      <c r="D143" s="534" t="s">
        <v>1426</v>
      </c>
      <c r="E143" s="730" t="s">
        <v>1427</v>
      </c>
      <c r="F143" s="387" t="s">
        <v>1163</v>
      </c>
      <c r="G143" s="391" t="s">
        <v>842</v>
      </c>
      <c r="H143" s="381">
        <v>1</v>
      </c>
      <c r="I143" s="381">
        <v>5</v>
      </c>
      <c r="J143" s="381">
        <f t="shared" si="11"/>
        <v>1</v>
      </c>
      <c r="K143" s="381">
        <f t="shared" si="13"/>
        <v>5</v>
      </c>
      <c r="L143" s="647">
        <f>IFERROR(IF(B143="funkcna poziadavka",VLOOKUP(G143,MODULY_CBA!$B$3:$E$23,4,0)*H143/SUMIFS($H$3:$H$197,$G$3:$G$197,G143,$B$3:$B$197,B143),),)</f>
        <v>0.28378378378378377</v>
      </c>
      <c r="M143" s="381">
        <f>IFERROR(IF(B143="Funkcna poziadavka",VLOOKUP(G143,MODULY_CBA!$B$3:$E$23,3,0),),)</f>
        <v>0.76999999999999991</v>
      </c>
      <c r="N143" s="381">
        <f>IFERROR(IF(B143="funkcna poziadavka",VLOOKUP(G143,MODULY_CBA!$B$3:$E$23,2,0),),)</f>
        <v>1.01</v>
      </c>
      <c r="O143" s="380">
        <f t="shared" si="12"/>
        <v>4.1091986486486487</v>
      </c>
      <c r="P143" s="379">
        <f>IFERROR(O143*VLOOKUP(G143,MODULY_CBA!$B$3:$F$23,5,0),)</f>
        <v>82.183972972972981</v>
      </c>
      <c r="Q143" s="481" t="str">
        <f>IFERROR(VLOOKUP(G143,MODULY_CBA!$B$3:$I$23,6,0),"")</f>
        <v>Inkrement 1</v>
      </c>
      <c r="R143" s="383" t="s">
        <v>167</v>
      </c>
      <c r="S143" s="383" t="s">
        <v>167</v>
      </c>
      <c r="T143" s="383" t="s">
        <v>167</v>
      </c>
      <c r="U143" s="383" t="s">
        <v>167</v>
      </c>
      <c r="V143" s="383" t="s">
        <v>167</v>
      </c>
      <c r="W143" s="383" t="s">
        <v>167</v>
      </c>
      <c r="X143" s="383" t="s">
        <v>167</v>
      </c>
      <c r="Y143" s="383" t="s">
        <v>167</v>
      </c>
      <c r="Z143" s="383" t="s">
        <v>167</v>
      </c>
      <c r="AA143" s="383" t="s">
        <v>167</v>
      </c>
      <c r="AB143" s="383" t="s">
        <v>167</v>
      </c>
      <c r="AC143" s="383" t="s">
        <v>167</v>
      </c>
      <c r="AD143" s="383" t="s">
        <v>167</v>
      </c>
      <c r="AE143" s="383" t="s">
        <v>167</v>
      </c>
    </row>
    <row r="144" spans="1:31" ht="15" x14ac:dyDescent="0.2">
      <c r="A144" s="403" t="s">
        <v>3651</v>
      </c>
      <c r="B144" s="403" t="s">
        <v>724</v>
      </c>
      <c r="C144" s="534" t="s">
        <v>1428</v>
      </c>
      <c r="D144" s="534" t="s">
        <v>1428</v>
      </c>
      <c r="E144" s="730" t="s">
        <v>1429</v>
      </c>
      <c r="F144" s="387" t="s">
        <v>1163</v>
      </c>
      <c r="G144" s="391" t="s">
        <v>842</v>
      </c>
      <c r="H144" s="381">
        <v>1</v>
      </c>
      <c r="I144" s="381">
        <v>5</v>
      </c>
      <c r="J144" s="381">
        <f t="shared" si="11"/>
        <v>1</v>
      </c>
      <c r="K144" s="381">
        <f t="shared" si="13"/>
        <v>5</v>
      </c>
      <c r="L144" s="647">
        <f>IFERROR(IF(B144="funkcna poziadavka",VLOOKUP(G144,MODULY_CBA!$B$3:$E$23,4,0)*H144/SUMIFS($H$3:$H$197,$G$3:$G$197,G144,$B$3:$B$197,B144),),)</f>
        <v>0.28378378378378377</v>
      </c>
      <c r="M144" s="381">
        <f>IFERROR(IF(B144="Funkcna poziadavka",VLOOKUP(G144,MODULY_CBA!$B$3:$E$23,3,0),),)</f>
        <v>0.76999999999999991</v>
      </c>
      <c r="N144" s="381">
        <f>IFERROR(IF(B144="funkcna poziadavka",VLOOKUP(G144,MODULY_CBA!$B$3:$E$23,2,0),),)</f>
        <v>1.01</v>
      </c>
      <c r="O144" s="380">
        <f t="shared" si="12"/>
        <v>4.1091986486486487</v>
      </c>
      <c r="P144" s="379">
        <f>IFERROR(O144*VLOOKUP(G144,MODULY_CBA!$B$3:$F$23,5,0),)</f>
        <v>82.183972972972981</v>
      </c>
      <c r="Q144" s="481" t="str">
        <f>IFERROR(VLOOKUP(G144,MODULY_CBA!$B$3:$I$23,6,0),"")</f>
        <v>Inkrement 1</v>
      </c>
      <c r="R144" s="383"/>
      <c r="S144" s="383"/>
      <c r="T144" s="383"/>
      <c r="U144" s="383"/>
      <c r="V144" s="383"/>
      <c r="W144" s="383"/>
      <c r="X144" s="383"/>
      <c r="Y144" s="383"/>
      <c r="Z144" s="383"/>
      <c r="AA144" s="383"/>
      <c r="AB144" s="383"/>
      <c r="AC144" s="383"/>
      <c r="AD144" s="383"/>
      <c r="AE144" s="383"/>
    </row>
    <row r="145" spans="1:31" ht="15" x14ac:dyDescent="0.2">
      <c r="A145" s="403" t="s">
        <v>3652</v>
      </c>
      <c r="B145" s="403" t="s">
        <v>724</v>
      </c>
      <c r="C145" s="534" t="s">
        <v>1430</v>
      </c>
      <c r="D145" s="534" t="s">
        <v>1430</v>
      </c>
      <c r="E145" s="730" t="s">
        <v>1431</v>
      </c>
      <c r="F145" s="387" t="s">
        <v>1163</v>
      </c>
      <c r="G145" s="391" t="s">
        <v>842</v>
      </c>
      <c r="H145" s="381">
        <v>1</v>
      </c>
      <c r="I145" s="381">
        <v>5</v>
      </c>
      <c r="J145" s="381">
        <f t="shared" si="11"/>
        <v>1</v>
      </c>
      <c r="K145" s="381">
        <f t="shared" si="13"/>
        <v>5</v>
      </c>
      <c r="L145" s="647">
        <f>IFERROR(IF(B145="funkcna poziadavka",VLOOKUP(G145,MODULY_CBA!$B$3:$E$23,4,0)*H145/SUMIFS($H$3:$H$197,$G$3:$G$197,G145,$B$3:$B$197,B145),),)</f>
        <v>0.28378378378378377</v>
      </c>
      <c r="M145" s="381">
        <f>IFERROR(IF(B145="Funkcna poziadavka",VLOOKUP(G145,MODULY_CBA!$B$3:$E$23,3,0),),)</f>
        <v>0.76999999999999991</v>
      </c>
      <c r="N145" s="381">
        <f>IFERROR(IF(B145="funkcna poziadavka",VLOOKUP(G145,MODULY_CBA!$B$3:$E$23,2,0),),)</f>
        <v>1.01</v>
      </c>
      <c r="O145" s="380">
        <f t="shared" si="12"/>
        <v>4.1091986486486487</v>
      </c>
      <c r="P145" s="379">
        <f>IFERROR(O145*VLOOKUP(G145,MODULY_CBA!$B$3:$F$23,5,0),)</f>
        <v>82.183972972972981</v>
      </c>
      <c r="Q145" s="481" t="str">
        <f>IFERROR(VLOOKUP(G145,MODULY_CBA!$B$3:$I$23,6,0),"")</f>
        <v>Inkrement 1</v>
      </c>
      <c r="R145" s="383"/>
      <c r="S145" s="383"/>
      <c r="T145" s="383"/>
      <c r="U145" s="383"/>
      <c r="V145" s="383"/>
      <c r="W145" s="383"/>
      <c r="X145" s="383"/>
      <c r="Y145" s="383"/>
      <c r="Z145" s="383"/>
      <c r="AA145" s="383"/>
      <c r="AB145" s="383"/>
      <c r="AC145" s="383"/>
      <c r="AD145" s="383"/>
      <c r="AE145" s="383"/>
    </row>
    <row r="146" spans="1:31" ht="15" x14ac:dyDescent="0.2">
      <c r="A146" s="403" t="s">
        <v>3653</v>
      </c>
      <c r="B146" s="403" t="s">
        <v>724</v>
      </c>
      <c r="C146" s="534" t="s">
        <v>1432</v>
      </c>
      <c r="D146" s="534" t="s">
        <v>1432</v>
      </c>
      <c r="E146" s="730" t="s">
        <v>1433</v>
      </c>
      <c r="F146" s="387" t="s">
        <v>1163</v>
      </c>
      <c r="G146" s="391" t="s">
        <v>842</v>
      </c>
      <c r="H146" s="381">
        <v>1</v>
      </c>
      <c r="I146" s="381">
        <v>5</v>
      </c>
      <c r="J146" s="381">
        <f t="shared" si="11"/>
        <v>1</v>
      </c>
      <c r="K146" s="381">
        <f t="shared" si="13"/>
        <v>5</v>
      </c>
      <c r="L146" s="647">
        <f>IFERROR(IF(B146="funkcna poziadavka",VLOOKUP(G146,MODULY_CBA!$B$3:$E$23,4,0)*H146/SUMIFS($H$3:$H$197,$G$3:$G$197,G146,$B$3:$B$197,B146),),)</f>
        <v>0.28378378378378377</v>
      </c>
      <c r="M146" s="381">
        <f>IFERROR(IF(B146="Funkcna poziadavka",VLOOKUP(G146,MODULY_CBA!$B$3:$E$23,3,0),),)</f>
        <v>0.76999999999999991</v>
      </c>
      <c r="N146" s="381">
        <f>IFERROR(IF(B146="funkcna poziadavka",VLOOKUP(G146,MODULY_CBA!$B$3:$E$23,2,0),),)</f>
        <v>1.01</v>
      </c>
      <c r="O146" s="380">
        <f t="shared" si="12"/>
        <v>4.1091986486486487</v>
      </c>
      <c r="P146" s="379">
        <f>IFERROR(O146*VLOOKUP(G146,MODULY_CBA!$B$3:$F$23,5,0),)</f>
        <v>82.183972972972981</v>
      </c>
      <c r="Q146" s="481" t="str">
        <f>IFERROR(VLOOKUP(G146,MODULY_CBA!$B$3:$I$23,6,0),"")</f>
        <v>Inkrement 1</v>
      </c>
      <c r="R146" s="383" t="s">
        <v>167</v>
      </c>
      <c r="S146" s="383" t="s">
        <v>167</v>
      </c>
      <c r="T146" s="383" t="s">
        <v>167</v>
      </c>
      <c r="U146" s="383" t="s">
        <v>167</v>
      </c>
      <c r="V146" s="383" t="s">
        <v>167</v>
      </c>
      <c r="W146" s="383" t="s">
        <v>167</v>
      </c>
      <c r="X146" s="383" t="s">
        <v>167</v>
      </c>
      <c r="Y146" s="383" t="s">
        <v>167</v>
      </c>
      <c r="Z146" s="383" t="s">
        <v>167</v>
      </c>
      <c r="AA146" s="383" t="s">
        <v>167</v>
      </c>
      <c r="AB146" s="383" t="s">
        <v>167</v>
      </c>
      <c r="AC146" s="383" t="s">
        <v>167</v>
      </c>
      <c r="AD146" s="383" t="s">
        <v>167</v>
      </c>
      <c r="AE146" s="383" t="s">
        <v>167</v>
      </c>
    </row>
    <row r="147" spans="1:31" ht="15" x14ac:dyDescent="0.2">
      <c r="A147" s="403" t="s">
        <v>3654</v>
      </c>
      <c r="B147" s="403" t="s">
        <v>724</v>
      </c>
      <c r="C147" s="534" t="s">
        <v>1434</v>
      </c>
      <c r="D147" s="534" t="s">
        <v>1434</v>
      </c>
      <c r="E147" s="730" t="s">
        <v>1435</v>
      </c>
      <c r="F147" s="387" t="s">
        <v>1163</v>
      </c>
      <c r="G147" s="391" t="s">
        <v>842</v>
      </c>
      <c r="H147" s="381">
        <v>1</v>
      </c>
      <c r="I147" s="381">
        <v>5</v>
      </c>
      <c r="J147" s="381">
        <f t="shared" si="11"/>
        <v>1</v>
      </c>
      <c r="K147" s="381">
        <f t="shared" si="13"/>
        <v>5</v>
      </c>
      <c r="L147" s="647">
        <f>IFERROR(IF(B147="funkcna poziadavka",VLOOKUP(G147,MODULY_CBA!$B$3:$E$23,4,0)*H147/SUMIFS($H$3:$H$197,$G$3:$G$197,G147,$B$3:$B$197,B147),),)</f>
        <v>0.28378378378378377</v>
      </c>
      <c r="M147" s="381">
        <f>IFERROR(IF(B147="Funkcna poziadavka",VLOOKUP(G147,MODULY_CBA!$B$3:$E$23,3,0),),)</f>
        <v>0.76999999999999991</v>
      </c>
      <c r="N147" s="381">
        <f>IFERROR(IF(B147="funkcna poziadavka",VLOOKUP(G147,MODULY_CBA!$B$3:$E$23,2,0),),)</f>
        <v>1.01</v>
      </c>
      <c r="O147" s="380">
        <f t="shared" si="12"/>
        <v>4.1091986486486487</v>
      </c>
      <c r="P147" s="379">
        <f>IFERROR(O147*VLOOKUP(G147,MODULY_CBA!$B$3:$F$23,5,0),)</f>
        <v>82.183972972972981</v>
      </c>
      <c r="Q147" s="481" t="str">
        <f>IFERROR(VLOOKUP(G147,MODULY_CBA!$B$3:$I$23,6,0),"")</f>
        <v>Inkrement 1</v>
      </c>
      <c r="R147" s="383"/>
      <c r="S147" s="383"/>
      <c r="T147" s="383"/>
      <c r="U147" s="383"/>
      <c r="V147" s="383"/>
      <c r="W147" s="383"/>
      <c r="X147" s="383"/>
      <c r="Y147" s="383"/>
      <c r="Z147" s="383"/>
      <c r="AA147" s="383"/>
      <c r="AB147" s="383"/>
      <c r="AC147" s="383"/>
      <c r="AD147" s="383"/>
      <c r="AE147" s="383"/>
    </row>
    <row r="148" spans="1:31" ht="30" x14ac:dyDescent="0.2">
      <c r="A148" s="403" t="s">
        <v>3655</v>
      </c>
      <c r="B148" s="403" t="s">
        <v>724</v>
      </c>
      <c r="C148" s="534" t="s">
        <v>1436</v>
      </c>
      <c r="D148" s="534" t="s">
        <v>1436</v>
      </c>
      <c r="E148" s="730" t="s">
        <v>1437</v>
      </c>
      <c r="F148" s="387" t="s">
        <v>1163</v>
      </c>
      <c r="G148" s="391" t="s">
        <v>842</v>
      </c>
      <c r="H148" s="381">
        <v>1</v>
      </c>
      <c r="I148" s="381">
        <v>5</v>
      </c>
      <c r="J148" s="381">
        <f t="shared" si="11"/>
        <v>1</v>
      </c>
      <c r="K148" s="381">
        <f t="shared" si="13"/>
        <v>5</v>
      </c>
      <c r="L148" s="647">
        <f>IFERROR(IF(B148="funkcna poziadavka",VLOOKUP(G148,MODULY_CBA!$B$3:$E$23,4,0)*H148/SUMIFS($H$3:$H$197,$G$3:$G$197,G148,$B$3:$B$197,B148),),)</f>
        <v>0.28378378378378377</v>
      </c>
      <c r="M148" s="381">
        <f>IFERROR(IF(B148="Funkcna poziadavka",VLOOKUP(G148,MODULY_CBA!$B$3:$E$23,3,0),),)</f>
        <v>0.76999999999999991</v>
      </c>
      <c r="N148" s="381">
        <f>IFERROR(IF(B148="funkcna poziadavka",VLOOKUP(G148,MODULY_CBA!$B$3:$E$23,2,0),),)</f>
        <v>1.01</v>
      </c>
      <c r="O148" s="380">
        <f t="shared" si="12"/>
        <v>4.1091986486486487</v>
      </c>
      <c r="P148" s="379">
        <f>IFERROR(O148*VLOOKUP(G148,MODULY_CBA!$B$3:$F$23,5,0),)</f>
        <v>82.183972972972981</v>
      </c>
      <c r="Q148" s="481" t="str">
        <f>IFERROR(VLOOKUP(G148,MODULY_CBA!$B$3:$I$23,6,0),"")</f>
        <v>Inkrement 1</v>
      </c>
      <c r="R148" s="383"/>
      <c r="S148" s="383"/>
      <c r="T148" s="383"/>
      <c r="U148" s="383"/>
      <c r="V148" s="383"/>
      <c r="W148" s="383"/>
      <c r="X148" s="383"/>
      <c r="Y148" s="383"/>
      <c r="Z148" s="383"/>
      <c r="AA148" s="383"/>
      <c r="AB148" s="383"/>
      <c r="AC148" s="383"/>
      <c r="AD148" s="383"/>
      <c r="AE148" s="383"/>
    </row>
    <row r="149" spans="1:31" ht="15" x14ac:dyDescent="0.2">
      <c r="A149" s="403" t="s">
        <v>3656</v>
      </c>
      <c r="B149" s="403" t="s">
        <v>724</v>
      </c>
      <c r="C149" s="534" t="s">
        <v>1438</v>
      </c>
      <c r="D149" s="534" t="s">
        <v>1438</v>
      </c>
      <c r="E149" s="730" t="s">
        <v>1439</v>
      </c>
      <c r="F149" s="387" t="s">
        <v>1163</v>
      </c>
      <c r="G149" s="391" t="s">
        <v>842</v>
      </c>
      <c r="H149" s="381">
        <v>1</v>
      </c>
      <c r="I149" s="381">
        <v>5</v>
      </c>
      <c r="J149" s="381">
        <f t="shared" si="11"/>
        <v>1</v>
      </c>
      <c r="K149" s="381">
        <f t="shared" si="13"/>
        <v>5</v>
      </c>
      <c r="L149" s="647">
        <f>IFERROR(IF(B149="funkcna poziadavka",VLOOKUP(G149,MODULY_CBA!$B$3:$E$23,4,0)*H149/SUMIFS($H$3:$H$197,$G$3:$G$197,G149,$B$3:$B$197,B149),),)</f>
        <v>0.28378378378378377</v>
      </c>
      <c r="M149" s="381">
        <f>IFERROR(IF(B149="Funkcna poziadavka",VLOOKUP(G149,MODULY_CBA!$B$3:$E$23,3,0),),)</f>
        <v>0.76999999999999991</v>
      </c>
      <c r="N149" s="381">
        <f>IFERROR(IF(B149="funkcna poziadavka",VLOOKUP(G149,MODULY_CBA!$B$3:$E$23,2,0),),)</f>
        <v>1.01</v>
      </c>
      <c r="O149" s="380">
        <f t="shared" si="12"/>
        <v>4.1091986486486487</v>
      </c>
      <c r="P149" s="379">
        <f>IFERROR(O149*VLOOKUP(G149,MODULY_CBA!$B$3:$F$23,5,0),)</f>
        <v>82.183972972972981</v>
      </c>
      <c r="Q149" s="481" t="str">
        <f>IFERROR(VLOOKUP(G149,MODULY_CBA!$B$3:$I$23,6,0),"")</f>
        <v>Inkrement 1</v>
      </c>
      <c r="R149" s="383" t="s">
        <v>167</v>
      </c>
      <c r="S149" s="383" t="s">
        <v>167</v>
      </c>
      <c r="T149" s="383" t="s">
        <v>167</v>
      </c>
      <c r="U149" s="383" t="s">
        <v>167</v>
      </c>
      <c r="V149" s="383" t="s">
        <v>167</v>
      </c>
      <c r="W149" s="383" t="s">
        <v>167</v>
      </c>
      <c r="X149" s="383" t="s">
        <v>167</v>
      </c>
      <c r="Y149" s="383" t="s">
        <v>167</v>
      </c>
      <c r="Z149" s="383" t="s">
        <v>167</v>
      </c>
      <c r="AA149" s="383" t="s">
        <v>167</v>
      </c>
      <c r="AB149" s="383" t="s">
        <v>167</v>
      </c>
      <c r="AC149" s="383" t="s">
        <v>167</v>
      </c>
      <c r="AD149" s="383" t="s">
        <v>167</v>
      </c>
      <c r="AE149" s="383" t="s">
        <v>167</v>
      </c>
    </row>
    <row r="150" spans="1:31" ht="15" x14ac:dyDescent="0.2">
      <c r="A150" s="403" t="s">
        <v>3657</v>
      </c>
      <c r="B150" s="403" t="s">
        <v>724</v>
      </c>
      <c r="C150" s="534" t="s">
        <v>1440</v>
      </c>
      <c r="D150" s="534" t="s">
        <v>1440</v>
      </c>
      <c r="E150" s="730" t="s">
        <v>1441</v>
      </c>
      <c r="F150" s="387" t="s">
        <v>1163</v>
      </c>
      <c r="G150" s="391" t="s">
        <v>842</v>
      </c>
      <c r="H150" s="381">
        <v>1</v>
      </c>
      <c r="I150" s="381">
        <v>5</v>
      </c>
      <c r="J150" s="381">
        <f t="shared" si="11"/>
        <v>1</v>
      </c>
      <c r="K150" s="381">
        <f t="shared" si="13"/>
        <v>5</v>
      </c>
      <c r="L150" s="647">
        <f>IFERROR(IF(B150="funkcna poziadavka",VLOOKUP(G150,MODULY_CBA!$B$3:$E$23,4,0)*H150/SUMIFS($H$3:$H$197,$G$3:$G$197,G150,$B$3:$B$197,B150),),)</f>
        <v>0.28378378378378377</v>
      </c>
      <c r="M150" s="381">
        <f>IFERROR(IF(B150="Funkcna poziadavka",VLOOKUP(G150,MODULY_CBA!$B$3:$E$23,3,0),),)</f>
        <v>0.76999999999999991</v>
      </c>
      <c r="N150" s="381">
        <f>IFERROR(IF(B150="funkcna poziadavka",VLOOKUP(G150,MODULY_CBA!$B$3:$E$23,2,0),),)</f>
        <v>1.01</v>
      </c>
      <c r="O150" s="380">
        <f t="shared" si="12"/>
        <v>4.1091986486486487</v>
      </c>
      <c r="P150" s="379">
        <f>IFERROR(O150*VLOOKUP(G150,MODULY_CBA!$B$3:$F$23,5,0),)</f>
        <v>82.183972972972981</v>
      </c>
      <c r="Q150" s="481" t="str">
        <f>IFERROR(VLOOKUP(G150,MODULY_CBA!$B$3:$I$23,6,0),"")</f>
        <v>Inkrement 1</v>
      </c>
      <c r="R150" s="383"/>
      <c r="S150" s="383"/>
      <c r="T150" s="383"/>
      <c r="U150" s="383"/>
      <c r="V150" s="383"/>
      <c r="W150" s="383"/>
      <c r="X150" s="383"/>
      <c r="Y150" s="383"/>
      <c r="Z150" s="383"/>
      <c r="AA150" s="383"/>
      <c r="AB150" s="383"/>
      <c r="AC150" s="383"/>
      <c r="AD150" s="383"/>
      <c r="AE150" s="383"/>
    </row>
    <row r="151" spans="1:31" ht="15" x14ac:dyDescent="0.2">
      <c r="A151" s="403" t="s">
        <v>3658</v>
      </c>
      <c r="B151" s="403" t="s">
        <v>724</v>
      </c>
      <c r="C151" s="534" t="s">
        <v>1442</v>
      </c>
      <c r="D151" s="534" t="s">
        <v>1442</v>
      </c>
      <c r="E151" s="730" t="s">
        <v>1443</v>
      </c>
      <c r="F151" s="387" t="s">
        <v>1163</v>
      </c>
      <c r="G151" s="391" t="s">
        <v>842</v>
      </c>
      <c r="H151" s="381">
        <v>1</v>
      </c>
      <c r="I151" s="381">
        <v>5</v>
      </c>
      <c r="J151" s="381">
        <f t="shared" si="11"/>
        <v>1</v>
      </c>
      <c r="K151" s="381">
        <f t="shared" si="13"/>
        <v>5</v>
      </c>
      <c r="L151" s="647">
        <f>IFERROR(IF(B151="funkcna poziadavka",VLOOKUP(G151,MODULY_CBA!$B$3:$E$23,4,0)*H151/SUMIFS($H$3:$H$197,$G$3:$G$197,G151,$B$3:$B$197,B151),),)</f>
        <v>0.28378378378378377</v>
      </c>
      <c r="M151" s="381">
        <f>IFERROR(IF(B151="Funkcna poziadavka",VLOOKUP(G151,MODULY_CBA!$B$3:$E$23,3,0),),)</f>
        <v>0.76999999999999991</v>
      </c>
      <c r="N151" s="381">
        <f>IFERROR(IF(B151="funkcna poziadavka",VLOOKUP(G151,MODULY_CBA!$B$3:$E$23,2,0),),)</f>
        <v>1.01</v>
      </c>
      <c r="O151" s="380">
        <f t="shared" si="12"/>
        <v>4.1091986486486487</v>
      </c>
      <c r="P151" s="379">
        <f>IFERROR(O151*VLOOKUP(G151,MODULY_CBA!$B$3:$F$23,5,0),)</f>
        <v>82.183972972972981</v>
      </c>
      <c r="Q151" s="481" t="str">
        <f>IFERROR(VLOOKUP(G151,MODULY_CBA!$B$3:$I$23,6,0),"")</f>
        <v>Inkrement 1</v>
      </c>
      <c r="R151" s="383"/>
      <c r="S151" s="383"/>
      <c r="T151" s="383"/>
      <c r="U151" s="383"/>
      <c r="V151" s="383"/>
      <c r="W151" s="383"/>
      <c r="X151" s="383"/>
      <c r="Y151" s="383"/>
      <c r="Z151" s="383"/>
      <c r="AA151" s="383"/>
      <c r="AB151" s="383"/>
      <c r="AC151" s="383"/>
      <c r="AD151" s="383"/>
      <c r="AE151" s="383"/>
    </row>
    <row r="152" spans="1:31" ht="30" x14ac:dyDescent="0.2">
      <c r="A152" s="403" t="s">
        <v>3659</v>
      </c>
      <c r="B152" s="403" t="s">
        <v>724</v>
      </c>
      <c r="C152" s="534" t="s">
        <v>1444</v>
      </c>
      <c r="D152" s="534" t="s">
        <v>1444</v>
      </c>
      <c r="E152" s="730" t="s">
        <v>1445</v>
      </c>
      <c r="F152" s="387" t="s">
        <v>1163</v>
      </c>
      <c r="G152" s="391" t="s">
        <v>842</v>
      </c>
      <c r="H152" s="381">
        <v>1</v>
      </c>
      <c r="I152" s="381">
        <v>5</v>
      </c>
      <c r="J152" s="381">
        <f t="shared" si="11"/>
        <v>1</v>
      </c>
      <c r="K152" s="381">
        <f t="shared" si="13"/>
        <v>5</v>
      </c>
      <c r="L152" s="647">
        <f>IFERROR(IF(B152="funkcna poziadavka",VLOOKUP(G152,MODULY_CBA!$B$3:$E$23,4,0)*H152/SUMIFS($H$3:$H$197,$G$3:$G$197,G152,$B$3:$B$197,B152),),)</f>
        <v>0.28378378378378377</v>
      </c>
      <c r="M152" s="381">
        <f>IFERROR(IF(B152="Funkcna poziadavka",VLOOKUP(G152,MODULY_CBA!$B$3:$E$23,3,0),),)</f>
        <v>0.76999999999999991</v>
      </c>
      <c r="N152" s="381">
        <f>IFERROR(IF(B152="funkcna poziadavka",VLOOKUP(G152,MODULY_CBA!$B$3:$E$23,2,0),),)</f>
        <v>1.01</v>
      </c>
      <c r="O152" s="380">
        <f t="shared" si="12"/>
        <v>4.1091986486486487</v>
      </c>
      <c r="P152" s="379">
        <f>IFERROR(O152*VLOOKUP(G152,MODULY_CBA!$B$3:$F$23,5,0),)</f>
        <v>82.183972972972981</v>
      </c>
      <c r="Q152" s="481" t="str">
        <f>IFERROR(VLOOKUP(G152,MODULY_CBA!$B$3:$I$23,6,0),"")</f>
        <v>Inkrement 1</v>
      </c>
      <c r="R152" s="383"/>
      <c r="S152" s="383"/>
      <c r="T152" s="383"/>
      <c r="U152" s="383"/>
      <c r="V152" s="383"/>
      <c r="W152" s="383"/>
      <c r="X152" s="383"/>
      <c r="Y152" s="383"/>
      <c r="Z152" s="383"/>
      <c r="AA152" s="383"/>
      <c r="AB152" s="383"/>
      <c r="AC152" s="383"/>
      <c r="AD152" s="383"/>
      <c r="AE152" s="383"/>
    </row>
    <row r="153" spans="1:31" ht="15" x14ac:dyDescent="0.2">
      <c r="A153" s="403" t="s">
        <v>3660</v>
      </c>
      <c r="B153" s="403" t="s">
        <v>724</v>
      </c>
      <c r="C153" s="534" t="s">
        <v>1446</v>
      </c>
      <c r="D153" s="534" t="s">
        <v>1446</v>
      </c>
      <c r="E153" s="730" t="s">
        <v>1447</v>
      </c>
      <c r="F153" s="387" t="s">
        <v>1163</v>
      </c>
      <c r="G153" s="391" t="s">
        <v>842</v>
      </c>
      <c r="H153" s="381">
        <v>1</v>
      </c>
      <c r="I153" s="381">
        <v>5</v>
      </c>
      <c r="J153" s="381">
        <f t="shared" si="11"/>
        <v>1</v>
      </c>
      <c r="K153" s="381">
        <f t="shared" si="13"/>
        <v>5</v>
      </c>
      <c r="L153" s="647">
        <f>IFERROR(IF(B153="funkcna poziadavka",VLOOKUP(G153,MODULY_CBA!$B$3:$E$23,4,0)*H153/SUMIFS($H$3:$H$197,$G$3:$G$197,G153,$B$3:$B$197,B153),),)</f>
        <v>0.28378378378378377</v>
      </c>
      <c r="M153" s="381">
        <f>IFERROR(IF(B153="Funkcna poziadavka",VLOOKUP(G153,MODULY_CBA!$B$3:$E$23,3,0),),)</f>
        <v>0.76999999999999991</v>
      </c>
      <c r="N153" s="381">
        <f>IFERROR(IF(B153="funkcna poziadavka",VLOOKUP(G153,MODULY_CBA!$B$3:$E$23,2,0),),)</f>
        <v>1.01</v>
      </c>
      <c r="O153" s="380">
        <f t="shared" si="12"/>
        <v>4.1091986486486487</v>
      </c>
      <c r="P153" s="379">
        <f>IFERROR(O153*VLOOKUP(G153,MODULY_CBA!$B$3:$F$23,5,0),)</f>
        <v>82.183972972972981</v>
      </c>
      <c r="Q153" s="481" t="str">
        <f>IFERROR(VLOOKUP(G153,MODULY_CBA!$B$3:$I$23,6,0),"")</f>
        <v>Inkrement 1</v>
      </c>
      <c r="R153" s="383"/>
      <c r="S153" s="383"/>
      <c r="T153" s="383"/>
      <c r="U153" s="383"/>
      <c r="V153" s="383"/>
      <c r="W153" s="383"/>
      <c r="X153" s="383"/>
      <c r="Y153" s="383"/>
      <c r="Z153" s="383"/>
      <c r="AA153" s="383"/>
      <c r="AB153" s="383"/>
      <c r="AC153" s="383"/>
      <c r="AD153" s="383"/>
      <c r="AE153" s="383"/>
    </row>
    <row r="154" spans="1:31" ht="15" x14ac:dyDescent="0.2">
      <c r="A154" s="403" t="s">
        <v>3661</v>
      </c>
      <c r="B154" s="403" t="s">
        <v>724</v>
      </c>
      <c r="C154" s="534" t="s">
        <v>1448</v>
      </c>
      <c r="D154" s="534" t="s">
        <v>1448</v>
      </c>
      <c r="E154" s="730" t="s">
        <v>1449</v>
      </c>
      <c r="F154" s="387" t="s">
        <v>1163</v>
      </c>
      <c r="G154" s="391" t="s">
        <v>842</v>
      </c>
      <c r="H154" s="381">
        <v>1</v>
      </c>
      <c r="I154" s="381">
        <v>5</v>
      </c>
      <c r="J154" s="381">
        <f t="shared" si="11"/>
        <v>1</v>
      </c>
      <c r="K154" s="381">
        <f t="shared" si="13"/>
        <v>5</v>
      </c>
      <c r="L154" s="647">
        <f>IFERROR(IF(B154="funkcna poziadavka",VLOOKUP(G154,MODULY_CBA!$B$3:$E$23,4,0)*H154/SUMIFS($H$3:$H$197,$G$3:$G$197,G154,$B$3:$B$197,B154),),)</f>
        <v>0.28378378378378377</v>
      </c>
      <c r="M154" s="381">
        <f>IFERROR(IF(B154="Funkcna poziadavka",VLOOKUP(G154,MODULY_CBA!$B$3:$E$23,3,0),),)</f>
        <v>0.76999999999999991</v>
      </c>
      <c r="N154" s="381">
        <f>IFERROR(IF(B154="funkcna poziadavka",VLOOKUP(G154,MODULY_CBA!$B$3:$E$23,2,0),),)</f>
        <v>1.01</v>
      </c>
      <c r="O154" s="380">
        <f t="shared" si="12"/>
        <v>4.1091986486486487</v>
      </c>
      <c r="P154" s="379">
        <f>IFERROR(O154*VLOOKUP(G154,MODULY_CBA!$B$3:$F$23,5,0),)</f>
        <v>82.183972972972981</v>
      </c>
      <c r="Q154" s="481" t="str">
        <f>IFERROR(VLOOKUP(G154,MODULY_CBA!$B$3:$I$23,6,0),"")</f>
        <v>Inkrement 1</v>
      </c>
      <c r="R154" s="383"/>
      <c r="S154" s="383"/>
      <c r="T154" s="383"/>
      <c r="U154" s="383"/>
      <c r="V154" s="383"/>
      <c r="W154" s="383"/>
      <c r="X154" s="383"/>
      <c r="Y154" s="383"/>
      <c r="Z154" s="383"/>
      <c r="AA154" s="383"/>
      <c r="AB154" s="383"/>
      <c r="AC154" s="383"/>
      <c r="AD154" s="383"/>
      <c r="AE154" s="383"/>
    </row>
    <row r="155" spans="1:31" ht="15" x14ac:dyDescent="0.2">
      <c r="A155" s="403" t="s">
        <v>3662</v>
      </c>
      <c r="B155" s="403" t="s">
        <v>724</v>
      </c>
      <c r="C155" s="534" t="s">
        <v>1450</v>
      </c>
      <c r="D155" s="534" t="s">
        <v>1450</v>
      </c>
      <c r="E155" s="730" t="s">
        <v>1451</v>
      </c>
      <c r="F155" s="387" t="s">
        <v>1163</v>
      </c>
      <c r="G155" s="391" t="s">
        <v>842</v>
      </c>
      <c r="H155" s="381">
        <v>1</v>
      </c>
      <c r="I155" s="381">
        <v>5</v>
      </c>
      <c r="J155" s="381">
        <f t="shared" si="11"/>
        <v>1</v>
      </c>
      <c r="K155" s="381">
        <f t="shared" si="13"/>
        <v>5</v>
      </c>
      <c r="L155" s="647">
        <f>IFERROR(IF(B155="funkcna poziadavka",VLOOKUP(G155,MODULY_CBA!$B$3:$E$23,4,0)*H155/SUMIFS($H$3:$H$197,$G$3:$G$197,G155,$B$3:$B$197,B155),),)</f>
        <v>0.28378378378378377</v>
      </c>
      <c r="M155" s="381">
        <f>IFERROR(IF(B155="Funkcna poziadavka",VLOOKUP(G155,MODULY_CBA!$B$3:$E$23,3,0),),)</f>
        <v>0.76999999999999991</v>
      </c>
      <c r="N155" s="381">
        <f>IFERROR(IF(B155="funkcna poziadavka",VLOOKUP(G155,MODULY_CBA!$B$3:$E$23,2,0),),)</f>
        <v>1.01</v>
      </c>
      <c r="O155" s="380">
        <f t="shared" si="12"/>
        <v>4.1091986486486487</v>
      </c>
      <c r="P155" s="379">
        <f>IFERROR(O155*VLOOKUP(G155,MODULY_CBA!$B$3:$F$23,5,0),)</f>
        <v>82.183972972972981</v>
      </c>
      <c r="Q155" s="481" t="str">
        <f>IFERROR(VLOOKUP(G155,MODULY_CBA!$B$3:$I$23,6,0),"")</f>
        <v>Inkrement 1</v>
      </c>
      <c r="R155" s="383" t="s">
        <v>167</v>
      </c>
      <c r="S155" s="383" t="s">
        <v>167</v>
      </c>
      <c r="T155" s="383" t="s">
        <v>167</v>
      </c>
      <c r="U155" s="383" t="s">
        <v>167</v>
      </c>
      <c r="V155" s="383" t="s">
        <v>167</v>
      </c>
      <c r="W155" s="383" t="s">
        <v>167</v>
      </c>
      <c r="X155" s="383" t="s">
        <v>167</v>
      </c>
      <c r="Y155" s="383" t="s">
        <v>167</v>
      </c>
      <c r="Z155" s="383" t="s">
        <v>167</v>
      </c>
      <c r="AA155" s="383" t="s">
        <v>167</v>
      </c>
      <c r="AB155" s="383" t="s">
        <v>167</v>
      </c>
      <c r="AC155" s="383" t="s">
        <v>167</v>
      </c>
      <c r="AD155" s="383" t="s">
        <v>167</v>
      </c>
      <c r="AE155" s="383" t="s">
        <v>167</v>
      </c>
    </row>
    <row r="156" spans="1:31" ht="15" x14ac:dyDescent="0.2">
      <c r="A156" s="403" t="s">
        <v>3663</v>
      </c>
      <c r="B156" s="403" t="s">
        <v>724</v>
      </c>
      <c r="C156" s="534" t="s">
        <v>1452</v>
      </c>
      <c r="D156" s="534" t="s">
        <v>1452</v>
      </c>
      <c r="E156" s="730" t="s">
        <v>1453</v>
      </c>
      <c r="F156" s="387" t="s">
        <v>1163</v>
      </c>
      <c r="G156" s="391" t="s">
        <v>842</v>
      </c>
      <c r="H156" s="381">
        <v>1</v>
      </c>
      <c r="I156" s="381">
        <v>5</v>
      </c>
      <c r="J156" s="381">
        <f t="shared" si="11"/>
        <v>1</v>
      </c>
      <c r="K156" s="381">
        <f t="shared" si="13"/>
        <v>5</v>
      </c>
      <c r="L156" s="647">
        <f>IFERROR(IF(B156="funkcna poziadavka",VLOOKUP(G156,MODULY_CBA!$B$3:$E$23,4,0)*H156/SUMIFS($H$3:$H$197,$G$3:$G$197,G156,$B$3:$B$197,B156),),)</f>
        <v>0.28378378378378377</v>
      </c>
      <c r="M156" s="381">
        <f>IFERROR(IF(B156="Funkcna poziadavka",VLOOKUP(G156,MODULY_CBA!$B$3:$E$23,3,0),),)</f>
        <v>0.76999999999999991</v>
      </c>
      <c r="N156" s="381">
        <f>IFERROR(IF(B156="funkcna poziadavka",VLOOKUP(G156,MODULY_CBA!$B$3:$E$23,2,0),),)</f>
        <v>1.01</v>
      </c>
      <c r="O156" s="380">
        <f t="shared" si="12"/>
        <v>4.1091986486486487</v>
      </c>
      <c r="P156" s="379">
        <f>IFERROR(O156*VLOOKUP(G156,MODULY_CBA!$B$3:$F$23,5,0),)</f>
        <v>82.183972972972981</v>
      </c>
      <c r="Q156" s="481" t="str">
        <f>IFERROR(VLOOKUP(G156,MODULY_CBA!$B$3:$I$23,6,0),"")</f>
        <v>Inkrement 1</v>
      </c>
      <c r="R156" s="383"/>
      <c r="S156" s="383"/>
      <c r="T156" s="383"/>
      <c r="U156" s="383"/>
      <c r="V156" s="383"/>
      <c r="W156" s="383"/>
      <c r="X156" s="383"/>
      <c r="Y156" s="383"/>
      <c r="Z156" s="383"/>
      <c r="AA156" s="383"/>
      <c r="AB156" s="383"/>
      <c r="AC156" s="383"/>
      <c r="AD156" s="383"/>
      <c r="AE156" s="383"/>
    </row>
    <row r="157" spans="1:31" ht="15" x14ac:dyDescent="0.2">
      <c r="A157" s="403" t="s">
        <v>3664</v>
      </c>
      <c r="B157" s="403" t="s">
        <v>724</v>
      </c>
      <c r="C157" s="534" t="s">
        <v>1454</v>
      </c>
      <c r="D157" s="534" t="s">
        <v>1454</v>
      </c>
      <c r="E157" s="730" t="s">
        <v>1455</v>
      </c>
      <c r="F157" s="387" t="s">
        <v>1163</v>
      </c>
      <c r="G157" s="391" t="s">
        <v>842</v>
      </c>
      <c r="H157" s="381">
        <v>1</v>
      </c>
      <c r="I157" s="381">
        <v>5</v>
      </c>
      <c r="J157" s="381">
        <f t="shared" si="11"/>
        <v>1</v>
      </c>
      <c r="K157" s="381">
        <f t="shared" si="13"/>
        <v>5</v>
      </c>
      <c r="L157" s="647">
        <f>IFERROR(IF(B157="funkcna poziadavka",VLOOKUP(G157,MODULY_CBA!$B$3:$E$23,4,0)*H157/SUMIFS($H$3:$H$197,$G$3:$G$197,G157,$B$3:$B$197,B157),),)</f>
        <v>0.28378378378378377</v>
      </c>
      <c r="M157" s="381">
        <f>IFERROR(IF(B157="Funkcna poziadavka",VLOOKUP(G157,MODULY_CBA!$B$3:$E$23,3,0),),)</f>
        <v>0.76999999999999991</v>
      </c>
      <c r="N157" s="381">
        <f>IFERROR(IF(B157="funkcna poziadavka",VLOOKUP(G157,MODULY_CBA!$B$3:$E$23,2,0),),)</f>
        <v>1.01</v>
      </c>
      <c r="O157" s="380">
        <f t="shared" si="12"/>
        <v>4.1091986486486487</v>
      </c>
      <c r="P157" s="379">
        <f>IFERROR(O157*VLOOKUP(G157,MODULY_CBA!$B$3:$F$23,5,0),)</f>
        <v>82.183972972972981</v>
      </c>
      <c r="Q157" s="481" t="str">
        <f>IFERROR(VLOOKUP(G157,MODULY_CBA!$B$3:$I$23,6,0),"")</f>
        <v>Inkrement 1</v>
      </c>
      <c r="R157" s="383"/>
      <c r="S157" s="383"/>
      <c r="T157" s="383"/>
      <c r="U157" s="383"/>
      <c r="V157" s="383"/>
      <c r="W157" s="383"/>
      <c r="X157" s="383"/>
      <c r="Y157" s="383"/>
      <c r="Z157" s="383"/>
      <c r="AA157" s="383"/>
      <c r="AB157" s="383"/>
      <c r="AC157" s="383"/>
      <c r="AD157" s="383"/>
      <c r="AE157" s="383"/>
    </row>
    <row r="158" spans="1:31" ht="15" x14ac:dyDescent="0.2">
      <c r="A158" s="403" t="s">
        <v>3665</v>
      </c>
      <c r="B158" s="403" t="s">
        <v>1159</v>
      </c>
      <c r="C158" s="534" t="s">
        <v>1456</v>
      </c>
      <c r="D158" s="534" t="s">
        <v>1456</v>
      </c>
      <c r="E158" s="730" t="s">
        <v>1457</v>
      </c>
      <c r="F158" s="387" t="s">
        <v>1163</v>
      </c>
      <c r="G158" s="391" t="s">
        <v>842</v>
      </c>
      <c r="H158" s="653"/>
      <c r="I158" s="653"/>
      <c r="J158" s="381">
        <f t="shared" si="11"/>
        <v>0</v>
      </c>
      <c r="K158" s="381">
        <f t="shared" si="13"/>
        <v>0</v>
      </c>
      <c r="L158" s="647">
        <f>IFERROR(IF(B158="funkcna poziadavka",VLOOKUP(G158,MODULY_CBA!$B$3:$E$23,4,0)*H158/SUMIFS($H$3:$H$197,$G$3:$G$197,G158,$B$3:$B$197,B158),),)</f>
        <v>0</v>
      </c>
      <c r="M158" s="381">
        <f>IFERROR(IF(B158="Funkcna poziadavka",VLOOKUP(G158,MODULY_CBA!$B$3:$E$23,3,0),),)</f>
        <v>0</v>
      </c>
      <c r="N158" s="381">
        <f>IFERROR(IF(B158="funkcna poziadavka",VLOOKUP(G158,MODULY_CBA!$B$3:$E$23,2,0),),)</f>
        <v>0</v>
      </c>
      <c r="O158" s="380">
        <f t="shared" si="12"/>
        <v>0</v>
      </c>
      <c r="P158" s="379">
        <f>IFERROR(O158*VLOOKUP(G158,MODULY_CBA!$B$3:$F$23,5,0),)</f>
        <v>0</v>
      </c>
      <c r="Q158" s="481" t="str">
        <f>IFERROR(VLOOKUP(G158,MODULY_CBA!$B$3:$I$23,6,0),"")</f>
        <v>Inkrement 1</v>
      </c>
      <c r="R158" s="383"/>
      <c r="S158" s="383"/>
      <c r="T158" s="383"/>
      <c r="U158" s="383"/>
      <c r="V158" s="383"/>
      <c r="W158" s="383"/>
      <c r="X158" s="383"/>
      <c r="Y158" s="383"/>
      <c r="Z158" s="383"/>
      <c r="AA158" s="383"/>
      <c r="AB158" s="383"/>
      <c r="AC158" s="383"/>
      <c r="AD158" s="383"/>
      <c r="AE158" s="383"/>
    </row>
    <row r="159" spans="1:31" ht="15" x14ac:dyDescent="0.2">
      <c r="A159" s="403" t="s">
        <v>3666</v>
      </c>
      <c r="B159" s="403" t="s">
        <v>1159</v>
      </c>
      <c r="C159" s="534" t="s">
        <v>1458</v>
      </c>
      <c r="D159" s="534" t="s">
        <v>1458</v>
      </c>
      <c r="E159" s="730" t="s">
        <v>1459</v>
      </c>
      <c r="F159" s="387" t="s">
        <v>1163</v>
      </c>
      <c r="G159" s="391" t="s">
        <v>842</v>
      </c>
      <c r="H159" s="653"/>
      <c r="I159" s="653"/>
      <c r="J159" s="381">
        <f t="shared" si="11"/>
        <v>0</v>
      </c>
      <c r="K159" s="381">
        <f t="shared" si="13"/>
        <v>0</v>
      </c>
      <c r="L159" s="647">
        <f>IFERROR(IF(B159="funkcna poziadavka",VLOOKUP(G159,MODULY_CBA!$B$3:$E$23,4,0)*H159/SUMIFS($H$3:$H$197,$G$3:$G$197,G159,$B$3:$B$197,B159),),)</f>
        <v>0</v>
      </c>
      <c r="M159" s="381">
        <f>IFERROR(IF(B159="Funkcna poziadavka",VLOOKUP(G159,MODULY_CBA!$B$3:$E$23,3,0),),)</f>
        <v>0</v>
      </c>
      <c r="N159" s="381">
        <f>IFERROR(IF(B159="funkcna poziadavka",VLOOKUP(G159,MODULY_CBA!$B$3:$E$23,2,0),),)</f>
        <v>0</v>
      </c>
      <c r="O159" s="380">
        <f t="shared" si="12"/>
        <v>0</v>
      </c>
      <c r="P159" s="379">
        <f>IFERROR(O159*VLOOKUP(G159,MODULY_CBA!$B$3:$F$23,5,0),)</f>
        <v>0</v>
      </c>
      <c r="Q159" s="481" t="str">
        <f>IFERROR(VLOOKUP(G159,MODULY_CBA!$B$3:$I$23,6,0),"")</f>
        <v>Inkrement 1</v>
      </c>
      <c r="R159" s="383"/>
      <c r="S159" s="383"/>
      <c r="T159" s="383"/>
      <c r="U159" s="383"/>
      <c r="V159" s="383"/>
      <c r="W159" s="383"/>
      <c r="X159" s="383"/>
      <c r="Y159" s="383"/>
      <c r="Z159" s="383"/>
      <c r="AA159" s="383"/>
      <c r="AB159" s="383"/>
      <c r="AC159" s="383"/>
      <c r="AD159" s="383"/>
      <c r="AE159" s="383"/>
    </row>
    <row r="160" spans="1:31" ht="45" x14ac:dyDescent="0.2">
      <c r="A160" s="403" t="s">
        <v>3667</v>
      </c>
      <c r="B160" s="403" t="s">
        <v>1159</v>
      </c>
      <c r="C160" s="534" t="s">
        <v>1460</v>
      </c>
      <c r="D160" s="391" t="s">
        <v>1461</v>
      </c>
      <c r="E160" s="391" t="s">
        <v>1462</v>
      </c>
      <c r="F160" s="387" t="s">
        <v>1163</v>
      </c>
      <c r="G160" s="384" t="s">
        <v>830</v>
      </c>
      <c r="H160" s="653"/>
      <c r="I160" s="653"/>
      <c r="J160" s="381">
        <f t="shared" si="11"/>
        <v>0</v>
      </c>
      <c r="K160" s="381">
        <f t="shared" si="13"/>
        <v>0</v>
      </c>
      <c r="L160" s="647">
        <f>IFERROR(IF(B160="funkcna poziadavka",VLOOKUP(G160,MODULY_CBA!$B$3:$E$23,4,0)*H160/SUMIFS($H$3:$H$197,$G$3:$G$197,G160,$B$3:$B$197,B160),),)</f>
        <v>0</v>
      </c>
      <c r="M160" s="381">
        <f>IFERROR(IF(B160="Funkcna poziadavka",VLOOKUP(G160,MODULY_CBA!$B$3:$E$23,3,0),),)</f>
        <v>0</v>
      </c>
      <c r="N160" s="381">
        <f>IFERROR(IF(B160="funkcna poziadavka",VLOOKUP(G160,MODULY_CBA!$B$3:$E$23,2,0),),)</f>
        <v>0</v>
      </c>
      <c r="O160" s="380">
        <f t="shared" si="12"/>
        <v>0</v>
      </c>
      <c r="P160" s="379">
        <f>IFERROR(O160*VLOOKUP(G160,MODULY_CBA!$B$3:$F$23,5,0),)</f>
        <v>0</v>
      </c>
      <c r="Q160" s="481" t="str">
        <f>IFERROR(VLOOKUP(G160,MODULY_CBA!$B$3:$I$23,6,0),"")</f>
        <v>Inkrement 1</v>
      </c>
      <c r="R160" s="383"/>
      <c r="S160" s="383"/>
      <c r="T160" s="383"/>
      <c r="U160" s="383"/>
      <c r="V160" s="383"/>
      <c r="W160" s="383"/>
      <c r="X160" s="383"/>
      <c r="Y160" s="383"/>
      <c r="Z160" s="383"/>
      <c r="AA160" s="383"/>
      <c r="AB160" s="383"/>
      <c r="AC160" s="383"/>
      <c r="AD160" s="383"/>
      <c r="AE160" s="383"/>
    </row>
    <row r="161" spans="1:32" ht="30" x14ac:dyDescent="0.2">
      <c r="A161" s="403" t="s">
        <v>3668</v>
      </c>
      <c r="B161" s="403" t="s">
        <v>724</v>
      </c>
      <c r="C161" s="534" t="s">
        <v>1463</v>
      </c>
      <c r="D161" s="391" t="s">
        <v>1464</v>
      </c>
      <c r="E161" s="391" t="s">
        <v>1465</v>
      </c>
      <c r="F161" s="387" t="s">
        <v>1163</v>
      </c>
      <c r="G161" s="384" t="s">
        <v>830</v>
      </c>
      <c r="H161" s="653">
        <v>1</v>
      </c>
      <c r="I161" s="653">
        <v>5</v>
      </c>
      <c r="J161" s="381">
        <f t="shared" ref="J161:J167" si="14">IF(ISNUMBER(H161),H161,)</f>
        <v>1</v>
      </c>
      <c r="K161" s="381">
        <f t="shared" si="13"/>
        <v>5</v>
      </c>
      <c r="L161" s="647">
        <f>IFERROR(IF(B161="funkcna poziadavka",VLOOKUP(G161,MODULY_CBA!$B$3:$E$23,4,0)*H161/SUMIFS($H$3:$H$197,$G$3:$G$197,G161,$B$3:$B$197,B161),),)</f>
        <v>0.63636363636363635</v>
      </c>
      <c r="M161" s="381">
        <f>IFERROR(IF(B161="Funkcna poziadavka",VLOOKUP(G161,MODULY_CBA!$B$3:$E$23,3,0),),)</f>
        <v>0.76999999999999991</v>
      </c>
      <c r="N161" s="381">
        <f>IFERROR(IF(B161="funkcna poziadavka",VLOOKUP(G161,MODULY_CBA!$B$3:$E$23,2,0),),)</f>
        <v>1.01</v>
      </c>
      <c r="O161" s="380">
        <f t="shared" ref="O161:O167" si="15">(K161+L161)*M161*N161</f>
        <v>4.3834</v>
      </c>
      <c r="P161" s="379">
        <f>IFERROR(O161*VLOOKUP(G161,MODULY_CBA!$B$3:$F$23,5,0),)</f>
        <v>87.668000000000006</v>
      </c>
      <c r="Q161" s="481" t="str">
        <f>IFERROR(VLOOKUP(G161,MODULY_CBA!$B$3:$I$23,6,0),"")</f>
        <v>Inkrement 1</v>
      </c>
      <c r="R161" s="383" t="s">
        <v>167</v>
      </c>
      <c r="S161" s="383" t="s">
        <v>167</v>
      </c>
      <c r="T161" s="383" t="s">
        <v>167</v>
      </c>
      <c r="U161" s="383" t="s">
        <v>167</v>
      </c>
      <c r="V161" s="383" t="s">
        <v>167</v>
      </c>
      <c r="W161" s="383" t="s">
        <v>167</v>
      </c>
      <c r="X161" s="383" t="s">
        <v>167</v>
      </c>
      <c r="Y161" s="383" t="s">
        <v>167</v>
      </c>
      <c r="Z161" s="383" t="s">
        <v>167</v>
      </c>
      <c r="AA161" s="383" t="s">
        <v>167</v>
      </c>
      <c r="AB161" s="383" t="s">
        <v>167</v>
      </c>
      <c r="AC161" s="383" t="s">
        <v>167</v>
      </c>
      <c r="AD161" s="383" t="s">
        <v>167</v>
      </c>
      <c r="AE161" s="383" t="s">
        <v>167</v>
      </c>
    </row>
    <row r="162" spans="1:32" ht="30" x14ac:dyDescent="0.2">
      <c r="A162" s="403" t="s">
        <v>3669</v>
      </c>
      <c r="B162" s="403" t="s">
        <v>724</v>
      </c>
      <c r="C162" s="534" t="s">
        <v>1466</v>
      </c>
      <c r="D162" s="391" t="s">
        <v>1467</v>
      </c>
      <c r="E162" s="391" t="s">
        <v>1468</v>
      </c>
      <c r="F162" s="387" t="s">
        <v>1163</v>
      </c>
      <c r="G162" s="384" t="s">
        <v>830</v>
      </c>
      <c r="H162" s="653">
        <v>1</v>
      </c>
      <c r="I162" s="653">
        <v>5</v>
      </c>
      <c r="J162" s="381">
        <f t="shared" si="14"/>
        <v>1</v>
      </c>
      <c r="K162" s="381">
        <f t="shared" si="13"/>
        <v>5</v>
      </c>
      <c r="L162" s="647">
        <f>IFERROR(IF(B162="funkcna poziadavka",VLOOKUP(G162,MODULY_CBA!$B$3:$E$23,4,0)*H162/SUMIFS($H$3:$H$197,$G$3:$G$197,G162,$B$3:$B$197,B162),),)</f>
        <v>0.63636363636363635</v>
      </c>
      <c r="M162" s="381">
        <f>IFERROR(IF(B162="Funkcna poziadavka",VLOOKUP(G162,MODULY_CBA!$B$3:$E$23,3,0),),)</f>
        <v>0.76999999999999991</v>
      </c>
      <c r="N162" s="381">
        <f>IFERROR(IF(B162="funkcna poziadavka",VLOOKUP(G162,MODULY_CBA!$B$3:$E$23,2,0),),)</f>
        <v>1.01</v>
      </c>
      <c r="O162" s="380">
        <f t="shared" si="15"/>
        <v>4.3834</v>
      </c>
      <c r="P162" s="379">
        <f>IFERROR(O162*VLOOKUP(G162,MODULY_CBA!$B$3:$F$23,5,0),)</f>
        <v>87.668000000000006</v>
      </c>
      <c r="Q162" s="481" t="str">
        <f>IFERROR(VLOOKUP(G162,MODULY_CBA!$B$3:$I$23,6,0),"")</f>
        <v>Inkrement 1</v>
      </c>
      <c r="R162" s="383" t="s">
        <v>167</v>
      </c>
      <c r="S162" s="383" t="s">
        <v>167</v>
      </c>
      <c r="T162" s="383" t="s">
        <v>167</v>
      </c>
      <c r="U162" s="383" t="s">
        <v>167</v>
      </c>
      <c r="V162" s="383" t="s">
        <v>167</v>
      </c>
      <c r="W162" s="383" t="s">
        <v>167</v>
      </c>
      <c r="X162" s="383" t="s">
        <v>167</v>
      </c>
      <c r="Y162" s="383" t="s">
        <v>167</v>
      </c>
      <c r="Z162" s="383" t="s">
        <v>167</v>
      </c>
      <c r="AA162" s="383" t="s">
        <v>167</v>
      </c>
      <c r="AB162" s="383" t="s">
        <v>167</v>
      </c>
      <c r="AC162" s="383" t="s">
        <v>167</v>
      </c>
      <c r="AD162" s="383" t="s">
        <v>167</v>
      </c>
      <c r="AE162" s="383" t="s">
        <v>167</v>
      </c>
      <c r="AF162" s="376"/>
    </row>
    <row r="163" spans="1:32" ht="75" x14ac:dyDescent="0.2">
      <c r="A163" s="403" t="s">
        <v>3670</v>
      </c>
      <c r="B163" s="403" t="s">
        <v>724</v>
      </c>
      <c r="C163" s="534" t="s">
        <v>1469</v>
      </c>
      <c r="D163" s="391" t="s">
        <v>1470</v>
      </c>
      <c r="E163" s="391" t="s">
        <v>1471</v>
      </c>
      <c r="F163" s="387" t="s">
        <v>1163</v>
      </c>
      <c r="G163" s="384" t="s">
        <v>830</v>
      </c>
      <c r="H163" s="653">
        <v>1</v>
      </c>
      <c r="I163" s="653">
        <v>10</v>
      </c>
      <c r="J163" s="381">
        <f t="shared" si="14"/>
        <v>1</v>
      </c>
      <c r="K163" s="381">
        <f t="shared" si="13"/>
        <v>10</v>
      </c>
      <c r="L163" s="647">
        <f>IFERROR(IF(B163="funkcna poziadavka",VLOOKUP(G163,MODULY_CBA!$B$3:$E$23,4,0)*H163/SUMIFS($H$3:$H$197,$G$3:$G$197,G163,$B$3:$B$197,B163),),)</f>
        <v>0.63636363636363635</v>
      </c>
      <c r="M163" s="381">
        <f>IFERROR(IF(B163="Funkcna poziadavka",VLOOKUP(G163,MODULY_CBA!$B$3:$E$23,3,0),),)</f>
        <v>0.76999999999999991</v>
      </c>
      <c r="N163" s="381">
        <f>IFERROR(IF(B163="funkcna poziadavka",VLOOKUP(G163,MODULY_CBA!$B$3:$E$23,2,0),),)</f>
        <v>1.01</v>
      </c>
      <c r="O163" s="380">
        <f t="shared" si="15"/>
        <v>8.2718999999999987</v>
      </c>
      <c r="P163" s="379">
        <f>IFERROR(O163*VLOOKUP(G163,MODULY_CBA!$B$3:$F$23,5,0),)</f>
        <v>165.43799999999999</v>
      </c>
      <c r="Q163" s="481" t="str">
        <f>IFERROR(VLOOKUP(G163,MODULY_CBA!$B$3:$I$23,6,0),"")</f>
        <v>Inkrement 1</v>
      </c>
      <c r="R163" s="383"/>
      <c r="S163" s="383"/>
      <c r="T163" s="383"/>
      <c r="U163" s="383"/>
      <c r="V163" s="383"/>
      <c r="W163" s="383"/>
      <c r="X163" s="383"/>
      <c r="Y163" s="383"/>
      <c r="Z163" s="383"/>
      <c r="AA163" s="383"/>
      <c r="AB163" s="383"/>
      <c r="AC163" s="383"/>
      <c r="AD163" s="383"/>
      <c r="AE163" s="383"/>
      <c r="AF163" s="376"/>
    </row>
    <row r="164" spans="1:32" ht="60" x14ac:dyDescent="0.2">
      <c r="A164" s="403" t="s">
        <v>3671</v>
      </c>
      <c r="B164" s="403" t="s">
        <v>724</v>
      </c>
      <c r="C164" s="534" t="s">
        <v>1472</v>
      </c>
      <c r="D164" s="391" t="s">
        <v>1473</v>
      </c>
      <c r="E164" s="391" t="s">
        <v>1474</v>
      </c>
      <c r="F164" s="387" t="s">
        <v>1163</v>
      </c>
      <c r="G164" s="384" t="s">
        <v>830</v>
      </c>
      <c r="H164" s="653">
        <v>1</v>
      </c>
      <c r="I164" s="653">
        <v>10</v>
      </c>
      <c r="J164" s="381">
        <f t="shared" si="14"/>
        <v>1</v>
      </c>
      <c r="K164" s="381">
        <f t="shared" si="13"/>
        <v>10</v>
      </c>
      <c r="L164" s="647">
        <f>IFERROR(IF(B164="funkcna poziadavka",VLOOKUP(G164,MODULY_CBA!$B$3:$E$23,4,0)*H164/SUMIFS($H$3:$H$197,$G$3:$G$197,G164,$B$3:$B$197,B164),),)</f>
        <v>0.63636363636363635</v>
      </c>
      <c r="M164" s="381">
        <f>IFERROR(IF(B164="Funkcna poziadavka",VLOOKUP(G164,MODULY_CBA!$B$3:$E$23,3,0),),)</f>
        <v>0.76999999999999991</v>
      </c>
      <c r="N164" s="381">
        <f>IFERROR(IF(B164="funkcna poziadavka",VLOOKUP(G164,MODULY_CBA!$B$3:$E$23,2,0),),)</f>
        <v>1.01</v>
      </c>
      <c r="O164" s="380">
        <f t="shared" si="15"/>
        <v>8.2718999999999987</v>
      </c>
      <c r="P164" s="379">
        <f>IFERROR(O164*VLOOKUP(G164,MODULY_CBA!$B$3:$F$23,5,0),)</f>
        <v>165.43799999999999</v>
      </c>
      <c r="Q164" s="481" t="str">
        <f>IFERROR(VLOOKUP(G164,MODULY_CBA!$B$3:$I$23,6,0),"")</f>
        <v>Inkrement 1</v>
      </c>
      <c r="R164" s="383" t="s">
        <v>167</v>
      </c>
      <c r="S164" s="383" t="s">
        <v>167</v>
      </c>
      <c r="T164" s="383" t="s">
        <v>167</v>
      </c>
      <c r="U164" s="383" t="s">
        <v>167</v>
      </c>
      <c r="V164" s="383" t="s">
        <v>167</v>
      </c>
      <c r="W164" s="383" t="s">
        <v>167</v>
      </c>
      <c r="X164" s="383" t="s">
        <v>167</v>
      </c>
      <c r="Y164" s="383" t="s">
        <v>167</v>
      </c>
      <c r="Z164" s="383" t="s">
        <v>167</v>
      </c>
      <c r="AA164" s="383" t="s">
        <v>167</v>
      </c>
      <c r="AB164" s="383" t="s">
        <v>167</v>
      </c>
      <c r="AC164" s="383" t="s">
        <v>167</v>
      </c>
      <c r="AD164" s="383" t="s">
        <v>167</v>
      </c>
      <c r="AE164" s="383" t="s">
        <v>167</v>
      </c>
      <c r="AF164" s="376"/>
    </row>
    <row r="165" spans="1:32" ht="30" x14ac:dyDescent="0.2">
      <c r="A165" s="403" t="s">
        <v>3672</v>
      </c>
      <c r="B165" s="403" t="s">
        <v>724</v>
      </c>
      <c r="C165" s="534" t="s">
        <v>1475</v>
      </c>
      <c r="D165" s="391" t="s">
        <v>1476</v>
      </c>
      <c r="E165" s="391" t="s">
        <v>1477</v>
      </c>
      <c r="F165" s="387" t="s">
        <v>1163</v>
      </c>
      <c r="G165" s="384" t="s">
        <v>830</v>
      </c>
      <c r="H165" s="653">
        <v>1</v>
      </c>
      <c r="I165" s="653">
        <v>5</v>
      </c>
      <c r="J165" s="381">
        <f t="shared" si="14"/>
        <v>1</v>
      </c>
      <c r="K165" s="381">
        <f t="shared" si="13"/>
        <v>5</v>
      </c>
      <c r="L165" s="647">
        <f>IFERROR(IF(B165="funkcna poziadavka",VLOOKUP(G165,MODULY_CBA!$B$3:$E$23,4,0)*H165/SUMIFS($H$3:$H$197,$G$3:$G$197,G165,$B$3:$B$197,B165),),)</f>
        <v>0.63636363636363635</v>
      </c>
      <c r="M165" s="381">
        <f>IFERROR(IF(B165="Funkcna poziadavka",VLOOKUP(G165,MODULY_CBA!$B$3:$E$23,3,0),),)</f>
        <v>0.76999999999999991</v>
      </c>
      <c r="N165" s="381">
        <f>IFERROR(IF(B165="funkcna poziadavka",VLOOKUP(G165,MODULY_CBA!$B$3:$E$23,2,0),),)</f>
        <v>1.01</v>
      </c>
      <c r="O165" s="380">
        <f t="shared" si="15"/>
        <v>4.3834</v>
      </c>
      <c r="P165" s="379">
        <f>IFERROR(O165*VLOOKUP(G165,MODULY_CBA!$B$3:$F$23,5,0),)</f>
        <v>87.668000000000006</v>
      </c>
      <c r="Q165" s="481" t="str">
        <f>IFERROR(VLOOKUP(G165,MODULY_CBA!$B$3:$I$23,6,0),"")</f>
        <v>Inkrement 1</v>
      </c>
      <c r="R165" s="383" t="s">
        <v>167</v>
      </c>
      <c r="S165" s="383" t="s">
        <v>167</v>
      </c>
      <c r="T165" s="383" t="s">
        <v>167</v>
      </c>
      <c r="U165" s="383" t="s">
        <v>167</v>
      </c>
      <c r="V165" s="383" t="s">
        <v>167</v>
      </c>
      <c r="W165" s="383" t="s">
        <v>167</v>
      </c>
      <c r="X165" s="383" t="s">
        <v>167</v>
      </c>
      <c r="Y165" s="383" t="s">
        <v>167</v>
      </c>
      <c r="Z165" s="383" t="s">
        <v>167</v>
      </c>
      <c r="AA165" s="383" t="s">
        <v>167</v>
      </c>
      <c r="AB165" s="383" t="s">
        <v>167</v>
      </c>
      <c r="AC165" s="383" t="s">
        <v>167</v>
      </c>
      <c r="AD165" s="383" t="s">
        <v>167</v>
      </c>
      <c r="AE165" s="383" t="s">
        <v>167</v>
      </c>
      <c r="AF165" s="376"/>
    </row>
    <row r="166" spans="1:32" ht="45" x14ac:dyDescent="0.2">
      <c r="A166" s="403" t="s">
        <v>3673</v>
      </c>
      <c r="B166" s="403" t="s">
        <v>724</v>
      </c>
      <c r="C166" s="534" t="s">
        <v>1478</v>
      </c>
      <c r="D166" s="391" t="s">
        <v>1479</v>
      </c>
      <c r="E166" s="391" t="s">
        <v>1480</v>
      </c>
      <c r="F166" s="387" t="s">
        <v>1163</v>
      </c>
      <c r="G166" s="384" t="s">
        <v>830</v>
      </c>
      <c r="H166" s="653">
        <v>1</v>
      </c>
      <c r="I166" s="653">
        <v>5</v>
      </c>
      <c r="J166" s="381">
        <f t="shared" si="14"/>
        <v>1</v>
      </c>
      <c r="K166" s="381">
        <f t="shared" si="13"/>
        <v>5</v>
      </c>
      <c r="L166" s="647">
        <f>IFERROR(IF(B166="funkcna poziadavka",VLOOKUP(G166,MODULY_CBA!$B$3:$E$23,4,0)*H166/SUMIFS($H$3:$H$197,$G$3:$G$197,G166,$B$3:$B$197,B166),),)</f>
        <v>0.63636363636363635</v>
      </c>
      <c r="M166" s="381">
        <f>IFERROR(IF(B166="Funkcna poziadavka",VLOOKUP(G166,MODULY_CBA!$B$3:$E$23,3,0),),)</f>
        <v>0.76999999999999991</v>
      </c>
      <c r="N166" s="381">
        <f>IFERROR(IF(B166="funkcna poziadavka",VLOOKUP(G166,MODULY_CBA!$B$3:$E$23,2,0),),)</f>
        <v>1.01</v>
      </c>
      <c r="O166" s="380">
        <f t="shared" si="15"/>
        <v>4.3834</v>
      </c>
      <c r="P166" s="379">
        <f>IFERROR(O166*VLOOKUP(G166,MODULY_CBA!$B$3:$F$23,5,0),)</f>
        <v>87.668000000000006</v>
      </c>
      <c r="Q166" s="481" t="str">
        <f>IFERROR(VLOOKUP(G166,MODULY_CBA!$B$3:$I$23,6,0),"")</f>
        <v>Inkrement 1</v>
      </c>
      <c r="R166" s="383"/>
      <c r="S166" s="383"/>
      <c r="T166" s="383"/>
      <c r="U166" s="383"/>
      <c r="V166" s="383"/>
      <c r="W166" s="383"/>
      <c r="X166" s="383"/>
      <c r="Y166" s="383"/>
      <c r="Z166" s="383"/>
      <c r="AA166" s="383"/>
      <c r="AB166" s="383"/>
      <c r="AC166" s="383"/>
      <c r="AD166" s="383"/>
      <c r="AE166" s="383"/>
      <c r="AF166" s="376"/>
    </row>
    <row r="167" spans="1:32" ht="30" x14ac:dyDescent="0.2">
      <c r="A167" s="403" t="s">
        <v>3674</v>
      </c>
      <c r="B167" s="403" t="s">
        <v>724</v>
      </c>
      <c r="C167" s="534" t="s">
        <v>1481</v>
      </c>
      <c r="D167" s="391" t="s">
        <v>1482</v>
      </c>
      <c r="E167" s="391" t="s">
        <v>1483</v>
      </c>
      <c r="F167" s="387" t="s">
        <v>1163</v>
      </c>
      <c r="G167" s="384" t="s">
        <v>830</v>
      </c>
      <c r="H167" s="653">
        <v>1</v>
      </c>
      <c r="I167" s="653">
        <v>5</v>
      </c>
      <c r="J167" s="381">
        <f t="shared" si="14"/>
        <v>1</v>
      </c>
      <c r="K167" s="381">
        <f t="shared" si="13"/>
        <v>5</v>
      </c>
      <c r="L167" s="647">
        <f>IFERROR(IF(B167="funkcna poziadavka",VLOOKUP(G167,MODULY_CBA!$B$3:$E$23,4,0)*H167/SUMIFS($H$3:$H$197,$G$3:$G$197,G167,$B$3:$B$197,B167),),)</f>
        <v>0.63636363636363635</v>
      </c>
      <c r="M167" s="381">
        <f>IFERROR(IF(B167="Funkcna poziadavka",VLOOKUP(G167,MODULY_CBA!$B$3:$E$23,3,0),),)</f>
        <v>0.76999999999999991</v>
      </c>
      <c r="N167" s="381">
        <f>IFERROR(IF(B167="funkcna poziadavka",VLOOKUP(G167,MODULY_CBA!$B$3:$E$23,2,0),),)</f>
        <v>1.01</v>
      </c>
      <c r="O167" s="380">
        <f t="shared" si="15"/>
        <v>4.3834</v>
      </c>
      <c r="P167" s="379">
        <f>IFERROR(O167*VLOOKUP(G167,MODULY_CBA!$B$3:$F$23,5,0),)</f>
        <v>87.668000000000006</v>
      </c>
      <c r="Q167" s="481" t="str">
        <f>IFERROR(VLOOKUP(G167,MODULY_CBA!$B$3:$I$23,6,0),"")</f>
        <v>Inkrement 1</v>
      </c>
      <c r="R167" s="383"/>
      <c r="S167" s="383"/>
      <c r="T167" s="383"/>
      <c r="U167" s="383"/>
      <c r="V167" s="383"/>
      <c r="W167" s="383"/>
      <c r="X167" s="383"/>
      <c r="Y167" s="383"/>
      <c r="Z167" s="383"/>
      <c r="AA167" s="383"/>
      <c r="AB167" s="383"/>
      <c r="AC167" s="383"/>
      <c r="AD167" s="383"/>
      <c r="AE167" s="383"/>
      <c r="AF167" s="376"/>
    </row>
    <row r="168" spans="1:32" ht="75" x14ac:dyDescent="0.2">
      <c r="A168" s="403" t="s">
        <v>3675</v>
      </c>
      <c r="B168" s="403" t="s">
        <v>724</v>
      </c>
      <c r="C168" s="534" t="s">
        <v>1484</v>
      </c>
      <c r="D168" s="391" t="s">
        <v>1485</v>
      </c>
      <c r="E168" s="391" t="s">
        <v>1486</v>
      </c>
      <c r="F168" s="387" t="s">
        <v>1163</v>
      </c>
      <c r="G168" s="384" t="s">
        <v>830</v>
      </c>
      <c r="H168" s="653">
        <v>1</v>
      </c>
      <c r="I168" s="653">
        <v>10</v>
      </c>
      <c r="J168" s="381">
        <f t="shared" ref="J168:J231" si="16">IF(ISNUMBER(H168),H168,)</f>
        <v>1</v>
      </c>
      <c r="K168" s="381">
        <f t="shared" ref="K168:K231" si="17">H168*I168</f>
        <v>10</v>
      </c>
      <c r="L168" s="647">
        <f>IFERROR(IF(B168="funkcna poziadavka",VLOOKUP(G168,MODULY_CBA!$B$3:$E$23,4,0)*H168/SUMIFS($H$3:$H$197,$G$3:$G$197,G168,$B$3:$B$197,B168),),)</f>
        <v>0.63636363636363635</v>
      </c>
      <c r="M168" s="381">
        <f>IFERROR(IF(B168="Funkcna poziadavka",VLOOKUP(G168,MODULY_CBA!$B$3:$E$23,3,0),),)</f>
        <v>0.76999999999999991</v>
      </c>
      <c r="N168" s="381">
        <f>IFERROR(IF(B168="funkcna poziadavka",VLOOKUP(G168,MODULY_CBA!$B$3:$E$23,2,0),),)</f>
        <v>1.01</v>
      </c>
      <c r="O168" s="380">
        <f t="shared" ref="O168:O231" si="18">(K168+L168)*M168*N168</f>
        <v>8.2718999999999987</v>
      </c>
      <c r="P168" s="379">
        <f>IFERROR(O168*VLOOKUP(G168,MODULY_CBA!$B$3:$F$23,5,0),)</f>
        <v>165.43799999999999</v>
      </c>
      <c r="Q168" s="481" t="str">
        <f>IFERROR(VLOOKUP(G168,MODULY_CBA!$B$3:$I$23,6,0),"")</f>
        <v>Inkrement 1</v>
      </c>
      <c r="R168" s="383"/>
      <c r="S168" s="383"/>
      <c r="T168" s="383"/>
      <c r="U168" s="383"/>
      <c r="V168" s="383"/>
      <c r="W168" s="383"/>
      <c r="X168" s="383"/>
      <c r="Y168" s="383"/>
      <c r="Z168" s="383"/>
      <c r="AA168" s="383"/>
      <c r="AB168" s="383"/>
      <c r="AC168" s="383"/>
      <c r="AD168" s="383"/>
      <c r="AE168" s="383"/>
      <c r="AF168" s="376"/>
    </row>
    <row r="169" spans="1:32" ht="60" x14ac:dyDescent="0.2">
      <c r="A169" s="403" t="s">
        <v>3676</v>
      </c>
      <c r="B169" s="403" t="s">
        <v>724</v>
      </c>
      <c r="C169" s="534" t="s">
        <v>1487</v>
      </c>
      <c r="D169" s="391" t="s">
        <v>1488</v>
      </c>
      <c r="E169" s="535" t="s">
        <v>1489</v>
      </c>
      <c r="F169" s="387" t="s">
        <v>1163</v>
      </c>
      <c r="G169" s="384" t="s">
        <v>830</v>
      </c>
      <c r="H169" s="653">
        <v>1</v>
      </c>
      <c r="I169" s="653">
        <v>10</v>
      </c>
      <c r="J169" s="381">
        <f t="shared" si="16"/>
        <v>1</v>
      </c>
      <c r="K169" s="381">
        <f t="shared" si="17"/>
        <v>10</v>
      </c>
      <c r="L169" s="647">
        <f>IFERROR(IF(B169="funkcna poziadavka",VLOOKUP(G169,MODULY_CBA!$B$3:$E$23,4,0)*H169/SUMIFS($H$3:$H$197,$G$3:$G$197,G169,$B$3:$B$197,B169),),)</f>
        <v>0.63636363636363635</v>
      </c>
      <c r="M169" s="381">
        <f>IFERROR(IF(B169="Funkcna poziadavka",VLOOKUP(G169,MODULY_CBA!$B$3:$E$23,3,0),),)</f>
        <v>0.76999999999999991</v>
      </c>
      <c r="N169" s="381">
        <f>IFERROR(IF(B169="funkcna poziadavka",VLOOKUP(G169,MODULY_CBA!$B$3:$E$23,2,0),),)</f>
        <v>1.01</v>
      </c>
      <c r="O169" s="380">
        <f t="shared" si="18"/>
        <v>8.2718999999999987</v>
      </c>
      <c r="P169" s="379">
        <f>IFERROR(O169*VLOOKUP(G169,MODULY_CBA!$B$3:$F$23,5,0),)</f>
        <v>165.43799999999999</v>
      </c>
      <c r="Q169" s="481" t="str">
        <f>IFERROR(VLOOKUP(G169,MODULY_CBA!$B$3:$I$23,6,0),"")</f>
        <v>Inkrement 1</v>
      </c>
      <c r="R169" s="383"/>
      <c r="S169" s="383"/>
      <c r="T169" s="383"/>
      <c r="U169" s="383"/>
      <c r="V169" s="383"/>
      <c r="W169" s="383"/>
      <c r="X169" s="383"/>
      <c r="Y169" s="383"/>
      <c r="Z169" s="383"/>
      <c r="AA169" s="383"/>
      <c r="AB169" s="383"/>
      <c r="AC169" s="383"/>
      <c r="AD169" s="383"/>
      <c r="AE169" s="383"/>
      <c r="AF169" s="376"/>
    </row>
    <row r="170" spans="1:32" ht="60" x14ac:dyDescent="0.2">
      <c r="A170" s="403" t="s">
        <v>3677</v>
      </c>
      <c r="B170" s="403" t="s">
        <v>724</v>
      </c>
      <c r="C170" s="534" t="s">
        <v>1490</v>
      </c>
      <c r="D170" s="391" t="s">
        <v>1491</v>
      </c>
      <c r="E170" s="391" t="s">
        <v>1492</v>
      </c>
      <c r="F170" s="387" t="s">
        <v>1163</v>
      </c>
      <c r="G170" s="384" t="s">
        <v>830</v>
      </c>
      <c r="H170" s="653">
        <v>1</v>
      </c>
      <c r="I170" s="653">
        <v>10</v>
      </c>
      <c r="J170" s="381">
        <f t="shared" si="16"/>
        <v>1</v>
      </c>
      <c r="K170" s="381">
        <f t="shared" si="17"/>
        <v>10</v>
      </c>
      <c r="L170" s="647">
        <f>IFERROR(IF(B170="funkcna poziadavka",VLOOKUP(G170,MODULY_CBA!$B$3:$E$23,4,0)*H170/SUMIFS($H$3:$H$197,$G$3:$G$197,G170,$B$3:$B$197,B170),),)</f>
        <v>0.63636363636363635</v>
      </c>
      <c r="M170" s="381">
        <f>IFERROR(IF(B170="Funkcna poziadavka",VLOOKUP(G170,MODULY_CBA!$B$3:$E$23,3,0),),)</f>
        <v>0.76999999999999991</v>
      </c>
      <c r="N170" s="381">
        <f>IFERROR(IF(B170="funkcna poziadavka",VLOOKUP(G170,MODULY_CBA!$B$3:$E$23,2,0),),)</f>
        <v>1.01</v>
      </c>
      <c r="O170" s="380">
        <f t="shared" si="18"/>
        <v>8.2718999999999987</v>
      </c>
      <c r="P170" s="379">
        <f>IFERROR(O170*VLOOKUP(G170,MODULY_CBA!$B$3:$F$23,5,0),)</f>
        <v>165.43799999999999</v>
      </c>
      <c r="Q170" s="481" t="str">
        <f>IFERROR(VLOOKUP(G170,MODULY_CBA!$B$3:$I$23,6,0),"")</f>
        <v>Inkrement 1</v>
      </c>
      <c r="R170" s="383"/>
      <c r="S170" s="383"/>
      <c r="T170" s="383"/>
      <c r="U170" s="383"/>
      <c r="V170" s="383"/>
      <c r="W170" s="383"/>
      <c r="X170" s="383"/>
      <c r="Y170" s="383"/>
      <c r="Z170" s="383"/>
      <c r="AA170" s="383"/>
      <c r="AB170" s="383"/>
      <c r="AC170" s="383"/>
      <c r="AD170" s="383"/>
      <c r="AE170" s="383"/>
      <c r="AF170" s="376"/>
    </row>
    <row r="171" spans="1:32" ht="45" x14ac:dyDescent="0.2">
      <c r="A171" s="403" t="s">
        <v>3678</v>
      </c>
      <c r="B171" s="403" t="s">
        <v>724</v>
      </c>
      <c r="C171" s="534" t="s">
        <v>1493</v>
      </c>
      <c r="D171" s="391" t="s">
        <v>1494</v>
      </c>
      <c r="E171" s="535" t="s">
        <v>1495</v>
      </c>
      <c r="F171" s="387" t="s">
        <v>1163</v>
      </c>
      <c r="G171" s="384" t="s">
        <v>830</v>
      </c>
      <c r="H171" s="653">
        <v>1</v>
      </c>
      <c r="I171" s="653">
        <v>5</v>
      </c>
      <c r="J171" s="381">
        <f t="shared" si="16"/>
        <v>1</v>
      </c>
      <c r="K171" s="381">
        <f t="shared" si="17"/>
        <v>5</v>
      </c>
      <c r="L171" s="647">
        <f>IFERROR(IF(B171="funkcna poziadavka",VLOOKUP(G171,MODULY_CBA!$B$3:$E$23,4,0)*H171/SUMIFS($H$3:$H$197,$G$3:$G$197,G171,$B$3:$B$197,B171),),)</f>
        <v>0.63636363636363635</v>
      </c>
      <c r="M171" s="381">
        <f>IFERROR(IF(B171="Funkcna poziadavka",VLOOKUP(G171,MODULY_CBA!$B$3:$E$23,3,0),),)</f>
        <v>0.76999999999999991</v>
      </c>
      <c r="N171" s="381">
        <f>IFERROR(IF(B171="funkcna poziadavka",VLOOKUP(G171,MODULY_CBA!$B$3:$E$23,2,0),),)</f>
        <v>1.01</v>
      </c>
      <c r="O171" s="380">
        <f t="shared" si="18"/>
        <v>4.3834</v>
      </c>
      <c r="P171" s="379">
        <f>IFERROR(O171*VLOOKUP(G171,MODULY_CBA!$B$3:$F$23,5,0),)</f>
        <v>87.668000000000006</v>
      </c>
      <c r="Q171" s="481" t="str">
        <f>IFERROR(VLOOKUP(G171,MODULY_CBA!$B$3:$I$23,6,0),"")</f>
        <v>Inkrement 1</v>
      </c>
      <c r="R171" s="383"/>
      <c r="S171" s="383"/>
      <c r="T171" s="383"/>
      <c r="U171" s="383"/>
      <c r="V171" s="383"/>
      <c r="W171" s="383"/>
      <c r="X171" s="383"/>
      <c r="Y171" s="383"/>
      <c r="Z171" s="383"/>
      <c r="AA171" s="383"/>
      <c r="AB171" s="383"/>
      <c r="AC171" s="383"/>
      <c r="AD171" s="383"/>
      <c r="AE171" s="383"/>
      <c r="AF171" s="376"/>
    </row>
    <row r="172" spans="1:32" ht="60" x14ac:dyDescent="0.2">
      <c r="A172" s="403" t="s">
        <v>3679</v>
      </c>
      <c r="B172" s="403" t="s">
        <v>724</v>
      </c>
      <c r="C172" s="534" t="s">
        <v>1496</v>
      </c>
      <c r="D172" s="391" t="s">
        <v>1497</v>
      </c>
      <c r="E172" s="391" t="s">
        <v>1498</v>
      </c>
      <c r="F172" s="387" t="s">
        <v>1163</v>
      </c>
      <c r="G172" s="384" t="s">
        <v>830</v>
      </c>
      <c r="H172" s="653">
        <v>1</v>
      </c>
      <c r="I172" s="653">
        <v>5</v>
      </c>
      <c r="J172" s="381">
        <f t="shared" si="16"/>
        <v>1</v>
      </c>
      <c r="K172" s="381">
        <f t="shared" si="17"/>
        <v>5</v>
      </c>
      <c r="L172" s="647">
        <f>IFERROR(IF(B172="funkcna poziadavka",VLOOKUP(G172,MODULY_CBA!$B$3:$E$23,4,0)*H172/SUMIFS($H$3:$H$197,$G$3:$G$197,G172,$B$3:$B$197,B172),),)</f>
        <v>0.63636363636363635</v>
      </c>
      <c r="M172" s="381">
        <f>IFERROR(IF(B172="Funkcna poziadavka",VLOOKUP(G172,MODULY_CBA!$B$3:$E$23,3,0),),)</f>
        <v>0.76999999999999991</v>
      </c>
      <c r="N172" s="381">
        <f>IFERROR(IF(B172="funkcna poziadavka",VLOOKUP(G172,MODULY_CBA!$B$3:$E$23,2,0),),)</f>
        <v>1.01</v>
      </c>
      <c r="O172" s="380">
        <f t="shared" si="18"/>
        <v>4.3834</v>
      </c>
      <c r="P172" s="379">
        <f>IFERROR(O172*VLOOKUP(G172,MODULY_CBA!$B$3:$F$23,5,0),)</f>
        <v>87.668000000000006</v>
      </c>
      <c r="Q172" s="481" t="str">
        <f>IFERROR(VLOOKUP(G172,MODULY_CBA!$B$3:$I$23,6,0),"")</f>
        <v>Inkrement 1</v>
      </c>
      <c r="R172" s="383"/>
      <c r="S172" s="383"/>
      <c r="T172" s="383"/>
      <c r="U172" s="383"/>
      <c r="V172" s="383"/>
      <c r="W172" s="383"/>
      <c r="X172" s="383"/>
      <c r="Y172" s="383"/>
      <c r="Z172" s="383"/>
      <c r="AA172" s="383"/>
      <c r="AB172" s="383"/>
      <c r="AC172" s="383"/>
      <c r="AD172" s="383"/>
      <c r="AE172" s="383"/>
      <c r="AF172" s="376"/>
    </row>
    <row r="173" spans="1:32" ht="60" x14ac:dyDescent="0.2">
      <c r="A173" s="403" t="s">
        <v>3680</v>
      </c>
      <c r="B173" s="403" t="s">
        <v>1159</v>
      </c>
      <c r="C173" s="534" t="s">
        <v>1499</v>
      </c>
      <c r="D173" s="391" t="s">
        <v>1500</v>
      </c>
      <c r="E173" s="391" t="s">
        <v>1501</v>
      </c>
      <c r="F173" s="387" t="s">
        <v>1163</v>
      </c>
      <c r="G173" s="384" t="s">
        <v>830</v>
      </c>
      <c r="H173" s="653"/>
      <c r="I173" s="653"/>
      <c r="J173" s="381">
        <f t="shared" si="16"/>
        <v>0</v>
      </c>
      <c r="K173" s="381">
        <f t="shared" si="17"/>
        <v>0</v>
      </c>
      <c r="L173" s="647">
        <f>IFERROR(IF(B173="funkcna poziadavka",VLOOKUP(G173,MODULY_CBA!$B$3:$E$23,4,0)*H173/SUMIFS($H$3:$H$197,$G$3:$G$197,G173,$B$3:$B$197,B173),),)</f>
        <v>0</v>
      </c>
      <c r="M173" s="381">
        <f>IFERROR(IF(B173="Funkcna poziadavka",VLOOKUP(G173,MODULY_CBA!$B$3:$E$23,3,0),),)</f>
        <v>0</v>
      </c>
      <c r="N173" s="381">
        <f>IFERROR(IF(B173="funkcna poziadavka",VLOOKUP(G173,MODULY_CBA!$B$3:$E$23,2,0),),)</f>
        <v>0</v>
      </c>
      <c r="O173" s="380">
        <f t="shared" si="18"/>
        <v>0</v>
      </c>
      <c r="P173" s="379">
        <f>IFERROR(O173*VLOOKUP(G173,MODULY_CBA!$B$3:$F$23,5,0),)</f>
        <v>0</v>
      </c>
      <c r="Q173" s="481" t="str">
        <f>IFERROR(VLOOKUP(G173,MODULY_CBA!$B$3:$I$23,6,0),"")</f>
        <v>Inkrement 1</v>
      </c>
      <c r="R173" s="383"/>
      <c r="S173" s="383"/>
      <c r="T173" s="383"/>
      <c r="U173" s="383"/>
      <c r="V173" s="383"/>
      <c r="W173" s="383"/>
      <c r="X173" s="383"/>
      <c r="Y173" s="383"/>
      <c r="Z173" s="383"/>
      <c r="AA173" s="383"/>
      <c r="AB173" s="383"/>
      <c r="AC173" s="383"/>
      <c r="AD173" s="383"/>
      <c r="AE173" s="383"/>
      <c r="AF173" s="376"/>
    </row>
    <row r="174" spans="1:32" ht="30" x14ac:dyDescent="0.2">
      <c r="A174" s="403" t="s">
        <v>3681</v>
      </c>
      <c r="B174" s="403" t="s">
        <v>724</v>
      </c>
      <c r="C174" s="534" t="s">
        <v>1502</v>
      </c>
      <c r="D174" s="536" t="s">
        <v>1503</v>
      </c>
      <c r="E174" s="391" t="s">
        <v>1504</v>
      </c>
      <c r="F174" s="387" t="s">
        <v>1163</v>
      </c>
      <c r="G174" s="384" t="s">
        <v>830</v>
      </c>
      <c r="H174" s="653">
        <v>1</v>
      </c>
      <c r="I174" s="653">
        <v>10</v>
      </c>
      <c r="J174" s="381">
        <f t="shared" si="16"/>
        <v>1</v>
      </c>
      <c r="K174" s="381">
        <f t="shared" si="17"/>
        <v>10</v>
      </c>
      <c r="L174" s="647">
        <f>IFERROR(IF(B174="funkcna poziadavka",VLOOKUP(G174,MODULY_CBA!$B$3:$E$23,4,0)*H174/SUMIFS($H$3:$H$197,$G$3:$G$197,G174,$B$3:$B$197,B174),),)</f>
        <v>0.63636363636363635</v>
      </c>
      <c r="M174" s="381">
        <f>IFERROR(IF(B174="Funkcna poziadavka",VLOOKUP(G174,MODULY_CBA!$B$3:$E$23,3,0),),)</f>
        <v>0.76999999999999991</v>
      </c>
      <c r="N174" s="381">
        <f>IFERROR(IF(B174="funkcna poziadavka",VLOOKUP(G174,MODULY_CBA!$B$3:$E$23,2,0),),)</f>
        <v>1.01</v>
      </c>
      <c r="O174" s="380">
        <f t="shared" si="18"/>
        <v>8.2718999999999987</v>
      </c>
      <c r="P174" s="379">
        <f>IFERROR(O174*VLOOKUP(G174,MODULY_CBA!$B$3:$F$23,5,0),)</f>
        <v>165.43799999999999</v>
      </c>
      <c r="Q174" s="481" t="str">
        <f>IFERROR(VLOOKUP(G174,MODULY_CBA!$B$3:$I$23,6,0),"")</f>
        <v>Inkrement 1</v>
      </c>
      <c r="R174" s="383"/>
      <c r="S174" s="383"/>
      <c r="T174" s="383"/>
      <c r="U174" s="383"/>
      <c r="V174" s="383"/>
      <c r="W174" s="383"/>
      <c r="X174" s="383"/>
      <c r="Y174" s="383"/>
      <c r="Z174" s="383"/>
      <c r="AA174" s="383"/>
      <c r="AB174" s="383"/>
      <c r="AC174" s="383"/>
      <c r="AD174" s="383"/>
      <c r="AE174" s="383"/>
      <c r="AF174" s="376"/>
    </row>
    <row r="175" spans="1:32" ht="75" x14ac:dyDescent="0.2">
      <c r="A175" s="403" t="s">
        <v>3682</v>
      </c>
      <c r="B175" s="403" t="s">
        <v>724</v>
      </c>
      <c r="C175" s="534" t="s">
        <v>1505</v>
      </c>
      <c r="D175" s="534" t="s">
        <v>1506</v>
      </c>
      <c r="E175" s="391" t="s">
        <v>1507</v>
      </c>
      <c r="F175" s="387" t="s">
        <v>1163</v>
      </c>
      <c r="G175" s="384" t="s">
        <v>830</v>
      </c>
      <c r="H175" s="653">
        <v>1</v>
      </c>
      <c r="I175" s="653">
        <v>5</v>
      </c>
      <c r="J175" s="381">
        <f t="shared" si="16"/>
        <v>1</v>
      </c>
      <c r="K175" s="381">
        <f t="shared" si="17"/>
        <v>5</v>
      </c>
      <c r="L175" s="647">
        <f>IFERROR(IF(B175="funkcna poziadavka",VLOOKUP(G175,MODULY_CBA!$B$3:$E$23,4,0)*H175/SUMIFS($H$3:$H$197,$G$3:$G$197,G175,$B$3:$B$197,B175),),)</f>
        <v>0.63636363636363635</v>
      </c>
      <c r="M175" s="381">
        <f>IFERROR(IF(B175="Funkcna poziadavka",VLOOKUP(G175,MODULY_CBA!$B$3:$E$23,3,0),),)</f>
        <v>0.76999999999999991</v>
      </c>
      <c r="N175" s="381">
        <f>IFERROR(IF(B175="funkcna poziadavka",VLOOKUP(G175,MODULY_CBA!$B$3:$E$23,2,0),),)</f>
        <v>1.01</v>
      </c>
      <c r="O175" s="380">
        <f t="shared" si="18"/>
        <v>4.3834</v>
      </c>
      <c r="P175" s="379">
        <f>IFERROR(O175*VLOOKUP(G175,MODULY_CBA!$B$3:$F$23,5,0),)</f>
        <v>87.668000000000006</v>
      </c>
      <c r="Q175" s="481" t="str">
        <f>IFERROR(VLOOKUP(G175,MODULY_CBA!$B$3:$I$23,6,0),"")</f>
        <v>Inkrement 1</v>
      </c>
      <c r="R175" s="383"/>
      <c r="S175" s="383"/>
      <c r="T175" s="383"/>
      <c r="U175" s="383"/>
      <c r="V175" s="383"/>
      <c r="W175" s="383"/>
      <c r="X175" s="383"/>
      <c r="Y175" s="383"/>
      <c r="Z175" s="383"/>
      <c r="AA175" s="383"/>
      <c r="AB175" s="383"/>
      <c r="AC175" s="383"/>
      <c r="AD175" s="383"/>
      <c r="AE175" s="383"/>
      <c r="AF175" s="376"/>
    </row>
    <row r="176" spans="1:32" ht="30" x14ac:dyDescent="0.2">
      <c r="A176" s="403" t="s">
        <v>3683</v>
      </c>
      <c r="B176" s="403" t="s">
        <v>1508</v>
      </c>
      <c r="C176" s="534" t="s">
        <v>1509</v>
      </c>
      <c r="D176" s="534" t="s">
        <v>1510</v>
      </c>
      <c r="E176" s="391" t="s">
        <v>1511</v>
      </c>
      <c r="F176" s="387" t="s">
        <v>1163</v>
      </c>
      <c r="G176" s="384" t="s">
        <v>830</v>
      </c>
      <c r="H176" s="653"/>
      <c r="I176" s="653"/>
      <c r="J176" s="381">
        <f t="shared" si="16"/>
        <v>0</v>
      </c>
      <c r="K176" s="381">
        <f t="shared" si="17"/>
        <v>0</v>
      </c>
      <c r="L176" s="647">
        <f>IFERROR(IF(B176="funkcna poziadavka",VLOOKUP(G176,MODULY_CBA!$B$3:$E$23,4,0)*H176/SUMIFS($H$3:$H$197,$G$3:$G$197,G176,$B$3:$B$197,B176),),)</f>
        <v>0</v>
      </c>
      <c r="M176" s="381">
        <f>IFERROR(IF(B176="Funkcna poziadavka",VLOOKUP(G176,MODULY_CBA!$B$3:$E$23,3,0),),)</f>
        <v>0</v>
      </c>
      <c r="N176" s="381">
        <f>IFERROR(IF(B176="funkcna poziadavka",VLOOKUP(G176,MODULY_CBA!$B$3:$E$23,2,0),),)</f>
        <v>0</v>
      </c>
      <c r="O176" s="380">
        <f t="shared" si="18"/>
        <v>0</v>
      </c>
      <c r="P176" s="379">
        <f>IFERROR(O176*VLOOKUP(G176,MODULY_CBA!$B$3:$F$23,5,0),)</f>
        <v>0</v>
      </c>
      <c r="Q176" s="481" t="str">
        <f>IFERROR(VLOOKUP(G176,MODULY_CBA!$B$3:$I$23,6,0),"")</f>
        <v>Inkrement 1</v>
      </c>
      <c r="R176" s="383"/>
      <c r="S176" s="383"/>
      <c r="T176" s="383"/>
      <c r="U176" s="383"/>
      <c r="V176" s="383"/>
      <c r="W176" s="383"/>
      <c r="X176" s="383"/>
      <c r="Y176" s="383"/>
      <c r="Z176" s="383"/>
      <c r="AA176" s="383"/>
      <c r="AB176" s="383"/>
      <c r="AC176" s="383"/>
      <c r="AD176" s="383"/>
      <c r="AE176" s="383"/>
      <c r="AF176" s="376"/>
    </row>
    <row r="177" spans="1:32" ht="45" x14ac:dyDescent="0.2">
      <c r="A177" s="403" t="s">
        <v>3684</v>
      </c>
      <c r="B177" s="403" t="s">
        <v>1512</v>
      </c>
      <c r="C177" s="534" t="s">
        <v>1513</v>
      </c>
      <c r="D177" s="534" t="s">
        <v>1514</v>
      </c>
      <c r="E177" s="391" t="s">
        <v>1515</v>
      </c>
      <c r="F177" s="387" t="s">
        <v>1163</v>
      </c>
      <c r="G177" s="384" t="s">
        <v>830</v>
      </c>
      <c r="H177" s="653"/>
      <c r="I177" s="653"/>
      <c r="J177" s="381">
        <f t="shared" si="16"/>
        <v>0</v>
      </c>
      <c r="K177" s="381">
        <f t="shared" si="17"/>
        <v>0</v>
      </c>
      <c r="L177" s="647">
        <f>IFERROR(IF(B177="funkcna poziadavka",VLOOKUP(G177,MODULY_CBA!$B$3:$E$23,4,0)*H177/SUMIFS($H$3:$H$197,$G$3:$G$197,G177,$B$3:$B$197,B177),),)</f>
        <v>0</v>
      </c>
      <c r="M177" s="381">
        <f>IFERROR(IF(B177="Funkcna poziadavka",VLOOKUP(G177,MODULY_CBA!$B$3:$E$23,3,0),),)</f>
        <v>0</v>
      </c>
      <c r="N177" s="381">
        <f>IFERROR(IF(B177="funkcna poziadavka",VLOOKUP(G177,MODULY_CBA!$B$3:$E$23,2,0),),)</f>
        <v>0</v>
      </c>
      <c r="O177" s="380">
        <f t="shared" si="18"/>
        <v>0</v>
      </c>
      <c r="P177" s="379">
        <f>IFERROR(O177*VLOOKUP(G177,MODULY_CBA!$B$3:$F$23,5,0),)</f>
        <v>0</v>
      </c>
      <c r="Q177" s="481" t="str">
        <f>IFERROR(VLOOKUP(G177,MODULY_CBA!$B$3:$I$23,6,0),"")</f>
        <v>Inkrement 1</v>
      </c>
      <c r="R177" s="383"/>
      <c r="S177" s="383"/>
      <c r="T177" s="383"/>
      <c r="U177" s="383"/>
      <c r="V177" s="383"/>
      <c r="W177" s="383"/>
      <c r="X177" s="383"/>
      <c r="Y177" s="383"/>
      <c r="Z177" s="383"/>
      <c r="AA177" s="383"/>
      <c r="AB177" s="383"/>
      <c r="AC177" s="383"/>
      <c r="AD177" s="383"/>
      <c r="AE177" s="383"/>
      <c r="AF177" s="376"/>
    </row>
    <row r="178" spans="1:32" ht="30" x14ac:dyDescent="0.2">
      <c r="A178" s="403" t="s">
        <v>3685</v>
      </c>
      <c r="B178" s="403" t="s">
        <v>724</v>
      </c>
      <c r="C178" s="534" t="s">
        <v>1502</v>
      </c>
      <c r="D178" s="534" t="s">
        <v>1516</v>
      </c>
      <c r="E178" s="391" t="s">
        <v>1517</v>
      </c>
      <c r="F178" s="387" t="s">
        <v>1163</v>
      </c>
      <c r="G178" s="384" t="s">
        <v>830</v>
      </c>
      <c r="H178" s="653">
        <v>1</v>
      </c>
      <c r="I178" s="653">
        <v>10</v>
      </c>
      <c r="J178" s="381">
        <f t="shared" si="16"/>
        <v>1</v>
      </c>
      <c r="K178" s="381">
        <f t="shared" si="17"/>
        <v>10</v>
      </c>
      <c r="L178" s="647">
        <f>IFERROR(IF(B178="funkcna poziadavka",VLOOKUP(G178,MODULY_CBA!$B$3:$E$23,4,0)*H178/SUMIFS($H$3:$H$197,$G$3:$G$197,G178,$B$3:$B$197,B178),),)</f>
        <v>0.63636363636363635</v>
      </c>
      <c r="M178" s="381">
        <f>IFERROR(IF(B178="Funkcna poziadavka",VLOOKUP(G178,MODULY_CBA!$B$3:$E$23,3,0),),)</f>
        <v>0.76999999999999991</v>
      </c>
      <c r="N178" s="381">
        <f>IFERROR(IF(B178="funkcna poziadavka",VLOOKUP(G178,MODULY_CBA!$B$3:$E$23,2,0),),)</f>
        <v>1.01</v>
      </c>
      <c r="O178" s="380">
        <f t="shared" si="18"/>
        <v>8.2718999999999987</v>
      </c>
      <c r="P178" s="379">
        <f>IFERROR(O178*VLOOKUP(G178,MODULY_CBA!$B$3:$F$23,5,0),)</f>
        <v>165.43799999999999</v>
      </c>
      <c r="Q178" s="481" t="str">
        <f>IFERROR(VLOOKUP(G178,MODULY_CBA!$B$3:$I$23,6,0),"")</f>
        <v>Inkrement 1</v>
      </c>
      <c r="R178" s="383"/>
      <c r="S178" s="383"/>
      <c r="T178" s="383"/>
      <c r="U178" s="383"/>
      <c r="V178" s="383"/>
      <c r="W178" s="383"/>
      <c r="X178" s="383"/>
      <c r="Y178" s="383"/>
      <c r="Z178" s="383"/>
      <c r="AA178" s="383"/>
      <c r="AB178" s="383"/>
      <c r="AC178" s="383"/>
      <c r="AD178" s="383"/>
      <c r="AE178" s="383"/>
      <c r="AF178" s="376"/>
    </row>
    <row r="179" spans="1:32" ht="30" x14ac:dyDescent="0.2">
      <c r="A179" s="403" t="s">
        <v>3686</v>
      </c>
      <c r="B179" s="403" t="s">
        <v>724</v>
      </c>
      <c r="C179" s="534" t="s">
        <v>1518</v>
      </c>
      <c r="D179" s="534" t="s">
        <v>1519</v>
      </c>
      <c r="E179" s="391" t="s">
        <v>1520</v>
      </c>
      <c r="F179" s="387" t="s">
        <v>1163</v>
      </c>
      <c r="G179" s="384" t="s">
        <v>830</v>
      </c>
      <c r="H179" s="653">
        <v>1</v>
      </c>
      <c r="I179" s="653">
        <v>5</v>
      </c>
      <c r="J179" s="381">
        <f t="shared" si="16"/>
        <v>1</v>
      </c>
      <c r="K179" s="381">
        <f t="shared" si="17"/>
        <v>5</v>
      </c>
      <c r="L179" s="647">
        <f>IFERROR(IF(B179="funkcna poziadavka",VLOOKUP(G179,MODULY_CBA!$B$3:$E$23,4,0)*H179/SUMIFS($H$3:$H$197,$G$3:$G$197,G179,$B$3:$B$197,B179),),)</f>
        <v>0.63636363636363635</v>
      </c>
      <c r="M179" s="381">
        <f>IFERROR(IF(B179="Funkcna poziadavka",VLOOKUP(G179,MODULY_CBA!$B$3:$E$23,3,0),),)</f>
        <v>0.76999999999999991</v>
      </c>
      <c r="N179" s="381">
        <f>IFERROR(IF(B179="funkcna poziadavka",VLOOKUP(G179,MODULY_CBA!$B$3:$E$23,2,0),),)</f>
        <v>1.01</v>
      </c>
      <c r="O179" s="380">
        <f t="shared" si="18"/>
        <v>4.3834</v>
      </c>
      <c r="P179" s="379">
        <f>IFERROR(O179*VLOOKUP(G179,MODULY_CBA!$B$3:$F$23,5,0),)</f>
        <v>87.668000000000006</v>
      </c>
      <c r="Q179" s="481" t="str">
        <f>IFERROR(VLOOKUP(G179,MODULY_CBA!$B$3:$I$23,6,0),"")</f>
        <v>Inkrement 1</v>
      </c>
      <c r="R179" s="383"/>
      <c r="S179" s="383"/>
      <c r="T179" s="383"/>
      <c r="U179" s="383"/>
      <c r="V179" s="383"/>
      <c r="W179" s="383"/>
      <c r="X179" s="383"/>
      <c r="Y179" s="383"/>
      <c r="Z179" s="383"/>
      <c r="AA179" s="383"/>
      <c r="AB179" s="383"/>
      <c r="AC179" s="383"/>
      <c r="AD179" s="383"/>
      <c r="AE179" s="383"/>
      <c r="AF179" s="376"/>
    </row>
    <row r="180" spans="1:32" ht="60" x14ac:dyDescent="0.2">
      <c r="A180" s="403" t="s">
        <v>3687</v>
      </c>
      <c r="B180" s="403" t="s">
        <v>724</v>
      </c>
      <c r="C180" s="534" t="s">
        <v>1505</v>
      </c>
      <c r="D180" s="534" t="s">
        <v>1521</v>
      </c>
      <c r="E180" s="534" t="s">
        <v>1522</v>
      </c>
      <c r="F180" s="387" t="s">
        <v>1163</v>
      </c>
      <c r="G180" s="384" t="s">
        <v>830</v>
      </c>
      <c r="H180" s="653">
        <v>1</v>
      </c>
      <c r="I180" s="653">
        <v>5</v>
      </c>
      <c r="J180" s="381">
        <f t="shared" si="16"/>
        <v>1</v>
      </c>
      <c r="K180" s="381">
        <f t="shared" si="17"/>
        <v>5</v>
      </c>
      <c r="L180" s="647">
        <f>IFERROR(IF(B180="funkcna poziadavka",VLOOKUP(G180,MODULY_CBA!$B$3:$E$23,4,0)*H180/SUMIFS($H$3:$H$197,$G$3:$G$197,G180,$B$3:$B$197,B180),),)</f>
        <v>0.63636363636363635</v>
      </c>
      <c r="M180" s="381">
        <f>IFERROR(IF(B180="Funkcna poziadavka",VLOOKUP(G180,MODULY_CBA!$B$3:$E$23,3,0),),)</f>
        <v>0.76999999999999991</v>
      </c>
      <c r="N180" s="381">
        <f>IFERROR(IF(B180="funkcna poziadavka",VLOOKUP(G180,MODULY_CBA!$B$3:$E$23,2,0),),)</f>
        <v>1.01</v>
      </c>
      <c r="O180" s="380">
        <f t="shared" si="18"/>
        <v>4.3834</v>
      </c>
      <c r="P180" s="379">
        <f>IFERROR(O180*VLOOKUP(G180,MODULY_CBA!$B$3:$F$23,5,0),)</f>
        <v>87.668000000000006</v>
      </c>
      <c r="Q180" s="481" t="str">
        <f>IFERROR(VLOOKUP(G180,MODULY_CBA!$B$3:$I$23,6,0),"")</f>
        <v>Inkrement 1</v>
      </c>
      <c r="R180" s="383"/>
      <c r="S180" s="383"/>
      <c r="T180" s="383"/>
      <c r="U180" s="383"/>
      <c r="V180" s="383"/>
      <c r="W180" s="383"/>
      <c r="X180" s="383"/>
      <c r="Y180" s="383"/>
      <c r="Z180" s="383"/>
      <c r="AA180" s="383"/>
      <c r="AB180" s="383"/>
      <c r="AC180" s="383"/>
      <c r="AD180" s="383"/>
      <c r="AE180" s="383"/>
      <c r="AF180" s="376"/>
    </row>
    <row r="181" spans="1:32" ht="60" x14ac:dyDescent="0.2">
      <c r="A181" s="403" t="s">
        <v>3688</v>
      </c>
      <c r="B181" s="403" t="s">
        <v>1508</v>
      </c>
      <c r="C181" s="534" t="s">
        <v>1523</v>
      </c>
      <c r="D181" s="534" t="s">
        <v>1524</v>
      </c>
      <c r="E181" s="534" t="s">
        <v>1525</v>
      </c>
      <c r="F181" s="387" t="s">
        <v>1163</v>
      </c>
      <c r="G181" s="384" t="s">
        <v>830</v>
      </c>
      <c r="H181" s="653"/>
      <c r="I181" s="653"/>
      <c r="J181" s="381">
        <f t="shared" si="16"/>
        <v>0</v>
      </c>
      <c r="K181" s="381">
        <f t="shared" si="17"/>
        <v>0</v>
      </c>
      <c r="L181" s="647">
        <f>IFERROR(IF(B181="funkcna poziadavka",VLOOKUP(G181,MODULY_CBA!$B$3:$E$23,4,0)*H181/SUMIFS($H$3:$H$197,$G$3:$G$197,G181,$B$3:$B$197,B181),),)</f>
        <v>0</v>
      </c>
      <c r="M181" s="381">
        <f>IFERROR(IF(B181="Funkcna poziadavka",VLOOKUP(G181,MODULY_CBA!$B$3:$E$23,3,0),),)</f>
        <v>0</v>
      </c>
      <c r="N181" s="381">
        <f>IFERROR(IF(B181="funkcna poziadavka",VLOOKUP(G181,MODULY_CBA!$B$3:$E$23,2,0),),)</f>
        <v>0</v>
      </c>
      <c r="O181" s="380">
        <f t="shared" si="18"/>
        <v>0</v>
      </c>
      <c r="P181" s="379">
        <f>IFERROR(O181*VLOOKUP(G181,MODULY_CBA!$B$3:$F$23,5,0),)</f>
        <v>0</v>
      </c>
      <c r="Q181" s="481" t="str">
        <f>IFERROR(VLOOKUP(G181,MODULY_CBA!$B$3:$I$23,6,0),"")</f>
        <v>Inkrement 1</v>
      </c>
      <c r="R181" s="383"/>
      <c r="S181" s="383"/>
      <c r="T181" s="383"/>
      <c r="U181" s="383"/>
      <c r="V181" s="383"/>
      <c r="W181" s="383"/>
      <c r="X181" s="383"/>
      <c r="Y181" s="383"/>
      <c r="Z181" s="383"/>
      <c r="AA181" s="383"/>
      <c r="AB181" s="383"/>
      <c r="AC181" s="383"/>
      <c r="AD181" s="383"/>
      <c r="AE181" s="383"/>
      <c r="AF181" s="376"/>
    </row>
    <row r="182" spans="1:32" ht="75" x14ac:dyDescent="0.2">
      <c r="A182" s="403" t="s">
        <v>3689</v>
      </c>
      <c r="B182" s="403" t="s">
        <v>724</v>
      </c>
      <c r="C182" s="534" t="s">
        <v>1472</v>
      </c>
      <c r="D182" s="534" t="s">
        <v>1526</v>
      </c>
      <c r="E182" s="534" t="s">
        <v>1527</v>
      </c>
      <c r="F182" s="387" t="s">
        <v>1163</v>
      </c>
      <c r="G182" s="384" t="s">
        <v>830</v>
      </c>
      <c r="H182" s="653">
        <v>1</v>
      </c>
      <c r="I182" s="653">
        <v>5</v>
      </c>
      <c r="J182" s="381">
        <f t="shared" si="16"/>
        <v>1</v>
      </c>
      <c r="K182" s="381">
        <f t="shared" si="17"/>
        <v>5</v>
      </c>
      <c r="L182" s="647">
        <f>IFERROR(IF(B182="funkcna poziadavka",VLOOKUP(G182,MODULY_CBA!$B$3:$E$23,4,0)*H182/SUMIFS($H$3:$H$197,$G$3:$G$197,G182,$B$3:$B$197,B182),),)</f>
        <v>0.63636363636363635</v>
      </c>
      <c r="M182" s="381">
        <f>IFERROR(IF(B182="Funkcna poziadavka",VLOOKUP(G182,MODULY_CBA!$B$3:$E$23,3,0),),)</f>
        <v>0.76999999999999991</v>
      </c>
      <c r="N182" s="381">
        <f>IFERROR(IF(B182="funkcna poziadavka",VLOOKUP(G182,MODULY_CBA!$B$3:$E$23,2,0),),)</f>
        <v>1.01</v>
      </c>
      <c r="O182" s="380">
        <f t="shared" si="18"/>
        <v>4.3834</v>
      </c>
      <c r="P182" s="379">
        <f>IFERROR(O182*VLOOKUP(G182,MODULY_CBA!$B$3:$F$23,5,0),)</f>
        <v>87.668000000000006</v>
      </c>
      <c r="Q182" s="481" t="str">
        <f>IFERROR(VLOOKUP(G182,MODULY_CBA!$B$3:$I$23,6,0),"")</f>
        <v>Inkrement 1</v>
      </c>
      <c r="R182" s="383"/>
      <c r="S182" s="383"/>
      <c r="T182" s="383"/>
      <c r="U182" s="383"/>
      <c r="V182" s="383"/>
      <c r="W182" s="383"/>
      <c r="X182" s="383"/>
      <c r="Y182" s="383"/>
      <c r="Z182" s="383"/>
      <c r="AA182" s="383"/>
      <c r="AB182" s="383"/>
      <c r="AC182" s="383"/>
      <c r="AD182" s="383"/>
      <c r="AE182" s="383"/>
      <c r="AF182" s="376"/>
    </row>
    <row r="183" spans="1:32" ht="30" x14ac:dyDescent="0.2">
      <c r="A183" s="403" t="s">
        <v>3690</v>
      </c>
      <c r="B183" s="403" t="s">
        <v>724</v>
      </c>
      <c r="C183" s="534" t="s">
        <v>1528</v>
      </c>
      <c r="D183" s="534" t="s">
        <v>1529</v>
      </c>
      <c r="E183" s="534" t="s">
        <v>1530</v>
      </c>
      <c r="F183" s="387" t="s">
        <v>1163</v>
      </c>
      <c r="G183" s="384" t="s">
        <v>830</v>
      </c>
      <c r="H183" s="653">
        <v>1</v>
      </c>
      <c r="I183" s="653">
        <v>5</v>
      </c>
      <c r="J183" s="381">
        <f t="shared" si="16"/>
        <v>1</v>
      </c>
      <c r="K183" s="381">
        <f t="shared" si="17"/>
        <v>5</v>
      </c>
      <c r="L183" s="647">
        <f>IFERROR(IF(B183="funkcna poziadavka",VLOOKUP(G183,MODULY_CBA!$B$3:$E$23,4,0)*H183/SUMIFS($H$3:$H$197,$G$3:$G$197,G183,$B$3:$B$197,B183),),)</f>
        <v>0.63636363636363635</v>
      </c>
      <c r="M183" s="381">
        <f>IFERROR(IF(B183="Funkcna poziadavka",VLOOKUP(G183,MODULY_CBA!$B$3:$E$23,3,0),),)</f>
        <v>0.76999999999999991</v>
      </c>
      <c r="N183" s="381">
        <f>IFERROR(IF(B183="funkcna poziadavka",VLOOKUP(G183,MODULY_CBA!$B$3:$E$23,2,0),),)</f>
        <v>1.01</v>
      </c>
      <c r="O183" s="380">
        <f t="shared" si="18"/>
        <v>4.3834</v>
      </c>
      <c r="P183" s="379">
        <f>IFERROR(O183*VLOOKUP(G183,MODULY_CBA!$B$3:$F$23,5,0),)</f>
        <v>87.668000000000006</v>
      </c>
      <c r="Q183" s="481" t="str">
        <f>IFERROR(VLOOKUP(G183,MODULY_CBA!$B$3:$I$23,6,0),"")</f>
        <v>Inkrement 1</v>
      </c>
      <c r="R183" s="383"/>
      <c r="S183" s="383"/>
      <c r="T183" s="383"/>
      <c r="U183" s="383"/>
      <c r="V183" s="383"/>
      <c r="W183" s="383"/>
      <c r="X183" s="383"/>
      <c r="Y183" s="383"/>
      <c r="Z183" s="383"/>
      <c r="AA183" s="383"/>
      <c r="AB183" s="383"/>
      <c r="AC183" s="383"/>
      <c r="AD183" s="383"/>
      <c r="AE183" s="383"/>
      <c r="AF183" s="376"/>
    </row>
    <row r="184" spans="1:32" ht="45" x14ac:dyDescent="0.2">
      <c r="A184" s="403" t="s">
        <v>3691</v>
      </c>
      <c r="B184" s="403" t="s">
        <v>724</v>
      </c>
      <c r="C184" s="534" t="s">
        <v>1528</v>
      </c>
      <c r="D184" s="534" t="s">
        <v>1531</v>
      </c>
      <c r="E184" s="534" t="s">
        <v>1532</v>
      </c>
      <c r="F184" s="387" t="s">
        <v>1163</v>
      </c>
      <c r="G184" s="384" t="s">
        <v>830</v>
      </c>
      <c r="H184" s="653">
        <v>1</v>
      </c>
      <c r="I184" s="653">
        <v>5</v>
      </c>
      <c r="J184" s="381">
        <f t="shared" si="16"/>
        <v>1</v>
      </c>
      <c r="K184" s="381">
        <f t="shared" si="17"/>
        <v>5</v>
      </c>
      <c r="L184" s="647">
        <f>IFERROR(IF(B184="funkcna poziadavka",VLOOKUP(G184,MODULY_CBA!$B$3:$E$23,4,0)*H184/SUMIFS($H$3:$H$197,$G$3:$G$197,G184,$B$3:$B$197,B184),),)</f>
        <v>0.63636363636363635</v>
      </c>
      <c r="M184" s="381">
        <f>IFERROR(IF(B184="Funkcna poziadavka",VLOOKUP(G184,MODULY_CBA!$B$3:$E$23,3,0),),)</f>
        <v>0.76999999999999991</v>
      </c>
      <c r="N184" s="381">
        <f>IFERROR(IF(B184="funkcna poziadavka",VLOOKUP(G184,MODULY_CBA!$B$3:$E$23,2,0),),)</f>
        <v>1.01</v>
      </c>
      <c r="O184" s="380">
        <f t="shared" si="18"/>
        <v>4.3834</v>
      </c>
      <c r="P184" s="379">
        <f>IFERROR(O184*VLOOKUP(G184,MODULY_CBA!$B$3:$F$23,5,0),)</f>
        <v>87.668000000000006</v>
      </c>
      <c r="Q184" s="481" t="str">
        <f>IFERROR(VLOOKUP(G184,MODULY_CBA!$B$3:$I$23,6,0),"")</f>
        <v>Inkrement 1</v>
      </c>
      <c r="R184" s="383"/>
      <c r="S184" s="383"/>
      <c r="T184" s="383"/>
      <c r="U184" s="383"/>
      <c r="V184" s="383"/>
      <c r="W184" s="383"/>
      <c r="X184" s="383"/>
      <c r="Y184" s="383"/>
      <c r="Z184" s="383"/>
      <c r="AA184" s="383"/>
      <c r="AB184" s="383"/>
      <c r="AC184" s="383"/>
      <c r="AD184" s="383"/>
      <c r="AE184" s="383"/>
      <c r="AF184" s="376"/>
    </row>
    <row r="185" spans="1:32" ht="30" x14ac:dyDescent="0.2">
      <c r="A185" s="403" t="s">
        <v>3692</v>
      </c>
      <c r="B185" s="403" t="s">
        <v>724</v>
      </c>
      <c r="C185" s="534" t="s">
        <v>1533</v>
      </c>
      <c r="D185" s="534" t="s">
        <v>1534</v>
      </c>
      <c r="E185" s="534" t="s">
        <v>1535</v>
      </c>
      <c r="F185" s="387" t="s">
        <v>1163</v>
      </c>
      <c r="G185" s="384" t="s">
        <v>830</v>
      </c>
      <c r="H185" s="653">
        <v>1</v>
      </c>
      <c r="I185" s="653">
        <v>5</v>
      </c>
      <c r="J185" s="381">
        <f t="shared" si="16"/>
        <v>1</v>
      </c>
      <c r="K185" s="381">
        <f t="shared" si="17"/>
        <v>5</v>
      </c>
      <c r="L185" s="647">
        <f>IFERROR(IF(B185="funkcna poziadavka",VLOOKUP(G185,MODULY_CBA!$B$3:$E$23,4,0)*H185/SUMIFS($H$3:$H$197,$G$3:$G$197,G185,$B$3:$B$197,B185),),)</f>
        <v>0.63636363636363635</v>
      </c>
      <c r="M185" s="381">
        <f>IFERROR(IF(B185="Funkcna poziadavka",VLOOKUP(G185,MODULY_CBA!$B$3:$E$23,3,0),),)</f>
        <v>0.76999999999999991</v>
      </c>
      <c r="N185" s="381">
        <f>IFERROR(IF(B185="funkcna poziadavka",VLOOKUP(G185,MODULY_CBA!$B$3:$E$23,2,0),),)</f>
        <v>1.01</v>
      </c>
      <c r="O185" s="380">
        <f t="shared" si="18"/>
        <v>4.3834</v>
      </c>
      <c r="P185" s="379">
        <f>IFERROR(O185*VLOOKUP(G185,MODULY_CBA!$B$3:$F$23,5,0),)</f>
        <v>87.668000000000006</v>
      </c>
      <c r="Q185" s="481" t="str">
        <f>IFERROR(VLOOKUP(G185,MODULY_CBA!$B$3:$I$23,6,0),"")</f>
        <v>Inkrement 1</v>
      </c>
      <c r="R185" s="383"/>
      <c r="S185" s="383"/>
      <c r="T185" s="383"/>
      <c r="U185" s="383"/>
      <c r="V185" s="383"/>
      <c r="W185" s="383"/>
      <c r="X185" s="383"/>
      <c r="Y185" s="383"/>
      <c r="Z185" s="383"/>
      <c r="AA185" s="383"/>
      <c r="AB185" s="383"/>
      <c r="AC185" s="383"/>
      <c r="AD185" s="383"/>
      <c r="AE185" s="383"/>
      <c r="AF185" s="376"/>
    </row>
    <row r="186" spans="1:32" ht="30" x14ac:dyDescent="0.2">
      <c r="A186" s="403" t="s">
        <v>3693</v>
      </c>
      <c r="B186" s="403" t="s">
        <v>724</v>
      </c>
      <c r="C186" s="534" t="s">
        <v>1496</v>
      </c>
      <c r="D186" s="534" t="s">
        <v>1536</v>
      </c>
      <c r="E186" s="534" t="s">
        <v>1537</v>
      </c>
      <c r="F186" s="387" t="s">
        <v>1163</v>
      </c>
      <c r="G186" s="384" t="s">
        <v>830</v>
      </c>
      <c r="H186" s="653">
        <v>1</v>
      </c>
      <c r="I186" s="653">
        <v>5</v>
      </c>
      <c r="J186" s="381">
        <f t="shared" si="16"/>
        <v>1</v>
      </c>
      <c r="K186" s="381">
        <f t="shared" si="17"/>
        <v>5</v>
      </c>
      <c r="L186" s="647">
        <f>IFERROR(IF(B186="funkcna poziadavka",VLOOKUP(G186,MODULY_CBA!$B$3:$E$23,4,0)*H186/SUMIFS($H$3:$H$197,$G$3:$G$197,G186,$B$3:$B$197,B186),),)</f>
        <v>0.63636363636363635</v>
      </c>
      <c r="M186" s="381">
        <f>IFERROR(IF(B186="Funkcna poziadavka",VLOOKUP(G186,MODULY_CBA!$B$3:$E$23,3,0),),)</f>
        <v>0.76999999999999991</v>
      </c>
      <c r="N186" s="381">
        <f>IFERROR(IF(B186="funkcna poziadavka",VLOOKUP(G186,MODULY_CBA!$B$3:$E$23,2,0),),)</f>
        <v>1.01</v>
      </c>
      <c r="O186" s="380">
        <f t="shared" si="18"/>
        <v>4.3834</v>
      </c>
      <c r="P186" s="379">
        <f>IFERROR(O186*VLOOKUP(G186,MODULY_CBA!$B$3:$F$23,5,0),)</f>
        <v>87.668000000000006</v>
      </c>
      <c r="Q186" s="481" t="str">
        <f>IFERROR(VLOOKUP(G186,MODULY_CBA!$B$3:$I$23,6,0),"")</f>
        <v>Inkrement 1</v>
      </c>
      <c r="R186" s="383"/>
      <c r="S186" s="383"/>
      <c r="T186" s="383"/>
      <c r="U186" s="383"/>
      <c r="V186" s="383"/>
      <c r="W186" s="383"/>
      <c r="X186" s="383"/>
      <c r="Y186" s="383"/>
      <c r="Z186" s="383"/>
      <c r="AA186" s="383"/>
      <c r="AB186" s="383"/>
      <c r="AC186" s="383"/>
      <c r="AD186" s="383"/>
      <c r="AE186" s="383"/>
      <c r="AF186" s="376"/>
    </row>
    <row r="187" spans="1:32" ht="60" x14ac:dyDescent="0.2">
      <c r="A187" s="403" t="s">
        <v>3694</v>
      </c>
      <c r="B187" s="403" t="s">
        <v>724</v>
      </c>
      <c r="C187" s="534" t="s">
        <v>1496</v>
      </c>
      <c r="D187" s="534" t="s">
        <v>1538</v>
      </c>
      <c r="E187" s="534" t="s">
        <v>1539</v>
      </c>
      <c r="F187" s="387" t="s">
        <v>1163</v>
      </c>
      <c r="G187" s="384" t="s">
        <v>830</v>
      </c>
      <c r="H187" s="653">
        <v>1</v>
      </c>
      <c r="I187" s="653">
        <v>5</v>
      </c>
      <c r="J187" s="381">
        <f t="shared" si="16"/>
        <v>1</v>
      </c>
      <c r="K187" s="381">
        <f t="shared" si="17"/>
        <v>5</v>
      </c>
      <c r="L187" s="647">
        <f>IFERROR(IF(B187="funkcna poziadavka",VLOOKUP(G187,MODULY_CBA!$B$3:$E$23,4,0)*H187/SUMIFS($H$3:$H$197,$G$3:$G$197,G187,$B$3:$B$197,B187),),)</f>
        <v>0.63636363636363635</v>
      </c>
      <c r="M187" s="381">
        <f>IFERROR(IF(B187="Funkcna poziadavka",VLOOKUP(G187,MODULY_CBA!$B$3:$E$23,3,0),),)</f>
        <v>0.76999999999999991</v>
      </c>
      <c r="N187" s="381">
        <f>IFERROR(IF(B187="funkcna poziadavka",VLOOKUP(G187,MODULY_CBA!$B$3:$E$23,2,0),),)</f>
        <v>1.01</v>
      </c>
      <c r="O187" s="380">
        <f t="shared" si="18"/>
        <v>4.3834</v>
      </c>
      <c r="P187" s="379">
        <f>IFERROR(O187*VLOOKUP(G187,MODULY_CBA!$B$3:$F$23,5,0),)</f>
        <v>87.668000000000006</v>
      </c>
      <c r="Q187" s="481" t="str">
        <f>IFERROR(VLOOKUP(G187,MODULY_CBA!$B$3:$I$23,6,0),"")</f>
        <v>Inkrement 1</v>
      </c>
      <c r="R187" s="383"/>
      <c r="S187" s="383"/>
      <c r="T187" s="383"/>
      <c r="U187" s="383"/>
      <c r="V187" s="383"/>
      <c r="W187" s="383"/>
      <c r="X187" s="383"/>
      <c r="Y187" s="383"/>
      <c r="Z187" s="383"/>
      <c r="AA187" s="383"/>
      <c r="AB187" s="383"/>
      <c r="AC187" s="383"/>
      <c r="AD187" s="383"/>
      <c r="AE187" s="383"/>
      <c r="AF187" s="376"/>
    </row>
    <row r="188" spans="1:32" ht="45" x14ac:dyDescent="0.2">
      <c r="A188" s="403" t="s">
        <v>3695</v>
      </c>
      <c r="B188" s="403" t="s">
        <v>724</v>
      </c>
      <c r="C188" s="534" t="s">
        <v>1540</v>
      </c>
      <c r="D188" s="534" t="s">
        <v>1541</v>
      </c>
      <c r="E188" s="534" t="s">
        <v>1542</v>
      </c>
      <c r="F188" s="387" t="s">
        <v>1163</v>
      </c>
      <c r="G188" s="384" t="s">
        <v>830</v>
      </c>
      <c r="H188" s="653">
        <v>1</v>
      </c>
      <c r="I188" s="653">
        <v>5</v>
      </c>
      <c r="J188" s="381">
        <f t="shared" si="16"/>
        <v>1</v>
      </c>
      <c r="K188" s="381">
        <f t="shared" si="17"/>
        <v>5</v>
      </c>
      <c r="L188" s="647">
        <f>IFERROR(IF(B188="funkcna poziadavka",VLOOKUP(G188,MODULY_CBA!$B$3:$E$23,4,0)*H188/SUMIFS($H$3:$H$197,$G$3:$G$197,G188,$B$3:$B$197,B188),),)</f>
        <v>0.63636363636363635</v>
      </c>
      <c r="M188" s="381">
        <f>IFERROR(IF(B188="Funkcna poziadavka",VLOOKUP(G188,MODULY_CBA!$B$3:$E$23,3,0),),)</f>
        <v>0.76999999999999991</v>
      </c>
      <c r="N188" s="381">
        <f>IFERROR(IF(B188="funkcna poziadavka",VLOOKUP(G188,MODULY_CBA!$B$3:$E$23,2,0),),)</f>
        <v>1.01</v>
      </c>
      <c r="O188" s="380">
        <f t="shared" si="18"/>
        <v>4.3834</v>
      </c>
      <c r="P188" s="379">
        <f>IFERROR(O188*VLOOKUP(G188,MODULY_CBA!$B$3:$F$23,5,0),)</f>
        <v>87.668000000000006</v>
      </c>
      <c r="Q188" s="481" t="str">
        <f>IFERROR(VLOOKUP(G188,MODULY_CBA!$B$3:$I$23,6,0),"")</f>
        <v>Inkrement 1</v>
      </c>
      <c r="R188" s="383"/>
      <c r="S188" s="383"/>
      <c r="T188" s="383"/>
      <c r="U188" s="383"/>
      <c r="V188" s="383"/>
      <c r="W188" s="383"/>
      <c r="X188" s="383"/>
      <c r="Y188" s="383"/>
      <c r="Z188" s="383"/>
      <c r="AA188" s="383"/>
      <c r="AB188" s="383"/>
      <c r="AC188" s="383"/>
      <c r="AD188" s="383"/>
      <c r="AE188" s="383"/>
      <c r="AF188" s="376"/>
    </row>
    <row r="189" spans="1:32" ht="45" x14ac:dyDescent="0.2">
      <c r="A189" s="403" t="s">
        <v>3696</v>
      </c>
      <c r="B189" s="403" t="s">
        <v>724</v>
      </c>
      <c r="C189" s="534" t="s">
        <v>1540</v>
      </c>
      <c r="D189" s="534" t="s">
        <v>1543</v>
      </c>
      <c r="E189" s="534" t="s">
        <v>1544</v>
      </c>
      <c r="F189" s="387" t="s">
        <v>1163</v>
      </c>
      <c r="G189" s="384" t="s">
        <v>830</v>
      </c>
      <c r="H189" s="653">
        <v>1</v>
      </c>
      <c r="I189" s="653">
        <v>5</v>
      </c>
      <c r="J189" s="381">
        <f t="shared" si="16"/>
        <v>1</v>
      </c>
      <c r="K189" s="381">
        <f t="shared" si="17"/>
        <v>5</v>
      </c>
      <c r="L189" s="647">
        <f>IFERROR(IF(B189="funkcna poziadavka",VLOOKUP(G189,MODULY_CBA!$B$3:$E$23,4,0)*H189/SUMIFS($H$3:$H$197,$G$3:$G$197,G189,$B$3:$B$197,B189),),)</f>
        <v>0.63636363636363635</v>
      </c>
      <c r="M189" s="381">
        <f>IFERROR(IF(B189="Funkcna poziadavka",VLOOKUP(G189,MODULY_CBA!$B$3:$E$23,3,0),),)</f>
        <v>0.76999999999999991</v>
      </c>
      <c r="N189" s="381">
        <f>IFERROR(IF(B189="funkcna poziadavka",VLOOKUP(G189,MODULY_CBA!$B$3:$E$23,2,0),),)</f>
        <v>1.01</v>
      </c>
      <c r="O189" s="380">
        <f t="shared" si="18"/>
        <v>4.3834</v>
      </c>
      <c r="P189" s="379">
        <f>IFERROR(O189*VLOOKUP(G189,MODULY_CBA!$B$3:$F$23,5,0),)</f>
        <v>87.668000000000006</v>
      </c>
      <c r="Q189" s="481" t="str">
        <f>IFERROR(VLOOKUP(G189,MODULY_CBA!$B$3:$I$23,6,0),"")</f>
        <v>Inkrement 1</v>
      </c>
      <c r="R189" s="383"/>
      <c r="S189" s="383"/>
      <c r="T189" s="383"/>
      <c r="U189" s="383"/>
      <c r="V189" s="383"/>
      <c r="W189" s="383"/>
      <c r="X189" s="383"/>
      <c r="Y189" s="383"/>
      <c r="Z189" s="383"/>
      <c r="AA189" s="383"/>
      <c r="AB189" s="383"/>
      <c r="AC189" s="383"/>
      <c r="AD189" s="383"/>
      <c r="AE189" s="383"/>
      <c r="AF189" s="376"/>
    </row>
    <row r="190" spans="1:32" ht="45" x14ac:dyDescent="0.2">
      <c r="A190" s="403" t="s">
        <v>3697</v>
      </c>
      <c r="B190" s="403" t="s">
        <v>724</v>
      </c>
      <c r="C190" s="534" t="s">
        <v>1545</v>
      </c>
      <c r="D190" s="534" t="s">
        <v>1546</v>
      </c>
      <c r="E190" s="534" t="s">
        <v>1547</v>
      </c>
      <c r="F190" s="387" t="s">
        <v>1163</v>
      </c>
      <c r="G190" s="384" t="s">
        <v>830</v>
      </c>
      <c r="H190" s="653">
        <v>1</v>
      </c>
      <c r="I190" s="653">
        <v>5</v>
      </c>
      <c r="J190" s="381">
        <f t="shared" si="16"/>
        <v>1</v>
      </c>
      <c r="K190" s="381">
        <f t="shared" si="17"/>
        <v>5</v>
      </c>
      <c r="L190" s="647">
        <f>IFERROR(IF(B190="funkcna poziadavka",VLOOKUP(G190,MODULY_CBA!$B$3:$E$23,4,0)*H190/SUMIFS($H$3:$H$197,$G$3:$G$197,G190,$B$3:$B$197,B190),),)</f>
        <v>0.63636363636363635</v>
      </c>
      <c r="M190" s="381">
        <f>IFERROR(IF(B190="Funkcna poziadavka",VLOOKUP(G190,MODULY_CBA!$B$3:$E$23,3,0),),)</f>
        <v>0.76999999999999991</v>
      </c>
      <c r="N190" s="381">
        <f>IFERROR(IF(B190="funkcna poziadavka",VLOOKUP(G190,MODULY_CBA!$B$3:$E$23,2,0),),)</f>
        <v>1.01</v>
      </c>
      <c r="O190" s="380">
        <f t="shared" si="18"/>
        <v>4.3834</v>
      </c>
      <c r="P190" s="379">
        <f>IFERROR(O190*VLOOKUP(G190,MODULY_CBA!$B$3:$F$23,5,0),)</f>
        <v>87.668000000000006</v>
      </c>
      <c r="Q190" s="481" t="str">
        <f>IFERROR(VLOOKUP(G190,MODULY_CBA!$B$3:$I$23,6,0),"")</f>
        <v>Inkrement 1</v>
      </c>
      <c r="R190" s="383"/>
      <c r="S190" s="383"/>
      <c r="T190" s="383"/>
      <c r="U190" s="383"/>
      <c r="V190" s="383"/>
      <c r="W190" s="383"/>
      <c r="X190" s="383"/>
      <c r="Y190" s="383"/>
      <c r="Z190" s="383"/>
      <c r="AA190" s="383"/>
      <c r="AB190" s="383"/>
      <c r="AC190" s="383"/>
      <c r="AD190" s="383"/>
      <c r="AE190" s="383"/>
      <c r="AF190" s="376"/>
    </row>
    <row r="191" spans="1:32" ht="45" x14ac:dyDescent="0.2">
      <c r="A191" s="403" t="s">
        <v>3698</v>
      </c>
      <c r="B191" s="403" t="s">
        <v>724</v>
      </c>
      <c r="C191" s="534" t="s">
        <v>1545</v>
      </c>
      <c r="D191" s="534" t="s">
        <v>1548</v>
      </c>
      <c r="E191" s="534" t="s">
        <v>1549</v>
      </c>
      <c r="F191" s="387" t="s">
        <v>1163</v>
      </c>
      <c r="G191" s="384" t="s">
        <v>830</v>
      </c>
      <c r="H191" s="653">
        <v>1</v>
      </c>
      <c r="I191" s="653">
        <v>5</v>
      </c>
      <c r="J191" s="381">
        <f t="shared" si="16"/>
        <v>1</v>
      </c>
      <c r="K191" s="381">
        <f t="shared" si="17"/>
        <v>5</v>
      </c>
      <c r="L191" s="647">
        <f>IFERROR(IF(B191="funkcna poziadavka",VLOOKUP(G191,MODULY_CBA!$B$3:$E$23,4,0)*H191/SUMIFS($H$3:$H$197,$G$3:$G$197,G191,$B$3:$B$197,B191),),)</f>
        <v>0.63636363636363635</v>
      </c>
      <c r="M191" s="381">
        <f>IFERROR(IF(B191="Funkcna poziadavka",VLOOKUP(G191,MODULY_CBA!$B$3:$E$23,3,0),),)</f>
        <v>0.76999999999999991</v>
      </c>
      <c r="N191" s="381">
        <f>IFERROR(IF(B191="funkcna poziadavka",VLOOKUP(G191,MODULY_CBA!$B$3:$E$23,2,0),),)</f>
        <v>1.01</v>
      </c>
      <c r="O191" s="380">
        <f t="shared" si="18"/>
        <v>4.3834</v>
      </c>
      <c r="P191" s="379">
        <f>IFERROR(O191*VLOOKUP(G191,MODULY_CBA!$B$3:$F$23,5,0),)</f>
        <v>87.668000000000006</v>
      </c>
      <c r="Q191" s="481" t="str">
        <f>IFERROR(VLOOKUP(G191,MODULY_CBA!$B$3:$I$23,6,0),"")</f>
        <v>Inkrement 1</v>
      </c>
      <c r="R191" s="383"/>
      <c r="S191" s="383"/>
      <c r="T191" s="383"/>
      <c r="U191" s="383"/>
      <c r="V191" s="383"/>
      <c r="W191" s="383"/>
      <c r="X191" s="383"/>
      <c r="Y191" s="383"/>
      <c r="Z191" s="383"/>
      <c r="AA191" s="383"/>
      <c r="AB191" s="383"/>
      <c r="AC191" s="383"/>
      <c r="AD191" s="383"/>
      <c r="AE191" s="383"/>
      <c r="AF191" s="376"/>
    </row>
    <row r="192" spans="1:32" ht="75" x14ac:dyDescent="0.2">
      <c r="A192" s="403" t="s">
        <v>3699</v>
      </c>
      <c r="B192" s="403" t="s">
        <v>724</v>
      </c>
      <c r="C192" s="534" t="s">
        <v>1545</v>
      </c>
      <c r="D192" s="534" t="s">
        <v>1550</v>
      </c>
      <c r="E192" s="534" t="s">
        <v>1551</v>
      </c>
      <c r="F192" s="387" t="s">
        <v>1163</v>
      </c>
      <c r="G192" s="384" t="s">
        <v>830</v>
      </c>
      <c r="H192" s="653">
        <v>1</v>
      </c>
      <c r="I192" s="653">
        <v>5</v>
      </c>
      <c r="J192" s="381">
        <f t="shared" si="16"/>
        <v>1</v>
      </c>
      <c r="K192" s="381">
        <f t="shared" si="17"/>
        <v>5</v>
      </c>
      <c r="L192" s="647">
        <f>IFERROR(IF(B192="funkcna poziadavka",VLOOKUP(G192,MODULY_CBA!$B$3:$E$23,4,0)*H192/SUMIFS($H$3:$H$197,$G$3:$G$197,G192,$B$3:$B$197,B192),),)</f>
        <v>0.63636363636363635</v>
      </c>
      <c r="M192" s="381">
        <f>IFERROR(IF(B192="Funkcna poziadavka",VLOOKUP(G192,MODULY_CBA!$B$3:$E$23,3,0),),)</f>
        <v>0.76999999999999991</v>
      </c>
      <c r="N192" s="381">
        <f>IFERROR(IF(B192="funkcna poziadavka",VLOOKUP(G192,MODULY_CBA!$B$3:$E$23,2,0),),)</f>
        <v>1.01</v>
      </c>
      <c r="O192" s="380">
        <f t="shared" si="18"/>
        <v>4.3834</v>
      </c>
      <c r="P192" s="379">
        <f>IFERROR(O192*VLOOKUP(G192,MODULY_CBA!$B$3:$F$23,5,0),)</f>
        <v>87.668000000000006</v>
      </c>
      <c r="Q192" s="481" t="str">
        <f>IFERROR(VLOOKUP(G192,MODULY_CBA!$B$3:$I$23,6,0),"")</f>
        <v>Inkrement 1</v>
      </c>
      <c r="R192" s="383"/>
      <c r="S192" s="383"/>
      <c r="T192" s="383"/>
      <c r="U192" s="383"/>
      <c r="V192" s="383"/>
      <c r="W192" s="383"/>
      <c r="X192" s="383"/>
      <c r="Y192" s="383"/>
      <c r="Z192" s="383"/>
      <c r="AA192" s="383"/>
      <c r="AB192" s="383"/>
      <c r="AC192" s="383"/>
      <c r="AD192" s="383"/>
      <c r="AE192" s="383"/>
      <c r="AF192" s="376"/>
    </row>
    <row r="193" spans="1:32" ht="45" x14ac:dyDescent="0.2">
      <c r="A193" s="403" t="s">
        <v>3700</v>
      </c>
      <c r="B193" s="403" t="s">
        <v>724</v>
      </c>
      <c r="C193" s="534" t="s">
        <v>1545</v>
      </c>
      <c r="D193" s="534" t="s">
        <v>1552</v>
      </c>
      <c r="E193" s="534" t="s">
        <v>1553</v>
      </c>
      <c r="F193" s="387" t="s">
        <v>1163</v>
      </c>
      <c r="G193" s="384" t="s">
        <v>830</v>
      </c>
      <c r="H193" s="653">
        <v>1</v>
      </c>
      <c r="I193" s="653">
        <v>5</v>
      </c>
      <c r="J193" s="381">
        <f t="shared" si="16"/>
        <v>1</v>
      </c>
      <c r="K193" s="381">
        <f t="shared" si="17"/>
        <v>5</v>
      </c>
      <c r="L193" s="647">
        <f>IFERROR(IF(B193="funkcna poziadavka",VLOOKUP(G193,MODULY_CBA!$B$3:$E$23,4,0)*H193/SUMIFS($H$3:$H$197,$G$3:$G$197,G193,$B$3:$B$197,B193),),)</f>
        <v>0.63636363636363635</v>
      </c>
      <c r="M193" s="381">
        <f>IFERROR(IF(B193="Funkcna poziadavka",VLOOKUP(G193,MODULY_CBA!$B$3:$E$23,3,0),),)</f>
        <v>0.76999999999999991</v>
      </c>
      <c r="N193" s="381">
        <f>IFERROR(IF(B193="funkcna poziadavka",VLOOKUP(G193,MODULY_CBA!$B$3:$E$23,2,0),),)</f>
        <v>1.01</v>
      </c>
      <c r="O193" s="380">
        <f t="shared" si="18"/>
        <v>4.3834</v>
      </c>
      <c r="P193" s="379">
        <f>IFERROR(O193*VLOOKUP(G193,MODULY_CBA!$B$3:$F$23,5,0),)</f>
        <v>87.668000000000006</v>
      </c>
      <c r="Q193" s="481" t="str">
        <f>IFERROR(VLOOKUP(G193,MODULY_CBA!$B$3:$I$23,6,0),"")</f>
        <v>Inkrement 1</v>
      </c>
      <c r="R193" s="383"/>
      <c r="S193" s="383"/>
      <c r="T193" s="383"/>
      <c r="U193" s="383"/>
      <c r="V193" s="383"/>
      <c r="W193" s="383"/>
      <c r="X193" s="383"/>
      <c r="Y193" s="383"/>
      <c r="Z193" s="383"/>
      <c r="AA193" s="383"/>
      <c r="AB193" s="383"/>
      <c r="AC193" s="383"/>
      <c r="AD193" s="383"/>
      <c r="AE193" s="383"/>
      <c r="AF193" s="376"/>
    </row>
    <row r="194" spans="1:32" ht="30" x14ac:dyDescent="0.2">
      <c r="A194" s="403" t="s">
        <v>3701</v>
      </c>
      <c r="B194" s="403" t="s">
        <v>724</v>
      </c>
      <c r="C194" s="534" t="s">
        <v>1545</v>
      </c>
      <c r="D194" s="534" t="s">
        <v>1554</v>
      </c>
      <c r="E194" s="534" t="s">
        <v>1555</v>
      </c>
      <c r="F194" s="387" t="s">
        <v>1163</v>
      </c>
      <c r="G194" s="384" t="s">
        <v>830</v>
      </c>
      <c r="H194" s="653">
        <v>1</v>
      </c>
      <c r="I194" s="653">
        <v>5</v>
      </c>
      <c r="J194" s="381">
        <f t="shared" si="16"/>
        <v>1</v>
      </c>
      <c r="K194" s="381">
        <f t="shared" si="17"/>
        <v>5</v>
      </c>
      <c r="L194" s="647">
        <f>IFERROR(IF(B194="funkcna poziadavka",VLOOKUP(G194,MODULY_CBA!$B$3:$E$23,4,0)*H194/SUMIFS($H$3:$H$197,$G$3:$G$197,G194,$B$3:$B$197,B194),),)</f>
        <v>0.63636363636363635</v>
      </c>
      <c r="M194" s="381">
        <f>IFERROR(IF(B194="Funkcna poziadavka",VLOOKUP(G194,MODULY_CBA!$B$3:$E$23,3,0),),)</f>
        <v>0.76999999999999991</v>
      </c>
      <c r="N194" s="381">
        <f>IFERROR(IF(B194="funkcna poziadavka",VLOOKUP(G194,MODULY_CBA!$B$3:$E$23,2,0),),)</f>
        <v>1.01</v>
      </c>
      <c r="O194" s="380">
        <f t="shared" si="18"/>
        <v>4.3834</v>
      </c>
      <c r="P194" s="379">
        <f>IFERROR(O194*VLOOKUP(G194,MODULY_CBA!$B$3:$F$23,5,0),)</f>
        <v>87.668000000000006</v>
      </c>
      <c r="Q194" s="481" t="str">
        <f>IFERROR(VLOOKUP(G194,MODULY_CBA!$B$3:$I$23,6,0),"")</f>
        <v>Inkrement 1</v>
      </c>
      <c r="R194" s="383"/>
      <c r="S194" s="383"/>
      <c r="T194" s="383"/>
      <c r="U194" s="383"/>
      <c r="V194" s="383"/>
      <c r="W194" s="383"/>
      <c r="X194" s="383"/>
      <c r="Y194" s="383"/>
      <c r="Z194" s="383"/>
      <c r="AA194" s="383"/>
      <c r="AB194" s="383"/>
      <c r="AC194" s="383"/>
      <c r="AD194" s="383"/>
      <c r="AE194" s="383"/>
      <c r="AF194" s="376"/>
    </row>
    <row r="195" spans="1:32" ht="45" x14ac:dyDescent="0.2">
      <c r="A195" s="403" t="s">
        <v>3702</v>
      </c>
      <c r="B195" s="403" t="s">
        <v>724</v>
      </c>
      <c r="C195" s="534" t="s">
        <v>1545</v>
      </c>
      <c r="D195" s="534" t="s">
        <v>1556</v>
      </c>
      <c r="E195" s="534" t="s">
        <v>1557</v>
      </c>
      <c r="F195" s="387" t="s">
        <v>1163</v>
      </c>
      <c r="G195" s="384" t="s">
        <v>830</v>
      </c>
      <c r="H195" s="653">
        <v>1</v>
      </c>
      <c r="I195" s="653">
        <v>5</v>
      </c>
      <c r="J195" s="381">
        <f t="shared" si="16"/>
        <v>1</v>
      </c>
      <c r="K195" s="381">
        <f t="shared" si="17"/>
        <v>5</v>
      </c>
      <c r="L195" s="647">
        <f>IFERROR(IF(B195="funkcna poziadavka",VLOOKUP(G195,MODULY_CBA!$B$3:$E$23,4,0)*H195/SUMIFS($H$3:$H$197,$G$3:$G$197,G195,$B$3:$B$197,B195),),)</f>
        <v>0.63636363636363635</v>
      </c>
      <c r="M195" s="381">
        <f>IFERROR(IF(B195="Funkcna poziadavka",VLOOKUP(G195,MODULY_CBA!$B$3:$E$23,3,0),),)</f>
        <v>0.76999999999999991</v>
      </c>
      <c r="N195" s="381">
        <f>IFERROR(IF(B195="funkcna poziadavka",VLOOKUP(G195,MODULY_CBA!$B$3:$E$23,2,0),),)</f>
        <v>1.01</v>
      </c>
      <c r="O195" s="380">
        <f t="shared" si="18"/>
        <v>4.3834</v>
      </c>
      <c r="P195" s="379">
        <f>IFERROR(O195*VLOOKUP(G195,MODULY_CBA!$B$3:$F$23,5,0),)</f>
        <v>87.668000000000006</v>
      </c>
      <c r="Q195" s="481" t="str">
        <f>IFERROR(VLOOKUP(G195,MODULY_CBA!$B$3:$I$23,6,0),"")</f>
        <v>Inkrement 1</v>
      </c>
      <c r="R195" s="383"/>
      <c r="S195" s="383"/>
      <c r="T195" s="383"/>
      <c r="U195" s="383"/>
      <c r="V195" s="383"/>
      <c r="W195" s="383"/>
      <c r="X195" s="383"/>
      <c r="Y195" s="383"/>
      <c r="Z195" s="383"/>
      <c r="AA195" s="383"/>
      <c r="AB195" s="383"/>
      <c r="AC195" s="383"/>
      <c r="AD195" s="383"/>
      <c r="AE195" s="383"/>
      <c r="AF195" s="376"/>
    </row>
    <row r="196" spans="1:32" ht="30" x14ac:dyDescent="0.2">
      <c r="A196" s="403" t="s">
        <v>3703</v>
      </c>
      <c r="B196" s="403" t="s">
        <v>724</v>
      </c>
      <c r="C196" s="534" t="s">
        <v>1545</v>
      </c>
      <c r="D196" s="534" t="s">
        <v>1558</v>
      </c>
      <c r="E196" s="534" t="s">
        <v>1559</v>
      </c>
      <c r="F196" s="387" t="s">
        <v>1163</v>
      </c>
      <c r="G196" s="384" t="s">
        <v>830</v>
      </c>
      <c r="H196" s="653">
        <v>1</v>
      </c>
      <c r="I196" s="653">
        <v>5</v>
      </c>
      <c r="J196" s="381">
        <f t="shared" si="16"/>
        <v>1</v>
      </c>
      <c r="K196" s="381">
        <f t="shared" si="17"/>
        <v>5</v>
      </c>
      <c r="L196" s="647">
        <f>IFERROR(IF(B196="funkcna poziadavka",VLOOKUP(G196,MODULY_CBA!$B$3:$E$23,4,0)*H196/SUMIFS($H$3:$H$197,$G$3:$G$197,G196,$B$3:$B$197,B196),),)</f>
        <v>0.63636363636363635</v>
      </c>
      <c r="M196" s="381">
        <f>IFERROR(IF(B196="Funkcna poziadavka",VLOOKUP(G196,MODULY_CBA!$B$3:$E$23,3,0),),)</f>
        <v>0.76999999999999991</v>
      </c>
      <c r="N196" s="381">
        <f>IFERROR(IF(B196="funkcna poziadavka",VLOOKUP(G196,MODULY_CBA!$B$3:$E$23,2,0),),)</f>
        <v>1.01</v>
      </c>
      <c r="O196" s="380">
        <f t="shared" si="18"/>
        <v>4.3834</v>
      </c>
      <c r="P196" s="379">
        <f>IFERROR(O196*VLOOKUP(G196,MODULY_CBA!$B$3:$F$23,5,0),)</f>
        <v>87.668000000000006</v>
      </c>
      <c r="Q196" s="481" t="str">
        <f>IFERROR(VLOOKUP(G196,MODULY_CBA!$B$3:$I$23,6,0),"")</f>
        <v>Inkrement 1</v>
      </c>
      <c r="R196" s="383"/>
      <c r="S196" s="383"/>
      <c r="T196" s="383"/>
      <c r="U196" s="383"/>
      <c r="V196" s="383"/>
      <c r="W196" s="383"/>
      <c r="X196" s="383"/>
      <c r="Y196" s="383"/>
      <c r="Z196" s="383"/>
      <c r="AA196" s="383"/>
      <c r="AB196" s="383"/>
      <c r="AC196" s="383"/>
      <c r="AD196" s="383"/>
      <c r="AE196" s="383"/>
      <c r="AF196" s="376"/>
    </row>
    <row r="197" spans="1:32" ht="75" x14ac:dyDescent="0.2">
      <c r="A197" s="403" t="s">
        <v>3704</v>
      </c>
      <c r="B197" s="403" t="s">
        <v>724</v>
      </c>
      <c r="C197" s="534" t="s">
        <v>1560</v>
      </c>
      <c r="D197" s="534" t="s">
        <v>1561</v>
      </c>
      <c r="E197" s="534" t="s">
        <v>1562</v>
      </c>
      <c r="F197" s="387" t="s">
        <v>1163</v>
      </c>
      <c r="G197" s="384" t="s">
        <v>830</v>
      </c>
      <c r="H197" s="653">
        <v>1</v>
      </c>
      <c r="I197" s="653">
        <v>5</v>
      </c>
      <c r="J197" s="381">
        <f t="shared" si="16"/>
        <v>1</v>
      </c>
      <c r="K197" s="381">
        <f t="shared" si="17"/>
        <v>5</v>
      </c>
      <c r="L197" s="647">
        <f>IFERROR(IF(B197="funkcna poziadavka",VLOOKUP(G197,MODULY_CBA!$B$3:$E$23,4,0)*H197/SUMIFS($H$3:$H$197,$G$3:$G$197,G197,$B$3:$B$197,B197),),)</f>
        <v>0.63636363636363635</v>
      </c>
      <c r="M197" s="381">
        <f>IFERROR(IF(B197="Funkcna poziadavka",VLOOKUP(G197,MODULY_CBA!$B$3:$E$23,3,0),),)</f>
        <v>0.76999999999999991</v>
      </c>
      <c r="N197" s="381">
        <f>IFERROR(IF(B197="funkcna poziadavka",VLOOKUP(G197,MODULY_CBA!$B$3:$E$23,2,0),),)</f>
        <v>1.01</v>
      </c>
      <c r="O197" s="380">
        <f t="shared" si="18"/>
        <v>4.3834</v>
      </c>
      <c r="P197" s="379">
        <f>IFERROR(O197*VLOOKUP(G197,MODULY_CBA!$B$3:$F$23,5,0),)</f>
        <v>87.668000000000006</v>
      </c>
      <c r="Q197" s="481" t="str">
        <f>IFERROR(VLOOKUP(G197,MODULY_CBA!$B$3:$I$23,6,0),"")</f>
        <v>Inkrement 1</v>
      </c>
      <c r="R197" s="383"/>
      <c r="S197" s="383"/>
      <c r="T197" s="383"/>
      <c r="U197" s="383"/>
      <c r="V197" s="383"/>
      <c r="W197" s="383"/>
      <c r="X197" s="383"/>
      <c r="Y197" s="383"/>
      <c r="Z197" s="383"/>
      <c r="AA197" s="383"/>
      <c r="AB197" s="383"/>
      <c r="AC197" s="383"/>
      <c r="AD197" s="383"/>
      <c r="AE197" s="383"/>
      <c r="AF197" s="376"/>
    </row>
    <row r="198" spans="1:32" ht="90" x14ac:dyDescent="0.2">
      <c r="A198" s="403" t="s">
        <v>3705</v>
      </c>
      <c r="B198" s="403" t="s">
        <v>724</v>
      </c>
      <c r="C198" s="534" t="s">
        <v>1560</v>
      </c>
      <c r="D198" s="534" t="s">
        <v>1563</v>
      </c>
      <c r="E198" s="534" t="s">
        <v>1564</v>
      </c>
      <c r="F198" s="387" t="s">
        <v>1163</v>
      </c>
      <c r="G198" s="384" t="s">
        <v>830</v>
      </c>
      <c r="H198" s="653">
        <v>1</v>
      </c>
      <c r="I198" s="653">
        <v>10</v>
      </c>
      <c r="J198" s="381">
        <f t="shared" si="16"/>
        <v>1</v>
      </c>
      <c r="K198" s="381">
        <f t="shared" si="17"/>
        <v>10</v>
      </c>
      <c r="L198" s="647">
        <f>IFERROR(IF(B198="funkcna poziadavka",VLOOKUP(G198,MODULY_CBA!$B$3:$E$23,4,0)*H198/SUMIFS($H$3:$H$197,$G$3:$G$197,G198,$B$3:$B$197,B198),),)</f>
        <v>0.63636363636363635</v>
      </c>
      <c r="M198" s="381">
        <f>IFERROR(IF(B198="Funkcna poziadavka",VLOOKUP(G198,MODULY_CBA!$B$3:$E$23,3,0),),)</f>
        <v>0.76999999999999991</v>
      </c>
      <c r="N198" s="381">
        <f>IFERROR(IF(B198="funkcna poziadavka",VLOOKUP(G198,MODULY_CBA!$B$3:$E$23,2,0),),)</f>
        <v>1.01</v>
      </c>
      <c r="O198" s="380">
        <f t="shared" si="18"/>
        <v>8.2718999999999987</v>
      </c>
      <c r="P198" s="379">
        <f>IFERROR(O198*VLOOKUP(G198,MODULY_CBA!$B$3:$F$23,5,0),)</f>
        <v>165.43799999999999</v>
      </c>
      <c r="Q198" s="481" t="str">
        <f>IFERROR(VLOOKUP(G198,MODULY_CBA!$B$3:$I$23,6,0),"")</f>
        <v>Inkrement 1</v>
      </c>
      <c r="R198" s="383"/>
      <c r="S198" s="383"/>
      <c r="T198" s="383"/>
      <c r="U198" s="383"/>
      <c r="V198" s="383"/>
      <c r="W198" s="383"/>
      <c r="X198" s="383"/>
      <c r="Y198" s="383"/>
      <c r="Z198" s="383"/>
      <c r="AA198" s="383"/>
      <c r="AB198" s="383"/>
      <c r="AC198" s="383"/>
      <c r="AD198" s="383"/>
      <c r="AE198" s="383"/>
      <c r="AF198" s="376"/>
    </row>
    <row r="199" spans="1:32" ht="150" x14ac:dyDescent="0.2">
      <c r="A199" s="403" t="s">
        <v>3706</v>
      </c>
      <c r="B199" s="403" t="s">
        <v>724</v>
      </c>
      <c r="C199" s="534" t="s">
        <v>1565</v>
      </c>
      <c r="D199" s="534" t="s">
        <v>1566</v>
      </c>
      <c r="E199" s="534" t="s">
        <v>1567</v>
      </c>
      <c r="F199" s="387" t="s">
        <v>1163</v>
      </c>
      <c r="G199" s="384" t="s">
        <v>830</v>
      </c>
      <c r="H199" s="653">
        <v>1</v>
      </c>
      <c r="I199" s="653">
        <v>10</v>
      </c>
      <c r="J199" s="381">
        <f t="shared" si="16"/>
        <v>1</v>
      </c>
      <c r="K199" s="381">
        <f t="shared" si="17"/>
        <v>10</v>
      </c>
      <c r="L199" s="647">
        <f>IFERROR(IF(B199="funkcna poziadavka",VLOOKUP(G199,MODULY_CBA!$B$3:$E$23,4,0)*H199/SUMIFS($H$3:$H$197,$G$3:$G$197,G199,$B$3:$B$197,B199),),)</f>
        <v>0.63636363636363635</v>
      </c>
      <c r="M199" s="381">
        <f>IFERROR(IF(B199="Funkcna poziadavka",VLOOKUP(G199,MODULY_CBA!$B$3:$E$23,3,0),),)</f>
        <v>0.76999999999999991</v>
      </c>
      <c r="N199" s="381">
        <f>IFERROR(IF(B199="funkcna poziadavka",VLOOKUP(G199,MODULY_CBA!$B$3:$E$23,2,0),),)</f>
        <v>1.01</v>
      </c>
      <c r="O199" s="380">
        <f t="shared" si="18"/>
        <v>8.2718999999999987</v>
      </c>
      <c r="P199" s="379">
        <f>IFERROR(O199*VLOOKUP(G199,MODULY_CBA!$B$3:$F$23,5,0),)</f>
        <v>165.43799999999999</v>
      </c>
      <c r="Q199" s="481" t="str">
        <f>IFERROR(VLOOKUP(G199,MODULY_CBA!$B$3:$I$23,6,0),"")</f>
        <v>Inkrement 1</v>
      </c>
      <c r="R199" s="383"/>
      <c r="S199" s="383"/>
      <c r="T199" s="383"/>
      <c r="U199" s="383"/>
      <c r="V199" s="383"/>
      <c r="W199" s="383"/>
      <c r="X199" s="383"/>
      <c r="Y199" s="383"/>
      <c r="Z199" s="383"/>
      <c r="AA199" s="383"/>
      <c r="AB199" s="383"/>
      <c r="AC199" s="383"/>
      <c r="AD199" s="383"/>
      <c r="AE199" s="383"/>
      <c r="AF199" s="376"/>
    </row>
    <row r="200" spans="1:32" ht="195" x14ac:dyDescent="0.2">
      <c r="A200" s="403" t="s">
        <v>3707</v>
      </c>
      <c r="B200" s="403" t="s">
        <v>724</v>
      </c>
      <c r="C200" s="534" t="s">
        <v>1568</v>
      </c>
      <c r="D200" s="534" t="s">
        <v>1569</v>
      </c>
      <c r="E200" s="391" t="s">
        <v>1570</v>
      </c>
      <c r="F200" s="387" t="s">
        <v>1163</v>
      </c>
      <c r="G200" s="384" t="s">
        <v>830</v>
      </c>
      <c r="H200" s="653">
        <v>1</v>
      </c>
      <c r="I200" s="653">
        <v>10</v>
      </c>
      <c r="J200" s="381">
        <f t="shared" si="16"/>
        <v>1</v>
      </c>
      <c r="K200" s="381">
        <f t="shared" si="17"/>
        <v>10</v>
      </c>
      <c r="L200" s="647">
        <f>IFERROR(IF(B200="funkcna poziadavka",VLOOKUP(G200,MODULY_CBA!$B$3:$E$23,4,0)*H200/SUMIFS($H$3:$H$197,$G$3:$G$197,G200,$B$3:$B$197,B200),),)</f>
        <v>0.63636363636363635</v>
      </c>
      <c r="M200" s="381">
        <f>IFERROR(IF(B200="Funkcna poziadavka",VLOOKUP(G200,MODULY_CBA!$B$3:$E$23,3,0),),)</f>
        <v>0.76999999999999991</v>
      </c>
      <c r="N200" s="381">
        <f>IFERROR(IF(B200="funkcna poziadavka",VLOOKUP(G200,MODULY_CBA!$B$3:$E$23,2,0),),)</f>
        <v>1.01</v>
      </c>
      <c r="O200" s="380">
        <f t="shared" si="18"/>
        <v>8.2718999999999987</v>
      </c>
      <c r="P200" s="379">
        <f>IFERROR(O200*VLOOKUP(G200,MODULY_CBA!$B$3:$F$23,5,0),)</f>
        <v>165.43799999999999</v>
      </c>
      <c r="Q200" s="481" t="str">
        <f>IFERROR(VLOOKUP(G200,MODULY_CBA!$B$3:$I$23,6,0),"")</f>
        <v>Inkrement 1</v>
      </c>
      <c r="R200" s="383"/>
      <c r="S200" s="383"/>
      <c r="T200" s="383"/>
      <c r="U200" s="383"/>
      <c r="V200" s="383"/>
      <c r="W200" s="383"/>
      <c r="X200" s="383"/>
      <c r="Y200" s="383"/>
      <c r="Z200" s="383"/>
      <c r="AA200" s="383"/>
      <c r="AB200" s="383"/>
      <c r="AC200" s="383"/>
      <c r="AD200" s="383"/>
      <c r="AE200" s="383"/>
      <c r="AF200" s="376"/>
    </row>
    <row r="201" spans="1:32" ht="90" x14ac:dyDescent="0.2">
      <c r="A201" s="403" t="s">
        <v>3708</v>
      </c>
      <c r="B201" s="403" t="s">
        <v>724</v>
      </c>
      <c r="C201" s="534" t="s">
        <v>1568</v>
      </c>
      <c r="D201" s="534" t="s">
        <v>1571</v>
      </c>
      <c r="E201" s="391" t="s">
        <v>1572</v>
      </c>
      <c r="F201" s="387" t="s">
        <v>1163</v>
      </c>
      <c r="G201" s="384" t="s">
        <v>830</v>
      </c>
      <c r="H201" s="653">
        <v>1</v>
      </c>
      <c r="I201" s="653">
        <v>10</v>
      </c>
      <c r="J201" s="381">
        <f t="shared" si="16"/>
        <v>1</v>
      </c>
      <c r="K201" s="381">
        <f t="shared" si="17"/>
        <v>10</v>
      </c>
      <c r="L201" s="647">
        <f>IFERROR(IF(B201="funkcna poziadavka",VLOOKUP(G201,MODULY_CBA!$B$3:$E$23,4,0)*H201/SUMIFS($H$3:$H$197,$G$3:$G$197,G201,$B$3:$B$197,B201),),)</f>
        <v>0.63636363636363635</v>
      </c>
      <c r="M201" s="381">
        <f>IFERROR(IF(B201="Funkcna poziadavka",VLOOKUP(G201,MODULY_CBA!$B$3:$E$23,3,0),),)</f>
        <v>0.76999999999999991</v>
      </c>
      <c r="N201" s="381">
        <f>IFERROR(IF(B201="funkcna poziadavka",VLOOKUP(G201,MODULY_CBA!$B$3:$E$23,2,0),),)</f>
        <v>1.01</v>
      </c>
      <c r="O201" s="380">
        <f t="shared" si="18"/>
        <v>8.2718999999999987</v>
      </c>
      <c r="P201" s="379">
        <f>IFERROR(O201*VLOOKUP(G201,MODULY_CBA!$B$3:$F$23,5,0),)</f>
        <v>165.43799999999999</v>
      </c>
      <c r="Q201" s="481" t="str">
        <f>IFERROR(VLOOKUP(G201,MODULY_CBA!$B$3:$I$23,6,0),"")</f>
        <v>Inkrement 1</v>
      </c>
      <c r="R201" s="383"/>
      <c r="S201" s="383"/>
      <c r="T201" s="383"/>
      <c r="U201" s="383"/>
      <c r="V201" s="383"/>
      <c r="W201" s="383"/>
      <c r="X201" s="383"/>
      <c r="Y201" s="383"/>
      <c r="Z201" s="383"/>
      <c r="AA201" s="383"/>
      <c r="AB201" s="383"/>
      <c r="AC201" s="383"/>
      <c r="AD201" s="383"/>
      <c r="AE201" s="383"/>
      <c r="AF201" s="376"/>
    </row>
    <row r="202" spans="1:32" ht="60" x14ac:dyDescent="0.2">
      <c r="A202" s="403" t="s">
        <v>3709</v>
      </c>
      <c r="B202" s="403" t="s">
        <v>724</v>
      </c>
      <c r="C202" s="534" t="s">
        <v>1573</v>
      </c>
      <c r="D202" s="534" t="s">
        <v>1574</v>
      </c>
      <c r="E202" s="534" t="s">
        <v>1575</v>
      </c>
      <c r="F202" s="387" t="s">
        <v>1163</v>
      </c>
      <c r="G202" s="384" t="s">
        <v>830</v>
      </c>
      <c r="H202" s="653">
        <v>1</v>
      </c>
      <c r="I202" s="653">
        <v>5</v>
      </c>
      <c r="J202" s="381">
        <f t="shared" si="16"/>
        <v>1</v>
      </c>
      <c r="K202" s="381">
        <f t="shared" si="17"/>
        <v>5</v>
      </c>
      <c r="L202" s="647">
        <f>IFERROR(IF(B202="funkcna poziadavka",VLOOKUP(G202,MODULY_CBA!$B$3:$E$23,4,0)*H202/SUMIFS($H$3:$H$197,$G$3:$G$197,G202,$B$3:$B$197,B202),),)</f>
        <v>0.63636363636363635</v>
      </c>
      <c r="M202" s="381">
        <f>IFERROR(IF(B202="Funkcna poziadavka",VLOOKUP(G202,MODULY_CBA!$B$3:$E$23,3,0),),)</f>
        <v>0.76999999999999991</v>
      </c>
      <c r="N202" s="381">
        <f>IFERROR(IF(B202="funkcna poziadavka",VLOOKUP(G202,MODULY_CBA!$B$3:$E$23,2,0),),)</f>
        <v>1.01</v>
      </c>
      <c r="O202" s="380">
        <f t="shared" si="18"/>
        <v>4.3834</v>
      </c>
      <c r="P202" s="379">
        <f>IFERROR(O202*VLOOKUP(G202,MODULY_CBA!$B$3:$F$23,5,0),)</f>
        <v>87.668000000000006</v>
      </c>
      <c r="Q202" s="481" t="str">
        <f>IFERROR(VLOOKUP(G202,MODULY_CBA!$B$3:$I$23,6,0),"")</f>
        <v>Inkrement 1</v>
      </c>
      <c r="R202" s="383"/>
      <c r="S202" s="383"/>
      <c r="T202" s="383"/>
      <c r="U202" s="383"/>
      <c r="V202" s="383"/>
      <c r="W202" s="383"/>
      <c r="X202" s="383"/>
      <c r="Y202" s="383"/>
      <c r="Z202" s="383"/>
      <c r="AA202" s="383"/>
      <c r="AB202" s="383"/>
      <c r="AC202" s="383"/>
      <c r="AD202" s="383"/>
      <c r="AE202" s="383"/>
      <c r="AF202" s="376"/>
    </row>
    <row r="203" spans="1:32" ht="45" x14ac:dyDescent="0.2">
      <c r="A203" s="403" t="s">
        <v>3710</v>
      </c>
      <c r="B203" s="403" t="s">
        <v>724</v>
      </c>
      <c r="C203" s="534" t="s">
        <v>1573</v>
      </c>
      <c r="D203" s="534" t="s">
        <v>1576</v>
      </c>
      <c r="E203" s="391" t="s">
        <v>1577</v>
      </c>
      <c r="F203" s="387" t="s">
        <v>1163</v>
      </c>
      <c r="G203" s="384" t="s">
        <v>830</v>
      </c>
      <c r="H203" s="653">
        <v>1</v>
      </c>
      <c r="I203" s="653">
        <v>5</v>
      </c>
      <c r="J203" s="381">
        <f t="shared" si="16"/>
        <v>1</v>
      </c>
      <c r="K203" s="381">
        <f t="shared" si="17"/>
        <v>5</v>
      </c>
      <c r="L203" s="647">
        <f>IFERROR(IF(B203="funkcna poziadavka",VLOOKUP(G203,MODULY_CBA!$B$3:$E$23,4,0)*H203/SUMIFS($H$3:$H$197,$G$3:$G$197,G203,$B$3:$B$197,B203),),)</f>
        <v>0.63636363636363635</v>
      </c>
      <c r="M203" s="381">
        <f>IFERROR(IF(B203="Funkcna poziadavka",VLOOKUP(G203,MODULY_CBA!$B$3:$E$23,3,0),),)</f>
        <v>0.76999999999999991</v>
      </c>
      <c r="N203" s="381">
        <f>IFERROR(IF(B203="funkcna poziadavka",VLOOKUP(G203,MODULY_CBA!$B$3:$E$23,2,0),),)</f>
        <v>1.01</v>
      </c>
      <c r="O203" s="380">
        <f t="shared" si="18"/>
        <v>4.3834</v>
      </c>
      <c r="P203" s="379">
        <f>IFERROR(O203*VLOOKUP(G203,MODULY_CBA!$B$3:$F$23,5,0),)</f>
        <v>87.668000000000006</v>
      </c>
      <c r="Q203" s="481" t="str">
        <f>IFERROR(VLOOKUP(G203,MODULY_CBA!$B$3:$I$23,6,0),"")</f>
        <v>Inkrement 1</v>
      </c>
      <c r="R203" s="383"/>
      <c r="S203" s="383"/>
      <c r="T203" s="383"/>
      <c r="U203" s="383"/>
      <c r="V203" s="383"/>
      <c r="W203" s="383"/>
      <c r="X203" s="383"/>
      <c r="Y203" s="383"/>
      <c r="Z203" s="383"/>
      <c r="AA203" s="383"/>
      <c r="AB203" s="383"/>
      <c r="AC203" s="383"/>
      <c r="AD203" s="383"/>
      <c r="AE203" s="383"/>
      <c r="AF203" s="376"/>
    </row>
    <row r="204" spans="1:32" ht="45" x14ac:dyDescent="0.2">
      <c r="A204" s="403" t="s">
        <v>3711</v>
      </c>
      <c r="B204" s="403" t="s">
        <v>724</v>
      </c>
      <c r="C204" s="534" t="s">
        <v>1573</v>
      </c>
      <c r="D204" s="537" t="s">
        <v>1578</v>
      </c>
      <c r="E204" s="391" t="s">
        <v>1579</v>
      </c>
      <c r="F204" s="387" t="s">
        <v>1163</v>
      </c>
      <c r="G204" s="384" t="s">
        <v>830</v>
      </c>
      <c r="H204" s="653">
        <v>1</v>
      </c>
      <c r="I204" s="653">
        <v>5</v>
      </c>
      <c r="J204" s="381">
        <f t="shared" si="16"/>
        <v>1</v>
      </c>
      <c r="K204" s="381">
        <f t="shared" si="17"/>
        <v>5</v>
      </c>
      <c r="L204" s="647">
        <f>IFERROR(IF(B204="funkcna poziadavka",VLOOKUP(G204,MODULY_CBA!$B$3:$E$23,4,0)*H204/SUMIFS($H$3:$H$197,$G$3:$G$197,G204,$B$3:$B$197,B204),),)</f>
        <v>0.63636363636363635</v>
      </c>
      <c r="M204" s="381">
        <f>IFERROR(IF(B204="Funkcna poziadavka",VLOOKUP(G204,MODULY_CBA!$B$3:$E$23,3,0),),)</f>
        <v>0.76999999999999991</v>
      </c>
      <c r="N204" s="381">
        <f>IFERROR(IF(B204="funkcna poziadavka",VLOOKUP(G204,MODULY_CBA!$B$3:$E$23,2,0),),)</f>
        <v>1.01</v>
      </c>
      <c r="O204" s="380">
        <f t="shared" si="18"/>
        <v>4.3834</v>
      </c>
      <c r="P204" s="379">
        <f>IFERROR(O204*VLOOKUP(G204,MODULY_CBA!$B$3:$F$23,5,0),)</f>
        <v>87.668000000000006</v>
      </c>
      <c r="Q204" s="481" t="str">
        <f>IFERROR(VLOOKUP(G204,MODULY_CBA!$B$3:$I$23,6,0),"")</f>
        <v>Inkrement 1</v>
      </c>
      <c r="R204" s="383"/>
      <c r="S204" s="383"/>
      <c r="T204" s="383"/>
      <c r="U204" s="383"/>
      <c r="V204" s="383"/>
      <c r="W204" s="383"/>
      <c r="X204" s="383"/>
      <c r="Y204" s="383"/>
      <c r="Z204" s="383"/>
      <c r="AA204" s="383"/>
      <c r="AB204" s="383"/>
      <c r="AC204" s="383"/>
      <c r="AD204" s="383"/>
      <c r="AE204" s="383"/>
      <c r="AF204" s="376"/>
    </row>
    <row r="205" spans="1:32" ht="90" x14ac:dyDescent="0.2">
      <c r="A205" s="403" t="s">
        <v>3712</v>
      </c>
      <c r="B205" s="403" t="s">
        <v>724</v>
      </c>
      <c r="C205" s="534" t="s">
        <v>1573</v>
      </c>
      <c r="D205" s="534" t="s">
        <v>1580</v>
      </c>
      <c r="E205" s="391" t="s">
        <v>1581</v>
      </c>
      <c r="F205" s="387" t="s">
        <v>1163</v>
      </c>
      <c r="G205" s="384" t="s">
        <v>830</v>
      </c>
      <c r="H205" s="653">
        <v>1</v>
      </c>
      <c r="I205" s="653">
        <v>10</v>
      </c>
      <c r="J205" s="381">
        <f t="shared" si="16"/>
        <v>1</v>
      </c>
      <c r="K205" s="381">
        <f t="shared" si="17"/>
        <v>10</v>
      </c>
      <c r="L205" s="647">
        <f>IFERROR(IF(B205="funkcna poziadavka",VLOOKUP(G205,MODULY_CBA!$B$3:$E$23,4,0)*H205/SUMIFS($H$3:$H$197,$G$3:$G$197,G205,$B$3:$B$197,B205),),)</f>
        <v>0.63636363636363635</v>
      </c>
      <c r="M205" s="381">
        <f>IFERROR(IF(B205="Funkcna poziadavka",VLOOKUP(G205,MODULY_CBA!$B$3:$E$23,3,0),),)</f>
        <v>0.76999999999999991</v>
      </c>
      <c r="N205" s="381">
        <f>IFERROR(IF(B205="funkcna poziadavka",VLOOKUP(G205,MODULY_CBA!$B$3:$E$23,2,0),),)</f>
        <v>1.01</v>
      </c>
      <c r="O205" s="380">
        <f t="shared" si="18"/>
        <v>8.2718999999999987</v>
      </c>
      <c r="P205" s="379">
        <f>IFERROR(O205*VLOOKUP(G205,MODULY_CBA!$B$3:$F$23,5,0),)</f>
        <v>165.43799999999999</v>
      </c>
      <c r="Q205" s="481" t="str">
        <f>IFERROR(VLOOKUP(G205,MODULY_CBA!$B$3:$I$23,6,0),"")</f>
        <v>Inkrement 1</v>
      </c>
      <c r="R205" s="383"/>
      <c r="S205" s="383"/>
      <c r="T205" s="383"/>
      <c r="U205" s="383"/>
      <c r="V205" s="383"/>
      <c r="W205" s="383"/>
      <c r="X205" s="383"/>
      <c r="Y205" s="383"/>
      <c r="Z205" s="383"/>
      <c r="AA205" s="383"/>
      <c r="AB205" s="383"/>
      <c r="AC205" s="383"/>
      <c r="AD205" s="383"/>
      <c r="AE205" s="383"/>
      <c r="AF205" s="376"/>
    </row>
    <row r="206" spans="1:32" ht="60" x14ac:dyDescent="0.2">
      <c r="A206" s="403" t="s">
        <v>3713</v>
      </c>
      <c r="B206" s="403" t="s">
        <v>724</v>
      </c>
      <c r="C206" s="534" t="s">
        <v>1573</v>
      </c>
      <c r="D206" s="534" t="s">
        <v>1582</v>
      </c>
      <c r="E206" s="391" t="s">
        <v>1583</v>
      </c>
      <c r="F206" s="387" t="s">
        <v>1163</v>
      </c>
      <c r="G206" s="384" t="s">
        <v>830</v>
      </c>
      <c r="H206" s="653">
        <v>1</v>
      </c>
      <c r="I206" s="653">
        <v>5</v>
      </c>
      <c r="J206" s="381">
        <f t="shared" si="16"/>
        <v>1</v>
      </c>
      <c r="K206" s="381">
        <f t="shared" si="17"/>
        <v>5</v>
      </c>
      <c r="L206" s="647">
        <f>IFERROR(IF(B206="funkcna poziadavka",VLOOKUP(G206,MODULY_CBA!$B$3:$E$23,4,0)*H206/SUMIFS($H$3:$H$197,$G$3:$G$197,G206,$B$3:$B$197,B206),),)</f>
        <v>0.63636363636363635</v>
      </c>
      <c r="M206" s="381">
        <f>IFERROR(IF(B206="Funkcna poziadavka",VLOOKUP(G206,MODULY_CBA!$B$3:$E$23,3,0),),)</f>
        <v>0.76999999999999991</v>
      </c>
      <c r="N206" s="381">
        <f>IFERROR(IF(B206="funkcna poziadavka",VLOOKUP(G206,MODULY_CBA!$B$3:$E$23,2,0),),)</f>
        <v>1.01</v>
      </c>
      <c r="O206" s="380">
        <f t="shared" si="18"/>
        <v>4.3834</v>
      </c>
      <c r="P206" s="379">
        <f>IFERROR(O206*VLOOKUP(G206,MODULY_CBA!$B$3:$F$23,5,0),)</f>
        <v>87.668000000000006</v>
      </c>
      <c r="Q206" s="481" t="str">
        <f>IFERROR(VLOOKUP(G206,MODULY_CBA!$B$3:$I$23,6,0),"")</f>
        <v>Inkrement 1</v>
      </c>
      <c r="R206" s="383"/>
      <c r="S206" s="383"/>
      <c r="T206" s="383"/>
      <c r="U206" s="383"/>
      <c r="V206" s="383"/>
      <c r="W206" s="383"/>
      <c r="X206" s="383"/>
      <c r="Y206" s="383"/>
      <c r="Z206" s="383"/>
      <c r="AA206" s="383"/>
      <c r="AB206" s="383"/>
      <c r="AC206" s="383"/>
      <c r="AD206" s="383"/>
      <c r="AE206" s="383"/>
      <c r="AF206" s="376"/>
    </row>
    <row r="207" spans="1:32" ht="45" x14ac:dyDescent="0.2">
      <c r="A207" s="403" t="s">
        <v>3714</v>
      </c>
      <c r="B207" s="403" t="s">
        <v>724</v>
      </c>
      <c r="C207" s="534" t="s">
        <v>1584</v>
      </c>
      <c r="D207" s="534" t="s">
        <v>1585</v>
      </c>
      <c r="E207" s="391" t="s">
        <v>1586</v>
      </c>
      <c r="F207" s="387" t="s">
        <v>1163</v>
      </c>
      <c r="G207" s="384" t="s">
        <v>830</v>
      </c>
      <c r="H207" s="653">
        <v>1</v>
      </c>
      <c r="I207" s="653">
        <v>5</v>
      </c>
      <c r="J207" s="381">
        <f t="shared" si="16"/>
        <v>1</v>
      </c>
      <c r="K207" s="381">
        <f t="shared" si="17"/>
        <v>5</v>
      </c>
      <c r="L207" s="647">
        <f>IFERROR(IF(B207="funkcna poziadavka",VLOOKUP(G207,MODULY_CBA!$B$3:$E$23,4,0)*H207/SUMIFS($H$3:$H$197,$G$3:$G$197,G207,$B$3:$B$197,B207),),)</f>
        <v>0.63636363636363635</v>
      </c>
      <c r="M207" s="381">
        <f>IFERROR(IF(B207="Funkcna poziadavka",VLOOKUP(G207,MODULY_CBA!$B$3:$E$23,3,0),),)</f>
        <v>0.76999999999999991</v>
      </c>
      <c r="N207" s="381">
        <f>IFERROR(IF(B207="funkcna poziadavka",VLOOKUP(G207,MODULY_CBA!$B$3:$E$23,2,0),),)</f>
        <v>1.01</v>
      </c>
      <c r="O207" s="380">
        <f t="shared" si="18"/>
        <v>4.3834</v>
      </c>
      <c r="P207" s="379">
        <f>IFERROR(O207*VLOOKUP(G207,MODULY_CBA!$B$3:$F$23,5,0),)</f>
        <v>87.668000000000006</v>
      </c>
      <c r="Q207" s="481" t="str">
        <f>IFERROR(VLOOKUP(G207,MODULY_CBA!$B$3:$I$23,6,0),"")</f>
        <v>Inkrement 1</v>
      </c>
      <c r="R207" s="383"/>
      <c r="S207" s="383"/>
      <c r="T207" s="383"/>
      <c r="U207" s="383"/>
      <c r="V207" s="383"/>
      <c r="W207" s="383"/>
      <c r="X207" s="383"/>
      <c r="Y207" s="383"/>
      <c r="Z207" s="383"/>
      <c r="AA207" s="383"/>
      <c r="AB207" s="383"/>
      <c r="AC207" s="383"/>
      <c r="AD207" s="383"/>
      <c r="AE207" s="383"/>
      <c r="AF207" s="376"/>
    </row>
    <row r="208" spans="1:32" ht="45" x14ac:dyDescent="0.2">
      <c r="A208" s="403" t="s">
        <v>3715</v>
      </c>
      <c r="B208" s="403" t="s">
        <v>1185</v>
      </c>
      <c r="C208" s="534" t="s">
        <v>1587</v>
      </c>
      <c r="D208" s="537" t="s">
        <v>1588</v>
      </c>
      <c r="E208" s="391" t="s">
        <v>1589</v>
      </c>
      <c r="F208" s="387" t="s">
        <v>1163</v>
      </c>
      <c r="G208" s="384" t="s">
        <v>830</v>
      </c>
      <c r="H208" s="653"/>
      <c r="I208" s="653"/>
      <c r="J208" s="381">
        <f t="shared" si="16"/>
        <v>0</v>
      </c>
      <c r="K208" s="381">
        <f t="shared" si="17"/>
        <v>0</v>
      </c>
      <c r="L208" s="647">
        <f>IFERROR(IF(B208="funkcna poziadavka",VLOOKUP(G208,MODULY_CBA!$B$3:$E$23,4,0)*H208/SUMIFS($H$3:$H$197,$G$3:$G$197,G208,$B$3:$B$197,B208),),)</f>
        <v>0</v>
      </c>
      <c r="M208" s="381">
        <f>IFERROR(IF(B208="Funkcna poziadavka",VLOOKUP(G208,MODULY_CBA!$B$3:$E$23,3,0),),)</f>
        <v>0</v>
      </c>
      <c r="N208" s="381">
        <f>IFERROR(IF(B208="funkcna poziadavka",VLOOKUP(G208,MODULY_CBA!$B$3:$E$23,2,0),),)</f>
        <v>0</v>
      </c>
      <c r="O208" s="380">
        <f t="shared" si="18"/>
        <v>0</v>
      </c>
      <c r="P208" s="379">
        <f>IFERROR(O208*VLOOKUP(G208,MODULY_CBA!$B$3:$F$23,5,0),)</f>
        <v>0</v>
      </c>
      <c r="Q208" s="481" t="str">
        <f>IFERROR(VLOOKUP(G208,MODULY_CBA!$B$3:$I$23,6,0),"")</f>
        <v>Inkrement 1</v>
      </c>
      <c r="R208" s="383"/>
      <c r="S208" s="383"/>
      <c r="T208" s="383"/>
      <c r="U208" s="383"/>
      <c r="V208" s="383"/>
      <c r="W208" s="383"/>
      <c r="X208" s="383"/>
      <c r="Y208" s="383"/>
      <c r="Z208" s="383"/>
      <c r="AA208" s="383"/>
      <c r="AB208" s="383"/>
      <c r="AC208" s="383"/>
      <c r="AD208" s="383"/>
      <c r="AE208" s="383"/>
      <c r="AF208" s="376"/>
    </row>
    <row r="209" spans="1:32" ht="30" x14ac:dyDescent="0.2">
      <c r="A209" s="403" t="s">
        <v>3716</v>
      </c>
      <c r="B209" s="403" t="s">
        <v>1159</v>
      </c>
      <c r="C209" s="534" t="s">
        <v>1590</v>
      </c>
      <c r="D209" s="534" t="s">
        <v>1591</v>
      </c>
      <c r="E209" s="391" t="s">
        <v>1592</v>
      </c>
      <c r="F209" s="387" t="s">
        <v>1163</v>
      </c>
      <c r="G209" s="384" t="s">
        <v>830</v>
      </c>
      <c r="H209" s="653"/>
      <c r="I209" s="653"/>
      <c r="J209" s="381">
        <f t="shared" si="16"/>
        <v>0</v>
      </c>
      <c r="K209" s="381">
        <f t="shared" si="17"/>
        <v>0</v>
      </c>
      <c r="L209" s="647">
        <f>IFERROR(IF(B209="funkcna poziadavka",VLOOKUP(G209,MODULY_CBA!$B$3:$E$23,4,0)*H209/SUMIFS($H$3:$H$197,$G$3:$G$197,G209,$B$3:$B$197,B209),),)</f>
        <v>0</v>
      </c>
      <c r="M209" s="381">
        <f>IFERROR(IF(B209="Funkcna poziadavka",VLOOKUP(G209,MODULY_CBA!$B$3:$E$23,3,0),),)</f>
        <v>0</v>
      </c>
      <c r="N209" s="381">
        <f>IFERROR(IF(B209="funkcna poziadavka",VLOOKUP(G209,MODULY_CBA!$B$3:$E$23,2,0),),)</f>
        <v>0</v>
      </c>
      <c r="O209" s="380">
        <f t="shared" si="18"/>
        <v>0</v>
      </c>
      <c r="P209" s="379">
        <f>IFERROR(O209*VLOOKUP(G209,MODULY_CBA!$B$3:$F$23,5,0),)</f>
        <v>0</v>
      </c>
      <c r="Q209" s="481" t="str">
        <f>IFERROR(VLOOKUP(G209,MODULY_CBA!$B$3:$I$23,6,0),"")</f>
        <v>Inkrement 1</v>
      </c>
      <c r="R209" s="383"/>
      <c r="S209" s="383"/>
      <c r="T209" s="383"/>
      <c r="U209" s="383"/>
      <c r="V209" s="383"/>
      <c r="W209" s="383"/>
      <c r="X209" s="383"/>
      <c r="Y209" s="383"/>
      <c r="Z209" s="383"/>
      <c r="AA209" s="383"/>
      <c r="AB209" s="383"/>
      <c r="AC209" s="383"/>
      <c r="AD209" s="383"/>
      <c r="AE209" s="383"/>
      <c r="AF209" s="376"/>
    </row>
    <row r="210" spans="1:32" ht="15" x14ac:dyDescent="0.2">
      <c r="A210" s="403" t="s">
        <v>3717</v>
      </c>
      <c r="B210" s="403" t="s">
        <v>1159</v>
      </c>
      <c r="C210" s="534" t="s">
        <v>1590</v>
      </c>
      <c r="D210" s="534" t="s">
        <v>1593</v>
      </c>
      <c r="E210" s="391" t="s">
        <v>1594</v>
      </c>
      <c r="F210" s="387" t="s">
        <v>1163</v>
      </c>
      <c r="G210" s="384" t="s">
        <v>830</v>
      </c>
      <c r="H210" s="653"/>
      <c r="I210" s="653"/>
      <c r="J210" s="381">
        <f t="shared" si="16"/>
        <v>0</v>
      </c>
      <c r="K210" s="381">
        <f t="shared" si="17"/>
        <v>0</v>
      </c>
      <c r="L210" s="647">
        <f>IFERROR(IF(B210="funkcna poziadavka",VLOOKUP(G210,MODULY_CBA!$B$3:$E$23,4,0)*H210/SUMIFS($H$3:$H$197,$G$3:$G$197,G210,$B$3:$B$197,B210),),)</f>
        <v>0</v>
      </c>
      <c r="M210" s="381">
        <f>IFERROR(IF(B210="Funkcna poziadavka",VLOOKUP(G210,MODULY_CBA!$B$3:$E$23,3,0),),)</f>
        <v>0</v>
      </c>
      <c r="N210" s="381">
        <f>IFERROR(IF(B210="funkcna poziadavka",VLOOKUP(G210,MODULY_CBA!$B$3:$E$23,2,0),),)</f>
        <v>0</v>
      </c>
      <c r="O210" s="380">
        <f t="shared" si="18"/>
        <v>0</v>
      </c>
      <c r="P210" s="379">
        <f>IFERROR(O210*VLOOKUP(G210,MODULY_CBA!$B$3:$F$23,5,0),)</f>
        <v>0</v>
      </c>
      <c r="Q210" s="481" t="str">
        <f>IFERROR(VLOOKUP(G210,MODULY_CBA!$B$3:$I$23,6,0),"")</f>
        <v>Inkrement 1</v>
      </c>
      <c r="R210" s="383"/>
      <c r="S210" s="383"/>
      <c r="T210" s="383"/>
      <c r="U210" s="383"/>
      <c r="V210" s="383"/>
      <c r="W210" s="383"/>
      <c r="X210" s="383"/>
      <c r="Y210" s="383"/>
      <c r="Z210" s="383"/>
      <c r="AA210" s="383"/>
      <c r="AB210" s="383"/>
      <c r="AC210" s="383"/>
      <c r="AD210" s="383"/>
      <c r="AE210" s="383"/>
      <c r="AF210" s="376"/>
    </row>
    <row r="211" spans="1:32" ht="240" x14ac:dyDescent="0.2">
      <c r="A211" s="403" t="s">
        <v>3718</v>
      </c>
      <c r="B211" s="403" t="s">
        <v>724</v>
      </c>
      <c r="C211" s="534" t="s">
        <v>1160</v>
      </c>
      <c r="D211" s="391" t="s">
        <v>1161</v>
      </c>
      <c r="E211" s="391" t="s">
        <v>1595</v>
      </c>
      <c r="F211" s="391" t="s">
        <v>1163</v>
      </c>
      <c r="G211" s="384" t="s">
        <v>840</v>
      </c>
      <c r="H211" s="653">
        <v>1</v>
      </c>
      <c r="I211" s="653">
        <v>10</v>
      </c>
      <c r="J211" s="381">
        <f t="shared" si="16"/>
        <v>1</v>
      </c>
      <c r="K211" s="381">
        <f t="shared" si="17"/>
        <v>10</v>
      </c>
      <c r="L211" s="647">
        <f>IFERROR(IF(B211="funkcna poziadavka",VLOOKUP(G211,MODULY_CBA!$B$3:$E$23,4,0)*H211/SUMIFS($H$3:$H$197,$G$3:$G$197,G211,$B$3:$B$197,B211),),)</f>
        <v>0</v>
      </c>
      <c r="M211" s="381">
        <f>IFERROR(IF(B211="Funkcna poziadavka",VLOOKUP(G211,MODULY_CBA!$B$3:$E$23,3,0),),)</f>
        <v>0.76999999999999991</v>
      </c>
      <c r="N211" s="381">
        <f>IFERROR(IF(B211="funkcna poziadavka",VLOOKUP(G211,MODULY_CBA!$B$3:$E$23,2,0),),)</f>
        <v>1.01</v>
      </c>
      <c r="O211" s="380">
        <f t="shared" si="18"/>
        <v>7.7769999999999992</v>
      </c>
      <c r="P211" s="379">
        <f>IFERROR(O211*VLOOKUP(G211,MODULY_CBA!$B$3:$F$23,5,0),)</f>
        <v>155.54</v>
      </c>
      <c r="Q211" s="481" t="str">
        <f>IFERROR(VLOOKUP(G211,MODULY_CBA!$B$3:$I$23,6,0),"")</f>
        <v>Inkrement 1</v>
      </c>
      <c r="R211" s="383"/>
      <c r="S211" s="383"/>
      <c r="T211" s="383"/>
      <c r="U211" s="383"/>
      <c r="V211" s="383"/>
      <c r="W211" s="383"/>
      <c r="X211" s="383"/>
      <c r="Y211" s="383"/>
      <c r="Z211" s="383"/>
      <c r="AA211" s="383"/>
      <c r="AB211" s="383"/>
      <c r="AC211" s="383"/>
      <c r="AD211" s="383"/>
      <c r="AE211" s="383"/>
      <c r="AF211" s="376"/>
    </row>
    <row r="212" spans="1:32" ht="135" x14ac:dyDescent="0.2">
      <c r="A212" s="403" t="s">
        <v>3719</v>
      </c>
      <c r="B212" s="403" t="s">
        <v>724</v>
      </c>
      <c r="C212" s="534" t="s">
        <v>1160</v>
      </c>
      <c r="D212" s="391" t="s">
        <v>1161</v>
      </c>
      <c r="E212" s="391" t="s">
        <v>1596</v>
      </c>
      <c r="F212" s="391" t="s">
        <v>1163</v>
      </c>
      <c r="G212" s="384" t="s">
        <v>840</v>
      </c>
      <c r="H212" s="653">
        <v>1</v>
      </c>
      <c r="I212" s="653">
        <v>5</v>
      </c>
      <c r="J212" s="381">
        <f t="shared" si="16"/>
        <v>1</v>
      </c>
      <c r="K212" s="381">
        <f t="shared" si="17"/>
        <v>5</v>
      </c>
      <c r="L212" s="647">
        <f>IFERROR(IF(B212="funkcna poziadavka",VLOOKUP(G212,MODULY_CBA!$B$3:$E$23,4,0)*H212/SUMIFS($H$3:$H$197,$G$3:$G$197,G212,$B$3:$B$197,B212),),)</f>
        <v>0</v>
      </c>
      <c r="M212" s="381">
        <f>IFERROR(IF(B212="Funkcna poziadavka",VLOOKUP(G212,MODULY_CBA!$B$3:$E$23,3,0),),)</f>
        <v>0.76999999999999991</v>
      </c>
      <c r="N212" s="381">
        <f>IFERROR(IF(B212="funkcna poziadavka",VLOOKUP(G212,MODULY_CBA!$B$3:$E$23,2,0),),)</f>
        <v>1.01</v>
      </c>
      <c r="O212" s="380">
        <f t="shared" si="18"/>
        <v>3.8884999999999996</v>
      </c>
      <c r="P212" s="379">
        <f>IFERROR(O212*VLOOKUP(G212,MODULY_CBA!$B$3:$F$23,5,0),)</f>
        <v>77.77</v>
      </c>
      <c r="Q212" s="481" t="str">
        <f>IFERROR(VLOOKUP(G212,MODULY_CBA!$B$3:$I$23,6,0),"")</f>
        <v>Inkrement 1</v>
      </c>
      <c r="R212" s="383"/>
      <c r="S212" s="383"/>
      <c r="T212" s="383"/>
      <c r="U212" s="383"/>
      <c r="V212" s="383"/>
      <c r="W212" s="383"/>
      <c r="X212" s="383"/>
      <c r="Y212" s="383"/>
      <c r="Z212" s="383"/>
      <c r="AA212" s="383"/>
      <c r="AB212" s="383"/>
      <c r="AC212" s="383"/>
      <c r="AD212" s="383"/>
      <c r="AE212" s="383"/>
      <c r="AF212" s="376"/>
    </row>
    <row r="213" spans="1:32" ht="75" x14ac:dyDescent="0.2">
      <c r="A213" s="403" t="s">
        <v>3720</v>
      </c>
      <c r="B213" s="403" t="s">
        <v>724</v>
      </c>
      <c r="C213" s="534" t="s">
        <v>1160</v>
      </c>
      <c r="D213" s="391" t="s">
        <v>1164</v>
      </c>
      <c r="E213" s="391" t="s">
        <v>1597</v>
      </c>
      <c r="F213" s="391" t="s">
        <v>1163</v>
      </c>
      <c r="G213" s="384" t="s">
        <v>840</v>
      </c>
      <c r="H213" s="653">
        <v>1</v>
      </c>
      <c r="I213" s="653">
        <v>5</v>
      </c>
      <c r="J213" s="381">
        <f t="shared" si="16"/>
        <v>1</v>
      </c>
      <c r="K213" s="381">
        <f t="shared" si="17"/>
        <v>5</v>
      </c>
      <c r="L213" s="647">
        <f>IFERROR(IF(B213="funkcna poziadavka",VLOOKUP(G213,MODULY_CBA!$B$3:$E$23,4,0)*H213/SUMIFS($H$3:$H$197,$G$3:$G$197,G213,$B$3:$B$197,B213),),)</f>
        <v>0</v>
      </c>
      <c r="M213" s="381">
        <f>IFERROR(IF(B213="Funkcna poziadavka",VLOOKUP(G213,MODULY_CBA!$B$3:$E$23,3,0),),)</f>
        <v>0.76999999999999991</v>
      </c>
      <c r="N213" s="381">
        <f>IFERROR(IF(B213="funkcna poziadavka",VLOOKUP(G213,MODULY_CBA!$B$3:$E$23,2,0),),)</f>
        <v>1.01</v>
      </c>
      <c r="O213" s="380">
        <f t="shared" si="18"/>
        <v>3.8884999999999996</v>
      </c>
      <c r="P213" s="379">
        <f>IFERROR(O213*VLOOKUP(G213,MODULY_CBA!$B$3:$F$23,5,0),)</f>
        <v>77.77</v>
      </c>
      <c r="Q213" s="481" t="str">
        <f>IFERROR(VLOOKUP(G213,MODULY_CBA!$B$3:$I$23,6,0),"")</f>
        <v>Inkrement 1</v>
      </c>
      <c r="R213" s="383"/>
      <c r="S213" s="383"/>
      <c r="T213" s="383"/>
      <c r="U213" s="383"/>
      <c r="V213" s="383"/>
      <c r="W213" s="383"/>
      <c r="X213" s="383"/>
      <c r="Y213" s="383"/>
      <c r="Z213" s="383"/>
      <c r="AA213" s="383"/>
      <c r="AB213" s="383"/>
      <c r="AC213" s="383"/>
      <c r="AD213" s="383"/>
      <c r="AE213" s="383"/>
      <c r="AF213" s="376"/>
    </row>
    <row r="214" spans="1:32" ht="135" x14ac:dyDescent="0.2">
      <c r="A214" s="403" t="s">
        <v>3721</v>
      </c>
      <c r="B214" s="403" t="s">
        <v>724</v>
      </c>
      <c r="C214" s="534" t="s">
        <v>1166</v>
      </c>
      <c r="D214" s="391" t="s">
        <v>1167</v>
      </c>
      <c r="E214" s="391" t="s">
        <v>1598</v>
      </c>
      <c r="F214" s="391" t="s">
        <v>1163</v>
      </c>
      <c r="G214" s="384" t="s">
        <v>840</v>
      </c>
      <c r="H214" s="653">
        <v>1</v>
      </c>
      <c r="I214" s="653">
        <v>5</v>
      </c>
      <c r="J214" s="381">
        <f t="shared" si="16"/>
        <v>1</v>
      </c>
      <c r="K214" s="381">
        <f t="shared" si="17"/>
        <v>5</v>
      </c>
      <c r="L214" s="647">
        <f>IFERROR(IF(B214="funkcna poziadavka",VLOOKUP(G214,MODULY_CBA!$B$3:$E$23,4,0)*H214/SUMIFS($H$3:$H$197,$G$3:$G$197,G214,$B$3:$B$197,B214),),)</f>
        <v>0</v>
      </c>
      <c r="M214" s="381">
        <f>IFERROR(IF(B214="Funkcna poziadavka",VLOOKUP(G214,MODULY_CBA!$B$3:$E$23,3,0),),)</f>
        <v>0.76999999999999991</v>
      </c>
      <c r="N214" s="381">
        <f>IFERROR(IF(B214="funkcna poziadavka",VLOOKUP(G214,MODULY_CBA!$B$3:$E$23,2,0),),)</f>
        <v>1.01</v>
      </c>
      <c r="O214" s="380">
        <f t="shared" si="18"/>
        <v>3.8884999999999996</v>
      </c>
      <c r="P214" s="379">
        <f>IFERROR(O214*VLOOKUP(G214,MODULY_CBA!$B$3:$F$23,5,0),)</f>
        <v>77.77</v>
      </c>
      <c r="Q214" s="481" t="str">
        <f>IFERROR(VLOOKUP(G214,MODULY_CBA!$B$3:$I$23,6,0),"")</f>
        <v>Inkrement 1</v>
      </c>
      <c r="R214" s="383"/>
      <c r="S214" s="383"/>
      <c r="T214" s="383"/>
      <c r="U214" s="383"/>
      <c r="V214" s="383"/>
      <c r="W214" s="383"/>
      <c r="X214" s="383"/>
      <c r="Y214" s="383"/>
      <c r="Z214" s="383"/>
      <c r="AA214" s="383"/>
      <c r="AB214" s="383"/>
      <c r="AC214" s="383"/>
      <c r="AD214" s="383"/>
      <c r="AE214" s="383"/>
      <c r="AF214" s="376"/>
    </row>
    <row r="215" spans="1:32" ht="240" x14ac:dyDescent="0.2">
      <c r="A215" s="403" t="s">
        <v>3722</v>
      </c>
      <c r="B215" s="403" t="s">
        <v>724</v>
      </c>
      <c r="C215" s="534" t="s">
        <v>1166</v>
      </c>
      <c r="D215" s="391" t="s">
        <v>1167</v>
      </c>
      <c r="E215" s="391" t="s">
        <v>1599</v>
      </c>
      <c r="F215" s="391" t="s">
        <v>1163</v>
      </c>
      <c r="G215" s="384" t="s">
        <v>840</v>
      </c>
      <c r="H215" s="653">
        <v>1</v>
      </c>
      <c r="I215" s="653">
        <v>5</v>
      </c>
      <c r="J215" s="381">
        <f t="shared" si="16"/>
        <v>1</v>
      </c>
      <c r="K215" s="381">
        <f t="shared" si="17"/>
        <v>5</v>
      </c>
      <c r="L215" s="647">
        <f>IFERROR(IF(B215="funkcna poziadavka",VLOOKUP(G215,MODULY_CBA!$B$3:$E$23,4,0)*H215/SUMIFS($H$3:$H$197,$G$3:$G$197,G215,$B$3:$B$197,B215),),)</f>
        <v>0</v>
      </c>
      <c r="M215" s="381">
        <f>IFERROR(IF(B215="Funkcna poziadavka",VLOOKUP(G215,MODULY_CBA!$B$3:$E$23,3,0),),)</f>
        <v>0.76999999999999991</v>
      </c>
      <c r="N215" s="381">
        <f>IFERROR(IF(B215="funkcna poziadavka",VLOOKUP(G215,MODULY_CBA!$B$3:$E$23,2,0),),)</f>
        <v>1.01</v>
      </c>
      <c r="O215" s="380">
        <f t="shared" si="18"/>
        <v>3.8884999999999996</v>
      </c>
      <c r="P215" s="379">
        <f>IFERROR(O215*VLOOKUP(G215,MODULY_CBA!$B$3:$F$23,5,0),)</f>
        <v>77.77</v>
      </c>
      <c r="Q215" s="481" t="str">
        <f>IFERROR(VLOOKUP(G215,MODULY_CBA!$B$3:$I$23,6,0),"")</f>
        <v>Inkrement 1</v>
      </c>
      <c r="R215" s="383"/>
      <c r="S215" s="383"/>
      <c r="T215" s="383"/>
      <c r="U215" s="383"/>
      <c r="V215" s="383"/>
      <c r="W215" s="383"/>
      <c r="X215" s="383"/>
      <c r="Y215" s="383"/>
      <c r="Z215" s="383"/>
      <c r="AA215" s="383"/>
      <c r="AB215" s="383"/>
      <c r="AC215" s="383"/>
      <c r="AD215" s="383"/>
      <c r="AE215" s="383"/>
      <c r="AF215" s="376"/>
    </row>
    <row r="216" spans="1:32" ht="225" x14ac:dyDescent="0.2">
      <c r="A216" s="403" t="s">
        <v>3723</v>
      </c>
      <c r="B216" s="403" t="s">
        <v>724</v>
      </c>
      <c r="C216" s="534" t="s">
        <v>1166</v>
      </c>
      <c r="D216" s="391" t="s">
        <v>1167</v>
      </c>
      <c r="E216" s="391" t="s">
        <v>1600</v>
      </c>
      <c r="F216" s="391" t="s">
        <v>1163</v>
      </c>
      <c r="G216" s="384" t="s">
        <v>840</v>
      </c>
      <c r="H216" s="653">
        <v>1</v>
      </c>
      <c r="I216" s="653">
        <v>5</v>
      </c>
      <c r="J216" s="381">
        <f t="shared" si="16"/>
        <v>1</v>
      </c>
      <c r="K216" s="381">
        <f t="shared" si="17"/>
        <v>5</v>
      </c>
      <c r="L216" s="647">
        <f>IFERROR(IF(B216="funkcna poziadavka",VLOOKUP(G216,MODULY_CBA!$B$3:$E$23,4,0)*H216/SUMIFS($H$3:$H$197,$G$3:$G$197,G216,$B$3:$B$197,B216),),)</f>
        <v>0</v>
      </c>
      <c r="M216" s="381">
        <f>IFERROR(IF(B216="Funkcna poziadavka",VLOOKUP(G216,MODULY_CBA!$B$3:$E$23,3,0),),)</f>
        <v>0.76999999999999991</v>
      </c>
      <c r="N216" s="381">
        <f>IFERROR(IF(B216="funkcna poziadavka",VLOOKUP(G216,MODULY_CBA!$B$3:$E$23,2,0),),)</f>
        <v>1.01</v>
      </c>
      <c r="O216" s="380">
        <f t="shared" si="18"/>
        <v>3.8884999999999996</v>
      </c>
      <c r="P216" s="379">
        <f>IFERROR(O216*VLOOKUP(G216,MODULY_CBA!$B$3:$F$23,5,0),)</f>
        <v>77.77</v>
      </c>
      <c r="Q216" s="481" t="str">
        <f>IFERROR(VLOOKUP(G216,MODULY_CBA!$B$3:$I$23,6,0),"")</f>
        <v>Inkrement 1</v>
      </c>
      <c r="R216" s="383"/>
      <c r="S216" s="383"/>
      <c r="T216" s="383"/>
      <c r="U216" s="383"/>
      <c r="V216" s="383"/>
      <c r="W216" s="383"/>
      <c r="X216" s="383"/>
      <c r="Y216" s="383"/>
      <c r="Z216" s="383"/>
      <c r="AA216" s="383"/>
      <c r="AB216" s="383"/>
      <c r="AC216" s="383"/>
      <c r="AD216" s="383"/>
      <c r="AE216" s="383"/>
      <c r="AF216" s="376"/>
    </row>
    <row r="217" spans="1:32" ht="165" x14ac:dyDescent="0.2">
      <c r="A217" s="403" t="s">
        <v>3724</v>
      </c>
      <c r="B217" s="403" t="s">
        <v>724</v>
      </c>
      <c r="C217" s="534" t="s">
        <v>1166</v>
      </c>
      <c r="D217" s="391" t="s">
        <v>1601</v>
      </c>
      <c r="E217" s="391" t="s">
        <v>1602</v>
      </c>
      <c r="F217" s="391" t="s">
        <v>1163</v>
      </c>
      <c r="G217" s="384" t="s">
        <v>840</v>
      </c>
      <c r="H217" s="653">
        <v>1</v>
      </c>
      <c r="I217" s="653">
        <v>5</v>
      </c>
      <c r="J217" s="381">
        <f t="shared" si="16"/>
        <v>1</v>
      </c>
      <c r="K217" s="381">
        <f t="shared" si="17"/>
        <v>5</v>
      </c>
      <c r="L217" s="647">
        <f>IFERROR(IF(B217="funkcna poziadavka",VLOOKUP(G217,MODULY_CBA!$B$3:$E$23,4,0)*H217/SUMIFS($H$3:$H$197,$G$3:$G$197,G217,$B$3:$B$197,B217),),)</f>
        <v>0</v>
      </c>
      <c r="M217" s="381">
        <f>IFERROR(IF(B217="Funkcna poziadavka",VLOOKUP(G217,MODULY_CBA!$B$3:$E$23,3,0),),)</f>
        <v>0.76999999999999991</v>
      </c>
      <c r="N217" s="381">
        <f>IFERROR(IF(B217="funkcna poziadavka",VLOOKUP(G217,MODULY_CBA!$B$3:$E$23,2,0),),)</f>
        <v>1.01</v>
      </c>
      <c r="O217" s="380">
        <f t="shared" si="18"/>
        <v>3.8884999999999996</v>
      </c>
      <c r="P217" s="379">
        <f>IFERROR(O217*VLOOKUP(G217,MODULY_CBA!$B$3:$F$23,5,0),)</f>
        <v>77.77</v>
      </c>
      <c r="Q217" s="481" t="str">
        <f>IFERROR(VLOOKUP(G217,MODULY_CBA!$B$3:$I$23,6,0),"")</f>
        <v>Inkrement 1</v>
      </c>
      <c r="R217" s="383"/>
      <c r="S217" s="383"/>
      <c r="T217" s="383"/>
      <c r="U217" s="383"/>
      <c r="V217" s="383"/>
      <c r="W217" s="383"/>
      <c r="X217" s="383"/>
      <c r="Y217" s="383"/>
      <c r="Z217" s="383"/>
      <c r="AA217" s="383"/>
      <c r="AB217" s="383"/>
      <c r="AC217" s="383"/>
      <c r="AD217" s="383"/>
      <c r="AE217" s="383"/>
      <c r="AF217" s="376"/>
    </row>
    <row r="218" spans="1:32" ht="210" x14ac:dyDescent="0.2">
      <c r="A218" s="403" t="s">
        <v>3725</v>
      </c>
      <c r="B218" s="403" t="s">
        <v>724</v>
      </c>
      <c r="C218" s="534" t="s">
        <v>1166</v>
      </c>
      <c r="D218" s="534" t="s">
        <v>1603</v>
      </c>
      <c r="E218" s="534" t="s">
        <v>1604</v>
      </c>
      <c r="F218" s="391" t="s">
        <v>1163</v>
      </c>
      <c r="G218" s="384" t="s">
        <v>840</v>
      </c>
      <c r="H218" s="653">
        <v>1</v>
      </c>
      <c r="I218" s="653">
        <v>5</v>
      </c>
      <c r="J218" s="381">
        <f t="shared" si="16"/>
        <v>1</v>
      </c>
      <c r="K218" s="381">
        <f t="shared" si="17"/>
        <v>5</v>
      </c>
      <c r="L218" s="647">
        <f>IFERROR(IF(B218="funkcna poziadavka",VLOOKUP(G218,MODULY_CBA!$B$3:$E$23,4,0)*H218/SUMIFS($H$3:$H$197,$G$3:$G$197,G218,$B$3:$B$197,B218),),)</f>
        <v>0</v>
      </c>
      <c r="M218" s="381">
        <f>IFERROR(IF(B218="Funkcna poziadavka",VLOOKUP(G218,MODULY_CBA!$B$3:$E$23,3,0),),)</f>
        <v>0.76999999999999991</v>
      </c>
      <c r="N218" s="381">
        <f>IFERROR(IF(B218="funkcna poziadavka",VLOOKUP(G218,MODULY_CBA!$B$3:$E$23,2,0),),)</f>
        <v>1.01</v>
      </c>
      <c r="O218" s="380">
        <f t="shared" si="18"/>
        <v>3.8884999999999996</v>
      </c>
      <c r="P218" s="379">
        <f>IFERROR(O218*VLOOKUP(G218,MODULY_CBA!$B$3:$F$23,5,0),)</f>
        <v>77.77</v>
      </c>
      <c r="Q218" s="481" t="str">
        <f>IFERROR(VLOOKUP(G218,MODULY_CBA!$B$3:$I$23,6,0),"")</f>
        <v>Inkrement 1</v>
      </c>
      <c r="R218" s="383"/>
      <c r="S218" s="383"/>
      <c r="T218" s="383"/>
      <c r="U218" s="383"/>
      <c r="V218" s="383"/>
      <c r="W218" s="383"/>
      <c r="X218" s="383"/>
      <c r="Y218" s="383"/>
      <c r="Z218" s="383"/>
      <c r="AA218" s="383"/>
      <c r="AB218" s="383"/>
      <c r="AC218" s="383"/>
      <c r="AD218" s="383"/>
      <c r="AE218" s="383"/>
      <c r="AF218" s="376"/>
    </row>
    <row r="219" spans="1:32" ht="45" x14ac:dyDescent="0.2">
      <c r="A219" s="403" t="s">
        <v>3726</v>
      </c>
      <c r="B219" s="403" t="s">
        <v>724</v>
      </c>
      <c r="C219" s="534" t="s">
        <v>1166</v>
      </c>
      <c r="D219" s="534" t="s">
        <v>1605</v>
      </c>
      <c r="E219" s="534" t="s">
        <v>1606</v>
      </c>
      <c r="F219" s="384" t="s">
        <v>1163</v>
      </c>
      <c r="G219" s="384" t="s">
        <v>840</v>
      </c>
      <c r="H219" s="653">
        <v>1</v>
      </c>
      <c r="I219" s="653">
        <v>5</v>
      </c>
      <c r="J219" s="381">
        <f t="shared" si="16"/>
        <v>1</v>
      </c>
      <c r="K219" s="381">
        <f t="shared" si="17"/>
        <v>5</v>
      </c>
      <c r="L219" s="647">
        <f>IFERROR(IF(B219="funkcna poziadavka",VLOOKUP(G219,MODULY_CBA!$B$3:$E$23,4,0)*H219/SUMIFS($H$3:$H$197,$G$3:$G$197,G219,$B$3:$B$197,B219),),)</f>
        <v>0</v>
      </c>
      <c r="M219" s="381">
        <f>IFERROR(IF(B219="Funkcna poziadavka",VLOOKUP(G219,MODULY_CBA!$B$3:$E$23,3,0),),)</f>
        <v>0.76999999999999991</v>
      </c>
      <c r="N219" s="381">
        <f>IFERROR(IF(B219="funkcna poziadavka",VLOOKUP(G219,MODULY_CBA!$B$3:$E$23,2,0),),)</f>
        <v>1.01</v>
      </c>
      <c r="O219" s="380">
        <f t="shared" si="18"/>
        <v>3.8884999999999996</v>
      </c>
      <c r="P219" s="379">
        <f>IFERROR(O219*VLOOKUP(G219,MODULY_CBA!$B$3:$F$23,5,0),)</f>
        <v>77.77</v>
      </c>
      <c r="Q219" s="481" t="str">
        <f>IFERROR(VLOOKUP(G219,MODULY_CBA!$B$3:$I$23,6,0),"")</f>
        <v>Inkrement 1</v>
      </c>
      <c r="R219" s="383"/>
      <c r="S219" s="383"/>
      <c r="T219" s="383"/>
      <c r="U219" s="383"/>
      <c r="V219" s="383"/>
      <c r="W219" s="383"/>
      <c r="X219" s="383"/>
      <c r="Y219" s="383"/>
      <c r="Z219" s="383"/>
      <c r="AA219" s="383"/>
      <c r="AB219" s="383"/>
      <c r="AC219" s="383"/>
      <c r="AD219" s="383"/>
      <c r="AE219" s="383"/>
      <c r="AF219" s="376"/>
    </row>
    <row r="220" spans="1:32" ht="30" x14ac:dyDescent="0.2">
      <c r="A220" s="403" t="s">
        <v>3727</v>
      </c>
      <c r="B220" s="403" t="s">
        <v>724</v>
      </c>
      <c r="C220" s="730" t="s">
        <v>1607</v>
      </c>
      <c r="D220" s="730" t="s">
        <v>1608</v>
      </c>
      <c r="E220" s="730" t="s">
        <v>1609</v>
      </c>
      <c r="F220" s="733" t="s">
        <v>1163</v>
      </c>
      <c r="G220" s="384" t="s">
        <v>1178</v>
      </c>
      <c r="H220" s="381">
        <v>1</v>
      </c>
      <c r="I220" s="381">
        <v>5</v>
      </c>
      <c r="J220" s="381">
        <f t="shared" si="16"/>
        <v>1</v>
      </c>
      <c r="K220" s="381">
        <f t="shared" si="17"/>
        <v>5</v>
      </c>
      <c r="L220" s="647">
        <f>IFERROR(IF(B220="funkcna poziadavka",VLOOKUP(G220,MODULY_CBA!$B$3:$E$23,4,0)*H220/SUMIFS($H$3:$H$197,$G$3:$G$197,G220,$B$3:$B$197,B220),),)</f>
        <v>7</v>
      </c>
      <c r="M220" s="381">
        <f>IFERROR(IF(B220="Funkcna poziadavka",VLOOKUP(G220,MODULY_CBA!$B$3:$E$23,3,0),),)</f>
        <v>0.76999999999999991</v>
      </c>
      <c r="N220" s="381">
        <f>IFERROR(IF(B220="funkcna poziadavka",VLOOKUP(G220,MODULY_CBA!$B$3:$E$23,2,0),),)</f>
        <v>1.01</v>
      </c>
      <c r="O220" s="380">
        <f t="shared" si="18"/>
        <v>9.332399999999998</v>
      </c>
      <c r="P220" s="379">
        <f>IFERROR(O220*VLOOKUP(G220,MODULY_CBA!$B$3:$F$23,5,0),)</f>
        <v>186.64799999999997</v>
      </c>
      <c r="Q220" s="481" t="str">
        <f>IFERROR(VLOOKUP(G220,MODULY_CBA!$B$3:$I$23,6,0),"")</f>
        <v>Inkrement 1</v>
      </c>
      <c r="R220" s="383"/>
      <c r="S220" s="383"/>
      <c r="T220" s="383"/>
      <c r="U220" s="383"/>
      <c r="V220" s="383"/>
      <c r="W220" s="383"/>
      <c r="X220" s="383"/>
      <c r="Y220" s="383"/>
      <c r="Z220" s="383"/>
      <c r="AA220" s="383"/>
      <c r="AB220" s="383"/>
      <c r="AC220" s="383"/>
      <c r="AD220" s="383"/>
      <c r="AE220" s="383"/>
      <c r="AF220" s="376"/>
    </row>
    <row r="221" spans="1:32" ht="30" x14ac:dyDescent="0.2">
      <c r="A221" s="403" t="s">
        <v>3728</v>
      </c>
      <c r="B221" s="403" t="s">
        <v>724</v>
      </c>
      <c r="C221" s="730" t="s">
        <v>1607</v>
      </c>
      <c r="D221" s="730" t="s">
        <v>1610</v>
      </c>
      <c r="E221" s="730" t="s">
        <v>1611</v>
      </c>
      <c r="F221" s="733" t="s">
        <v>1163</v>
      </c>
      <c r="G221" s="384" t="s">
        <v>1178</v>
      </c>
      <c r="H221" s="381">
        <v>1</v>
      </c>
      <c r="I221" s="381">
        <v>5</v>
      </c>
      <c r="J221" s="381">
        <f t="shared" si="16"/>
        <v>1</v>
      </c>
      <c r="K221" s="381">
        <f t="shared" si="17"/>
        <v>5</v>
      </c>
      <c r="L221" s="647">
        <f>IFERROR(IF(B221="funkcna poziadavka",VLOOKUP(G221,MODULY_CBA!$B$3:$E$23,4,0)*H221/SUMIFS($H$3:$H$197,$G$3:$G$197,G221,$B$3:$B$197,B221),),)</f>
        <v>7</v>
      </c>
      <c r="M221" s="381">
        <f>IFERROR(IF(B221="Funkcna poziadavka",VLOOKUP(G221,MODULY_CBA!$B$3:$E$23,3,0),),)</f>
        <v>0.76999999999999991</v>
      </c>
      <c r="N221" s="381">
        <f>IFERROR(IF(B221="funkcna poziadavka",VLOOKUP(G221,MODULY_CBA!$B$3:$E$23,2,0),),)</f>
        <v>1.01</v>
      </c>
      <c r="O221" s="380">
        <f t="shared" si="18"/>
        <v>9.332399999999998</v>
      </c>
      <c r="P221" s="379">
        <f>IFERROR(O221*VLOOKUP(G221,MODULY_CBA!$B$3:$F$23,5,0),)</f>
        <v>186.64799999999997</v>
      </c>
      <c r="Q221" s="481" t="str">
        <f>IFERROR(VLOOKUP(G221,MODULY_CBA!$B$3:$I$23,6,0),"")</f>
        <v>Inkrement 1</v>
      </c>
      <c r="R221" s="383"/>
      <c r="S221" s="383"/>
      <c r="T221" s="383"/>
      <c r="U221" s="383"/>
      <c r="V221" s="383"/>
      <c r="W221" s="383"/>
      <c r="X221" s="383"/>
      <c r="Y221" s="383"/>
      <c r="Z221" s="383"/>
      <c r="AA221" s="383"/>
      <c r="AB221" s="383"/>
      <c r="AC221" s="383"/>
      <c r="AD221" s="383"/>
      <c r="AE221" s="383"/>
      <c r="AF221" s="376"/>
    </row>
    <row r="222" spans="1:32" ht="30" x14ac:dyDescent="0.2">
      <c r="A222" s="403" t="s">
        <v>3729</v>
      </c>
      <c r="B222" s="403" t="s">
        <v>724</v>
      </c>
      <c r="C222" s="730" t="s">
        <v>1612</v>
      </c>
      <c r="D222" s="730" t="s">
        <v>1613</v>
      </c>
      <c r="E222" s="730" t="s">
        <v>1614</v>
      </c>
      <c r="F222" s="733" t="s">
        <v>1163</v>
      </c>
      <c r="G222" s="384" t="s">
        <v>1178</v>
      </c>
      <c r="H222" s="381">
        <v>1</v>
      </c>
      <c r="I222" s="381">
        <v>5</v>
      </c>
      <c r="J222" s="381">
        <f t="shared" si="16"/>
        <v>1</v>
      </c>
      <c r="K222" s="381">
        <f t="shared" si="17"/>
        <v>5</v>
      </c>
      <c r="L222" s="647">
        <f>IFERROR(IF(B222="funkcna poziadavka",VLOOKUP(G222,MODULY_CBA!$B$3:$E$23,4,0)*H222/SUMIFS($H$3:$H$197,$G$3:$G$197,G222,$B$3:$B$197,B222),),)</f>
        <v>7</v>
      </c>
      <c r="M222" s="381">
        <f>IFERROR(IF(B222="Funkcna poziadavka",VLOOKUP(G222,MODULY_CBA!$B$3:$E$23,3,0),),)</f>
        <v>0.76999999999999991</v>
      </c>
      <c r="N222" s="381">
        <f>IFERROR(IF(B222="funkcna poziadavka",VLOOKUP(G222,MODULY_CBA!$B$3:$E$23,2,0),),)</f>
        <v>1.01</v>
      </c>
      <c r="O222" s="380">
        <f t="shared" si="18"/>
        <v>9.332399999999998</v>
      </c>
      <c r="P222" s="379">
        <f>IFERROR(O222*VLOOKUP(G222,MODULY_CBA!$B$3:$F$23,5,0),)</f>
        <v>186.64799999999997</v>
      </c>
      <c r="Q222" s="481" t="str">
        <f>IFERROR(VLOOKUP(G222,MODULY_CBA!$B$3:$I$23,6,0),"")</f>
        <v>Inkrement 1</v>
      </c>
      <c r="R222" s="383"/>
      <c r="S222" s="383"/>
      <c r="T222" s="383"/>
      <c r="U222" s="383"/>
      <c r="V222" s="383"/>
      <c r="W222" s="383"/>
      <c r="X222" s="383"/>
      <c r="Y222" s="383"/>
      <c r="Z222" s="383"/>
      <c r="AA222" s="383"/>
      <c r="AB222" s="383"/>
      <c r="AC222" s="383"/>
      <c r="AD222" s="383"/>
      <c r="AE222" s="383"/>
      <c r="AF222" s="376"/>
    </row>
    <row r="223" spans="1:32" ht="15" x14ac:dyDescent="0.2">
      <c r="A223" s="403" t="s">
        <v>3730</v>
      </c>
      <c r="B223" s="403" t="s">
        <v>724</v>
      </c>
      <c r="C223" s="730" t="s">
        <v>1612</v>
      </c>
      <c r="D223" s="730" t="s">
        <v>1615</v>
      </c>
      <c r="E223" s="730" t="s">
        <v>1616</v>
      </c>
      <c r="F223" s="733" t="s">
        <v>1163</v>
      </c>
      <c r="G223" s="384" t="s">
        <v>1178</v>
      </c>
      <c r="H223" s="381">
        <v>1</v>
      </c>
      <c r="I223" s="381">
        <v>5</v>
      </c>
      <c r="J223" s="381">
        <f t="shared" si="16"/>
        <v>1</v>
      </c>
      <c r="K223" s="381">
        <f t="shared" si="17"/>
        <v>5</v>
      </c>
      <c r="L223" s="647">
        <f>IFERROR(IF(B223="funkcna poziadavka",VLOOKUP(G223,MODULY_CBA!$B$3:$E$23,4,0)*H223/SUMIFS($H$3:$H$197,$G$3:$G$197,G223,$B$3:$B$197,B223),),)</f>
        <v>7</v>
      </c>
      <c r="M223" s="381">
        <f>IFERROR(IF(B223="Funkcna poziadavka",VLOOKUP(G223,MODULY_CBA!$B$3:$E$23,3,0),),)</f>
        <v>0.76999999999999991</v>
      </c>
      <c r="N223" s="381">
        <f>IFERROR(IF(B223="funkcna poziadavka",VLOOKUP(G223,MODULY_CBA!$B$3:$E$23,2,0),),)</f>
        <v>1.01</v>
      </c>
      <c r="O223" s="380">
        <f t="shared" si="18"/>
        <v>9.332399999999998</v>
      </c>
      <c r="P223" s="379">
        <f>IFERROR(O223*VLOOKUP(G223,MODULY_CBA!$B$3:$F$23,5,0),)</f>
        <v>186.64799999999997</v>
      </c>
      <c r="Q223" s="481" t="str">
        <f>IFERROR(VLOOKUP(G223,MODULY_CBA!$B$3:$I$23,6,0),"")</f>
        <v>Inkrement 1</v>
      </c>
      <c r="R223" s="383"/>
      <c r="S223" s="383"/>
      <c r="T223" s="383"/>
      <c r="U223" s="383"/>
      <c r="V223" s="383"/>
      <c r="W223" s="383"/>
      <c r="X223" s="383"/>
      <c r="Y223" s="383"/>
      <c r="Z223" s="383"/>
      <c r="AA223" s="383"/>
      <c r="AB223" s="383"/>
      <c r="AC223" s="383"/>
      <c r="AD223" s="383"/>
      <c r="AE223" s="383"/>
      <c r="AF223" s="376"/>
    </row>
    <row r="224" spans="1:32" ht="15" x14ac:dyDescent="0.2">
      <c r="A224" s="403" t="s">
        <v>3731</v>
      </c>
      <c r="B224" s="403" t="s">
        <v>724</v>
      </c>
      <c r="C224" s="730" t="s">
        <v>1612</v>
      </c>
      <c r="D224" s="730" t="s">
        <v>1617</v>
      </c>
      <c r="E224" s="730" t="s">
        <v>1618</v>
      </c>
      <c r="F224" s="733" t="s">
        <v>1163</v>
      </c>
      <c r="G224" s="384" t="s">
        <v>1178</v>
      </c>
      <c r="H224" s="381">
        <v>1</v>
      </c>
      <c r="I224" s="381">
        <v>5</v>
      </c>
      <c r="J224" s="381">
        <f t="shared" si="16"/>
        <v>1</v>
      </c>
      <c r="K224" s="381">
        <f t="shared" si="17"/>
        <v>5</v>
      </c>
      <c r="L224" s="647">
        <f>IFERROR(IF(B224="funkcna poziadavka",VLOOKUP(G224,MODULY_CBA!$B$3:$E$23,4,0)*H224/SUMIFS($H$3:$H$197,$G$3:$G$197,G224,$B$3:$B$197,B224),),)</f>
        <v>7</v>
      </c>
      <c r="M224" s="381">
        <f>IFERROR(IF(B224="Funkcna poziadavka",VLOOKUP(G224,MODULY_CBA!$B$3:$E$23,3,0),),)</f>
        <v>0.76999999999999991</v>
      </c>
      <c r="N224" s="381">
        <f>IFERROR(IF(B224="funkcna poziadavka",VLOOKUP(G224,MODULY_CBA!$B$3:$E$23,2,0),),)</f>
        <v>1.01</v>
      </c>
      <c r="O224" s="380">
        <f t="shared" si="18"/>
        <v>9.332399999999998</v>
      </c>
      <c r="P224" s="379">
        <f>IFERROR(O224*VLOOKUP(G224,MODULY_CBA!$B$3:$F$23,5,0),)</f>
        <v>186.64799999999997</v>
      </c>
      <c r="Q224" s="481" t="str">
        <f>IFERROR(VLOOKUP(G224,MODULY_CBA!$B$3:$I$23,6,0),"")</f>
        <v>Inkrement 1</v>
      </c>
      <c r="R224" s="383"/>
      <c r="S224" s="383"/>
      <c r="T224" s="383"/>
      <c r="U224" s="383"/>
      <c r="V224" s="383"/>
      <c r="W224" s="383"/>
      <c r="X224" s="383"/>
      <c r="Y224" s="383"/>
      <c r="Z224" s="383"/>
      <c r="AA224" s="383"/>
      <c r="AB224" s="383"/>
      <c r="AC224" s="383"/>
      <c r="AD224" s="383"/>
      <c r="AE224" s="383"/>
      <c r="AF224" s="376"/>
    </row>
    <row r="225" spans="1:32" ht="15" x14ac:dyDescent="0.2">
      <c r="A225" s="403" t="s">
        <v>3732</v>
      </c>
      <c r="B225" s="403" t="s">
        <v>724</v>
      </c>
      <c r="C225" s="730" t="s">
        <v>1612</v>
      </c>
      <c r="D225" s="730" t="s">
        <v>1619</v>
      </c>
      <c r="E225" s="730" t="s">
        <v>1620</v>
      </c>
      <c r="F225" s="733" t="s">
        <v>1163</v>
      </c>
      <c r="G225" s="384" t="s">
        <v>1178</v>
      </c>
      <c r="H225" s="381">
        <v>1</v>
      </c>
      <c r="I225" s="381">
        <v>5</v>
      </c>
      <c r="J225" s="381">
        <f t="shared" si="16"/>
        <v>1</v>
      </c>
      <c r="K225" s="381">
        <f t="shared" si="17"/>
        <v>5</v>
      </c>
      <c r="L225" s="647">
        <f>IFERROR(IF(B225="funkcna poziadavka",VLOOKUP(G225,MODULY_CBA!$B$3:$E$23,4,0)*H225/SUMIFS($H$3:$H$197,$G$3:$G$197,G225,$B$3:$B$197,B225),),)</f>
        <v>7</v>
      </c>
      <c r="M225" s="381">
        <f>IFERROR(IF(B225="Funkcna poziadavka",VLOOKUP(G225,MODULY_CBA!$B$3:$E$23,3,0),),)</f>
        <v>0.76999999999999991</v>
      </c>
      <c r="N225" s="381">
        <f>IFERROR(IF(B225="funkcna poziadavka",VLOOKUP(G225,MODULY_CBA!$B$3:$E$23,2,0),),)</f>
        <v>1.01</v>
      </c>
      <c r="O225" s="380">
        <f t="shared" si="18"/>
        <v>9.332399999999998</v>
      </c>
      <c r="P225" s="379">
        <f>IFERROR(O225*VLOOKUP(G225,MODULY_CBA!$B$3:$F$23,5,0),)</f>
        <v>186.64799999999997</v>
      </c>
      <c r="Q225" s="481" t="str">
        <f>IFERROR(VLOOKUP(G225,MODULY_CBA!$B$3:$I$23,6,0),"")</f>
        <v>Inkrement 1</v>
      </c>
      <c r="R225" s="383"/>
      <c r="S225" s="383"/>
      <c r="T225" s="383"/>
      <c r="U225" s="383"/>
      <c r="V225" s="383"/>
      <c r="W225" s="383"/>
      <c r="X225" s="383"/>
      <c r="Y225" s="383"/>
      <c r="Z225" s="383"/>
      <c r="AA225" s="383"/>
      <c r="AB225" s="383"/>
      <c r="AC225" s="383"/>
      <c r="AD225" s="383"/>
      <c r="AE225" s="383"/>
      <c r="AF225" s="376"/>
    </row>
    <row r="226" spans="1:32" ht="15" x14ac:dyDescent="0.2">
      <c r="A226" s="403" t="s">
        <v>3733</v>
      </c>
      <c r="B226" s="403" t="s">
        <v>724</v>
      </c>
      <c r="C226" s="730" t="s">
        <v>1612</v>
      </c>
      <c r="D226" s="730" t="s">
        <v>830</v>
      </c>
      <c r="E226" s="730" t="s">
        <v>1621</v>
      </c>
      <c r="F226" s="733" t="s">
        <v>1163</v>
      </c>
      <c r="G226" s="384" t="s">
        <v>1178</v>
      </c>
      <c r="H226" s="381">
        <v>1</v>
      </c>
      <c r="I226" s="381">
        <v>5</v>
      </c>
      <c r="J226" s="381">
        <f t="shared" si="16"/>
        <v>1</v>
      </c>
      <c r="K226" s="381">
        <f t="shared" si="17"/>
        <v>5</v>
      </c>
      <c r="L226" s="647">
        <f>IFERROR(IF(B226="funkcna poziadavka",VLOOKUP(G226,MODULY_CBA!$B$3:$E$23,4,0)*H226/SUMIFS($H$3:$H$197,$G$3:$G$197,G226,$B$3:$B$197,B226),),)</f>
        <v>7</v>
      </c>
      <c r="M226" s="381">
        <f>IFERROR(IF(B226="Funkcna poziadavka",VLOOKUP(G226,MODULY_CBA!$B$3:$E$23,3,0),),)</f>
        <v>0.76999999999999991</v>
      </c>
      <c r="N226" s="381">
        <f>IFERROR(IF(B226="funkcna poziadavka",VLOOKUP(G226,MODULY_CBA!$B$3:$E$23,2,0),),)</f>
        <v>1.01</v>
      </c>
      <c r="O226" s="380">
        <f t="shared" si="18"/>
        <v>9.332399999999998</v>
      </c>
      <c r="P226" s="379">
        <f>IFERROR(O226*VLOOKUP(G226,MODULY_CBA!$B$3:$F$23,5,0),)</f>
        <v>186.64799999999997</v>
      </c>
      <c r="Q226" s="481" t="str">
        <f>IFERROR(VLOOKUP(G226,MODULY_CBA!$B$3:$I$23,6,0),"")</f>
        <v>Inkrement 1</v>
      </c>
      <c r="R226" s="383"/>
      <c r="S226" s="383"/>
      <c r="T226" s="383"/>
      <c r="U226" s="383"/>
      <c r="V226" s="383"/>
      <c r="W226" s="383"/>
      <c r="X226" s="383"/>
      <c r="Y226" s="383"/>
      <c r="Z226" s="383"/>
      <c r="AA226" s="383"/>
      <c r="AB226" s="383"/>
      <c r="AC226" s="383"/>
      <c r="AD226" s="383"/>
      <c r="AE226" s="383"/>
      <c r="AF226" s="376"/>
    </row>
    <row r="227" spans="1:32" ht="15" x14ac:dyDescent="0.2">
      <c r="A227" s="403" t="s">
        <v>3734</v>
      </c>
      <c r="B227" s="403" t="s">
        <v>724</v>
      </c>
      <c r="C227" s="730" t="s">
        <v>1612</v>
      </c>
      <c r="D227" s="730" t="s">
        <v>1622</v>
      </c>
      <c r="E227" s="730" t="s">
        <v>1623</v>
      </c>
      <c r="F227" s="733" t="s">
        <v>1163</v>
      </c>
      <c r="G227" s="384" t="s">
        <v>1178</v>
      </c>
      <c r="H227" s="381">
        <v>1</v>
      </c>
      <c r="I227" s="381">
        <v>5</v>
      </c>
      <c r="J227" s="381">
        <f t="shared" si="16"/>
        <v>1</v>
      </c>
      <c r="K227" s="381">
        <f t="shared" si="17"/>
        <v>5</v>
      </c>
      <c r="L227" s="647">
        <f>IFERROR(IF(B227="funkcna poziadavka",VLOOKUP(G227,MODULY_CBA!$B$3:$E$23,4,0)*H227/SUMIFS($H$3:$H$197,$G$3:$G$197,G227,$B$3:$B$197,B227),),)</f>
        <v>7</v>
      </c>
      <c r="M227" s="381">
        <f>IFERROR(IF(B227="Funkcna poziadavka",VLOOKUP(G227,MODULY_CBA!$B$3:$E$23,3,0),),)</f>
        <v>0.76999999999999991</v>
      </c>
      <c r="N227" s="381">
        <f>IFERROR(IF(B227="funkcna poziadavka",VLOOKUP(G227,MODULY_CBA!$B$3:$E$23,2,0),),)</f>
        <v>1.01</v>
      </c>
      <c r="O227" s="380">
        <f t="shared" si="18"/>
        <v>9.332399999999998</v>
      </c>
      <c r="P227" s="379">
        <f>IFERROR(O227*VLOOKUP(G227,MODULY_CBA!$B$3:$F$23,5,0),)</f>
        <v>186.64799999999997</v>
      </c>
      <c r="Q227" s="481" t="str">
        <f>IFERROR(VLOOKUP(G227,MODULY_CBA!$B$3:$I$23,6,0),"")</f>
        <v>Inkrement 1</v>
      </c>
      <c r="R227" s="383"/>
      <c r="S227" s="383"/>
      <c r="T227" s="383"/>
      <c r="U227" s="383"/>
      <c r="V227" s="383"/>
      <c r="W227" s="383"/>
      <c r="X227" s="383"/>
      <c r="Y227" s="383"/>
      <c r="Z227" s="383"/>
      <c r="AA227" s="383"/>
      <c r="AB227" s="383"/>
      <c r="AC227" s="383"/>
      <c r="AD227" s="383"/>
      <c r="AE227" s="383"/>
      <c r="AF227" s="376"/>
    </row>
    <row r="228" spans="1:32" ht="15" x14ac:dyDescent="0.2">
      <c r="A228" s="403" t="s">
        <v>3735</v>
      </c>
      <c r="B228" s="403" t="s">
        <v>724</v>
      </c>
      <c r="C228" s="730" t="s">
        <v>1612</v>
      </c>
      <c r="D228" s="730" t="s">
        <v>840</v>
      </c>
      <c r="E228" s="730" t="s">
        <v>1624</v>
      </c>
      <c r="F228" s="733" t="s">
        <v>1163</v>
      </c>
      <c r="G228" s="384" t="s">
        <v>1178</v>
      </c>
      <c r="H228" s="381">
        <v>1</v>
      </c>
      <c r="I228" s="381">
        <v>5</v>
      </c>
      <c r="J228" s="381">
        <f t="shared" si="16"/>
        <v>1</v>
      </c>
      <c r="K228" s="381">
        <f t="shared" si="17"/>
        <v>5</v>
      </c>
      <c r="L228" s="647">
        <f>IFERROR(IF(B228="funkcna poziadavka",VLOOKUP(G228,MODULY_CBA!$B$3:$E$23,4,0)*H228/SUMIFS($H$3:$H$197,$G$3:$G$197,G228,$B$3:$B$197,B228),),)</f>
        <v>7</v>
      </c>
      <c r="M228" s="381">
        <f>IFERROR(IF(B228="Funkcna poziadavka",VLOOKUP(G228,MODULY_CBA!$B$3:$E$23,3,0),),)</f>
        <v>0.76999999999999991</v>
      </c>
      <c r="N228" s="381">
        <f>IFERROR(IF(B228="funkcna poziadavka",VLOOKUP(G228,MODULY_CBA!$B$3:$E$23,2,0),),)</f>
        <v>1.01</v>
      </c>
      <c r="O228" s="380">
        <f t="shared" si="18"/>
        <v>9.332399999999998</v>
      </c>
      <c r="P228" s="379">
        <f>IFERROR(O228*VLOOKUP(G228,MODULY_CBA!$B$3:$F$23,5,0),)</f>
        <v>186.64799999999997</v>
      </c>
      <c r="Q228" s="481" t="str">
        <f>IFERROR(VLOOKUP(G228,MODULY_CBA!$B$3:$I$23,6,0),"")</f>
        <v>Inkrement 1</v>
      </c>
      <c r="R228" s="383"/>
      <c r="S228" s="383"/>
      <c r="T228" s="383"/>
      <c r="U228" s="383"/>
      <c r="V228" s="383"/>
      <c r="W228" s="383"/>
      <c r="X228" s="383"/>
      <c r="Y228" s="383"/>
      <c r="Z228" s="383"/>
      <c r="AA228" s="383"/>
      <c r="AB228" s="383"/>
      <c r="AC228" s="383"/>
      <c r="AD228" s="383"/>
      <c r="AE228" s="383"/>
      <c r="AF228" s="376"/>
    </row>
    <row r="229" spans="1:32" ht="15" x14ac:dyDescent="0.2">
      <c r="A229" s="403" t="s">
        <v>3736</v>
      </c>
      <c r="B229" s="403" t="s">
        <v>724</v>
      </c>
      <c r="C229" s="730" t="s">
        <v>1612</v>
      </c>
      <c r="D229" s="730" t="s">
        <v>842</v>
      </c>
      <c r="E229" s="730" t="s">
        <v>1625</v>
      </c>
      <c r="F229" s="733" t="s">
        <v>1163</v>
      </c>
      <c r="G229" s="384" t="s">
        <v>1178</v>
      </c>
      <c r="H229" s="381">
        <v>1</v>
      </c>
      <c r="I229" s="381">
        <v>5</v>
      </c>
      <c r="J229" s="381">
        <f t="shared" si="16"/>
        <v>1</v>
      </c>
      <c r="K229" s="381">
        <f t="shared" si="17"/>
        <v>5</v>
      </c>
      <c r="L229" s="647">
        <f>IFERROR(IF(B229="funkcna poziadavka",VLOOKUP(G229,MODULY_CBA!$B$3:$E$23,4,0)*H229/SUMIFS($H$3:$H$197,$G$3:$G$197,G229,$B$3:$B$197,B229),),)</f>
        <v>7</v>
      </c>
      <c r="M229" s="381">
        <f>IFERROR(IF(B229="Funkcna poziadavka",VLOOKUP(G229,MODULY_CBA!$B$3:$E$23,3,0),),)</f>
        <v>0.76999999999999991</v>
      </c>
      <c r="N229" s="381">
        <f>IFERROR(IF(B229="funkcna poziadavka",VLOOKUP(G229,MODULY_CBA!$B$3:$E$23,2,0),),)</f>
        <v>1.01</v>
      </c>
      <c r="O229" s="380">
        <f t="shared" si="18"/>
        <v>9.332399999999998</v>
      </c>
      <c r="P229" s="379">
        <f>IFERROR(O229*VLOOKUP(G229,MODULY_CBA!$B$3:$F$23,5,0),)</f>
        <v>186.64799999999997</v>
      </c>
      <c r="Q229" s="481" t="str">
        <f>IFERROR(VLOOKUP(G229,MODULY_CBA!$B$3:$I$23,6,0),"")</f>
        <v>Inkrement 1</v>
      </c>
      <c r="R229" s="383"/>
      <c r="S229" s="383"/>
      <c r="T229" s="383"/>
      <c r="U229" s="383"/>
      <c r="V229" s="383"/>
      <c r="W229" s="383"/>
      <c r="X229" s="383"/>
      <c r="Y229" s="383"/>
      <c r="Z229" s="383"/>
      <c r="AA229" s="383"/>
      <c r="AB229" s="383"/>
      <c r="AC229" s="383"/>
      <c r="AD229" s="383"/>
      <c r="AE229" s="383"/>
      <c r="AF229" s="376"/>
    </row>
    <row r="230" spans="1:32" ht="15" x14ac:dyDescent="0.2">
      <c r="A230" s="403" t="s">
        <v>3737</v>
      </c>
      <c r="B230" s="403" t="s">
        <v>724</v>
      </c>
      <c r="C230" s="730" t="s">
        <v>1612</v>
      </c>
      <c r="D230" s="730" t="s">
        <v>1626</v>
      </c>
      <c r="E230" s="730" t="s">
        <v>1627</v>
      </c>
      <c r="F230" s="733" t="s">
        <v>1163</v>
      </c>
      <c r="G230" s="384" t="s">
        <v>1178</v>
      </c>
      <c r="H230" s="381">
        <v>1</v>
      </c>
      <c r="I230" s="381">
        <v>5</v>
      </c>
      <c r="J230" s="381">
        <f t="shared" si="16"/>
        <v>1</v>
      </c>
      <c r="K230" s="381">
        <f t="shared" si="17"/>
        <v>5</v>
      </c>
      <c r="L230" s="647">
        <f>IFERROR(IF(B230="funkcna poziadavka",VLOOKUP(G230,MODULY_CBA!$B$3:$E$23,4,0)*H230/SUMIFS($H$3:$H$197,$G$3:$G$197,G230,$B$3:$B$197,B230),),)</f>
        <v>7</v>
      </c>
      <c r="M230" s="381">
        <f>IFERROR(IF(B230="Funkcna poziadavka",VLOOKUP(G230,MODULY_CBA!$B$3:$E$23,3,0),),)</f>
        <v>0.76999999999999991</v>
      </c>
      <c r="N230" s="381">
        <f>IFERROR(IF(B230="funkcna poziadavka",VLOOKUP(G230,MODULY_CBA!$B$3:$E$23,2,0),),)</f>
        <v>1.01</v>
      </c>
      <c r="O230" s="380">
        <f t="shared" si="18"/>
        <v>9.332399999999998</v>
      </c>
      <c r="P230" s="379">
        <f>IFERROR(O230*VLOOKUP(G230,MODULY_CBA!$B$3:$F$23,5,0),)</f>
        <v>186.64799999999997</v>
      </c>
      <c r="Q230" s="481" t="str">
        <f>IFERROR(VLOOKUP(G230,MODULY_CBA!$B$3:$I$23,6,0),"")</f>
        <v>Inkrement 1</v>
      </c>
      <c r="R230" s="383"/>
      <c r="S230" s="383"/>
      <c r="T230" s="383"/>
      <c r="U230" s="383"/>
      <c r="V230" s="383"/>
      <c r="W230" s="383"/>
      <c r="X230" s="383"/>
      <c r="Y230" s="383"/>
      <c r="Z230" s="383"/>
      <c r="AA230" s="383"/>
      <c r="AB230" s="383"/>
      <c r="AC230" s="383"/>
      <c r="AD230" s="383"/>
      <c r="AE230" s="383"/>
      <c r="AF230" s="376"/>
    </row>
    <row r="231" spans="1:32" ht="15" x14ac:dyDescent="0.2">
      <c r="A231" s="403" t="s">
        <v>3738</v>
      </c>
      <c r="B231" s="403" t="s">
        <v>724</v>
      </c>
      <c r="C231" s="730" t="s">
        <v>1612</v>
      </c>
      <c r="D231" s="730" t="s">
        <v>1628</v>
      </c>
      <c r="E231" s="730" t="s">
        <v>1629</v>
      </c>
      <c r="F231" s="733" t="s">
        <v>1163</v>
      </c>
      <c r="G231" s="384" t="s">
        <v>1178</v>
      </c>
      <c r="H231" s="381">
        <v>1</v>
      </c>
      <c r="I231" s="381">
        <v>5</v>
      </c>
      <c r="J231" s="381">
        <f t="shared" si="16"/>
        <v>1</v>
      </c>
      <c r="K231" s="381">
        <f t="shared" si="17"/>
        <v>5</v>
      </c>
      <c r="L231" s="647">
        <f>IFERROR(IF(B231="funkcna poziadavka",VLOOKUP(G231,MODULY_CBA!$B$3:$E$23,4,0)*H231/SUMIFS($H$3:$H$197,$G$3:$G$197,G231,$B$3:$B$197,B231),),)</f>
        <v>7</v>
      </c>
      <c r="M231" s="381">
        <f>IFERROR(IF(B231="Funkcna poziadavka",VLOOKUP(G231,MODULY_CBA!$B$3:$E$23,3,0),),)</f>
        <v>0.76999999999999991</v>
      </c>
      <c r="N231" s="381">
        <f>IFERROR(IF(B231="funkcna poziadavka",VLOOKUP(G231,MODULY_CBA!$B$3:$E$23,2,0),),)</f>
        <v>1.01</v>
      </c>
      <c r="O231" s="380">
        <f t="shared" si="18"/>
        <v>9.332399999999998</v>
      </c>
      <c r="P231" s="379">
        <f>IFERROR(O231*VLOOKUP(G231,MODULY_CBA!$B$3:$F$23,5,0),)</f>
        <v>186.64799999999997</v>
      </c>
      <c r="Q231" s="481" t="str">
        <f>IFERROR(VLOOKUP(G231,MODULY_CBA!$B$3:$I$23,6,0),"")</f>
        <v>Inkrement 1</v>
      </c>
      <c r="R231" s="383"/>
      <c r="S231" s="383"/>
      <c r="T231" s="383"/>
      <c r="U231" s="383"/>
      <c r="V231" s="383"/>
      <c r="W231" s="383"/>
      <c r="X231" s="383"/>
      <c r="Y231" s="383"/>
      <c r="Z231" s="383"/>
      <c r="AA231" s="383"/>
      <c r="AB231" s="383"/>
      <c r="AC231" s="383"/>
      <c r="AD231" s="383"/>
      <c r="AE231" s="383"/>
      <c r="AF231" s="376"/>
    </row>
    <row r="232" spans="1:32" ht="15" x14ac:dyDescent="0.2">
      <c r="A232" s="403" t="s">
        <v>3739</v>
      </c>
      <c r="B232" s="403" t="s">
        <v>724</v>
      </c>
      <c r="C232" s="730" t="s">
        <v>1607</v>
      </c>
      <c r="D232" s="730" t="s">
        <v>1630</v>
      </c>
      <c r="E232" s="730" t="s">
        <v>1631</v>
      </c>
      <c r="F232" s="733" t="s">
        <v>1163</v>
      </c>
      <c r="G232" s="384" t="s">
        <v>1178</v>
      </c>
      <c r="H232" s="381">
        <v>1</v>
      </c>
      <c r="I232" s="381">
        <v>5</v>
      </c>
      <c r="J232" s="381">
        <f t="shared" ref="J232:J295" si="19">IF(ISNUMBER(H232),H232,)</f>
        <v>1</v>
      </c>
      <c r="K232" s="381">
        <f t="shared" ref="K232:K295" si="20">H232*I232</f>
        <v>5</v>
      </c>
      <c r="L232" s="647">
        <f>IFERROR(IF(B232="funkcna poziadavka",VLOOKUP(G232,MODULY_CBA!$B$3:$E$23,4,0)*H232/SUMIFS($H$3:$H$197,$G$3:$G$197,G232,$B$3:$B$197,B232),),)</f>
        <v>7</v>
      </c>
      <c r="M232" s="381">
        <f>IFERROR(IF(B232="Funkcna poziadavka",VLOOKUP(G232,MODULY_CBA!$B$3:$E$23,3,0),),)</f>
        <v>0.76999999999999991</v>
      </c>
      <c r="N232" s="381">
        <f>IFERROR(IF(B232="funkcna poziadavka",VLOOKUP(G232,MODULY_CBA!$B$3:$E$23,2,0),),)</f>
        <v>1.01</v>
      </c>
      <c r="O232" s="380">
        <f t="shared" ref="O232:O295" si="21">(K232+L232)*M232*N232</f>
        <v>9.332399999999998</v>
      </c>
      <c r="P232" s="379">
        <f>IFERROR(O232*VLOOKUP(G232,MODULY_CBA!$B$3:$F$23,5,0),)</f>
        <v>186.64799999999997</v>
      </c>
      <c r="Q232" s="481" t="str">
        <f>IFERROR(VLOOKUP(G232,MODULY_CBA!$B$3:$I$23,6,0),"")</f>
        <v>Inkrement 1</v>
      </c>
      <c r="R232" s="383"/>
      <c r="S232" s="383"/>
      <c r="T232" s="383"/>
      <c r="U232" s="383"/>
      <c r="V232" s="383"/>
      <c r="W232" s="383"/>
      <c r="X232" s="383"/>
      <c r="Y232" s="383"/>
      <c r="Z232" s="383"/>
      <c r="AA232" s="383"/>
      <c r="AB232" s="383"/>
      <c r="AC232" s="383"/>
      <c r="AD232" s="383"/>
      <c r="AE232" s="383"/>
      <c r="AF232" s="376"/>
    </row>
    <row r="233" spans="1:32" ht="15" x14ac:dyDescent="0.2">
      <c r="A233" s="403" t="s">
        <v>3740</v>
      </c>
      <c r="B233" s="403" t="s">
        <v>724</v>
      </c>
      <c r="C233" s="730" t="s">
        <v>1607</v>
      </c>
      <c r="D233" s="730" t="s">
        <v>1632</v>
      </c>
      <c r="E233" s="730" t="s">
        <v>1633</v>
      </c>
      <c r="F233" s="733" t="s">
        <v>1163</v>
      </c>
      <c r="G233" s="384" t="s">
        <v>1178</v>
      </c>
      <c r="H233" s="381">
        <v>1</v>
      </c>
      <c r="I233" s="381">
        <v>5</v>
      </c>
      <c r="J233" s="381">
        <f t="shared" si="19"/>
        <v>1</v>
      </c>
      <c r="K233" s="381">
        <f t="shared" si="20"/>
        <v>5</v>
      </c>
      <c r="L233" s="647">
        <f>IFERROR(IF(B233="funkcna poziadavka",VLOOKUP(G233,MODULY_CBA!$B$3:$E$23,4,0)*H233/SUMIFS($H$3:$H$197,$G$3:$G$197,G233,$B$3:$B$197,B233),),)</f>
        <v>7</v>
      </c>
      <c r="M233" s="381">
        <f>IFERROR(IF(B233="Funkcna poziadavka",VLOOKUP(G233,MODULY_CBA!$B$3:$E$23,3,0),),)</f>
        <v>0.76999999999999991</v>
      </c>
      <c r="N233" s="381">
        <f>IFERROR(IF(B233="funkcna poziadavka",VLOOKUP(G233,MODULY_CBA!$B$3:$E$23,2,0),),)</f>
        <v>1.01</v>
      </c>
      <c r="O233" s="380">
        <f t="shared" si="21"/>
        <v>9.332399999999998</v>
      </c>
      <c r="P233" s="379">
        <f>IFERROR(O233*VLOOKUP(G233,MODULY_CBA!$B$3:$F$23,5,0),)</f>
        <v>186.64799999999997</v>
      </c>
      <c r="Q233" s="481" t="str">
        <f>IFERROR(VLOOKUP(G233,MODULY_CBA!$B$3:$I$23,6,0),"")</f>
        <v>Inkrement 1</v>
      </c>
      <c r="R233" s="383"/>
      <c r="S233" s="383"/>
      <c r="T233" s="383"/>
      <c r="U233" s="383"/>
      <c r="V233" s="383"/>
      <c r="W233" s="383"/>
      <c r="X233" s="383"/>
      <c r="Y233" s="383"/>
      <c r="Z233" s="383"/>
      <c r="AA233" s="383"/>
      <c r="AB233" s="383"/>
      <c r="AC233" s="383"/>
      <c r="AD233" s="383"/>
      <c r="AE233" s="383"/>
      <c r="AF233" s="376"/>
    </row>
    <row r="234" spans="1:32" ht="15" x14ac:dyDescent="0.2">
      <c r="A234" s="403" t="s">
        <v>3741</v>
      </c>
      <c r="B234" s="403" t="s">
        <v>724</v>
      </c>
      <c r="C234" s="730" t="s">
        <v>1607</v>
      </c>
      <c r="D234" s="730" t="s">
        <v>1634</v>
      </c>
      <c r="E234" s="730" t="s">
        <v>1635</v>
      </c>
      <c r="F234" s="733" t="s">
        <v>1163</v>
      </c>
      <c r="G234" s="384" t="s">
        <v>1178</v>
      </c>
      <c r="H234" s="381">
        <v>1</v>
      </c>
      <c r="I234" s="381">
        <v>5</v>
      </c>
      <c r="J234" s="381">
        <f t="shared" si="19"/>
        <v>1</v>
      </c>
      <c r="K234" s="381">
        <f t="shared" si="20"/>
        <v>5</v>
      </c>
      <c r="L234" s="647">
        <f>IFERROR(IF(B234="funkcna poziadavka",VLOOKUP(G234,MODULY_CBA!$B$3:$E$23,4,0)*H234/SUMIFS($H$3:$H$197,$G$3:$G$197,G234,$B$3:$B$197,B234),),)</f>
        <v>7</v>
      </c>
      <c r="M234" s="381">
        <f>IFERROR(IF(B234="Funkcna poziadavka",VLOOKUP(G234,MODULY_CBA!$B$3:$E$23,3,0),),)</f>
        <v>0.76999999999999991</v>
      </c>
      <c r="N234" s="381">
        <f>IFERROR(IF(B234="funkcna poziadavka",VLOOKUP(G234,MODULY_CBA!$B$3:$E$23,2,0),),)</f>
        <v>1.01</v>
      </c>
      <c r="O234" s="380">
        <f t="shared" si="21"/>
        <v>9.332399999999998</v>
      </c>
      <c r="P234" s="379">
        <f>IFERROR(O234*VLOOKUP(G234,MODULY_CBA!$B$3:$F$23,5,0),)</f>
        <v>186.64799999999997</v>
      </c>
      <c r="Q234" s="481" t="str">
        <f>IFERROR(VLOOKUP(G234,MODULY_CBA!$B$3:$I$23,6,0),"")</f>
        <v>Inkrement 1</v>
      </c>
      <c r="R234" s="383"/>
      <c r="S234" s="383"/>
      <c r="T234" s="383"/>
      <c r="U234" s="383"/>
      <c r="V234" s="383"/>
      <c r="W234" s="383"/>
      <c r="X234" s="383"/>
      <c r="Y234" s="383"/>
      <c r="Z234" s="383"/>
      <c r="AA234" s="383"/>
      <c r="AB234" s="383"/>
      <c r="AC234" s="383"/>
      <c r="AD234" s="383"/>
      <c r="AE234" s="383"/>
      <c r="AF234" s="376"/>
    </row>
    <row r="235" spans="1:32" ht="15" x14ac:dyDescent="0.2">
      <c r="A235" s="403" t="s">
        <v>3742</v>
      </c>
      <c r="B235" s="403" t="s">
        <v>724</v>
      </c>
      <c r="C235" s="730" t="s">
        <v>1607</v>
      </c>
      <c r="D235" s="730" t="s">
        <v>1636</v>
      </c>
      <c r="E235" s="730" t="s">
        <v>1637</v>
      </c>
      <c r="F235" s="733" t="s">
        <v>1163</v>
      </c>
      <c r="G235" s="384" t="s">
        <v>1178</v>
      </c>
      <c r="H235" s="381">
        <v>1</v>
      </c>
      <c r="I235" s="381">
        <v>5</v>
      </c>
      <c r="J235" s="381">
        <f t="shared" si="19"/>
        <v>1</v>
      </c>
      <c r="K235" s="381">
        <f t="shared" si="20"/>
        <v>5</v>
      </c>
      <c r="L235" s="647">
        <f>IFERROR(IF(B235="funkcna poziadavka",VLOOKUP(G235,MODULY_CBA!$B$3:$E$23,4,0)*H235/SUMIFS($H$3:$H$197,$G$3:$G$197,G235,$B$3:$B$197,B235),),)</f>
        <v>7</v>
      </c>
      <c r="M235" s="381">
        <f>IFERROR(IF(B235="Funkcna poziadavka",VLOOKUP(G235,MODULY_CBA!$B$3:$E$23,3,0),),)</f>
        <v>0.76999999999999991</v>
      </c>
      <c r="N235" s="381">
        <f>IFERROR(IF(B235="funkcna poziadavka",VLOOKUP(G235,MODULY_CBA!$B$3:$E$23,2,0),),)</f>
        <v>1.01</v>
      </c>
      <c r="O235" s="380">
        <f t="shared" si="21"/>
        <v>9.332399999999998</v>
      </c>
      <c r="P235" s="379">
        <f>IFERROR(O235*VLOOKUP(G235,MODULY_CBA!$B$3:$F$23,5,0),)</f>
        <v>186.64799999999997</v>
      </c>
      <c r="Q235" s="481" t="str">
        <f>IFERROR(VLOOKUP(G235,MODULY_CBA!$B$3:$I$23,6,0),"")</f>
        <v>Inkrement 1</v>
      </c>
      <c r="R235" s="383"/>
      <c r="S235" s="383"/>
      <c r="T235" s="383"/>
      <c r="U235" s="383"/>
      <c r="V235" s="383"/>
      <c r="W235" s="383"/>
      <c r="X235" s="383"/>
      <c r="Y235" s="383"/>
      <c r="Z235" s="383"/>
      <c r="AA235" s="383"/>
      <c r="AB235" s="383"/>
      <c r="AC235" s="383"/>
      <c r="AD235" s="383"/>
      <c r="AE235" s="383"/>
      <c r="AF235" s="376"/>
    </row>
    <row r="236" spans="1:32" ht="15" x14ac:dyDescent="0.2">
      <c r="A236" s="403" t="s">
        <v>3743</v>
      </c>
      <c r="B236" s="403" t="s">
        <v>724</v>
      </c>
      <c r="C236" s="730" t="s">
        <v>1607</v>
      </c>
      <c r="D236" s="730" t="s">
        <v>1638</v>
      </c>
      <c r="E236" s="730" t="s">
        <v>1639</v>
      </c>
      <c r="F236" s="733" t="s">
        <v>1163</v>
      </c>
      <c r="G236" s="384" t="s">
        <v>1178</v>
      </c>
      <c r="H236" s="381">
        <v>1</v>
      </c>
      <c r="I236" s="381">
        <v>5</v>
      </c>
      <c r="J236" s="381">
        <f t="shared" si="19"/>
        <v>1</v>
      </c>
      <c r="K236" s="381">
        <f t="shared" si="20"/>
        <v>5</v>
      </c>
      <c r="L236" s="647">
        <f>IFERROR(IF(B236="funkcna poziadavka",VLOOKUP(G236,MODULY_CBA!$B$3:$E$23,4,0)*H236/SUMIFS($H$3:$H$197,$G$3:$G$197,G236,$B$3:$B$197,B236),),)</f>
        <v>7</v>
      </c>
      <c r="M236" s="381">
        <f>IFERROR(IF(B236="Funkcna poziadavka",VLOOKUP(G236,MODULY_CBA!$B$3:$E$23,3,0),),)</f>
        <v>0.76999999999999991</v>
      </c>
      <c r="N236" s="381">
        <f>IFERROR(IF(B236="funkcna poziadavka",VLOOKUP(G236,MODULY_CBA!$B$3:$E$23,2,0),),)</f>
        <v>1.01</v>
      </c>
      <c r="O236" s="380">
        <f t="shared" si="21"/>
        <v>9.332399999999998</v>
      </c>
      <c r="P236" s="379">
        <f>IFERROR(O236*VLOOKUP(G236,MODULY_CBA!$B$3:$F$23,5,0),)</f>
        <v>186.64799999999997</v>
      </c>
      <c r="Q236" s="481" t="str">
        <f>IFERROR(VLOOKUP(G236,MODULY_CBA!$B$3:$I$23,6,0),"")</f>
        <v>Inkrement 1</v>
      </c>
      <c r="R236" s="383"/>
      <c r="S236" s="383"/>
      <c r="T236" s="383"/>
      <c r="U236" s="383"/>
      <c r="V236" s="383"/>
      <c r="W236" s="383"/>
      <c r="X236" s="383"/>
      <c r="Y236" s="383"/>
      <c r="Z236" s="383"/>
      <c r="AA236" s="383"/>
      <c r="AB236" s="383"/>
      <c r="AC236" s="383"/>
      <c r="AD236" s="383"/>
      <c r="AE236" s="383"/>
      <c r="AF236" s="376"/>
    </row>
    <row r="237" spans="1:32" ht="15" x14ac:dyDescent="0.2">
      <c r="A237" s="403" t="s">
        <v>3744</v>
      </c>
      <c r="B237" s="403" t="s">
        <v>724</v>
      </c>
      <c r="C237" s="730" t="s">
        <v>1640</v>
      </c>
      <c r="D237" s="730" t="s">
        <v>1641</v>
      </c>
      <c r="E237" s="730" t="s">
        <v>1642</v>
      </c>
      <c r="F237" s="733" t="s">
        <v>1163</v>
      </c>
      <c r="G237" s="384" t="s">
        <v>1178</v>
      </c>
      <c r="H237" s="381">
        <v>1</v>
      </c>
      <c r="I237" s="381">
        <v>5</v>
      </c>
      <c r="J237" s="381">
        <f t="shared" si="19"/>
        <v>1</v>
      </c>
      <c r="K237" s="381">
        <f t="shared" si="20"/>
        <v>5</v>
      </c>
      <c r="L237" s="647">
        <f>IFERROR(IF(B237="funkcna poziadavka",VLOOKUP(G237,MODULY_CBA!$B$3:$E$23,4,0)*H237/SUMIFS($H$3:$H$197,$G$3:$G$197,G237,$B$3:$B$197,B237),),)</f>
        <v>7</v>
      </c>
      <c r="M237" s="381">
        <f>IFERROR(IF(B237="Funkcna poziadavka",VLOOKUP(G237,MODULY_CBA!$B$3:$E$23,3,0),),)</f>
        <v>0.76999999999999991</v>
      </c>
      <c r="N237" s="381">
        <f>IFERROR(IF(B237="funkcna poziadavka",VLOOKUP(G237,MODULY_CBA!$B$3:$E$23,2,0),),)</f>
        <v>1.01</v>
      </c>
      <c r="O237" s="380">
        <f t="shared" si="21"/>
        <v>9.332399999999998</v>
      </c>
      <c r="P237" s="379">
        <f>IFERROR(O237*VLOOKUP(G237,MODULY_CBA!$B$3:$F$23,5,0),)</f>
        <v>186.64799999999997</v>
      </c>
      <c r="Q237" s="481" t="str">
        <f>IFERROR(VLOOKUP(G237,MODULY_CBA!$B$3:$I$23,6,0),"")</f>
        <v>Inkrement 1</v>
      </c>
      <c r="R237" s="383"/>
      <c r="S237" s="383"/>
      <c r="T237" s="383"/>
      <c r="U237" s="383"/>
      <c r="V237" s="383"/>
      <c r="W237" s="383"/>
      <c r="X237" s="383"/>
      <c r="Y237" s="383"/>
      <c r="Z237" s="383"/>
      <c r="AA237" s="383"/>
      <c r="AB237" s="383"/>
      <c r="AC237" s="383"/>
      <c r="AD237" s="383"/>
      <c r="AE237" s="383"/>
      <c r="AF237" s="376"/>
    </row>
    <row r="238" spans="1:32" ht="15" x14ac:dyDescent="0.2">
      <c r="A238" s="403" t="s">
        <v>3745</v>
      </c>
      <c r="B238" s="403" t="s">
        <v>724</v>
      </c>
      <c r="C238" s="730" t="s">
        <v>1640</v>
      </c>
      <c r="D238" s="730" t="s">
        <v>1643</v>
      </c>
      <c r="E238" s="730" t="s">
        <v>1644</v>
      </c>
      <c r="F238" s="733" t="s">
        <v>1163</v>
      </c>
      <c r="G238" s="384" t="s">
        <v>1178</v>
      </c>
      <c r="H238" s="381">
        <v>1</v>
      </c>
      <c r="I238" s="381">
        <v>5</v>
      </c>
      <c r="J238" s="381">
        <f t="shared" si="19"/>
        <v>1</v>
      </c>
      <c r="K238" s="381">
        <f t="shared" si="20"/>
        <v>5</v>
      </c>
      <c r="L238" s="647">
        <f>IFERROR(IF(B238="funkcna poziadavka",VLOOKUP(G238,MODULY_CBA!$B$3:$E$23,4,0)*H238/SUMIFS($H$3:$H$197,$G$3:$G$197,G238,$B$3:$B$197,B238),),)</f>
        <v>7</v>
      </c>
      <c r="M238" s="381">
        <f>IFERROR(IF(B238="Funkcna poziadavka",VLOOKUP(G238,MODULY_CBA!$B$3:$E$23,3,0),),)</f>
        <v>0.76999999999999991</v>
      </c>
      <c r="N238" s="381">
        <f>IFERROR(IF(B238="funkcna poziadavka",VLOOKUP(G238,MODULY_CBA!$B$3:$E$23,2,0),),)</f>
        <v>1.01</v>
      </c>
      <c r="O238" s="380">
        <f t="shared" si="21"/>
        <v>9.332399999999998</v>
      </c>
      <c r="P238" s="379">
        <f>IFERROR(O238*VLOOKUP(G238,MODULY_CBA!$B$3:$F$23,5,0),)</f>
        <v>186.64799999999997</v>
      </c>
      <c r="Q238" s="481" t="str">
        <f>IFERROR(VLOOKUP(G238,MODULY_CBA!$B$3:$I$23,6,0),"")</f>
        <v>Inkrement 1</v>
      </c>
      <c r="R238" s="383"/>
      <c r="S238" s="383"/>
      <c r="T238" s="383"/>
      <c r="U238" s="383"/>
      <c r="V238" s="383"/>
      <c r="W238" s="383"/>
      <c r="X238" s="383"/>
      <c r="Y238" s="383"/>
      <c r="Z238" s="383"/>
      <c r="AA238" s="383"/>
      <c r="AB238" s="383"/>
      <c r="AC238" s="383"/>
      <c r="AD238" s="383"/>
      <c r="AE238" s="383"/>
      <c r="AF238" s="376"/>
    </row>
    <row r="239" spans="1:32" ht="15" x14ac:dyDescent="0.2">
      <c r="A239" s="403" t="s">
        <v>3746</v>
      </c>
      <c r="B239" s="403" t="s">
        <v>724</v>
      </c>
      <c r="C239" s="730" t="s">
        <v>1640</v>
      </c>
      <c r="D239" s="730" t="s">
        <v>1645</v>
      </c>
      <c r="E239" s="730" t="s">
        <v>1646</v>
      </c>
      <c r="F239" s="733" t="s">
        <v>1163</v>
      </c>
      <c r="G239" s="384" t="s">
        <v>1178</v>
      </c>
      <c r="H239" s="381">
        <v>1</v>
      </c>
      <c r="I239" s="381">
        <v>5</v>
      </c>
      <c r="J239" s="381">
        <f t="shared" si="19"/>
        <v>1</v>
      </c>
      <c r="K239" s="381">
        <f t="shared" si="20"/>
        <v>5</v>
      </c>
      <c r="L239" s="647">
        <f>IFERROR(IF(B239="funkcna poziadavka",VLOOKUP(G239,MODULY_CBA!$B$3:$E$23,4,0)*H239/SUMIFS($H$3:$H$197,$G$3:$G$197,G239,$B$3:$B$197,B239),),)</f>
        <v>7</v>
      </c>
      <c r="M239" s="381">
        <f>IFERROR(IF(B239="Funkcna poziadavka",VLOOKUP(G239,MODULY_CBA!$B$3:$E$23,3,0),),)</f>
        <v>0.76999999999999991</v>
      </c>
      <c r="N239" s="381">
        <f>IFERROR(IF(B239="funkcna poziadavka",VLOOKUP(G239,MODULY_CBA!$B$3:$E$23,2,0),),)</f>
        <v>1.01</v>
      </c>
      <c r="O239" s="380">
        <f t="shared" si="21"/>
        <v>9.332399999999998</v>
      </c>
      <c r="P239" s="379">
        <f>IFERROR(O239*VLOOKUP(G239,MODULY_CBA!$B$3:$F$23,5,0),)</f>
        <v>186.64799999999997</v>
      </c>
      <c r="Q239" s="481" t="str">
        <f>IFERROR(VLOOKUP(G239,MODULY_CBA!$B$3:$I$23,6,0),"")</f>
        <v>Inkrement 1</v>
      </c>
      <c r="R239" s="383"/>
      <c r="S239" s="383"/>
      <c r="T239" s="383"/>
      <c r="U239" s="383"/>
      <c r="V239" s="383"/>
      <c r="W239" s="383"/>
      <c r="X239" s="383"/>
      <c r="Y239" s="383"/>
      <c r="Z239" s="383"/>
      <c r="AA239" s="383"/>
      <c r="AB239" s="383"/>
      <c r="AC239" s="383"/>
      <c r="AD239" s="383"/>
      <c r="AE239" s="383"/>
      <c r="AF239" s="376"/>
    </row>
    <row r="240" spans="1:32" ht="15" x14ac:dyDescent="0.2">
      <c r="A240" s="403" t="s">
        <v>3747</v>
      </c>
      <c r="B240" s="403" t="s">
        <v>724</v>
      </c>
      <c r="C240" s="730" t="s">
        <v>1647</v>
      </c>
      <c r="D240" s="730" t="s">
        <v>1648</v>
      </c>
      <c r="E240" s="730" t="s">
        <v>1649</v>
      </c>
      <c r="F240" s="733" t="s">
        <v>1163</v>
      </c>
      <c r="G240" s="384" t="s">
        <v>1178</v>
      </c>
      <c r="H240" s="381">
        <v>1</v>
      </c>
      <c r="I240" s="381">
        <v>5</v>
      </c>
      <c r="J240" s="381">
        <f t="shared" si="19"/>
        <v>1</v>
      </c>
      <c r="K240" s="381">
        <f t="shared" si="20"/>
        <v>5</v>
      </c>
      <c r="L240" s="647">
        <f>IFERROR(IF(B240="funkcna poziadavka",VLOOKUP(G240,MODULY_CBA!$B$3:$E$23,4,0)*H240/SUMIFS($H$3:$H$197,$G$3:$G$197,G240,$B$3:$B$197,B240),),)</f>
        <v>7</v>
      </c>
      <c r="M240" s="381">
        <f>IFERROR(IF(B240="Funkcna poziadavka",VLOOKUP(G240,MODULY_CBA!$B$3:$E$23,3,0),),)</f>
        <v>0.76999999999999991</v>
      </c>
      <c r="N240" s="381">
        <f>IFERROR(IF(B240="funkcna poziadavka",VLOOKUP(G240,MODULY_CBA!$B$3:$E$23,2,0),),)</f>
        <v>1.01</v>
      </c>
      <c r="O240" s="380">
        <f t="shared" si="21"/>
        <v>9.332399999999998</v>
      </c>
      <c r="P240" s="379">
        <f>IFERROR(O240*VLOOKUP(G240,MODULY_CBA!$B$3:$F$23,5,0),)</f>
        <v>186.64799999999997</v>
      </c>
      <c r="Q240" s="481" t="str">
        <f>IFERROR(VLOOKUP(G240,MODULY_CBA!$B$3:$I$23,6,0),"")</f>
        <v>Inkrement 1</v>
      </c>
      <c r="R240" s="383"/>
      <c r="S240" s="383"/>
      <c r="T240" s="383"/>
      <c r="U240" s="383"/>
      <c r="V240" s="383"/>
      <c r="W240" s="383"/>
      <c r="X240" s="383"/>
      <c r="Y240" s="383"/>
      <c r="Z240" s="383"/>
      <c r="AA240" s="383"/>
      <c r="AB240" s="383"/>
      <c r="AC240" s="383"/>
      <c r="AD240" s="383"/>
      <c r="AE240" s="383"/>
      <c r="AF240" s="376"/>
    </row>
    <row r="241" spans="1:32" ht="15" x14ac:dyDescent="0.2">
      <c r="A241" s="403" t="s">
        <v>3748</v>
      </c>
      <c r="B241" s="403" t="s">
        <v>724</v>
      </c>
      <c r="C241" s="730" t="s">
        <v>1647</v>
      </c>
      <c r="D241" s="730" t="s">
        <v>1650</v>
      </c>
      <c r="E241" s="730" t="s">
        <v>1651</v>
      </c>
      <c r="F241" s="733" t="s">
        <v>1163</v>
      </c>
      <c r="G241" s="384" t="s">
        <v>1178</v>
      </c>
      <c r="H241" s="381">
        <v>1</v>
      </c>
      <c r="I241" s="381">
        <v>5</v>
      </c>
      <c r="J241" s="381">
        <f t="shared" si="19"/>
        <v>1</v>
      </c>
      <c r="K241" s="381">
        <f t="shared" si="20"/>
        <v>5</v>
      </c>
      <c r="L241" s="647">
        <f>IFERROR(IF(B241="funkcna poziadavka",VLOOKUP(G241,MODULY_CBA!$B$3:$E$23,4,0)*H241/SUMIFS($H$3:$H$197,$G$3:$G$197,G241,$B$3:$B$197,B241),),)</f>
        <v>7</v>
      </c>
      <c r="M241" s="381">
        <f>IFERROR(IF(B241="Funkcna poziadavka",VLOOKUP(G241,MODULY_CBA!$B$3:$E$23,3,0),),)</f>
        <v>0.76999999999999991</v>
      </c>
      <c r="N241" s="381">
        <f>IFERROR(IF(B241="funkcna poziadavka",VLOOKUP(G241,MODULY_CBA!$B$3:$E$23,2,0),),)</f>
        <v>1.01</v>
      </c>
      <c r="O241" s="380">
        <f t="shared" si="21"/>
        <v>9.332399999999998</v>
      </c>
      <c r="P241" s="379">
        <f>IFERROR(O241*VLOOKUP(G241,MODULY_CBA!$B$3:$F$23,5,0),)</f>
        <v>186.64799999999997</v>
      </c>
      <c r="Q241" s="481" t="str">
        <f>IFERROR(VLOOKUP(G241,MODULY_CBA!$B$3:$I$23,6,0),"")</f>
        <v>Inkrement 1</v>
      </c>
      <c r="R241" s="383"/>
      <c r="S241" s="383"/>
      <c r="T241" s="383"/>
      <c r="U241" s="383"/>
      <c r="V241" s="383"/>
      <c r="W241" s="383"/>
      <c r="X241" s="383"/>
      <c r="Y241" s="383"/>
      <c r="Z241" s="383"/>
      <c r="AA241" s="383"/>
      <c r="AB241" s="383"/>
      <c r="AC241" s="383"/>
      <c r="AD241" s="383"/>
      <c r="AE241" s="383"/>
      <c r="AF241" s="376"/>
    </row>
    <row r="242" spans="1:32" ht="30" x14ac:dyDescent="0.2">
      <c r="A242" s="403" t="s">
        <v>3749</v>
      </c>
      <c r="B242" s="403" t="s">
        <v>724</v>
      </c>
      <c r="C242" s="730" t="s">
        <v>1647</v>
      </c>
      <c r="D242" s="730" t="s">
        <v>1652</v>
      </c>
      <c r="E242" s="730" t="s">
        <v>1653</v>
      </c>
      <c r="F242" s="733" t="s">
        <v>1163</v>
      </c>
      <c r="G242" s="384" t="s">
        <v>1178</v>
      </c>
      <c r="H242" s="381">
        <v>1</v>
      </c>
      <c r="I242" s="381">
        <v>5</v>
      </c>
      <c r="J242" s="381">
        <f t="shared" si="19"/>
        <v>1</v>
      </c>
      <c r="K242" s="381">
        <f t="shared" si="20"/>
        <v>5</v>
      </c>
      <c r="L242" s="647">
        <f>IFERROR(IF(B242="funkcna poziadavka",VLOOKUP(G242,MODULY_CBA!$B$3:$E$23,4,0)*H242/SUMIFS($H$3:$H$197,$G$3:$G$197,G242,$B$3:$B$197,B242),),)</f>
        <v>7</v>
      </c>
      <c r="M242" s="381">
        <f>IFERROR(IF(B242="Funkcna poziadavka",VLOOKUP(G242,MODULY_CBA!$B$3:$E$23,3,0),),)</f>
        <v>0.76999999999999991</v>
      </c>
      <c r="N242" s="381">
        <f>IFERROR(IF(B242="funkcna poziadavka",VLOOKUP(G242,MODULY_CBA!$B$3:$E$23,2,0),),)</f>
        <v>1.01</v>
      </c>
      <c r="O242" s="380">
        <f t="shared" si="21"/>
        <v>9.332399999999998</v>
      </c>
      <c r="P242" s="379">
        <f>IFERROR(O242*VLOOKUP(G242,MODULY_CBA!$B$3:$F$23,5,0),)</f>
        <v>186.64799999999997</v>
      </c>
      <c r="Q242" s="481" t="str">
        <f>IFERROR(VLOOKUP(G242,MODULY_CBA!$B$3:$I$23,6,0),"")</f>
        <v>Inkrement 1</v>
      </c>
      <c r="R242" s="383"/>
      <c r="S242" s="383"/>
      <c r="T242" s="383"/>
      <c r="U242" s="383"/>
      <c r="V242" s="383"/>
      <c r="W242" s="383"/>
      <c r="X242" s="383"/>
      <c r="Y242" s="383"/>
      <c r="Z242" s="383"/>
      <c r="AA242" s="383"/>
      <c r="AB242" s="383"/>
      <c r="AC242" s="383"/>
      <c r="AD242" s="383"/>
      <c r="AE242" s="383"/>
      <c r="AF242" s="376"/>
    </row>
    <row r="243" spans="1:32" ht="15" x14ac:dyDescent="0.2">
      <c r="A243" s="403" t="s">
        <v>3750</v>
      </c>
      <c r="B243" s="403" t="s">
        <v>724</v>
      </c>
      <c r="C243" s="730" t="s">
        <v>1647</v>
      </c>
      <c r="D243" s="730" t="s">
        <v>1654</v>
      </c>
      <c r="E243" s="730" t="s">
        <v>1655</v>
      </c>
      <c r="F243" s="733" t="s">
        <v>1163</v>
      </c>
      <c r="G243" s="384" t="s">
        <v>1178</v>
      </c>
      <c r="H243" s="381">
        <v>1</v>
      </c>
      <c r="I243" s="381">
        <v>5</v>
      </c>
      <c r="J243" s="381">
        <f t="shared" si="19"/>
        <v>1</v>
      </c>
      <c r="K243" s="381">
        <f t="shared" si="20"/>
        <v>5</v>
      </c>
      <c r="L243" s="647">
        <f>IFERROR(IF(B243="funkcna poziadavka",VLOOKUP(G243,MODULY_CBA!$B$3:$E$23,4,0)*H243/SUMIFS($H$3:$H$197,$G$3:$G$197,G243,$B$3:$B$197,B243),),)</f>
        <v>7</v>
      </c>
      <c r="M243" s="381">
        <f>IFERROR(IF(B243="Funkcna poziadavka",VLOOKUP(G243,MODULY_CBA!$B$3:$E$23,3,0),),)</f>
        <v>0.76999999999999991</v>
      </c>
      <c r="N243" s="381">
        <f>IFERROR(IF(B243="funkcna poziadavka",VLOOKUP(G243,MODULY_CBA!$B$3:$E$23,2,0),),)</f>
        <v>1.01</v>
      </c>
      <c r="O243" s="380">
        <f t="shared" si="21"/>
        <v>9.332399999999998</v>
      </c>
      <c r="P243" s="379">
        <f>IFERROR(O243*VLOOKUP(G243,MODULY_CBA!$B$3:$F$23,5,0),)</f>
        <v>186.64799999999997</v>
      </c>
      <c r="Q243" s="481" t="str">
        <f>IFERROR(VLOOKUP(G243,MODULY_CBA!$B$3:$I$23,6,0),"")</f>
        <v>Inkrement 1</v>
      </c>
      <c r="R243" s="383"/>
      <c r="S243" s="383"/>
      <c r="T243" s="383"/>
      <c r="U243" s="383"/>
      <c r="V243" s="383"/>
      <c r="W243" s="383"/>
      <c r="X243" s="383"/>
      <c r="Y243" s="383"/>
      <c r="Z243" s="383"/>
      <c r="AA243" s="383"/>
      <c r="AB243" s="383"/>
      <c r="AC243" s="383"/>
      <c r="AD243" s="383"/>
      <c r="AE243" s="383"/>
      <c r="AF243" s="376"/>
    </row>
    <row r="244" spans="1:32" ht="15" x14ac:dyDescent="0.2">
      <c r="A244" s="403" t="s">
        <v>3751</v>
      </c>
      <c r="B244" s="403" t="s">
        <v>724</v>
      </c>
      <c r="C244" s="730" t="s">
        <v>1656</v>
      </c>
      <c r="D244" s="730" t="s">
        <v>1657</v>
      </c>
      <c r="E244" s="730" t="s">
        <v>1658</v>
      </c>
      <c r="F244" s="733" t="s">
        <v>1163</v>
      </c>
      <c r="G244" s="384" t="s">
        <v>1178</v>
      </c>
      <c r="H244" s="381">
        <v>1</v>
      </c>
      <c r="I244" s="381">
        <v>5</v>
      </c>
      <c r="J244" s="381">
        <f t="shared" si="19"/>
        <v>1</v>
      </c>
      <c r="K244" s="381">
        <f t="shared" si="20"/>
        <v>5</v>
      </c>
      <c r="L244" s="647">
        <f>IFERROR(IF(B244="funkcna poziadavka",VLOOKUP(G244,MODULY_CBA!$B$3:$E$23,4,0)*H244/SUMIFS($H$3:$H$197,$G$3:$G$197,G244,$B$3:$B$197,B244),),)</f>
        <v>7</v>
      </c>
      <c r="M244" s="381">
        <f>IFERROR(IF(B244="Funkcna poziadavka",VLOOKUP(G244,MODULY_CBA!$B$3:$E$23,3,0),),)</f>
        <v>0.76999999999999991</v>
      </c>
      <c r="N244" s="381">
        <f>IFERROR(IF(B244="funkcna poziadavka",VLOOKUP(G244,MODULY_CBA!$B$3:$E$23,2,0),),)</f>
        <v>1.01</v>
      </c>
      <c r="O244" s="380">
        <f t="shared" si="21"/>
        <v>9.332399999999998</v>
      </c>
      <c r="P244" s="379">
        <f>IFERROR(O244*VLOOKUP(G244,MODULY_CBA!$B$3:$F$23,5,0),)</f>
        <v>186.64799999999997</v>
      </c>
      <c r="Q244" s="481" t="str">
        <f>IFERROR(VLOOKUP(G244,MODULY_CBA!$B$3:$I$23,6,0),"")</f>
        <v>Inkrement 1</v>
      </c>
      <c r="R244" s="383"/>
      <c r="S244" s="383"/>
      <c r="T244" s="383"/>
      <c r="U244" s="383"/>
      <c r="V244" s="383"/>
      <c r="W244" s="383"/>
      <c r="X244" s="383"/>
      <c r="Y244" s="383"/>
      <c r="Z244" s="383"/>
      <c r="AA244" s="383"/>
      <c r="AB244" s="383"/>
      <c r="AC244" s="383"/>
      <c r="AD244" s="383"/>
      <c r="AE244" s="383"/>
      <c r="AF244" s="376"/>
    </row>
    <row r="245" spans="1:32" ht="15" x14ac:dyDescent="0.2">
      <c r="A245" s="403" t="s">
        <v>3752</v>
      </c>
      <c r="B245" s="403" t="s">
        <v>724</v>
      </c>
      <c r="C245" s="730" t="s">
        <v>1659</v>
      </c>
      <c r="D245" s="730" t="s">
        <v>1660</v>
      </c>
      <c r="E245" s="730" t="s">
        <v>1661</v>
      </c>
      <c r="F245" s="733" t="s">
        <v>1163</v>
      </c>
      <c r="G245" s="384" t="s">
        <v>1178</v>
      </c>
      <c r="H245" s="381">
        <v>1</v>
      </c>
      <c r="I245" s="381">
        <v>5</v>
      </c>
      <c r="J245" s="381">
        <f t="shared" si="19"/>
        <v>1</v>
      </c>
      <c r="K245" s="381">
        <f t="shared" si="20"/>
        <v>5</v>
      </c>
      <c r="L245" s="647">
        <f>IFERROR(IF(B245="funkcna poziadavka",VLOOKUP(G245,MODULY_CBA!$B$3:$E$23,4,0)*H245/SUMIFS($H$3:$H$197,$G$3:$G$197,G245,$B$3:$B$197,B245),),)</f>
        <v>7</v>
      </c>
      <c r="M245" s="381">
        <f>IFERROR(IF(B245="Funkcna poziadavka",VLOOKUP(G245,MODULY_CBA!$B$3:$E$23,3,0),),)</f>
        <v>0.76999999999999991</v>
      </c>
      <c r="N245" s="381">
        <f>IFERROR(IF(B245="funkcna poziadavka",VLOOKUP(G245,MODULY_CBA!$B$3:$E$23,2,0),),)</f>
        <v>1.01</v>
      </c>
      <c r="O245" s="380">
        <f t="shared" si="21"/>
        <v>9.332399999999998</v>
      </c>
      <c r="P245" s="379">
        <f>IFERROR(O245*VLOOKUP(G245,MODULY_CBA!$B$3:$F$23,5,0),)</f>
        <v>186.64799999999997</v>
      </c>
      <c r="Q245" s="481" t="str">
        <f>IFERROR(VLOOKUP(G245,MODULY_CBA!$B$3:$I$23,6,0),"")</f>
        <v>Inkrement 1</v>
      </c>
      <c r="R245" s="383"/>
      <c r="S245" s="383"/>
      <c r="T245" s="383"/>
      <c r="U245" s="383"/>
      <c r="V245" s="383"/>
      <c r="W245" s="383"/>
      <c r="X245" s="383"/>
      <c r="Y245" s="383"/>
      <c r="Z245" s="383"/>
      <c r="AA245" s="383"/>
      <c r="AB245" s="383"/>
      <c r="AC245" s="383"/>
      <c r="AD245" s="383"/>
      <c r="AE245" s="383"/>
      <c r="AF245" s="376"/>
    </row>
    <row r="246" spans="1:32" ht="15" x14ac:dyDescent="0.2">
      <c r="A246" s="403" t="s">
        <v>3753</v>
      </c>
      <c r="B246" s="403" t="s">
        <v>724</v>
      </c>
      <c r="C246" s="730" t="s">
        <v>1659</v>
      </c>
      <c r="D246" s="730" t="s">
        <v>1662</v>
      </c>
      <c r="E246" s="730" t="s">
        <v>1663</v>
      </c>
      <c r="F246" s="733" t="s">
        <v>1163</v>
      </c>
      <c r="G246" s="384" t="s">
        <v>1178</v>
      </c>
      <c r="H246" s="381">
        <v>1</v>
      </c>
      <c r="I246" s="381">
        <v>5</v>
      </c>
      <c r="J246" s="381">
        <f t="shared" si="19"/>
        <v>1</v>
      </c>
      <c r="K246" s="381">
        <f t="shared" si="20"/>
        <v>5</v>
      </c>
      <c r="L246" s="647">
        <f>IFERROR(IF(B246="funkcna poziadavka",VLOOKUP(G246,MODULY_CBA!$B$3:$E$23,4,0)*H246/SUMIFS($H$3:$H$197,$G$3:$G$197,G246,$B$3:$B$197,B246),),)</f>
        <v>7</v>
      </c>
      <c r="M246" s="381">
        <f>IFERROR(IF(B246="Funkcna poziadavka",VLOOKUP(G246,MODULY_CBA!$B$3:$E$23,3,0),),)</f>
        <v>0.76999999999999991</v>
      </c>
      <c r="N246" s="381">
        <f>IFERROR(IF(B246="funkcna poziadavka",VLOOKUP(G246,MODULY_CBA!$B$3:$E$23,2,0),),)</f>
        <v>1.01</v>
      </c>
      <c r="O246" s="380">
        <f t="shared" si="21"/>
        <v>9.332399999999998</v>
      </c>
      <c r="P246" s="379">
        <f>IFERROR(O246*VLOOKUP(G246,MODULY_CBA!$B$3:$F$23,5,0),)</f>
        <v>186.64799999999997</v>
      </c>
      <c r="Q246" s="481" t="str">
        <f>IFERROR(VLOOKUP(G246,MODULY_CBA!$B$3:$I$23,6,0),"")</f>
        <v>Inkrement 1</v>
      </c>
      <c r="R246" s="383"/>
      <c r="S246" s="383"/>
      <c r="T246" s="383"/>
      <c r="U246" s="383"/>
      <c r="V246" s="383"/>
      <c r="W246" s="383"/>
      <c r="X246" s="383"/>
      <c r="Y246" s="383"/>
      <c r="Z246" s="383"/>
      <c r="AA246" s="383"/>
      <c r="AB246" s="383"/>
      <c r="AC246" s="383"/>
      <c r="AD246" s="383"/>
      <c r="AE246" s="383"/>
      <c r="AF246" s="376"/>
    </row>
    <row r="247" spans="1:32" ht="15" x14ac:dyDescent="0.2">
      <c r="A247" s="403" t="s">
        <v>3754</v>
      </c>
      <c r="B247" s="403" t="s">
        <v>724</v>
      </c>
      <c r="C247" s="730" t="s">
        <v>1659</v>
      </c>
      <c r="D247" s="730" t="s">
        <v>1664</v>
      </c>
      <c r="E247" s="730" t="s">
        <v>1665</v>
      </c>
      <c r="F247" s="733" t="s">
        <v>1163</v>
      </c>
      <c r="G247" s="384" t="s">
        <v>1178</v>
      </c>
      <c r="H247" s="381">
        <v>1</v>
      </c>
      <c r="I247" s="381">
        <v>5</v>
      </c>
      <c r="J247" s="381">
        <f t="shared" si="19"/>
        <v>1</v>
      </c>
      <c r="K247" s="381">
        <f t="shared" si="20"/>
        <v>5</v>
      </c>
      <c r="L247" s="647">
        <f>IFERROR(IF(B247="funkcna poziadavka",VLOOKUP(G247,MODULY_CBA!$B$3:$E$23,4,0)*H247/SUMIFS($H$3:$H$197,$G$3:$G$197,G247,$B$3:$B$197,B247),),)</f>
        <v>7</v>
      </c>
      <c r="M247" s="381">
        <f>IFERROR(IF(B247="Funkcna poziadavka",VLOOKUP(G247,MODULY_CBA!$B$3:$E$23,3,0),),)</f>
        <v>0.76999999999999991</v>
      </c>
      <c r="N247" s="381">
        <f>IFERROR(IF(B247="funkcna poziadavka",VLOOKUP(G247,MODULY_CBA!$B$3:$E$23,2,0),),)</f>
        <v>1.01</v>
      </c>
      <c r="O247" s="380">
        <f t="shared" si="21"/>
        <v>9.332399999999998</v>
      </c>
      <c r="P247" s="379">
        <f>IFERROR(O247*VLOOKUP(G247,MODULY_CBA!$B$3:$F$23,5,0),)</f>
        <v>186.64799999999997</v>
      </c>
      <c r="Q247" s="481" t="str">
        <f>IFERROR(VLOOKUP(G247,MODULY_CBA!$B$3:$I$23,6,0),"")</f>
        <v>Inkrement 1</v>
      </c>
      <c r="R247" s="383"/>
      <c r="S247" s="383"/>
      <c r="T247" s="383"/>
      <c r="U247" s="383"/>
      <c r="V247" s="383"/>
      <c r="W247" s="383"/>
      <c r="X247" s="383"/>
      <c r="Y247" s="383"/>
      <c r="Z247" s="383"/>
      <c r="AA247" s="383"/>
      <c r="AB247" s="383"/>
      <c r="AC247" s="383"/>
      <c r="AD247" s="383"/>
      <c r="AE247" s="383"/>
      <c r="AF247" s="376"/>
    </row>
    <row r="248" spans="1:32" ht="30" x14ac:dyDescent="0.2">
      <c r="A248" s="403" t="s">
        <v>3755</v>
      </c>
      <c r="B248" s="403" t="s">
        <v>724</v>
      </c>
      <c r="C248" s="730" t="s">
        <v>1666</v>
      </c>
      <c r="D248" s="730" t="s">
        <v>1667</v>
      </c>
      <c r="E248" s="730" t="s">
        <v>1668</v>
      </c>
      <c r="F248" s="733" t="s">
        <v>1163</v>
      </c>
      <c r="G248" s="384" t="s">
        <v>1178</v>
      </c>
      <c r="H248" s="381">
        <v>1</v>
      </c>
      <c r="I248" s="381">
        <v>5</v>
      </c>
      <c r="J248" s="381">
        <f t="shared" si="19"/>
        <v>1</v>
      </c>
      <c r="K248" s="381">
        <f t="shared" si="20"/>
        <v>5</v>
      </c>
      <c r="L248" s="647">
        <f>IFERROR(IF(B248="funkcna poziadavka",VLOOKUP(G248,MODULY_CBA!$B$3:$E$23,4,0)*H248/SUMIFS($H$3:$H$197,$G$3:$G$197,G248,$B$3:$B$197,B248),),)</f>
        <v>7</v>
      </c>
      <c r="M248" s="381">
        <f>IFERROR(IF(B248="Funkcna poziadavka",VLOOKUP(G248,MODULY_CBA!$B$3:$E$23,3,0),),)</f>
        <v>0.76999999999999991</v>
      </c>
      <c r="N248" s="381">
        <f>IFERROR(IF(B248="funkcna poziadavka",VLOOKUP(G248,MODULY_CBA!$B$3:$E$23,2,0),),)</f>
        <v>1.01</v>
      </c>
      <c r="O248" s="380">
        <f t="shared" si="21"/>
        <v>9.332399999999998</v>
      </c>
      <c r="P248" s="379">
        <f>IFERROR(O248*VLOOKUP(G248,MODULY_CBA!$B$3:$F$23,5,0),)</f>
        <v>186.64799999999997</v>
      </c>
      <c r="Q248" s="481" t="str">
        <f>IFERROR(VLOOKUP(G248,MODULY_CBA!$B$3:$I$23,6,0),"")</f>
        <v>Inkrement 1</v>
      </c>
      <c r="R248" s="383"/>
      <c r="S248" s="383"/>
      <c r="T248" s="383"/>
      <c r="U248" s="383"/>
      <c r="V248" s="383"/>
      <c r="W248" s="383"/>
      <c r="X248" s="383"/>
      <c r="Y248" s="383"/>
      <c r="Z248" s="383"/>
      <c r="AA248" s="383"/>
      <c r="AB248" s="383"/>
      <c r="AC248" s="383"/>
      <c r="AD248" s="383"/>
      <c r="AE248" s="383"/>
      <c r="AF248" s="376"/>
    </row>
    <row r="249" spans="1:32" ht="15" x14ac:dyDescent="0.2">
      <c r="A249" s="403"/>
      <c r="B249" s="403"/>
      <c r="C249" s="534"/>
      <c r="D249" s="534"/>
      <c r="E249" s="534"/>
      <c r="F249" s="384"/>
      <c r="G249" s="384"/>
      <c r="H249" s="653"/>
      <c r="I249" s="653"/>
      <c r="J249" s="381">
        <f t="shared" si="19"/>
        <v>0</v>
      </c>
      <c r="K249" s="381">
        <f t="shared" si="20"/>
        <v>0</v>
      </c>
      <c r="L249" s="647">
        <f>IFERROR(IF(B249="funkcna poziadavka",VLOOKUP(G249,MODULY_CBA!$B$3:$E$23,4,0)*H249/SUMIFS($H$3:$H$197,$G$3:$G$197,G249,$B$3:$B$197,B249),),)</f>
        <v>0</v>
      </c>
      <c r="M249" s="381">
        <f>IFERROR(IF(B249="Funkcna poziadavka",VLOOKUP(G249,MODULY_CBA!$B$3:$E$23,3,0),),)</f>
        <v>0</v>
      </c>
      <c r="N249" s="381">
        <f>IFERROR(IF(B249="funkcna poziadavka",VLOOKUP(G249,MODULY_CBA!$B$3:$E$23,2,0),),)</f>
        <v>0</v>
      </c>
      <c r="O249" s="380">
        <f t="shared" si="21"/>
        <v>0</v>
      </c>
      <c r="P249" s="379">
        <f>IFERROR(O249*VLOOKUP(G249,MODULY_CBA!$B$3:$F$23,5,0),)</f>
        <v>0</v>
      </c>
      <c r="Q249" s="481" t="str">
        <f>IFERROR(VLOOKUP(G249,MODULY_CBA!$B$3:$I$23,6,0),"")</f>
        <v/>
      </c>
      <c r="R249" s="383"/>
      <c r="S249" s="383"/>
      <c r="T249" s="383"/>
      <c r="U249" s="383"/>
      <c r="V249" s="383"/>
      <c r="W249" s="383"/>
      <c r="X249" s="383"/>
      <c r="Y249" s="383"/>
      <c r="Z249" s="383"/>
      <c r="AA249" s="383"/>
      <c r="AB249" s="383"/>
      <c r="AC249" s="383"/>
      <c r="AD249" s="383"/>
      <c r="AE249" s="383"/>
      <c r="AF249" s="376"/>
    </row>
    <row r="250" spans="1:32" ht="15" x14ac:dyDescent="0.2">
      <c r="A250" s="403"/>
      <c r="B250" s="403"/>
      <c r="C250" s="534"/>
      <c r="D250" s="534"/>
      <c r="E250" s="534"/>
      <c r="F250" s="384"/>
      <c r="G250" s="384"/>
      <c r="H250" s="653"/>
      <c r="I250" s="653"/>
      <c r="J250" s="381">
        <f t="shared" si="19"/>
        <v>0</v>
      </c>
      <c r="K250" s="381">
        <f t="shared" si="20"/>
        <v>0</v>
      </c>
      <c r="L250" s="647">
        <f>IFERROR(IF(B250="funkcna poziadavka",VLOOKUP(G250,MODULY_CBA!$B$3:$E$23,4,0)*H250/SUMIFS($H$3:$H$197,$G$3:$G$197,G250,$B$3:$B$197,B250),),)</f>
        <v>0</v>
      </c>
      <c r="M250" s="381">
        <f>IFERROR(IF(B250="Funkcna poziadavka",VLOOKUP(G250,MODULY_CBA!$B$3:$E$23,3,0),),)</f>
        <v>0</v>
      </c>
      <c r="N250" s="381">
        <f>IFERROR(IF(B250="funkcna poziadavka",VLOOKUP(G250,MODULY_CBA!$B$3:$E$23,2,0),),)</f>
        <v>0</v>
      </c>
      <c r="O250" s="380">
        <f t="shared" si="21"/>
        <v>0</v>
      </c>
      <c r="P250" s="379">
        <f>IFERROR(O250*VLOOKUP(G250,MODULY_CBA!$B$3:$F$23,5,0),)</f>
        <v>0</v>
      </c>
      <c r="Q250" s="481" t="str">
        <f>IFERROR(VLOOKUP(G250,MODULY_CBA!$B$3:$I$23,6,0),"")</f>
        <v/>
      </c>
      <c r="R250" s="383"/>
      <c r="S250" s="383"/>
      <c r="T250" s="383"/>
      <c r="U250" s="383"/>
      <c r="V250" s="383"/>
      <c r="W250" s="383"/>
      <c r="X250" s="383"/>
      <c r="Y250" s="383"/>
      <c r="Z250" s="383"/>
      <c r="AA250" s="383"/>
      <c r="AB250" s="383"/>
      <c r="AC250" s="383"/>
      <c r="AD250" s="383"/>
      <c r="AE250" s="383"/>
      <c r="AF250" s="376"/>
    </row>
    <row r="251" spans="1:32" ht="15" x14ac:dyDescent="0.2">
      <c r="A251" s="403"/>
      <c r="B251" s="403"/>
      <c r="C251" s="534"/>
      <c r="D251" s="534"/>
      <c r="E251" s="534"/>
      <c r="F251" s="384"/>
      <c r="G251" s="384"/>
      <c r="H251" s="653"/>
      <c r="I251" s="653"/>
      <c r="J251" s="381">
        <f t="shared" si="19"/>
        <v>0</v>
      </c>
      <c r="K251" s="381">
        <f t="shared" si="20"/>
        <v>0</v>
      </c>
      <c r="L251" s="647">
        <f>IFERROR(IF(B251="funkcna poziadavka",VLOOKUP(G251,MODULY_CBA!$B$3:$E$23,4,0)*H251/SUMIFS($H$3:$H$197,$G$3:$G$197,G251,$B$3:$B$197,B251),),)</f>
        <v>0</v>
      </c>
      <c r="M251" s="381">
        <f>IFERROR(IF(B251="Funkcna poziadavka",VLOOKUP(G251,MODULY_CBA!$B$3:$E$23,3,0),),)</f>
        <v>0</v>
      </c>
      <c r="N251" s="381">
        <f>IFERROR(IF(B251="funkcna poziadavka",VLOOKUP(G251,MODULY_CBA!$B$3:$E$23,2,0),),)</f>
        <v>0</v>
      </c>
      <c r="O251" s="380">
        <f t="shared" si="21"/>
        <v>0</v>
      </c>
      <c r="P251" s="379">
        <f>IFERROR(O251*VLOOKUP(G251,MODULY_CBA!$B$3:$F$23,5,0),)</f>
        <v>0</v>
      </c>
      <c r="Q251" s="481" t="str">
        <f>IFERROR(VLOOKUP(G251,MODULY_CBA!$B$3:$I$23,6,0),"")</f>
        <v/>
      </c>
      <c r="R251" s="383"/>
      <c r="S251" s="383"/>
      <c r="T251" s="383"/>
      <c r="U251" s="383"/>
      <c r="V251" s="383"/>
      <c r="W251" s="383"/>
      <c r="X251" s="383"/>
      <c r="Y251" s="383"/>
      <c r="Z251" s="383"/>
      <c r="AA251" s="383"/>
      <c r="AB251" s="383"/>
      <c r="AC251" s="383"/>
      <c r="AD251" s="383"/>
      <c r="AE251" s="383"/>
      <c r="AF251" s="376"/>
    </row>
    <row r="252" spans="1:32" ht="15" x14ac:dyDescent="0.2">
      <c r="A252" s="403"/>
      <c r="B252" s="403"/>
      <c r="C252" s="534"/>
      <c r="D252" s="534"/>
      <c r="E252" s="534"/>
      <c r="F252" s="384"/>
      <c r="G252" s="384"/>
      <c r="H252" s="653"/>
      <c r="I252" s="653"/>
      <c r="J252" s="381">
        <f t="shared" si="19"/>
        <v>0</v>
      </c>
      <c r="K252" s="381">
        <f t="shared" si="20"/>
        <v>0</v>
      </c>
      <c r="L252" s="647">
        <f>IFERROR(IF(B252="funkcna poziadavka",VLOOKUP(G252,MODULY_CBA!$B$3:$E$23,4,0)*H252/SUMIFS($H$3:$H$197,$G$3:$G$197,G252,$B$3:$B$197,B252),),)</f>
        <v>0</v>
      </c>
      <c r="M252" s="381">
        <f>IFERROR(IF(B252="Funkcna poziadavka",VLOOKUP(G252,MODULY_CBA!$B$3:$E$23,3,0),),)</f>
        <v>0</v>
      </c>
      <c r="N252" s="381">
        <f>IFERROR(IF(B252="funkcna poziadavka",VLOOKUP(G252,MODULY_CBA!$B$3:$E$23,2,0),),)</f>
        <v>0</v>
      </c>
      <c r="O252" s="380">
        <f t="shared" si="21"/>
        <v>0</v>
      </c>
      <c r="P252" s="379">
        <f>IFERROR(O252*VLOOKUP(G252,MODULY_CBA!$B$3:$F$23,5,0),)</f>
        <v>0</v>
      </c>
      <c r="Q252" s="481" t="str">
        <f>IFERROR(VLOOKUP(G252,MODULY_CBA!$B$3:$I$23,6,0),"")</f>
        <v/>
      </c>
      <c r="R252" s="383"/>
      <c r="S252" s="383"/>
      <c r="T252" s="383"/>
      <c r="U252" s="383"/>
      <c r="V252" s="383"/>
      <c r="W252" s="383"/>
      <c r="X252" s="383"/>
      <c r="Y252" s="383"/>
      <c r="Z252" s="383"/>
      <c r="AA252" s="383"/>
      <c r="AB252" s="383"/>
      <c r="AC252" s="383"/>
      <c r="AD252" s="383"/>
      <c r="AE252" s="383"/>
      <c r="AF252" s="376"/>
    </row>
    <row r="253" spans="1:32" ht="15" x14ac:dyDescent="0.2">
      <c r="A253" s="403"/>
      <c r="B253" s="403"/>
      <c r="C253" s="534"/>
      <c r="D253" s="534"/>
      <c r="E253" s="534"/>
      <c r="F253" s="384"/>
      <c r="G253" s="384"/>
      <c r="H253" s="653"/>
      <c r="I253" s="653"/>
      <c r="J253" s="381">
        <f t="shared" si="19"/>
        <v>0</v>
      </c>
      <c r="K253" s="381">
        <f t="shared" si="20"/>
        <v>0</v>
      </c>
      <c r="L253" s="647">
        <f>IFERROR(IF(B253="funkcna poziadavka",VLOOKUP(G253,MODULY_CBA!$B$3:$E$23,4,0)*H253/SUMIFS($H$3:$H$197,$G$3:$G$197,G253,$B$3:$B$197,B253),),)</f>
        <v>0</v>
      </c>
      <c r="M253" s="381">
        <f>IFERROR(IF(B253="Funkcna poziadavka",VLOOKUP(G253,MODULY_CBA!$B$3:$E$23,3,0),),)</f>
        <v>0</v>
      </c>
      <c r="N253" s="381">
        <f>IFERROR(IF(B253="funkcna poziadavka",VLOOKUP(G253,MODULY_CBA!$B$3:$E$23,2,0),),)</f>
        <v>0</v>
      </c>
      <c r="O253" s="380">
        <f t="shared" si="21"/>
        <v>0</v>
      </c>
      <c r="P253" s="379">
        <f>IFERROR(O253*VLOOKUP(G253,MODULY_CBA!$B$3:$F$23,5,0),)</f>
        <v>0</v>
      </c>
      <c r="Q253" s="481" t="str">
        <f>IFERROR(VLOOKUP(G253,MODULY_CBA!$B$3:$I$23,6,0),"")</f>
        <v/>
      </c>
      <c r="R253" s="383"/>
      <c r="S253" s="383"/>
      <c r="T253" s="383"/>
      <c r="U253" s="383"/>
      <c r="V253" s="383"/>
      <c r="W253" s="383"/>
      <c r="X253" s="383"/>
      <c r="Y253" s="383"/>
      <c r="Z253" s="383"/>
      <c r="AA253" s="383"/>
      <c r="AB253" s="383"/>
      <c r="AC253" s="383"/>
      <c r="AD253" s="383"/>
      <c r="AE253" s="383"/>
      <c r="AF253" s="376"/>
    </row>
    <row r="254" spans="1:32" ht="15" x14ac:dyDescent="0.2">
      <c r="A254" s="403"/>
      <c r="B254" s="403"/>
      <c r="C254" s="534"/>
      <c r="D254" s="534"/>
      <c r="E254" s="534"/>
      <c r="F254" s="384"/>
      <c r="G254" s="384"/>
      <c r="H254" s="653"/>
      <c r="I254" s="653"/>
      <c r="J254" s="381">
        <f t="shared" si="19"/>
        <v>0</v>
      </c>
      <c r="K254" s="381">
        <f t="shared" si="20"/>
        <v>0</v>
      </c>
      <c r="L254" s="647">
        <f>IFERROR(IF(B254="funkcna poziadavka",VLOOKUP(G254,MODULY_CBA!$B$3:$E$23,4,0)*H254/SUMIFS($H$3:$H$197,$G$3:$G$197,G254,$B$3:$B$197,B254),),)</f>
        <v>0</v>
      </c>
      <c r="M254" s="381">
        <f>IFERROR(IF(B254="Funkcna poziadavka",VLOOKUP(G254,MODULY_CBA!$B$3:$E$23,3,0),),)</f>
        <v>0</v>
      </c>
      <c r="N254" s="381">
        <f>IFERROR(IF(B254="funkcna poziadavka",VLOOKUP(G254,MODULY_CBA!$B$3:$E$23,2,0),),)</f>
        <v>0</v>
      </c>
      <c r="O254" s="380">
        <f t="shared" si="21"/>
        <v>0</v>
      </c>
      <c r="P254" s="379">
        <f>IFERROR(O254*VLOOKUP(G254,MODULY_CBA!$B$3:$F$23,5,0),)</f>
        <v>0</v>
      </c>
      <c r="Q254" s="481" t="str">
        <f>IFERROR(VLOOKUP(G254,MODULY_CBA!$B$3:$I$23,6,0),"")</f>
        <v/>
      </c>
      <c r="R254" s="383"/>
      <c r="S254" s="383"/>
      <c r="T254" s="383"/>
      <c r="U254" s="383"/>
      <c r="V254" s="383"/>
      <c r="W254" s="383"/>
      <c r="X254" s="383"/>
      <c r="Y254" s="383"/>
      <c r="Z254" s="383"/>
      <c r="AA254" s="383"/>
      <c r="AB254" s="383"/>
      <c r="AC254" s="383"/>
      <c r="AD254" s="383"/>
      <c r="AE254" s="383"/>
      <c r="AF254" s="376"/>
    </row>
    <row r="255" spans="1:32" ht="15" x14ac:dyDescent="0.2">
      <c r="A255" s="403"/>
      <c r="B255" s="403"/>
      <c r="C255" s="534"/>
      <c r="D255" s="534"/>
      <c r="E255" s="534"/>
      <c r="F255" s="384"/>
      <c r="G255" s="384"/>
      <c r="H255" s="653"/>
      <c r="I255" s="653"/>
      <c r="J255" s="381">
        <f t="shared" si="19"/>
        <v>0</v>
      </c>
      <c r="K255" s="381">
        <f t="shared" si="20"/>
        <v>0</v>
      </c>
      <c r="L255" s="647">
        <f>IFERROR(IF(B255="funkcna poziadavka",VLOOKUP(G255,MODULY_CBA!$B$3:$E$23,4,0)*H255/SUMIFS($H$3:$H$197,$G$3:$G$197,G255,$B$3:$B$197,B255),),)</f>
        <v>0</v>
      </c>
      <c r="M255" s="381">
        <f>IFERROR(IF(B255="Funkcna poziadavka",VLOOKUP(G255,MODULY_CBA!$B$3:$E$23,3,0),),)</f>
        <v>0</v>
      </c>
      <c r="N255" s="381">
        <f>IFERROR(IF(B255="funkcna poziadavka",VLOOKUP(G255,MODULY_CBA!$B$3:$E$23,2,0),),)</f>
        <v>0</v>
      </c>
      <c r="O255" s="380">
        <f t="shared" si="21"/>
        <v>0</v>
      </c>
      <c r="P255" s="379">
        <f>IFERROR(O255*VLOOKUP(G255,MODULY_CBA!$B$3:$F$23,5,0),)</f>
        <v>0</v>
      </c>
      <c r="Q255" s="481" t="str">
        <f>IFERROR(VLOOKUP(G255,MODULY_CBA!$B$3:$I$23,6,0),"")</f>
        <v/>
      </c>
      <c r="R255" s="383"/>
      <c r="S255" s="383"/>
      <c r="T255" s="383"/>
      <c r="U255" s="383"/>
      <c r="V255" s="383"/>
      <c r="W255" s="383"/>
      <c r="X255" s="383"/>
      <c r="Y255" s="383"/>
      <c r="Z255" s="383"/>
      <c r="AA255" s="383"/>
      <c r="AB255" s="383"/>
      <c r="AC255" s="383"/>
      <c r="AD255" s="383"/>
      <c r="AE255" s="383"/>
      <c r="AF255" s="376"/>
    </row>
    <row r="256" spans="1:32" ht="15" x14ac:dyDescent="0.2">
      <c r="A256" s="403"/>
      <c r="B256" s="403"/>
      <c r="C256" s="534"/>
      <c r="D256" s="534"/>
      <c r="E256" s="534"/>
      <c r="F256" s="384"/>
      <c r="G256" s="384"/>
      <c r="H256" s="653"/>
      <c r="I256" s="653"/>
      <c r="J256" s="381">
        <f t="shared" si="19"/>
        <v>0</v>
      </c>
      <c r="K256" s="381">
        <f t="shared" si="20"/>
        <v>0</v>
      </c>
      <c r="L256" s="647">
        <f>IFERROR(IF(B256="funkcna poziadavka",VLOOKUP(G256,MODULY_CBA!$B$3:$E$23,4,0)*H256/SUMIFS($H$3:$H$197,$G$3:$G$197,G256,$B$3:$B$197,B256),),)</f>
        <v>0</v>
      </c>
      <c r="M256" s="381">
        <f>IFERROR(IF(B256="Funkcna poziadavka",VLOOKUP(G256,MODULY_CBA!$B$3:$E$23,3,0),),)</f>
        <v>0</v>
      </c>
      <c r="N256" s="381">
        <f>IFERROR(IF(B256="funkcna poziadavka",VLOOKUP(G256,MODULY_CBA!$B$3:$E$23,2,0),),)</f>
        <v>0</v>
      </c>
      <c r="O256" s="380">
        <f t="shared" si="21"/>
        <v>0</v>
      </c>
      <c r="P256" s="379">
        <f>IFERROR(O256*VLOOKUP(G256,MODULY_CBA!$B$3:$F$23,5,0),)</f>
        <v>0</v>
      </c>
      <c r="Q256" s="481" t="str">
        <f>IFERROR(VLOOKUP(G256,MODULY_CBA!$B$3:$I$23,6,0),"")</f>
        <v/>
      </c>
      <c r="R256" s="383"/>
      <c r="S256" s="383"/>
      <c r="T256" s="383"/>
      <c r="U256" s="383"/>
      <c r="V256" s="383"/>
      <c r="W256" s="383"/>
      <c r="X256" s="383"/>
      <c r="Y256" s="383"/>
      <c r="Z256" s="383"/>
      <c r="AA256" s="383"/>
      <c r="AB256" s="383"/>
      <c r="AC256" s="383"/>
      <c r="AD256" s="383"/>
      <c r="AE256" s="383"/>
      <c r="AF256" s="376"/>
    </row>
    <row r="257" spans="1:32" ht="15" x14ac:dyDescent="0.2">
      <c r="A257" s="403"/>
      <c r="B257" s="403"/>
      <c r="C257" s="534"/>
      <c r="D257" s="534"/>
      <c r="E257" s="534"/>
      <c r="F257" s="384"/>
      <c r="G257" s="384"/>
      <c r="H257" s="653"/>
      <c r="I257" s="653"/>
      <c r="J257" s="381">
        <f t="shared" si="19"/>
        <v>0</v>
      </c>
      <c r="K257" s="381">
        <f t="shared" si="20"/>
        <v>0</v>
      </c>
      <c r="L257" s="647">
        <f>IFERROR(IF(B257="funkcna poziadavka",VLOOKUP(G257,MODULY_CBA!$B$3:$E$23,4,0)*H257/SUMIFS($H$3:$H$197,$G$3:$G$197,G257,$B$3:$B$197,B257),),)</f>
        <v>0</v>
      </c>
      <c r="M257" s="381">
        <f>IFERROR(IF(B257="Funkcna poziadavka",VLOOKUP(G257,MODULY_CBA!$B$3:$E$23,3,0),),)</f>
        <v>0</v>
      </c>
      <c r="N257" s="381">
        <f>IFERROR(IF(B257="funkcna poziadavka",VLOOKUP(G257,MODULY_CBA!$B$3:$E$23,2,0),),)</f>
        <v>0</v>
      </c>
      <c r="O257" s="380">
        <f t="shared" si="21"/>
        <v>0</v>
      </c>
      <c r="P257" s="379">
        <f>IFERROR(O257*VLOOKUP(G257,MODULY_CBA!$B$3:$F$23,5,0),)</f>
        <v>0</v>
      </c>
      <c r="Q257" s="481" t="str">
        <f>IFERROR(VLOOKUP(G257,MODULY_CBA!$B$3:$I$23,6,0),"")</f>
        <v/>
      </c>
      <c r="R257" s="383"/>
      <c r="S257" s="383"/>
      <c r="T257" s="383"/>
      <c r="U257" s="383"/>
      <c r="V257" s="383"/>
      <c r="W257" s="383"/>
      <c r="X257" s="383"/>
      <c r="Y257" s="383"/>
      <c r="Z257" s="383"/>
      <c r="AA257" s="383"/>
      <c r="AB257" s="383"/>
      <c r="AC257" s="383"/>
      <c r="AD257" s="383"/>
      <c r="AE257" s="383"/>
      <c r="AF257" s="376"/>
    </row>
    <row r="258" spans="1:32" ht="15" x14ac:dyDescent="0.2">
      <c r="A258" s="403"/>
      <c r="B258" s="403"/>
      <c r="C258" s="534"/>
      <c r="D258" s="534"/>
      <c r="E258" s="534"/>
      <c r="F258" s="384"/>
      <c r="G258" s="384"/>
      <c r="H258" s="653"/>
      <c r="I258" s="653"/>
      <c r="J258" s="381">
        <f t="shared" si="19"/>
        <v>0</v>
      </c>
      <c r="K258" s="381">
        <f t="shared" si="20"/>
        <v>0</v>
      </c>
      <c r="L258" s="647">
        <f>IFERROR(IF(B258="funkcna poziadavka",VLOOKUP(G258,MODULY_CBA!$B$3:$E$23,4,0)*H258/SUMIFS($H$3:$H$197,$G$3:$G$197,G258,$B$3:$B$197,B258),),)</f>
        <v>0</v>
      </c>
      <c r="M258" s="381">
        <f>IFERROR(IF(B258="Funkcna poziadavka",VLOOKUP(G258,MODULY_CBA!$B$3:$E$23,3,0),),)</f>
        <v>0</v>
      </c>
      <c r="N258" s="381">
        <f>IFERROR(IF(B258="funkcna poziadavka",VLOOKUP(G258,MODULY_CBA!$B$3:$E$23,2,0),),)</f>
        <v>0</v>
      </c>
      <c r="O258" s="380">
        <f t="shared" si="21"/>
        <v>0</v>
      </c>
      <c r="P258" s="379">
        <f>IFERROR(O258*VLOOKUP(G258,MODULY_CBA!$B$3:$F$23,5,0),)</f>
        <v>0</v>
      </c>
      <c r="Q258" s="481" t="str">
        <f>IFERROR(VLOOKUP(G258,MODULY_CBA!$B$3:$I$23,6,0),"")</f>
        <v/>
      </c>
      <c r="R258" s="383"/>
      <c r="S258" s="383"/>
      <c r="T258" s="383"/>
      <c r="U258" s="383"/>
      <c r="V258" s="383"/>
      <c r="W258" s="383"/>
      <c r="X258" s="383"/>
      <c r="Y258" s="383"/>
      <c r="Z258" s="383"/>
      <c r="AA258" s="383"/>
      <c r="AB258" s="383"/>
      <c r="AC258" s="383"/>
      <c r="AD258" s="383"/>
      <c r="AE258" s="383"/>
      <c r="AF258" s="376"/>
    </row>
    <row r="259" spans="1:32" ht="15" x14ac:dyDescent="0.2">
      <c r="A259" s="403"/>
      <c r="B259" s="403"/>
      <c r="C259" s="534"/>
      <c r="D259" s="534"/>
      <c r="E259" s="534"/>
      <c r="F259" s="384"/>
      <c r="G259" s="384"/>
      <c r="H259" s="653"/>
      <c r="I259" s="653"/>
      <c r="J259" s="381">
        <f t="shared" si="19"/>
        <v>0</v>
      </c>
      <c r="K259" s="381">
        <f t="shared" si="20"/>
        <v>0</v>
      </c>
      <c r="L259" s="647">
        <f>IFERROR(IF(B259="funkcna poziadavka",VLOOKUP(G259,MODULY_CBA!$B$3:$E$23,4,0)*H259/SUMIFS($H$3:$H$197,$G$3:$G$197,G259,$B$3:$B$197,B259),),)</f>
        <v>0</v>
      </c>
      <c r="M259" s="381">
        <f>IFERROR(IF(B259="Funkcna poziadavka",VLOOKUP(G259,MODULY_CBA!$B$3:$E$23,3,0),),)</f>
        <v>0</v>
      </c>
      <c r="N259" s="381">
        <f>IFERROR(IF(B259="funkcna poziadavka",VLOOKUP(G259,MODULY_CBA!$B$3:$E$23,2,0),),)</f>
        <v>0</v>
      </c>
      <c r="O259" s="380">
        <f t="shared" si="21"/>
        <v>0</v>
      </c>
      <c r="P259" s="379">
        <f>IFERROR(O259*VLOOKUP(G259,MODULY_CBA!$B$3:$F$23,5,0),)</f>
        <v>0</v>
      </c>
      <c r="Q259" s="481" t="str">
        <f>IFERROR(VLOOKUP(G259,MODULY_CBA!$B$3:$I$23,6,0),"")</f>
        <v/>
      </c>
      <c r="R259" s="383"/>
      <c r="S259" s="383"/>
      <c r="T259" s="383"/>
      <c r="U259" s="383"/>
      <c r="V259" s="383"/>
      <c r="W259" s="383"/>
      <c r="X259" s="383"/>
      <c r="Y259" s="383"/>
      <c r="Z259" s="383"/>
      <c r="AA259" s="383"/>
      <c r="AB259" s="383"/>
      <c r="AC259" s="383"/>
      <c r="AD259" s="383"/>
      <c r="AE259" s="383"/>
      <c r="AF259" s="376"/>
    </row>
    <row r="260" spans="1:32" ht="15" x14ac:dyDescent="0.2">
      <c r="A260" s="403"/>
      <c r="B260" s="403"/>
      <c r="C260" s="534"/>
      <c r="D260" s="534"/>
      <c r="E260" s="534"/>
      <c r="F260" s="384"/>
      <c r="G260" s="384"/>
      <c r="H260" s="653"/>
      <c r="I260" s="653"/>
      <c r="J260" s="381">
        <f t="shared" si="19"/>
        <v>0</v>
      </c>
      <c r="K260" s="381">
        <f t="shared" si="20"/>
        <v>0</v>
      </c>
      <c r="L260" s="647">
        <f>IFERROR(IF(B260="funkcna poziadavka",VLOOKUP(G260,MODULY_CBA!$B$3:$E$23,4,0)*H260/SUMIFS($H$3:$H$197,$G$3:$G$197,G260,$B$3:$B$197,B260),),)</f>
        <v>0</v>
      </c>
      <c r="M260" s="381">
        <f>IFERROR(IF(B260="Funkcna poziadavka",VLOOKUP(G260,MODULY_CBA!$B$3:$E$23,3,0),),)</f>
        <v>0</v>
      </c>
      <c r="N260" s="381">
        <f>IFERROR(IF(B260="funkcna poziadavka",VLOOKUP(G260,MODULY_CBA!$B$3:$E$23,2,0),),)</f>
        <v>0</v>
      </c>
      <c r="O260" s="380">
        <f t="shared" si="21"/>
        <v>0</v>
      </c>
      <c r="P260" s="379">
        <f>IFERROR(O260*VLOOKUP(G260,MODULY_CBA!$B$3:$F$23,5,0),)</f>
        <v>0</v>
      </c>
      <c r="Q260" s="481" t="str">
        <f>IFERROR(VLOOKUP(G260,MODULY_CBA!$B$3:$I$23,6,0),"")</f>
        <v/>
      </c>
      <c r="R260" s="383"/>
      <c r="S260" s="383"/>
      <c r="T260" s="383"/>
      <c r="U260" s="383"/>
      <c r="V260" s="383"/>
      <c r="W260" s="383"/>
      <c r="X260" s="383"/>
      <c r="Y260" s="383"/>
      <c r="Z260" s="383"/>
      <c r="AA260" s="383"/>
      <c r="AB260" s="383"/>
      <c r="AC260" s="383"/>
      <c r="AD260" s="383"/>
      <c r="AE260" s="383"/>
      <c r="AF260" s="376"/>
    </row>
    <row r="261" spans="1:32" ht="15" x14ac:dyDescent="0.2">
      <c r="A261" s="403"/>
      <c r="B261" s="403"/>
      <c r="C261" s="534"/>
      <c r="D261" s="534"/>
      <c r="E261" s="534"/>
      <c r="F261" s="384"/>
      <c r="G261" s="384"/>
      <c r="H261" s="653"/>
      <c r="I261" s="653"/>
      <c r="J261" s="381">
        <f t="shared" si="19"/>
        <v>0</v>
      </c>
      <c r="K261" s="381">
        <f t="shared" si="20"/>
        <v>0</v>
      </c>
      <c r="L261" s="647">
        <f>IFERROR(IF(B261="funkcna poziadavka",VLOOKUP(G261,MODULY_CBA!$B$3:$E$23,4,0)*H261/SUMIFS($H$3:$H$197,$G$3:$G$197,G261,$B$3:$B$197,B261),),)</f>
        <v>0</v>
      </c>
      <c r="M261" s="381">
        <f>IFERROR(IF(B261="Funkcna poziadavka",VLOOKUP(G261,MODULY_CBA!$B$3:$E$23,3,0),),)</f>
        <v>0</v>
      </c>
      <c r="N261" s="381">
        <f>IFERROR(IF(B261="funkcna poziadavka",VLOOKUP(G261,MODULY_CBA!$B$3:$E$23,2,0),),)</f>
        <v>0</v>
      </c>
      <c r="O261" s="380">
        <f t="shared" si="21"/>
        <v>0</v>
      </c>
      <c r="P261" s="379">
        <f>IFERROR(O261*VLOOKUP(G261,MODULY_CBA!$B$3:$F$23,5,0),)</f>
        <v>0</v>
      </c>
      <c r="Q261" s="481" t="str">
        <f>IFERROR(VLOOKUP(G261,MODULY_CBA!$B$3:$I$23,6,0),"")</f>
        <v/>
      </c>
      <c r="R261" s="383"/>
      <c r="S261" s="383"/>
      <c r="T261" s="383"/>
      <c r="U261" s="383"/>
      <c r="V261" s="383"/>
      <c r="W261" s="383"/>
      <c r="X261" s="383"/>
      <c r="Y261" s="383"/>
      <c r="Z261" s="383"/>
      <c r="AA261" s="383"/>
      <c r="AB261" s="383"/>
      <c r="AC261" s="383"/>
      <c r="AD261" s="383"/>
      <c r="AE261" s="383"/>
      <c r="AF261" s="376"/>
    </row>
    <row r="262" spans="1:32" ht="15" x14ac:dyDescent="0.2">
      <c r="A262" s="403"/>
      <c r="B262" s="403"/>
      <c r="C262" s="534"/>
      <c r="D262" s="534"/>
      <c r="E262" s="534"/>
      <c r="F262" s="384"/>
      <c r="G262" s="384"/>
      <c r="H262" s="653"/>
      <c r="I262" s="653"/>
      <c r="J262" s="381">
        <f t="shared" si="19"/>
        <v>0</v>
      </c>
      <c r="K262" s="381">
        <f t="shared" si="20"/>
        <v>0</v>
      </c>
      <c r="L262" s="647">
        <f>IFERROR(IF(B262="funkcna poziadavka",VLOOKUP(G262,MODULY_CBA!$B$3:$E$23,4,0)*H262/SUMIFS($H$3:$H$197,$G$3:$G$197,G262,$B$3:$B$197,B262),),)</f>
        <v>0</v>
      </c>
      <c r="M262" s="381">
        <f>IFERROR(IF(B262="Funkcna poziadavka",VLOOKUP(G262,MODULY_CBA!$B$3:$E$23,3,0),),)</f>
        <v>0</v>
      </c>
      <c r="N262" s="381">
        <f>IFERROR(IF(B262="funkcna poziadavka",VLOOKUP(G262,MODULY_CBA!$B$3:$E$23,2,0),),)</f>
        <v>0</v>
      </c>
      <c r="O262" s="380">
        <f t="shared" si="21"/>
        <v>0</v>
      </c>
      <c r="P262" s="379">
        <f>IFERROR(O262*VLOOKUP(G262,MODULY_CBA!$B$3:$F$23,5,0),)</f>
        <v>0</v>
      </c>
      <c r="Q262" s="481" t="str">
        <f>IFERROR(VLOOKUP(G262,MODULY_CBA!$B$3:$I$23,6,0),"")</f>
        <v/>
      </c>
      <c r="R262" s="383"/>
      <c r="S262" s="383"/>
      <c r="T262" s="383"/>
      <c r="U262" s="383"/>
      <c r="V262" s="383"/>
      <c r="W262" s="383"/>
      <c r="X262" s="383"/>
      <c r="Y262" s="383"/>
      <c r="Z262" s="383"/>
      <c r="AA262" s="383"/>
      <c r="AB262" s="383"/>
      <c r="AC262" s="383"/>
      <c r="AD262" s="383"/>
      <c r="AE262" s="383"/>
      <c r="AF262" s="376"/>
    </row>
    <row r="263" spans="1:32" ht="15" x14ac:dyDescent="0.2">
      <c r="A263" s="403"/>
      <c r="B263" s="403"/>
      <c r="C263" s="534"/>
      <c r="D263" s="534"/>
      <c r="E263" s="534"/>
      <c r="F263" s="384"/>
      <c r="G263" s="384"/>
      <c r="H263" s="653"/>
      <c r="I263" s="653"/>
      <c r="J263" s="381">
        <f t="shared" si="19"/>
        <v>0</v>
      </c>
      <c r="K263" s="381">
        <f t="shared" si="20"/>
        <v>0</v>
      </c>
      <c r="L263" s="647">
        <f>IFERROR(IF(B263="funkcna poziadavka",VLOOKUP(G263,MODULY_CBA!$B$3:$E$23,4,0)*H263/SUMIFS($H$3:$H$197,$G$3:$G$197,G263,$B$3:$B$197,B263),),)</f>
        <v>0</v>
      </c>
      <c r="M263" s="381">
        <f>IFERROR(IF(B263="Funkcna poziadavka",VLOOKUP(G263,MODULY_CBA!$B$3:$E$23,3,0),),)</f>
        <v>0</v>
      </c>
      <c r="N263" s="381">
        <f>IFERROR(IF(B263="funkcna poziadavka",VLOOKUP(G263,MODULY_CBA!$B$3:$E$23,2,0),),)</f>
        <v>0</v>
      </c>
      <c r="O263" s="380">
        <f t="shared" si="21"/>
        <v>0</v>
      </c>
      <c r="P263" s="379">
        <f>IFERROR(O263*VLOOKUP(G263,MODULY_CBA!$B$3:$F$23,5,0),)</f>
        <v>0</v>
      </c>
      <c r="Q263" s="481" t="str">
        <f>IFERROR(VLOOKUP(G263,MODULY_CBA!$B$3:$I$23,6,0),"")</f>
        <v/>
      </c>
      <c r="R263" s="383"/>
      <c r="S263" s="383"/>
      <c r="T263" s="383"/>
      <c r="U263" s="383"/>
      <c r="V263" s="383"/>
      <c r="W263" s="383"/>
      <c r="X263" s="383"/>
      <c r="Y263" s="383"/>
      <c r="Z263" s="383"/>
      <c r="AA263" s="383"/>
      <c r="AB263" s="383"/>
      <c r="AC263" s="383"/>
      <c r="AD263" s="383"/>
      <c r="AE263" s="383"/>
      <c r="AF263" s="376"/>
    </row>
    <row r="264" spans="1:32" ht="15" x14ac:dyDescent="0.2">
      <c r="A264" s="403"/>
      <c r="B264" s="403"/>
      <c r="C264" s="534"/>
      <c r="D264" s="534"/>
      <c r="E264" s="534"/>
      <c r="F264" s="384"/>
      <c r="G264" s="384"/>
      <c r="H264" s="653"/>
      <c r="I264" s="653"/>
      <c r="J264" s="381">
        <f t="shared" si="19"/>
        <v>0</v>
      </c>
      <c r="K264" s="381">
        <f t="shared" si="20"/>
        <v>0</v>
      </c>
      <c r="L264" s="647">
        <f>IFERROR(IF(B264="funkcna poziadavka",VLOOKUP(G264,MODULY_CBA!$B$3:$E$23,4,0)*H264/SUMIFS($H$3:$H$197,$G$3:$G$197,G264,$B$3:$B$197,B264),),)</f>
        <v>0</v>
      </c>
      <c r="M264" s="381">
        <f>IFERROR(IF(B264="Funkcna poziadavka",VLOOKUP(G264,MODULY_CBA!$B$3:$E$23,3,0),),)</f>
        <v>0</v>
      </c>
      <c r="N264" s="381">
        <f>IFERROR(IF(B264="funkcna poziadavka",VLOOKUP(G264,MODULY_CBA!$B$3:$E$23,2,0),),)</f>
        <v>0</v>
      </c>
      <c r="O264" s="380">
        <f t="shared" si="21"/>
        <v>0</v>
      </c>
      <c r="P264" s="379">
        <f>IFERROR(O264*VLOOKUP(G264,MODULY_CBA!$B$3:$F$23,5,0),)</f>
        <v>0</v>
      </c>
      <c r="Q264" s="481" t="str">
        <f>IFERROR(VLOOKUP(G264,MODULY_CBA!$B$3:$I$23,6,0),"")</f>
        <v/>
      </c>
      <c r="R264" s="383"/>
      <c r="S264" s="383"/>
      <c r="T264" s="383"/>
      <c r="U264" s="383"/>
      <c r="V264" s="383"/>
      <c r="W264" s="383"/>
      <c r="X264" s="383"/>
      <c r="Y264" s="383"/>
      <c r="Z264" s="383"/>
      <c r="AA264" s="383"/>
      <c r="AB264" s="383"/>
      <c r="AC264" s="383"/>
      <c r="AD264" s="383"/>
      <c r="AE264" s="383"/>
      <c r="AF264" s="376"/>
    </row>
    <row r="265" spans="1:32" ht="15" x14ac:dyDescent="0.2">
      <c r="A265" s="403"/>
      <c r="B265" s="403"/>
      <c r="C265" s="534"/>
      <c r="D265" s="534"/>
      <c r="E265" s="534"/>
      <c r="F265" s="384"/>
      <c r="G265" s="384"/>
      <c r="H265" s="653"/>
      <c r="I265" s="653"/>
      <c r="J265" s="381">
        <f t="shared" si="19"/>
        <v>0</v>
      </c>
      <c r="K265" s="381">
        <f t="shared" si="20"/>
        <v>0</v>
      </c>
      <c r="L265" s="647">
        <f>IFERROR(IF(B265="funkcna poziadavka",VLOOKUP(G265,MODULY_CBA!$B$3:$E$23,4,0)*H265/SUMIFS($H$3:$H$197,$G$3:$G$197,G265,$B$3:$B$197,B265),),)</f>
        <v>0</v>
      </c>
      <c r="M265" s="381">
        <f>IFERROR(IF(B265="Funkcna poziadavka",VLOOKUP(G265,MODULY_CBA!$B$3:$E$23,3,0),),)</f>
        <v>0</v>
      </c>
      <c r="N265" s="381">
        <f>IFERROR(IF(B265="funkcna poziadavka",VLOOKUP(G265,MODULY_CBA!$B$3:$E$23,2,0),),)</f>
        <v>0</v>
      </c>
      <c r="O265" s="380">
        <f t="shared" si="21"/>
        <v>0</v>
      </c>
      <c r="P265" s="379">
        <f>IFERROR(O265*VLOOKUP(G265,MODULY_CBA!$B$3:$F$23,5,0),)</f>
        <v>0</v>
      </c>
      <c r="Q265" s="481" t="str">
        <f>IFERROR(VLOOKUP(G265,MODULY_CBA!$B$3:$I$23,6,0),"")</f>
        <v/>
      </c>
      <c r="R265" s="383"/>
      <c r="S265" s="383"/>
      <c r="T265" s="383"/>
      <c r="U265" s="383"/>
      <c r="V265" s="383"/>
      <c r="W265" s="383"/>
      <c r="X265" s="383"/>
      <c r="Y265" s="383"/>
      <c r="Z265" s="383"/>
      <c r="AA265" s="383"/>
      <c r="AB265" s="383"/>
      <c r="AC265" s="383"/>
      <c r="AD265" s="383"/>
      <c r="AE265" s="383"/>
      <c r="AF265" s="376"/>
    </row>
    <row r="266" spans="1:32" ht="15" x14ac:dyDescent="0.2">
      <c r="A266" s="403"/>
      <c r="B266" s="403"/>
      <c r="C266" s="534"/>
      <c r="D266" s="534"/>
      <c r="E266" s="534"/>
      <c r="F266" s="384"/>
      <c r="G266" s="384"/>
      <c r="H266" s="653"/>
      <c r="I266" s="653"/>
      <c r="J266" s="381">
        <f t="shared" si="19"/>
        <v>0</v>
      </c>
      <c r="K266" s="381">
        <f t="shared" si="20"/>
        <v>0</v>
      </c>
      <c r="L266" s="647">
        <f>IFERROR(IF(B266="funkcna poziadavka",VLOOKUP(G266,MODULY_CBA!$B$3:$E$23,4,0)*H266/SUMIFS($H$3:$H$197,$G$3:$G$197,G266,$B$3:$B$197,B266),),)</f>
        <v>0</v>
      </c>
      <c r="M266" s="381">
        <f>IFERROR(IF(B266="Funkcna poziadavka",VLOOKUP(G266,MODULY_CBA!$B$3:$E$23,3,0),),)</f>
        <v>0</v>
      </c>
      <c r="N266" s="381">
        <f>IFERROR(IF(B266="funkcna poziadavka",VLOOKUP(G266,MODULY_CBA!$B$3:$E$23,2,0),),)</f>
        <v>0</v>
      </c>
      <c r="O266" s="380">
        <f t="shared" si="21"/>
        <v>0</v>
      </c>
      <c r="P266" s="379">
        <f>IFERROR(O266*VLOOKUP(G266,MODULY_CBA!$B$3:$F$23,5,0),)</f>
        <v>0</v>
      </c>
      <c r="Q266" s="481" t="str">
        <f>IFERROR(VLOOKUP(G266,MODULY_CBA!$B$3:$I$23,6,0),"")</f>
        <v/>
      </c>
      <c r="R266" s="383"/>
      <c r="S266" s="383"/>
      <c r="T266" s="383"/>
      <c r="U266" s="383"/>
      <c r="V266" s="383"/>
      <c r="W266" s="383"/>
      <c r="X266" s="383"/>
      <c r="Y266" s="383"/>
      <c r="Z266" s="383"/>
      <c r="AA266" s="383"/>
      <c r="AB266" s="383"/>
      <c r="AC266" s="383"/>
      <c r="AD266" s="383"/>
      <c r="AE266" s="383"/>
      <c r="AF266" s="376"/>
    </row>
    <row r="267" spans="1:32" ht="15" x14ac:dyDescent="0.2">
      <c r="A267" s="403"/>
      <c r="B267" s="403"/>
      <c r="C267" s="534"/>
      <c r="D267" s="534"/>
      <c r="E267" s="534"/>
      <c r="F267" s="384"/>
      <c r="G267" s="384"/>
      <c r="H267" s="653"/>
      <c r="I267" s="653"/>
      <c r="J267" s="381">
        <f t="shared" si="19"/>
        <v>0</v>
      </c>
      <c r="K267" s="381">
        <f t="shared" si="20"/>
        <v>0</v>
      </c>
      <c r="L267" s="647">
        <f>IFERROR(IF(B267="funkcna poziadavka",VLOOKUP(G267,MODULY_CBA!$B$3:$E$23,4,0)*H267/SUMIFS($H$3:$H$197,$G$3:$G$197,G267,$B$3:$B$197,B267),),)</f>
        <v>0</v>
      </c>
      <c r="M267" s="381">
        <f>IFERROR(IF(B267="Funkcna poziadavka",VLOOKUP(G267,MODULY_CBA!$B$3:$E$23,3,0),),)</f>
        <v>0</v>
      </c>
      <c r="N267" s="381">
        <f>IFERROR(IF(B267="funkcna poziadavka",VLOOKUP(G267,MODULY_CBA!$B$3:$E$23,2,0),),)</f>
        <v>0</v>
      </c>
      <c r="O267" s="380">
        <f t="shared" si="21"/>
        <v>0</v>
      </c>
      <c r="P267" s="379">
        <f>IFERROR(O267*VLOOKUP(G267,MODULY_CBA!$B$3:$F$23,5,0),)</f>
        <v>0</v>
      </c>
      <c r="Q267" s="481" t="str">
        <f>IFERROR(VLOOKUP(G267,MODULY_CBA!$B$3:$I$23,6,0),"")</f>
        <v/>
      </c>
      <c r="R267" s="383"/>
      <c r="S267" s="383"/>
      <c r="T267" s="383"/>
      <c r="U267" s="383"/>
      <c r="V267" s="383"/>
      <c r="W267" s="383"/>
      <c r="X267" s="383"/>
      <c r="Y267" s="383"/>
      <c r="Z267" s="383"/>
      <c r="AA267" s="383"/>
      <c r="AB267" s="383"/>
      <c r="AC267" s="383"/>
      <c r="AD267" s="383"/>
      <c r="AE267" s="383"/>
      <c r="AF267" s="376"/>
    </row>
    <row r="268" spans="1:32" ht="15" x14ac:dyDescent="0.2">
      <c r="A268" s="403"/>
      <c r="B268" s="403"/>
      <c r="C268" s="534"/>
      <c r="D268" s="534"/>
      <c r="E268" s="534"/>
      <c r="F268" s="384"/>
      <c r="G268" s="384"/>
      <c r="H268" s="653"/>
      <c r="I268" s="653"/>
      <c r="J268" s="381">
        <f t="shared" si="19"/>
        <v>0</v>
      </c>
      <c r="K268" s="381">
        <f t="shared" si="20"/>
        <v>0</v>
      </c>
      <c r="L268" s="647">
        <f>IFERROR(IF(B268="funkcna poziadavka",VLOOKUP(G268,MODULY_CBA!$B$3:$E$23,4,0)*H268/SUMIFS($H$3:$H$197,$G$3:$G$197,G268,$B$3:$B$197,B268),),)</f>
        <v>0</v>
      </c>
      <c r="M268" s="381">
        <f>IFERROR(IF(B268="Funkcna poziadavka",VLOOKUP(G268,MODULY_CBA!$B$3:$E$23,3,0),),)</f>
        <v>0</v>
      </c>
      <c r="N268" s="381">
        <f>IFERROR(IF(B268="funkcna poziadavka",VLOOKUP(G268,MODULY_CBA!$B$3:$E$23,2,0),),)</f>
        <v>0</v>
      </c>
      <c r="O268" s="380">
        <f t="shared" si="21"/>
        <v>0</v>
      </c>
      <c r="P268" s="379">
        <f>IFERROR(O268*VLOOKUP(G268,MODULY_CBA!$B$3:$F$23,5,0),)</f>
        <v>0</v>
      </c>
      <c r="Q268" s="481" t="str">
        <f>IFERROR(VLOOKUP(G268,MODULY_CBA!$B$3:$I$23,6,0),"")</f>
        <v/>
      </c>
      <c r="R268" s="383"/>
      <c r="S268" s="383"/>
      <c r="T268" s="383"/>
      <c r="U268" s="383"/>
      <c r="V268" s="383"/>
      <c r="W268" s="383"/>
      <c r="X268" s="383"/>
      <c r="Y268" s="383"/>
      <c r="Z268" s="383"/>
      <c r="AA268" s="383"/>
      <c r="AB268" s="383"/>
      <c r="AC268" s="383"/>
      <c r="AD268" s="383"/>
      <c r="AE268" s="383"/>
      <c r="AF268" s="376"/>
    </row>
    <row r="269" spans="1:32" ht="15" x14ac:dyDescent="0.2">
      <c r="A269" s="403"/>
      <c r="B269" s="403"/>
      <c r="C269" s="534"/>
      <c r="D269" s="534"/>
      <c r="E269" s="534"/>
      <c r="F269" s="384"/>
      <c r="G269" s="384"/>
      <c r="H269" s="653"/>
      <c r="I269" s="653"/>
      <c r="J269" s="381">
        <f t="shared" si="19"/>
        <v>0</v>
      </c>
      <c r="K269" s="381">
        <f t="shared" si="20"/>
        <v>0</v>
      </c>
      <c r="L269" s="647">
        <f>IFERROR(IF(B269="funkcna poziadavka",VLOOKUP(G269,MODULY_CBA!$B$3:$E$23,4,0)*H269/SUMIFS($H$3:$H$197,$G$3:$G$197,G269,$B$3:$B$197,B269),),)</f>
        <v>0</v>
      </c>
      <c r="M269" s="381">
        <f>IFERROR(IF(B269="Funkcna poziadavka",VLOOKUP(G269,MODULY_CBA!$B$3:$E$23,3,0),),)</f>
        <v>0</v>
      </c>
      <c r="N269" s="381">
        <f>IFERROR(IF(B269="funkcna poziadavka",VLOOKUP(G269,MODULY_CBA!$B$3:$E$23,2,0),),)</f>
        <v>0</v>
      </c>
      <c r="O269" s="380">
        <f t="shared" si="21"/>
        <v>0</v>
      </c>
      <c r="P269" s="379">
        <f>IFERROR(O269*VLOOKUP(G269,MODULY_CBA!$B$3:$F$23,5,0),)</f>
        <v>0</v>
      </c>
      <c r="Q269" s="481" t="str">
        <f>IFERROR(VLOOKUP(G269,MODULY_CBA!$B$3:$I$23,6,0),"")</f>
        <v/>
      </c>
      <c r="R269" s="383"/>
      <c r="S269" s="383"/>
      <c r="T269" s="383"/>
      <c r="U269" s="383"/>
      <c r="V269" s="383"/>
      <c r="W269" s="383"/>
      <c r="X269" s="383"/>
      <c r="Y269" s="383"/>
      <c r="Z269" s="383"/>
      <c r="AA269" s="383"/>
      <c r="AB269" s="383"/>
      <c r="AC269" s="383"/>
      <c r="AD269" s="383"/>
      <c r="AE269" s="383"/>
      <c r="AF269" s="376"/>
    </row>
    <row r="270" spans="1:32" ht="15" x14ac:dyDescent="0.2">
      <c r="A270" s="403"/>
      <c r="B270" s="403"/>
      <c r="C270" s="534"/>
      <c r="D270" s="534"/>
      <c r="E270" s="534"/>
      <c r="F270" s="384"/>
      <c r="G270" s="384"/>
      <c r="H270" s="653"/>
      <c r="I270" s="653"/>
      <c r="J270" s="381">
        <f t="shared" si="19"/>
        <v>0</v>
      </c>
      <c r="K270" s="381">
        <f t="shared" si="20"/>
        <v>0</v>
      </c>
      <c r="L270" s="647">
        <f>IFERROR(IF(B270="funkcna poziadavka",VLOOKUP(G270,MODULY_CBA!$B$3:$E$23,4,0)*H270/SUMIFS($H$3:$H$197,$G$3:$G$197,G270,$B$3:$B$197,B270),),)</f>
        <v>0</v>
      </c>
      <c r="M270" s="381">
        <f>IFERROR(IF(B270="Funkcna poziadavka",VLOOKUP(G270,MODULY_CBA!$B$3:$E$23,3,0),),)</f>
        <v>0</v>
      </c>
      <c r="N270" s="381">
        <f>IFERROR(IF(B270="funkcna poziadavka",VLOOKUP(G270,MODULY_CBA!$B$3:$E$23,2,0),),)</f>
        <v>0</v>
      </c>
      <c r="O270" s="380">
        <f t="shared" si="21"/>
        <v>0</v>
      </c>
      <c r="P270" s="379">
        <f>IFERROR(O270*VLOOKUP(G270,MODULY_CBA!$B$3:$F$23,5,0),)</f>
        <v>0</v>
      </c>
      <c r="Q270" s="481" t="str">
        <f>IFERROR(VLOOKUP(G270,MODULY_CBA!$B$3:$I$23,6,0),"")</f>
        <v/>
      </c>
      <c r="R270" s="383"/>
      <c r="S270" s="383"/>
      <c r="T270" s="383"/>
      <c r="U270" s="383"/>
      <c r="V270" s="383"/>
      <c r="W270" s="383"/>
      <c r="X270" s="383"/>
      <c r="Y270" s="383"/>
      <c r="Z270" s="383"/>
      <c r="AA270" s="383"/>
      <c r="AB270" s="383"/>
      <c r="AC270" s="383"/>
      <c r="AD270" s="383"/>
      <c r="AE270" s="383"/>
      <c r="AF270" s="376"/>
    </row>
    <row r="271" spans="1:32" ht="15" x14ac:dyDescent="0.2">
      <c r="A271" s="403"/>
      <c r="B271" s="403"/>
      <c r="C271" s="534"/>
      <c r="D271" s="534"/>
      <c r="E271" s="534"/>
      <c r="F271" s="384"/>
      <c r="G271" s="384"/>
      <c r="H271" s="653"/>
      <c r="I271" s="653"/>
      <c r="J271" s="381">
        <f t="shared" si="19"/>
        <v>0</v>
      </c>
      <c r="K271" s="381">
        <f t="shared" si="20"/>
        <v>0</v>
      </c>
      <c r="L271" s="647">
        <f>IFERROR(IF(B271="funkcna poziadavka",VLOOKUP(G271,MODULY_CBA!$B$3:$E$23,4,0)*H271/SUMIFS($H$3:$H$197,$G$3:$G$197,G271,$B$3:$B$197,B271),),)</f>
        <v>0</v>
      </c>
      <c r="M271" s="381">
        <f>IFERROR(IF(B271="Funkcna poziadavka",VLOOKUP(G271,MODULY_CBA!$B$3:$E$23,3,0),),)</f>
        <v>0</v>
      </c>
      <c r="N271" s="381">
        <f>IFERROR(IF(B271="funkcna poziadavka",VLOOKUP(G271,MODULY_CBA!$B$3:$E$23,2,0),),)</f>
        <v>0</v>
      </c>
      <c r="O271" s="380">
        <f t="shared" si="21"/>
        <v>0</v>
      </c>
      <c r="P271" s="379">
        <f>IFERROR(O271*VLOOKUP(G271,MODULY_CBA!$B$3:$F$23,5,0),)</f>
        <v>0</v>
      </c>
      <c r="Q271" s="481" t="str">
        <f>IFERROR(VLOOKUP(G271,MODULY_CBA!$B$3:$I$23,6,0),"")</f>
        <v/>
      </c>
      <c r="R271" s="383"/>
      <c r="S271" s="383"/>
      <c r="T271" s="383"/>
      <c r="U271" s="383"/>
      <c r="V271" s="383"/>
      <c r="W271" s="383"/>
      <c r="X271" s="383"/>
      <c r="Y271" s="383"/>
      <c r="Z271" s="383"/>
      <c r="AA271" s="383"/>
      <c r="AB271" s="383"/>
      <c r="AC271" s="383"/>
      <c r="AD271" s="383"/>
      <c r="AE271" s="383"/>
      <c r="AF271" s="376"/>
    </row>
    <row r="272" spans="1:32" ht="15" x14ac:dyDescent="0.2">
      <c r="A272" s="403"/>
      <c r="B272" s="403"/>
      <c r="C272" s="534"/>
      <c r="D272" s="534"/>
      <c r="E272" s="534"/>
      <c r="F272" s="384"/>
      <c r="G272" s="384"/>
      <c r="H272" s="653"/>
      <c r="I272" s="653"/>
      <c r="J272" s="381">
        <f t="shared" si="19"/>
        <v>0</v>
      </c>
      <c r="K272" s="381">
        <f t="shared" si="20"/>
        <v>0</v>
      </c>
      <c r="L272" s="647">
        <f>IFERROR(IF(B272="funkcna poziadavka",VLOOKUP(G272,MODULY_CBA!$B$3:$E$23,4,0)*H272/SUMIFS($H$3:$H$197,$G$3:$G$197,G272,$B$3:$B$197,B272),),)</f>
        <v>0</v>
      </c>
      <c r="M272" s="381">
        <f>IFERROR(IF(B272="Funkcna poziadavka",VLOOKUP(G272,MODULY_CBA!$B$3:$E$23,3,0),),)</f>
        <v>0</v>
      </c>
      <c r="N272" s="381">
        <f>IFERROR(IF(B272="funkcna poziadavka",VLOOKUP(G272,MODULY_CBA!$B$3:$E$23,2,0),),)</f>
        <v>0</v>
      </c>
      <c r="O272" s="380">
        <f t="shared" si="21"/>
        <v>0</v>
      </c>
      <c r="P272" s="379">
        <f>IFERROR(O272*VLOOKUP(G272,MODULY_CBA!$B$3:$F$23,5,0),)</f>
        <v>0</v>
      </c>
      <c r="Q272" s="481" t="str">
        <f>IFERROR(VLOOKUP(G272,MODULY_CBA!$B$3:$I$23,6,0),"")</f>
        <v/>
      </c>
      <c r="R272" s="383"/>
      <c r="S272" s="383"/>
      <c r="T272" s="383"/>
      <c r="U272" s="383"/>
      <c r="V272" s="383"/>
      <c r="W272" s="383"/>
      <c r="X272" s="383"/>
      <c r="Y272" s="383"/>
      <c r="Z272" s="383"/>
      <c r="AA272" s="383"/>
      <c r="AB272" s="383"/>
      <c r="AC272" s="383"/>
      <c r="AD272" s="383"/>
      <c r="AE272" s="383"/>
      <c r="AF272" s="376"/>
    </row>
    <row r="273" spans="1:32" ht="15" x14ac:dyDescent="0.2">
      <c r="A273" s="403"/>
      <c r="B273" s="403"/>
      <c r="C273" s="534"/>
      <c r="D273" s="534"/>
      <c r="E273" s="534"/>
      <c r="F273" s="384"/>
      <c r="G273" s="384"/>
      <c r="H273" s="653"/>
      <c r="I273" s="653"/>
      <c r="J273" s="381">
        <f t="shared" si="19"/>
        <v>0</v>
      </c>
      <c r="K273" s="381">
        <f t="shared" si="20"/>
        <v>0</v>
      </c>
      <c r="L273" s="647">
        <f>IFERROR(IF(B273="funkcna poziadavka",VLOOKUP(G273,MODULY_CBA!$B$3:$E$23,4,0)*H273/SUMIFS($H$3:$H$197,$G$3:$G$197,G273,$B$3:$B$197,B273),),)</f>
        <v>0</v>
      </c>
      <c r="M273" s="381">
        <f>IFERROR(IF(B273="Funkcna poziadavka",VLOOKUP(G273,MODULY_CBA!$B$3:$E$23,3,0),),)</f>
        <v>0</v>
      </c>
      <c r="N273" s="381">
        <f>IFERROR(IF(B273="funkcna poziadavka",VLOOKUP(G273,MODULY_CBA!$B$3:$E$23,2,0),),)</f>
        <v>0</v>
      </c>
      <c r="O273" s="380">
        <f t="shared" si="21"/>
        <v>0</v>
      </c>
      <c r="P273" s="379">
        <f>IFERROR(O273*VLOOKUP(G273,MODULY_CBA!$B$3:$F$23,5,0),)</f>
        <v>0</v>
      </c>
      <c r="Q273" s="481" t="str">
        <f>IFERROR(VLOOKUP(G273,MODULY_CBA!$B$3:$I$23,6,0),"")</f>
        <v/>
      </c>
      <c r="R273" s="383"/>
      <c r="S273" s="383"/>
      <c r="T273" s="383"/>
      <c r="U273" s="383"/>
      <c r="V273" s="383"/>
      <c r="W273" s="383"/>
      <c r="X273" s="383"/>
      <c r="Y273" s="383"/>
      <c r="Z273" s="383"/>
      <c r="AA273" s="383"/>
      <c r="AB273" s="383"/>
      <c r="AC273" s="383"/>
      <c r="AD273" s="383"/>
      <c r="AE273" s="383"/>
      <c r="AF273" s="376"/>
    </row>
    <row r="274" spans="1:32" ht="15" x14ac:dyDescent="0.2">
      <c r="A274" s="403"/>
      <c r="B274" s="403"/>
      <c r="C274" s="534"/>
      <c r="D274" s="534"/>
      <c r="E274" s="534"/>
      <c r="F274" s="384"/>
      <c r="G274" s="384"/>
      <c r="H274" s="653"/>
      <c r="I274" s="653"/>
      <c r="J274" s="381">
        <f t="shared" si="19"/>
        <v>0</v>
      </c>
      <c r="K274" s="381">
        <f t="shared" si="20"/>
        <v>0</v>
      </c>
      <c r="L274" s="647">
        <f>IFERROR(IF(B274="funkcna poziadavka",VLOOKUP(G274,MODULY_CBA!$B$3:$E$23,4,0)*H274/SUMIFS($H$3:$H$197,$G$3:$G$197,G274,$B$3:$B$197,B274),),)</f>
        <v>0</v>
      </c>
      <c r="M274" s="381">
        <f>IFERROR(IF(B274="Funkcna poziadavka",VLOOKUP(G274,MODULY_CBA!$B$3:$E$23,3,0),),)</f>
        <v>0</v>
      </c>
      <c r="N274" s="381">
        <f>IFERROR(IF(B274="funkcna poziadavka",VLOOKUP(G274,MODULY_CBA!$B$3:$E$23,2,0),),)</f>
        <v>0</v>
      </c>
      <c r="O274" s="380">
        <f t="shared" si="21"/>
        <v>0</v>
      </c>
      <c r="P274" s="379">
        <f>IFERROR(O274*VLOOKUP(G274,MODULY_CBA!$B$3:$F$23,5,0),)</f>
        <v>0</v>
      </c>
      <c r="Q274" s="481" t="str">
        <f>IFERROR(VLOOKUP(G274,MODULY_CBA!$B$3:$I$23,6,0),"")</f>
        <v/>
      </c>
      <c r="R274" s="383"/>
      <c r="S274" s="383"/>
      <c r="T274" s="383"/>
      <c r="U274" s="383"/>
      <c r="V274" s="383"/>
      <c r="W274" s="383"/>
      <c r="X274" s="383"/>
      <c r="Y274" s="383"/>
      <c r="Z274" s="383"/>
      <c r="AA274" s="383"/>
      <c r="AB274" s="383"/>
      <c r="AC274" s="383"/>
      <c r="AD274" s="383"/>
      <c r="AE274" s="383"/>
      <c r="AF274" s="376"/>
    </row>
    <row r="275" spans="1:32" ht="15" x14ac:dyDescent="0.2">
      <c r="A275" s="403"/>
      <c r="B275" s="403"/>
      <c r="C275" s="534"/>
      <c r="D275" s="534"/>
      <c r="E275" s="534"/>
      <c r="F275" s="384"/>
      <c r="G275" s="384"/>
      <c r="H275" s="653"/>
      <c r="I275" s="653"/>
      <c r="J275" s="381">
        <f t="shared" si="19"/>
        <v>0</v>
      </c>
      <c r="K275" s="381">
        <f t="shared" si="20"/>
        <v>0</v>
      </c>
      <c r="L275" s="647">
        <f>IFERROR(IF(B275="funkcna poziadavka",VLOOKUP(G275,MODULY_CBA!$B$3:$E$23,4,0)*H275/SUMIFS($H$3:$H$197,$G$3:$G$197,G275,$B$3:$B$197,B275),),)</f>
        <v>0</v>
      </c>
      <c r="M275" s="381">
        <f>IFERROR(IF(B275="Funkcna poziadavka",VLOOKUP(G275,MODULY_CBA!$B$3:$E$23,3,0),),)</f>
        <v>0</v>
      </c>
      <c r="N275" s="381">
        <f>IFERROR(IF(B275="funkcna poziadavka",VLOOKUP(G275,MODULY_CBA!$B$3:$E$23,2,0),),)</f>
        <v>0</v>
      </c>
      <c r="O275" s="380">
        <f t="shared" si="21"/>
        <v>0</v>
      </c>
      <c r="P275" s="379">
        <f>IFERROR(O275*VLOOKUP(G275,MODULY_CBA!$B$3:$F$23,5,0),)</f>
        <v>0</v>
      </c>
      <c r="Q275" s="481" t="str">
        <f>IFERROR(VLOOKUP(G275,MODULY_CBA!$B$3:$I$23,6,0),"")</f>
        <v/>
      </c>
      <c r="R275" s="383"/>
      <c r="S275" s="383"/>
      <c r="T275" s="383"/>
      <c r="U275" s="383"/>
      <c r="V275" s="383"/>
      <c r="W275" s="383"/>
      <c r="X275" s="383"/>
      <c r="Y275" s="383"/>
      <c r="Z275" s="383"/>
      <c r="AA275" s="383"/>
      <c r="AB275" s="383"/>
      <c r="AC275" s="383"/>
      <c r="AD275" s="383"/>
      <c r="AE275" s="383"/>
      <c r="AF275" s="376"/>
    </row>
    <row r="276" spans="1:32" ht="15" x14ac:dyDescent="0.2">
      <c r="A276" s="403"/>
      <c r="B276" s="403"/>
      <c r="C276" s="534"/>
      <c r="D276" s="534"/>
      <c r="E276" s="534"/>
      <c r="F276" s="384"/>
      <c r="G276" s="384"/>
      <c r="H276" s="653"/>
      <c r="I276" s="653"/>
      <c r="J276" s="381">
        <f t="shared" si="19"/>
        <v>0</v>
      </c>
      <c r="K276" s="381">
        <f t="shared" si="20"/>
        <v>0</v>
      </c>
      <c r="L276" s="647">
        <f>IFERROR(IF(B276="funkcna poziadavka",VLOOKUP(G276,MODULY_CBA!$B$3:$E$23,4,0)*H276/SUMIFS($H$3:$H$197,$G$3:$G$197,G276,$B$3:$B$197,B276),),)</f>
        <v>0</v>
      </c>
      <c r="M276" s="381">
        <f>IFERROR(IF(B276="Funkcna poziadavka",VLOOKUP(G276,MODULY_CBA!$B$3:$E$23,3,0),),)</f>
        <v>0</v>
      </c>
      <c r="N276" s="381">
        <f>IFERROR(IF(B276="funkcna poziadavka",VLOOKUP(G276,MODULY_CBA!$B$3:$E$23,2,0),),)</f>
        <v>0</v>
      </c>
      <c r="O276" s="380">
        <f t="shared" si="21"/>
        <v>0</v>
      </c>
      <c r="P276" s="379">
        <f>IFERROR(O276*VLOOKUP(G276,MODULY_CBA!$B$3:$F$23,5,0),)</f>
        <v>0</v>
      </c>
      <c r="Q276" s="481" t="str">
        <f>IFERROR(VLOOKUP(G276,MODULY_CBA!$B$3:$I$23,6,0),"")</f>
        <v/>
      </c>
      <c r="R276" s="383"/>
      <c r="S276" s="383"/>
      <c r="T276" s="383"/>
      <c r="U276" s="383"/>
      <c r="V276" s="383"/>
      <c r="W276" s="383"/>
      <c r="X276" s="383"/>
      <c r="Y276" s="383"/>
      <c r="Z276" s="383"/>
      <c r="AA276" s="383"/>
      <c r="AB276" s="383"/>
      <c r="AC276" s="383"/>
      <c r="AD276" s="383"/>
      <c r="AE276" s="383"/>
      <c r="AF276" s="376"/>
    </row>
    <row r="277" spans="1:32" ht="15" x14ac:dyDescent="0.2">
      <c r="A277" s="403"/>
      <c r="B277" s="403"/>
      <c r="C277" s="534"/>
      <c r="D277" s="534"/>
      <c r="E277" s="534"/>
      <c r="F277" s="384"/>
      <c r="G277" s="384"/>
      <c r="H277" s="653"/>
      <c r="I277" s="653"/>
      <c r="J277" s="381">
        <f t="shared" si="19"/>
        <v>0</v>
      </c>
      <c r="K277" s="381">
        <f t="shared" si="20"/>
        <v>0</v>
      </c>
      <c r="L277" s="647">
        <f>IFERROR(IF(B277="funkcna poziadavka",VLOOKUP(G277,MODULY_CBA!$B$3:$E$23,4,0)*H277/SUMIFS($H$3:$H$197,$G$3:$G$197,G277,$B$3:$B$197,B277),),)</f>
        <v>0</v>
      </c>
      <c r="M277" s="381">
        <f>IFERROR(IF(B277="Funkcna poziadavka",VLOOKUP(G277,MODULY_CBA!$B$3:$E$23,3,0),),)</f>
        <v>0</v>
      </c>
      <c r="N277" s="381">
        <f>IFERROR(IF(B277="funkcna poziadavka",VLOOKUP(G277,MODULY_CBA!$B$3:$E$23,2,0),),)</f>
        <v>0</v>
      </c>
      <c r="O277" s="380">
        <f t="shared" si="21"/>
        <v>0</v>
      </c>
      <c r="P277" s="379">
        <f>IFERROR(O277*VLOOKUP(G277,MODULY_CBA!$B$3:$F$23,5,0),)</f>
        <v>0</v>
      </c>
      <c r="Q277" s="481" t="str">
        <f>IFERROR(VLOOKUP(G277,MODULY_CBA!$B$3:$I$23,6,0),"")</f>
        <v/>
      </c>
      <c r="R277" s="383"/>
      <c r="S277" s="383"/>
      <c r="T277" s="383"/>
      <c r="U277" s="383"/>
      <c r="V277" s="383"/>
      <c r="W277" s="383"/>
      <c r="X277" s="383"/>
      <c r="Y277" s="383"/>
      <c r="Z277" s="383"/>
      <c r="AA277" s="383"/>
      <c r="AB277" s="383"/>
      <c r="AC277" s="383"/>
      <c r="AD277" s="383"/>
      <c r="AE277" s="383"/>
      <c r="AF277" s="376"/>
    </row>
    <row r="278" spans="1:32" ht="15" x14ac:dyDescent="0.2">
      <c r="A278" s="403"/>
      <c r="B278" s="403"/>
      <c r="C278" s="534"/>
      <c r="D278" s="534"/>
      <c r="E278" s="534"/>
      <c r="F278" s="384"/>
      <c r="G278" s="384"/>
      <c r="H278" s="653"/>
      <c r="I278" s="653"/>
      <c r="J278" s="381">
        <f t="shared" si="19"/>
        <v>0</v>
      </c>
      <c r="K278" s="381">
        <f t="shared" si="20"/>
        <v>0</v>
      </c>
      <c r="L278" s="647">
        <f>IFERROR(IF(B278="funkcna poziadavka",VLOOKUP(G278,MODULY_CBA!$B$3:$E$23,4,0)*H278/SUMIFS($H$3:$H$197,$G$3:$G$197,G278,$B$3:$B$197,B278),),)</f>
        <v>0</v>
      </c>
      <c r="M278" s="381">
        <f>IFERROR(IF(B278="Funkcna poziadavka",VLOOKUP(G278,MODULY_CBA!$B$3:$E$23,3,0),),)</f>
        <v>0</v>
      </c>
      <c r="N278" s="381">
        <f>IFERROR(IF(B278="funkcna poziadavka",VLOOKUP(G278,MODULY_CBA!$B$3:$E$23,2,0),),)</f>
        <v>0</v>
      </c>
      <c r="O278" s="380">
        <f t="shared" si="21"/>
        <v>0</v>
      </c>
      <c r="P278" s="379">
        <f>IFERROR(O278*VLOOKUP(G278,MODULY_CBA!$B$3:$F$23,5,0),)</f>
        <v>0</v>
      </c>
      <c r="Q278" s="481" t="str">
        <f>IFERROR(VLOOKUP(G278,MODULY_CBA!$B$3:$I$23,6,0),"")</f>
        <v/>
      </c>
      <c r="R278" s="383"/>
      <c r="S278" s="383"/>
      <c r="T278" s="383"/>
      <c r="U278" s="383"/>
      <c r="V278" s="383"/>
      <c r="W278" s="383"/>
      <c r="X278" s="383"/>
      <c r="Y278" s="383"/>
      <c r="Z278" s="383"/>
      <c r="AA278" s="383"/>
      <c r="AB278" s="383"/>
      <c r="AC278" s="383"/>
      <c r="AD278" s="383"/>
      <c r="AE278" s="383"/>
      <c r="AF278" s="376"/>
    </row>
    <row r="279" spans="1:32" ht="15" x14ac:dyDescent="0.2">
      <c r="A279" s="403"/>
      <c r="B279" s="403"/>
      <c r="C279" s="534"/>
      <c r="D279" s="534"/>
      <c r="E279" s="534"/>
      <c r="F279" s="384"/>
      <c r="G279" s="384"/>
      <c r="H279" s="653"/>
      <c r="I279" s="653"/>
      <c r="J279" s="381">
        <f t="shared" si="19"/>
        <v>0</v>
      </c>
      <c r="K279" s="381">
        <f t="shared" si="20"/>
        <v>0</v>
      </c>
      <c r="L279" s="647">
        <f>IFERROR(IF(B279="funkcna poziadavka",VLOOKUP(G279,MODULY_CBA!$B$3:$E$23,4,0)*H279/SUMIFS($H$3:$H$197,$G$3:$G$197,G279,$B$3:$B$197,B279),),)</f>
        <v>0</v>
      </c>
      <c r="M279" s="381">
        <f>IFERROR(IF(B279="Funkcna poziadavka",VLOOKUP(G279,MODULY_CBA!$B$3:$E$23,3,0),),)</f>
        <v>0</v>
      </c>
      <c r="N279" s="381">
        <f>IFERROR(IF(B279="funkcna poziadavka",VLOOKUP(G279,MODULY_CBA!$B$3:$E$23,2,0),),)</f>
        <v>0</v>
      </c>
      <c r="O279" s="380">
        <f t="shared" si="21"/>
        <v>0</v>
      </c>
      <c r="P279" s="379">
        <f>IFERROR(O279*VLOOKUP(G279,MODULY_CBA!$B$3:$F$23,5,0),)</f>
        <v>0</v>
      </c>
      <c r="Q279" s="481" t="str">
        <f>IFERROR(VLOOKUP(G279,MODULY_CBA!$B$3:$I$23,6,0),"")</f>
        <v/>
      </c>
      <c r="R279" s="383"/>
      <c r="S279" s="383"/>
      <c r="T279" s="383"/>
      <c r="U279" s="383"/>
      <c r="V279" s="383"/>
      <c r="W279" s="383"/>
      <c r="X279" s="383"/>
      <c r="Y279" s="383"/>
      <c r="Z279" s="383"/>
      <c r="AA279" s="383"/>
      <c r="AB279" s="383"/>
      <c r="AC279" s="383"/>
      <c r="AD279" s="383"/>
      <c r="AE279" s="383"/>
      <c r="AF279" s="376"/>
    </row>
    <row r="280" spans="1:32" ht="15" x14ac:dyDescent="0.2">
      <c r="A280" s="403"/>
      <c r="B280" s="403"/>
      <c r="C280" s="534"/>
      <c r="D280" s="534"/>
      <c r="E280" s="534"/>
      <c r="F280" s="384"/>
      <c r="G280" s="384"/>
      <c r="H280" s="653"/>
      <c r="I280" s="653"/>
      <c r="J280" s="381">
        <f t="shared" si="19"/>
        <v>0</v>
      </c>
      <c r="K280" s="381">
        <f t="shared" si="20"/>
        <v>0</v>
      </c>
      <c r="L280" s="647">
        <f>IFERROR(IF(B280="funkcna poziadavka",VLOOKUP(G280,MODULY_CBA!$B$3:$E$23,4,0)*H280/SUMIFS($H$3:$H$197,$G$3:$G$197,G280,$B$3:$B$197,B280),),)</f>
        <v>0</v>
      </c>
      <c r="M280" s="381">
        <f>IFERROR(IF(B280="Funkcna poziadavka",VLOOKUP(G280,MODULY_CBA!$B$3:$E$23,3,0),),)</f>
        <v>0</v>
      </c>
      <c r="N280" s="381">
        <f>IFERROR(IF(B280="funkcna poziadavka",VLOOKUP(G280,MODULY_CBA!$B$3:$E$23,2,0),),)</f>
        <v>0</v>
      </c>
      <c r="O280" s="380">
        <f t="shared" si="21"/>
        <v>0</v>
      </c>
      <c r="P280" s="379">
        <f>IFERROR(O280*VLOOKUP(G280,MODULY_CBA!$B$3:$F$23,5,0),)</f>
        <v>0</v>
      </c>
      <c r="Q280" s="481" t="str">
        <f>IFERROR(VLOOKUP(G280,MODULY_CBA!$B$3:$I$23,6,0),"")</f>
        <v/>
      </c>
      <c r="R280" s="383"/>
      <c r="S280" s="383"/>
      <c r="T280" s="383"/>
      <c r="U280" s="383"/>
      <c r="V280" s="383"/>
      <c r="W280" s="383"/>
      <c r="X280" s="383"/>
      <c r="Y280" s="383"/>
      <c r="Z280" s="383"/>
      <c r="AA280" s="383"/>
      <c r="AB280" s="383"/>
      <c r="AC280" s="383"/>
      <c r="AD280" s="383"/>
      <c r="AE280" s="383"/>
      <c r="AF280" s="376"/>
    </row>
    <row r="281" spans="1:32" ht="15" x14ac:dyDescent="0.2">
      <c r="A281" s="403"/>
      <c r="B281" s="403"/>
      <c r="C281" s="534"/>
      <c r="D281" s="534"/>
      <c r="E281" s="534"/>
      <c r="F281" s="384"/>
      <c r="G281" s="384"/>
      <c r="H281" s="653"/>
      <c r="I281" s="653"/>
      <c r="J281" s="381">
        <f t="shared" si="19"/>
        <v>0</v>
      </c>
      <c r="K281" s="381">
        <f t="shared" si="20"/>
        <v>0</v>
      </c>
      <c r="L281" s="647">
        <f>IFERROR(IF(B281="funkcna poziadavka",VLOOKUP(G281,MODULY_CBA!$B$3:$E$23,4,0)*H281/SUMIFS($H$3:$H$197,$G$3:$G$197,G281,$B$3:$B$197,B281),),)</f>
        <v>0</v>
      </c>
      <c r="M281" s="381">
        <f>IFERROR(IF(B281="Funkcna poziadavka",VLOOKUP(G281,MODULY_CBA!$B$3:$E$23,3,0),),)</f>
        <v>0</v>
      </c>
      <c r="N281" s="381">
        <f>IFERROR(IF(B281="funkcna poziadavka",VLOOKUP(G281,MODULY_CBA!$B$3:$E$23,2,0),),)</f>
        <v>0</v>
      </c>
      <c r="O281" s="380">
        <f t="shared" si="21"/>
        <v>0</v>
      </c>
      <c r="P281" s="379">
        <f>IFERROR(O281*VLOOKUP(G281,MODULY_CBA!$B$3:$F$23,5,0),)</f>
        <v>0</v>
      </c>
      <c r="Q281" s="481" t="str">
        <f>IFERROR(VLOOKUP(G281,MODULY_CBA!$B$3:$I$23,6,0),"")</f>
        <v/>
      </c>
      <c r="R281" s="383"/>
      <c r="S281" s="383"/>
      <c r="T281" s="383"/>
      <c r="U281" s="383"/>
      <c r="V281" s="383"/>
      <c r="W281" s="383"/>
      <c r="X281" s="383"/>
      <c r="Y281" s="383"/>
      <c r="Z281" s="383"/>
      <c r="AA281" s="383"/>
      <c r="AB281" s="383"/>
      <c r="AC281" s="383"/>
      <c r="AD281" s="383"/>
      <c r="AE281" s="383"/>
      <c r="AF281" s="376"/>
    </row>
    <row r="282" spans="1:32" ht="15" x14ac:dyDescent="0.2">
      <c r="A282" s="403"/>
      <c r="B282" s="403"/>
      <c r="C282" s="534"/>
      <c r="D282" s="534"/>
      <c r="E282" s="534"/>
      <c r="F282" s="384"/>
      <c r="G282" s="384"/>
      <c r="H282" s="653"/>
      <c r="I282" s="653"/>
      <c r="J282" s="381">
        <f t="shared" si="19"/>
        <v>0</v>
      </c>
      <c r="K282" s="381">
        <f t="shared" si="20"/>
        <v>0</v>
      </c>
      <c r="L282" s="647">
        <f>IFERROR(IF(B282="funkcna poziadavka",VLOOKUP(G282,MODULY_CBA!$B$3:$E$23,4,0)*H282/SUMIFS($H$3:$H$197,$G$3:$G$197,G282,$B$3:$B$197,B282),),)</f>
        <v>0</v>
      </c>
      <c r="M282" s="381">
        <f>IFERROR(IF(B282="Funkcna poziadavka",VLOOKUP(G282,MODULY_CBA!$B$3:$E$23,3,0),),)</f>
        <v>0</v>
      </c>
      <c r="N282" s="381">
        <f>IFERROR(IF(B282="funkcna poziadavka",VLOOKUP(G282,MODULY_CBA!$B$3:$E$23,2,0),),)</f>
        <v>0</v>
      </c>
      <c r="O282" s="380">
        <f t="shared" si="21"/>
        <v>0</v>
      </c>
      <c r="P282" s="379">
        <f>IFERROR(O282*VLOOKUP(G282,MODULY_CBA!$B$3:$F$23,5,0),)</f>
        <v>0</v>
      </c>
      <c r="Q282" s="481" t="str">
        <f>IFERROR(VLOOKUP(G282,MODULY_CBA!$B$3:$I$23,6,0),"")</f>
        <v/>
      </c>
      <c r="R282" s="383"/>
      <c r="S282" s="383"/>
      <c r="T282" s="383"/>
      <c r="U282" s="383"/>
      <c r="V282" s="383"/>
      <c r="W282" s="383"/>
      <c r="X282" s="383"/>
      <c r="Y282" s="383"/>
      <c r="Z282" s="383"/>
      <c r="AA282" s="383"/>
      <c r="AB282" s="383"/>
      <c r="AC282" s="383"/>
      <c r="AD282" s="383"/>
      <c r="AE282" s="383"/>
      <c r="AF282" s="376"/>
    </row>
    <row r="283" spans="1:32" ht="15" x14ac:dyDescent="0.2">
      <c r="A283" s="403"/>
      <c r="B283" s="403"/>
      <c r="C283" s="534"/>
      <c r="D283" s="534"/>
      <c r="E283" s="534"/>
      <c r="F283" s="384"/>
      <c r="G283" s="384"/>
      <c r="H283" s="653"/>
      <c r="I283" s="653"/>
      <c r="J283" s="381">
        <f t="shared" si="19"/>
        <v>0</v>
      </c>
      <c r="K283" s="381">
        <f t="shared" si="20"/>
        <v>0</v>
      </c>
      <c r="L283" s="647">
        <f>IFERROR(IF(B283="funkcna poziadavka",VLOOKUP(G283,MODULY_CBA!$B$3:$E$23,4,0)*H283/SUMIFS($H$3:$H$197,$G$3:$G$197,G283,$B$3:$B$197,B283),),)</f>
        <v>0</v>
      </c>
      <c r="M283" s="381">
        <f>IFERROR(IF(B283="Funkcna poziadavka",VLOOKUP(G283,MODULY_CBA!$B$3:$E$23,3,0),),)</f>
        <v>0</v>
      </c>
      <c r="N283" s="381">
        <f>IFERROR(IF(B283="funkcna poziadavka",VLOOKUP(G283,MODULY_CBA!$B$3:$E$23,2,0),),)</f>
        <v>0</v>
      </c>
      <c r="O283" s="380">
        <f t="shared" si="21"/>
        <v>0</v>
      </c>
      <c r="P283" s="379">
        <f>IFERROR(O283*VLOOKUP(G283,MODULY_CBA!$B$3:$F$23,5,0),)</f>
        <v>0</v>
      </c>
      <c r="Q283" s="481" t="str">
        <f>IFERROR(VLOOKUP(G283,MODULY_CBA!$B$3:$I$23,6,0),"")</f>
        <v/>
      </c>
      <c r="R283" s="383"/>
      <c r="S283" s="383"/>
      <c r="T283" s="383"/>
      <c r="U283" s="383"/>
      <c r="V283" s="383"/>
      <c r="W283" s="383"/>
      <c r="X283" s="383"/>
      <c r="Y283" s="383"/>
      <c r="Z283" s="383"/>
      <c r="AA283" s="383"/>
      <c r="AB283" s="383"/>
      <c r="AC283" s="383"/>
      <c r="AD283" s="383"/>
      <c r="AE283" s="383"/>
      <c r="AF283" s="376"/>
    </row>
    <row r="284" spans="1:32" ht="15" x14ac:dyDescent="0.2">
      <c r="A284" s="403"/>
      <c r="B284" s="403"/>
      <c r="C284" s="534"/>
      <c r="D284" s="534"/>
      <c r="E284" s="534"/>
      <c r="F284" s="384"/>
      <c r="G284" s="384"/>
      <c r="H284" s="653"/>
      <c r="I284" s="653"/>
      <c r="J284" s="381">
        <f t="shared" si="19"/>
        <v>0</v>
      </c>
      <c r="K284" s="381">
        <f t="shared" si="20"/>
        <v>0</v>
      </c>
      <c r="L284" s="647">
        <f>IFERROR(IF(B284="funkcna poziadavka",VLOOKUP(G284,MODULY_CBA!$B$3:$E$23,4,0)*H284/SUMIFS($H$3:$H$197,$G$3:$G$197,G284,$B$3:$B$197,B284),),)</f>
        <v>0</v>
      </c>
      <c r="M284" s="381">
        <f>IFERROR(IF(B284="Funkcna poziadavka",VLOOKUP(G284,MODULY_CBA!$B$3:$E$23,3,0),),)</f>
        <v>0</v>
      </c>
      <c r="N284" s="381">
        <f>IFERROR(IF(B284="funkcna poziadavka",VLOOKUP(G284,MODULY_CBA!$B$3:$E$23,2,0),),)</f>
        <v>0</v>
      </c>
      <c r="O284" s="380">
        <f t="shared" si="21"/>
        <v>0</v>
      </c>
      <c r="P284" s="379">
        <f>IFERROR(O284*VLOOKUP(G284,MODULY_CBA!$B$3:$F$23,5,0),)</f>
        <v>0</v>
      </c>
      <c r="Q284" s="481" t="str">
        <f>IFERROR(VLOOKUP(G284,MODULY_CBA!$B$3:$I$23,6,0),"")</f>
        <v/>
      </c>
      <c r="R284" s="383"/>
      <c r="S284" s="383"/>
      <c r="T284" s="383"/>
      <c r="U284" s="383"/>
      <c r="V284" s="383"/>
      <c r="W284" s="383"/>
      <c r="X284" s="383"/>
      <c r="Y284" s="383"/>
      <c r="Z284" s="383"/>
      <c r="AA284" s="383"/>
      <c r="AB284" s="383"/>
      <c r="AC284" s="383"/>
      <c r="AD284" s="383"/>
      <c r="AE284" s="383"/>
      <c r="AF284" s="376"/>
    </row>
    <row r="285" spans="1:32" ht="15" x14ac:dyDescent="0.2">
      <c r="A285" s="403"/>
      <c r="B285" s="403"/>
      <c r="C285" s="534"/>
      <c r="D285" s="534"/>
      <c r="E285" s="534"/>
      <c r="F285" s="384"/>
      <c r="G285" s="384"/>
      <c r="H285" s="653"/>
      <c r="I285" s="653"/>
      <c r="J285" s="381">
        <f t="shared" si="19"/>
        <v>0</v>
      </c>
      <c r="K285" s="381">
        <f t="shared" si="20"/>
        <v>0</v>
      </c>
      <c r="L285" s="647">
        <f>IFERROR(IF(B285="funkcna poziadavka",VLOOKUP(G285,MODULY_CBA!$B$3:$E$23,4,0)*H285/SUMIFS($H$3:$H$197,$G$3:$G$197,G285,$B$3:$B$197,B285),),)</f>
        <v>0</v>
      </c>
      <c r="M285" s="381">
        <f>IFERROR(IF(B285="Funkcna poziadavka",VLOOKUP(G285,MODULY_CBA!$B$3:$E$23,3,0),),)</f>
        <v>0</v>
      </c>
      <c r="N285" s="381">
        <f>IFERROR(IF(B285="funkcna poziadavka",VLOOKUP(G285,MODULY_CBA!$B$3:$E$23,2,0),),)</f>
        <v>0</v>
      </c>
      <c r="O285" s="380">
        <f t="shared" si="21"/>
        <v>0</v>
      </c>
      <c r="P285" s="379">
        <f>IFERROR(O285*VLOOKUP(G285,MODULY_CBA!$B$3:$F$23,5,0),)</f>
        <v>0</v>
      </c>
      <c r="Q285" s="481" t="str">
        <f>IFERROR(VLOOKUP(G285,MODULY_CBA!$B$3:$I$23,6,0),"")</f>
        <v/>
      </c>
      <c r="R285" s="383"/>
      <c r="S285" s="383"/>
      <c r="T285" s="383"/>
      <c r="U285" s="383"/>
      <c r="V285" s="383"/>
      <c r="W285" s="383"/>
      <c r="X285" s="383"/>
      <c r="Y285" s="383"/>
      <c r="Z285" s="383"/>
      <c r="AA285" s="383"/>
      <c r="AB285" s="383"/>
      <c r="AC285" s="383"/>
      <c r="AD285" s="383"/>
      <c r="AE285" s="383"/>
      <c r="AF285" s="376"/>
    </row>
    <row r="286" spans="1:32" ht="15" x14ac:dyDescent="0.2">
      <c r="A286" s="403"/>
      <c r="B286" s="403"/>
      <c r="C286" s="534"/>
      <c r="D286" s="534"/>
      <c r="E286" s="534"/>
      <c r="F286" s="384"/>
      <c r="G286" s="384"/>
      <c r="H286" s="653"/>
      <c r="I286" s="653"/>
      <c r="J286" s="381">
        <f t="shared" si="19"/>
        <v>0</v>
      </c>
      <c r="K286" s="381">
        <f t="shared" si="20"/>
        <v>0</v>
      </c>
      <c r="L286" s="647">
        <f>IFERROR(IF(B286="funkcna poziadavka",VLOOKUP(G286,MODULY_CBA!$B$3:$E$23,4,0)*H286/SUMIFS($H$3:$H$197,$G$3:$G$197,G286,$B$3:$B$197,B286),),)</f>
        <v>0</v>
      </c>
      <c r="M286" s="381">
        <f>IFERROR(IF(B286="Funkcna poziadavka",VLOOKUP(G286,MODULY_CBA!$B$3:$E$23,3,0),),)</f>
        <v>0</v>
      </c>
      <c r="N286" s="381">
        <f>IFERROR(IF(B286="funkcna poziadavka",VLOOKUP(G286,MODULY_CBA!$B$3:$E$23,2,0),),)</f>
        <v>0</v>
      </c>
      <c r="O286" s="380">
        <f t="shared" si="21"/>
        <v>0</v>
      </c>
      <c r="P286" s="379">
        <f>IFERROR(O286*VLOOKUP(G286,MODULY_CBA!$B$3:$F$23,5,0),)</f>
        <v>0</v>
      </c>
      <c r="Q286" s="481" t="str">
        <f>IFERROR(VLOOKUP(G286,MODULY_CBA!$B$3:$I$23,6,0),"")</f>
        <v/>
      </c>
      <c r="R286" s="383"/>
      <c r="S286" s="383"/>
      <c r="T286" s="383"/>
      <c r="U286" s="383"/>
      <c r="V286" s="383"/>
      <c r="W286" s="383"/>
      <c r="X286" s="383"/>
      <c r="Y286" s="383"/>
      <c r="Z286" s="383"/>
      <c r="AA286" s="383"/>
      <c r="AB286" s="383"/>
      <c r="AC286" s="383"/>
      <c r="AD286" s="383"/>
      <c r="AE286" s="383"/>
      <c r="AF286" s="376"/>
    </row>
    <row r="287" spans="1:32" ht="15" x14ac:dyDescent="0.2">
      <c r="A287" s="403"/>
      <c r="B287" s="403"/>
      <c r="C287" s="534"/>
      <c r="D287" s="534"/>
      <c r="E287" s="534"/>
      <c r="F287" s="384"/>
      <c r="G287" s="384"/>
      <c r="H287" s="653"/>
      <c r="I287" s="653"/>
      <c r="J287" s="381">
        <f t="shared" si="19"/>
        <v>0</v>
      </c>
      <c r="K287" s="381">
        <f t="shared" si="20"/>
        <v>0</v>
      </c>
      <c r="L287" s="647">
        <f>IFERROR(IF(B287="funkcna poziadavka",VLOOKUP(G287,MODULY_CBA!$B$3:$E$23,4,0)*H287/SUMIFS($H$3:$H$197,$G$3:$G$197,G287,$B$3:$B$197,B287),),)</f>
        <v>0</v>
      </c>
      <c r="M287" s="381">
        <f>IFERROR(IF(B287="Funkcna poziadavka",VLOOKUP(G287,MODULY_CBA!$B$3:$E$23,3,0),),)</f>
        <v>0</v>
      </c>
      <c r="N287" s="381">
        <f>IFERROR(IF(B287="funkcna poziadavka",VLOOKUP(G287,MODULY_CBA!$B$3:$E$23,2,0),),)</f>
        <v>0</v>
      </c>
      <c r="O287" s="380">
        <f t="shared" si="21"/>
        <v>0</v>
      </c>
      <c r="P287" s="379">
        <f>IFERROR(O287*VLOOKUP(G287,MODULY_CBA!$B$3:$F$23,5,0),)</f>
        <v>0</v>
      </c>
      <c r="Q287" s="481" t="str">
        <f>IFERROR(VLOOKUP(G287,MODULY_CBA!$B$3:$I$23,6,0),"")</f>
        <v/>
      </c>
      <c r="R287" s="383"/>
      <c r="S287" s="383"/>
      <c r="T287" s="383"/>
      <c r="U287" s="383"/>
      <c r="V287" s="383"/>
      <c r="W287" s="383"/>
      <c r="X287" s="383"/>
      <c r="Y287" s="383"/>
      <c r="Z287" s="383"/>
      <c r="AA287" s="383"/>
      <c r="AB287" s="383"/>
      <c r="AC287" s="383"/>
      <c r="AD287" s="383"/>
      <c r="AE287" s="383"/>
      <c r="AF287" s="376"/>
    </row>
    <row r="288" spans="1:32" ht="15" x14ac:dyDescent="0.2">
      <c r="A288" s="403"/>
      <c r="B288" s="403"/>
      <c r="C288" s="534"/>
      <c r="D288" s="534"/>
      <c r="E288" s="534"/>
      <c r="F288" s="384"/>
      <c r="G288" s="384"/>
      <c r="H288" s="653"/>
      <c r="I288" s="653"/>
      <c r="J288" s="381">
        <f t="shared" si="19"/>
        <v>0</v>
      </c>
      <c r="K288" s="381">
        <f t="shared" si="20"/>
        <v>0</v>
      </c>
      <c r="L288" s="647">
        <f>IFERROR(IF(B288="funkcna poziadavka",VLOOKUP(G288,MODULY_CBA!$B$3:$E$23,4,0)*H288/SUMIFS($H$3:$H$197,$G$3:$G$197,G288,$B$3:$B$197,B288),),)</f>
        <v>0</v>
      </c>
      <c r="M288" s="381">
        <f>IFERROR(IF(B288="Funkcna poziadavka",VLOOKUP(G288,MODULY_CBA!$B$3:$E$23,3,0),),)</f>
        <v>0</v>
      </c>
      <c r="N288" s="381">
        <f>IFERROR(IF(B288="funkcna poziadavka",VLOOKUP(G288,MODULY_CBA!$B$3:$E$23,2,0),),)</f>
        <v>0</v>
      </c>
      <c r="O288" s="380">
        <f t="shared" si="21"/>
        <v>0</v>
      </c>
      <c r="P288" s="379">
        <f>IFERROR(O288*VLOOKUP(G288,MODULY_CBA!$B$3:$F$23,5,0),)</f>
        <v>0</v>
      </c>
      <c r="Q288" s="481" t="str">
        <f>IFERROR(VLOOKUP(G288,MODULY_CBA!$B$3:$I$23,6,0),"")</f>
        <v/>
      </c>
      <c r="R288" s="383"/>
      <c r="S288" s="383"/>
      <c r="T288" s="383"/>
      <c r="U288" s="383"/>
      <c r="V288" s="383"/>
      <c r="W288" s="383"/>
      <c r="X288" s="383"/>
      <c r="Y288" s="383"/>
      <c r="Z288" s="383"/>
      <c r="AA288" s="383"/>
      <c r="AB288" s="383"/>
      <c r="AC288" s="383"/>
      <c r="AD288" s="383"/>
      <c r="AE288" s="383"/>
      <c r="AF288" s="376"/>
    </row>
    <row r="289" spans="1:32" ht="15" x14ac:dyDescent="0.2">
      <c r="A289" s="403"/>
      <c r="B289" s="403"/>
      <c r="C289" s="534"/>
      <c r="D289" s="534"/>
      <c r="E289" s="534"/>
      <c r="F289" s="384"/>
      <c r="G289" s="384"/>
      <c r="H289" s="653"/>
      <c r="I289" s="653"/>
      <c r="J289" s="381">
        <f t="shared" si="19"/>
        <v>0</v>
      </c>
      <c r="K289" s="381">
        <f t="shared" si="20"/>
        <v>0</v>
      </c>
      <c r="L289" s="647">
        <f>IFERROR(IF(B289="funkcna poziadavka",VLOOKUP(G289,MODULY_CBA!$B$3:$E$23,4,0)*H289/SUMIFS($H$3:$H$197,$G$3:$G$197,G289,$B$3:$B$197,B289),),)</f>
        <v>0</v>
      </c>
      <c r="M289" s="381">
        <f>IFERROR(IF(B289="Funkcna poziadavka",VLOOKUP(G289,MODULY_CBA!$B$3:$E$23,3,0),),)</f>
        <v>0</v>
      </c>
      <c r="N289" s="381">
        <f>IFERROR(IF(B289="funkcna poziadavka",VLOOKUP(G289,MODULY_CBA!$B$3:$E$23,2,0),),)</f>
        <v>0</v>
      </c>
      <c r="O289" s="380">
        <f t="shared" si="21"/>
        <v>0</v>
      </c>
      <c r="P289" s="379">
        <f>IFERROR(O289*VLOOKUP(G289,MODULY_CBA!$B$3:$F$23,5,0),)</f>
        <v>0</v>
      </c>
      <c r="Q289" s="481" t="str">
        <f>IFERROR(VLOOKUP(G289,MODULY_CBA!$B$3:$I$23,6,0),"")</f>
        <v/>
      </c>
      <c r="R289" s="383"/>
      <c r="S289" s="383"/>
      <c r="T289" s="383"/>
      <c r="U289" s="383"/>
      <c r="V289" s="383"/>
      <c r="W289" s="383"/>
      <c r="X289" s="383"/>
      <c r="Y289" s="383"/>
      <c r="Z289" s="383"/>
      <c r="AA289" s="383"/>
      <c r="AB289" s="383"/>
      <c r="AC289" s="383"/>
      <c r="AD289" s="383"/>
      <c r="AE289" s="383"/>
      <c r="AF289" s="376"/>
    </row>
    <row r="290" spans="1:32" ht="15" x14ac:dyDescent="0.2">
      <c r="A290" s="403"/>
      <c r="B290" s="403"/>
      <c r="C290" s="534"/>
      <c r="D290" s="534"/>
      <c r="E290" s="534"/>
      <c r="F290" s="384"/>
      <c r="G290" s="384"/>
      <c r="H290" s="653"/>
      <c r="I290" s="653"/>
      <c r="J290" s="381">
        <f t="shared" si="19"/>
        <v>0</v>
      </c>
      <c r="K290" s="381">
        <f t="shared" si="20"/>
        <v>0</v>
      </c>
      <c r="L290" s="647">
        <f>IFERROR(IF(B290="funkcna poziadavka",VLOOKUP(G290,MODULY_CBA!$B$3:$E$23,4,0)*H290/SUMIFS($H$3:$H$197,$G$3:$G$197,G290,$B$3:$B$197,B290),),)</f>
        <v>0</v>
      </c>
      <c r="M290" s="381">
        <f>IFERROR(IF(B290="Funkcna poziadavka",VLOOKUP(G290,MODULY_CBA!$B$3:$E$23,3,0),),)</f>
        <v>0</v>
      </c>
      <c r="N290" s="381">
        <f>IFERROR(IF(B290="funkcna poziadavka",VLOOKUP(G290,MODULY_CBA!$B$3:$E$23,2,0),),)</f>
        <v>0</v>
      </c>
      <c r="O290" s="380">
        <f t="shared" si="21"/>
        <v>0</v>
      </c>
      <c r="P290" s="379">
        <f>IFERROR(O290*VLOOKUP(G290,MODULY_CBA!$B$3:$F$23,5,0),)</f>
        <v>0</v>
      </c>
      <c r="Q290" s="481" t="str">
        <f>IFERROR(VLOOKUP(G290,MODULY_CBA!$B$3:$I$23,6,0),"")</f>
        <v/>
      </c>
      <c r="R290" s="383"/>
      <c r="S290" s="383"/>
      <c r="T290" s="383"/>
      <c r="U290" s="383"/>
      <c r="V290" s="383"/>
      <c r="W290" s="383"/>
      <c r="X290" s="383"/>
      <c r="Y290" s="383"/>
      <c r="Z290" s="383"/>
      <c r="AA290" s="383"/>
      <c r="AB290" s="383"/>
      <c r="AC290" s="383"/>
      <c r="AD290" s="383"/>
      <c r="AE290" s="383"/>
      <c r="AF290" s="376"/>
    </row>
    <row r="291" spans="1:32" ht="15" x14ac:dyDescent="0.2">
      <c r="A291" s="403"/>
      <c r="B291" s="403"/>
      <c r="C291" s="534"/>
      <c r="D291" s="534"/>
      <c r="E291" s="534"/>
      <c r="F291" s="384"/>
      <c r="G291" s="384"/>
      <c r="H291" s="653"/>
      <c r="I291" s="653"/>
      <c r="J291" s="381">
        <f t="shared" si="19"/>
        <v>0</v>
      </c>
      <c r="K291" s="381">
        <f t="shared" si="20"/>
        <v>0</v>
      </c>
      <c r="L291" s="647">
        <f>IFERROR(IF(B291="funkcna poziadavka",VLOOKUP(G291,MODULY_CBA!$B$3:$E$23,4,0)*H291/SUMIFS($H$3:$H$197,$G$3:$G$197,G291,$B$3:$B$197,B291),),)</f>
        <v>0</v>
      </c>
      <c r="M291" s="381">
        <f>IFERROR(IF(B291="Funkcna poziadavka",VLOOKUP(G291,MODULY_CBA!$B$3:$E$23,3,0),),)</f>
        <v>0</v>
      </c>
      <c r="N291" s="381">
        <f>IFERROR(IF(B291="funkcna poziadavka",VLOOKUP(G291,MODULY_CBA!$B$3:$E$23,2,0),),)</f>
        <v>0</v>
      </c>
      <c r="O291" s="380">
        <f t="shared" si="21"/>
        <v>0</v>
      </c>
      <c r="P291" s="379">
        <f>IFERROR(O291*VLOOKUP(G291,MODULY_CBA!$B$3:$F$23,5,0),)</f>
        <v>0</v>
      </c>
      <c r="Q291" s="481" t="str">
        <f>IFERROR(VLOOKUP(G291,MODULY_CBA!$B$3:$I$23,6,0),"")</f>
        <v/>
      </c>
      <c r="R291" s="383"/>
      <c r="S291" s="383"/>
      <c r="T291" s="383"/>
      <c r="U291" s="383"/>
      <c r="V291" s="383"/>
      <c r="W291" s="383"/>
      <c r="X291" s="383"/>
      <c r="Y291" s="383"/>
      <c r="Z291" s="383"/>
      <c r="AA291" s="383"/>
      <c r="AB291" s="383"/>
      <c r="AC291" s="383"/>
      <c r="AD291" s="383"/>
      <c r="AE291" s="383"/>
      <c r="AF291" s="376"/>
    </row>
    <row r="292" spans="1:32" ht="15" x14ac:dyDescent="0.2">
      <c r="A292" s="403"/>
      <c r="B292" s="403"/>
      <c r="C292" s="534"/>
      <c r="D292" s="534"/>
      <c r="E292" s="534"/>
      <c r="F292" s="384"/>
      <c r="G292" s="384"/>
      <c r="H292" s="653"/>
      <c r="I292" s="653"/>
      <c r="J292" s="381">
        <f t="shared" si="19"/>
        <v>0</v>
      </c>
      <c r="K292" s="381">
        <f t="shared" si="20"/>
        <v>0</v>
      </c>
      <c r="L292" s="647">
        <f>IFERROR(IF(B292="funkcna poziadavka",VLOOKUP(G292,MODULY_CBA!$B$3:$E$23,4,0)*H292/SUMIFS($H$3:$H$197,$G$3:$G$197,G292,$B$3:$B$197,B292),),)</f>
        <v>0</v>
      </c>
      <c r="M292" s="381">
        <f>IFERROR(IF(B292="Funkcna poziadavka",VLOOKUP(G292,MODULY_CBA!$B$3:$E$23,3,0),),)</f>
        <v>0</v>
      </c>
      <c r="N292" s="381">
        <f>IFERROR(IF(B292="funkcna poziadavka",VLOOKUP(G292,MODULY_CBA!$B$3:$E$23,2,0),),)</f>
        <v>0</v>
      </c>
      <c r="O292" s="380">
        <f t="shared" si="21"/>
        <v>0</v>
      </c>
      <c r="P292" s="379">
        <f>IFERROR(O292*VLOOKUP(G292,MODULY_CBA!$B$3:$F$23,5,0),)</f>
        <v>0</v>
      </c>
      <c r="Q292" s="481" t="str">
        <f>IFERROR(VLOOKUP(G292,MODULY_CBA!$B$3:$I$23,6,0),"")</f>
        <v/>
      </c>
      <c r="R292" s="383"/>
      <c r="S292" s="383"/>
      <c r="T292" s="383"/>
      <c r="U292" s="383"/>
      <c r="V292" s="383"/>
      <c r="W292" s="383"/>
      <c r="X292" s="383"/>
      <c r="Y292" s="383"/>
      <c r="Z292" s="383"/>
      <c r="AA292" s="383"/>
      <c r="AB292" s="383"/>
      <c r="AC292" s="383"/>
      <c r="AD292" s="383"/>
      <c r="AE292" s="383"/>
      <c r="AF292" s="376"/>
    </row>
    <row r="293" spans="1:32" ht="15" x14ac:dyDescent="0.2">
      <c r="A293" s="403"/>
      <c r="B293" s="403"/>
      <c r="C293" s="534"/>
      <c r="D293" s="534"/>
      <c r="E293" s="534"/>
      <c r="F293" s="384"/>
      <c r="G293" s="384"/>
      <c r="H293" s="653"/>
      <c r="I293" s="653"/>
      <c r="J293" s="381">
        <f t="shared" si="19"/>
        <v>0</v>
      </c>
      <c r="K293" s="381">
        <f t="shared" si="20"/>
        <v>0</v>
      </c>
      <c r="L293" s="647">
        <f>IFERROR(IF(B293="funkcna poziadavka",VLOOKUP(G293,MODULY_CBA!$B$3:$E$23,4,0)*H293/SUMIFS($H$3:$H$197,$G$3:$G$197,G293,$B$3:$B$197,B293),),)</f>
        <v>0</v>
      </c>
      <c r="M293" s="381">
        <f>IFERROR(IF(B293="Funkcna poziadavka",VLOOKUP(G293,MODULY_CBA!$B$3:$E$23,3,0),),)</f>
        <v>0</v>
      </c>
      <c r="N293" s="381">
        <f>IFERROR(IF(B293="funkcna poziadavka",VLOOKUP(G293,MODULY_CBA!$B$3:$E$23,2,0),),)</f>
        <v>0</v>
      </c>
      <c r="O293" s="380">
        <f t="shared" si="21"/>
        <v>0</v>
      </c>
      <c r="P293" s="379">
        <f>IFERROR(O293*VLOOKUP(G293,MODULY_CBA!$B$3:$F$23,5,0),)</f>
        <v>0</v>
      </c>
      <c r="Q293" s="481" t="str">
        <f>IFERROR(VLOOKUP(G293,MODULY_CBA!$B$3:$I$23,6,0),"")</f>
        <v/>
      </c>
      <c r="R293" s="383"/>
      <c r="S293" s="383"/>
      <c r="T293" s="383"/>
      <c r="U293" s="383"/>
      <c r="V293" s="383"/>
      <c r="W293" s="383"/>
      <c r="X293" s="383"/>
      <c r="Y293" s="383"/>
      <c r="Z293" s="383"/>
      <c r="AA293" s="383"/>
      <c r="AB293" s="383"/>
      <c r="AC293" s="383"/>
      <c r="AD293" s="383"/>
      <c r="AE293" s="383"/>
      <c r="AF293" s="376"/>
    </row>
    <row r="294" spans="1:32" ht="15" x14ac:dyDescent="0.2">
      <c r="A294" s="403"/>
      <c r="B294" s="403"/>
      <c r="C294" s="534"/>
      <c r="D294" s="534"/>
      <c r="E294" s="534"/>
      <c r="F294" s="384"/>
      <c r="G294" s="384"/>
      <c r="H294" s="653"/>
      <c r="I294" s="653"/>
      <c r="J294" s="381">
        <f t="shared" si="19"/>
        <v>0</v>
      </c>
      <c r="K294" s="381">
        <f t="shared" si="20"/>
        <v>0</v>
      </c>
      <c r="L294" s="647">
        <f>IFERROR(IF(B294="funkcna poziadavka",VLOOKUP(G294,MODULY_CBA!$B$3:$E$23,4,0)*H294/SUMIFS($H$3:$H$197,$G$3:$G$197,G294,$B$3:$B$197,B294),),)</f>
        <v>0</v>
      </c>
      <c r="M294" s="381">
        <f>IFERROR(IF(B294="Funkcna poziadavka",VLOOKUP(G294,MODULY_CBA!$B$3:$E$23,3,0),),)</f>
        <v>0</v>
      </c>
      <c r="N294" s="381">
        <f>IFERROR(IF(B294="funkcna poziadavka",VLOOKUP(G294,MODULY_CBA!$B$3:$E$23,2,0),),)</f>
        <v>0</v>
      </c>
      <c r="O294" s="380">
        <f t="shared" si="21"/>
        <v>0</v>
      </c>
      <c r="P294" s="379">
        <f>IFERROR(O294*VLOOKUP(G294,MODULY_CBA!$B$3:$F$23,5,0),)</f>
        <v>0</v>
      </c>
      <c r="Q294" s="481" t="str">
        <f>IFERROR(VLOOKUP(G294,MODULY_CBA!$B$3:$I$23,6,0),"")</f>
        <v/>
      </c>
      <c r="R294" s="383"/>
      <c r="S294" s="383"/>
      <c r="T294" s="383"/>
      <c r="U294" s="383"/>
      <c r="V294" s="383"/>
      <c r="W294" s="383"/>
      <c r="X294" s="383"/>
      <c r="Y294" s="383"/>
      <c r="Z294" s="383"/>
      <c r="AA294" s="383"/>
      <c r="AB294" s="383"/>
      <c r="AC294" s="383"/>
      <c r="AD294" s="383"/>
      <c r="AE294" s="383"/>
      <c r="AF294" s="376"/>
    </row>
    <row r="295" spans="1:32" ht="15" x14ac:dyDescent="0.2">
      <c r="A295" s="403"/>
      <c r="B295" s="403"/>
      <c r="C295" s="534"/>
      <c r="D295" s="534"/>
      <c r="E295" s="534"/>
      <c r="F295" s="384"/>
      <c r="G295" s="384"/>
      <c r="H295" s="653"/>
      <c r="I295" s="653"/>
      <c r="J295" s="381">
        <f t="shared" si="19"/>
        <v>0</v>
      </c>
      <c r="K295" s="381">
        <f t="shared" si="20"/>
        <v>0</v>
      </c>
      <c r="L295" s="647">
        <f>IFERROR(IF(B295="funkcna poziadavka",VLOOKUP(G295,MODULY_CBA!$B$3:$E$23,4,0)*H295/SUMIFS($H$3:$H$197,$G$3:$G$197,G295,$B$3:$B$197,B295),),)</f>
        <v>0</v>
      </c>
      <c r="M295" s="381">
        <f>IFERROR(IF(B295="Funkcna poziadavka",VLOOKUP(G295,MODULY_CBA!$B$3:$E$23,3,0),),)</f>
        <v>0</v>
      </c>
      <c r="N295" s="381">
        <f>IFERROR(IF(B295="funkcna poziadavka",VLOOKUP(G295,MODULY_CBA!$B$3:$E$23,2,0),),)</f>
        <v>0</v>
      </c>
      <c r="O295" s="380">
        <f t="shared" si="21"/>
        <v>0</v>
      </c>
      <c r="P295" s="379">
        <f>IFERROR(O295*VLOOKUP(G295,MODULY_CBA!$B$3:$F$23,5,0),)</f>
        <v>0</v>
      </c>
      <c r="Q295" s="481" t="str">
        <f>IFERROR(VLOOKUP(G295,MODULY_CBA!$B$3:$I$23,6,0),"")</f>
        <v/>
      </c>
      <c r="R295" s="383"/>
      <c r="S295" s="383"/>
      <c r="T295" s="383"/>
      <c r="U295" s="383"/>
      <c r="V295" s="383"/>
      <c r="W295" s="383"/>
      <c r="X295" s="383"/>
      <c r="Y295" s="383"/>
      <c r="Z295" s="383"/>
      <c r="AA295" s="383"/>
      <c r="AB295" s="383"/>
      <c r="AC295" s="383"/>
      <c r="AD295" s="383"/>
      <c r="AE295" s="383"/>
      <c r="AF295" s="376"/>
    </row>
    <row r="296" spans="1:32" ht="15" x14ac:dyDescent="0.2">
      <c r="A296" s="403"/>
      <c r="B296" s="403"/>
      <c r="C296" s="534"/>
      <c r="D296" s="534"/>
      <c r="E296" s="534"/>
      <c r="F296" s="384"/>
      <c r="G296" s="384"/>
      <c r="H296" s="653"/>
      <c r="I296" s="653"/>
      <c r="J296" s="381">
        <f t="shared" ref="J296:J298" si="22">IF(ISNUMBER(H296),H296,)</f>
        <v>0</v>
      </c>
      <c r="K296" s="381">
        <f t="shared" ref="K296:K298" si="23">H296*I296</f>
        <v>0</v>
      </c>
      <c r="L296" s="647">
        <f>IFERROR(IF(B296="funkcna poziadavka",VLOOKUP(G296,MODULY_CBA!$B$3:$E$23,4,0)*H296/SUMIFS($H$3:$H$197,$G$3:$G$197,G296,$B$3:$B$197,B296),),)</f>
        <v>0</v>
      </c>
      <c r="M296" s="381">
        <f>IFERROR(IF(B296="Funkcna poziadavka",VLOOKUP(G296,MODULY_CBA!$B$3:$E$23,3,0),),)</f>
        <v>0</v>
      </c>
      <c r="N296" s="381">
        <f>IFERROR(IF(B296="funkcna poziadavka",VLOOKUP(G296,MODULY_CBA!$B$3:$E$23,2,0),),)</f>
        <v>0</v>
      </c>
      <c r="O296" s="380">
        <f t="shared" ref="O296:O298" si="24">(K296+L296)*M296*N296</f>
        <v>0</v>
      </c>
      <c r="P296" s="379">
        <f>IFERROR(O296*VLOOKUP(G296,MODULY_CBA!$B$3:$F$23,5,0),)</f>
        <v>0</v>
      </c>
      <c r="Q296" s="481" t="str">
        <f>IFERROR(VLOOKUP(G296,MODULY_CBA!$B$3:$I$23,6,0),"")</f>
        <v/>
      </c>
      <c r="R296" s="383"/>
      <c r="S296" s="383"/>
      <c r="T296" s="383"/>
      <c r="U296" s="383"/>
      <c r="V296" s="383"/>
      <c r="W296" s="383"/>
      <c r="X296" s="383"/>
      <c r="Y296" s="383"/>
      <c r="Z296" s="383"/>
      <c r="AA296" s="383"/>
      <c r="AB296" s="383"/>
      <c r="AC296" s="383"/>
      <c r="AD296" s="383"/>
      <c r="AE296" s="383"/>
      <c r="AF296" s="376"/>
    </row>
    <row r="297" spans="1:32" ht="15" x14ac:dyDescent="0.2">
      <c r="A297" s="403"/>
      <c r="B297" s="403"/>
      <c r="C297" s="534"/>
      <c r="D297" s="534"/>
      <c r="E297" s="534"/>
      <c r="F297" s="384"/>
      <c r="G297" s="384"/>
      <c r="H297" s="653"/>
      <c r="I297" s="653"/>
      <c r="J297" s="381">
        <f t="shared" si="22"/>
        <v>0</v>
      </c>
      <c r="K297" s="381">
        <f t="shared" si="23"/>
        <v>0</v>
      </c>
      <c r="L297" s="647">
        <f>IFERROR(IF(B297="funkcna poziadavka",VLOOKUP(G297,MODULY_CBA!$B$3:$E$23,4,0)*H297/SUMIFS($H$3:$H$197,$G$3:$G$197,G297,$B$3:$B$197,B297),),)</f>
        <v>0</v>
      </c>
      <c r="M297" s="381">
        <f>IFERROR(IF(B297="Funkcna poziadavka",VLOOKUP(G297,MODULY_CBA!$B$3:$E$23,3,0),),)</f>
        <v>0</v>
      </c>
      <c r="N297" s="381">
        <f>IFERROR(IF(B297="funkcna poziadavka",VLOOKUP(G297,MODULY_CBA!$B$3:$E$23,2,0),),)</f>
        <v>0</v>
      </c>
      <c r="O297" s="380">
        <f t="shared" si="24"/>
        <v>0</v>
      </c>
      <c r="P297" s="379">
        <f>IFERROR(O297*VLOOKUP(G297,MODULY_CBA!$B$3:$F$23,5,0),)</f>
        <v>0</v>
      </c>
      <c r="Q297" s="481" t="str">
        <f>IFERROR(VLOOKUP(G297,MODULY_CBA!$B$3:$I$23,6,0),"")</f>
        <v/>
      </c>
      <c r="R297" s="383"/>
      <c r="S297" s="383"/>
      <c r="T297" s="383"/>
      <c r="U297" s="383"/>
      <c r="V297" s="383"/>
      <c r="W297" s="383"/>
      <c r="X297" s="383"/>
      <c r="Y297" s="383"/>
      <c r="Z297" s="383"/>
      <c r="AA297" s="383"/>
      <c r="AB297" s="383"/>
      <c r="AC297" s="383"/>
      <c r="AD297" s="383"/>
      <c r="AE297" s="383"/>
      <c r="AF297" s="376"/>
    </row>
    <row r="298" spans="1:32" ht="15" x14ac:dyDescent="0.2">
      <c r="A298" s="403"/>
      <c r="B298" s="403" t="s">
        <v>724</v>
      </c>
      <c r="C298" s="534" t="s">
        <v>731</v>
      </c>
      <c r="D298" s="534" t="s">
        <v>732</v>
      </c>
      <c r="E298" s="534" t="s">
        <v>1</v>
      </c>
      <c r="F298" s="384" t="s">
        <v>733</v>
      </c>
      <c r="G298" s="384" t="s">
        <v>723</v>
      </c>
      <c r="H298" s="653">
        <v>5</v>
      </c>
      <c r="I298" s="653">
        <v>15</v>
      </c>
      <c r="J298" s="381">
        <f t="shared" si="22"/>
        <v>5</v>
      </c>
      <c r="K298" s="381">
        <f t="shared" si="23"/>
        <v>75</v>
      </c>
      <c r="L298" s="647">
        <f>IFERROR(IF(B298="funkcna poziadavka",VLOOKUP(G298,MODULY_CBA!$B$3:$E$23,4,0)*H298/SUMIFS($H$3:$H$197,$G$3:$G$197,G298,$B$3:$B$197,B298),),)</f>
        <v>0</v>
      </c>
      <c r="M298" s="381">
        <f>IFERROR(IF(B298="Funkcna poziadavka",VLOOKUP(G298,MODULY_CBA!$B$3:$E$23,3,0),),)</f>
        <v>0</v>
      </c>
      <c r="N298" s="381">
        <f>IFERROR(IF(B298="funkcna poziadavka",VLOOKUP(G298,MODULY_CBA!$B$3:$E$23,2,0),),)</f>
        <v>0</v>
      </c>
      <c r="O298" s="380">
        <f t="shared" si="24"/>
        <v>0</v>
      </c>
      <c r="P298" s="379">
        <f>IFERROR(O298*VLOOKUP(G298,MODULY_CBA!$B$3:$F$23,5,0),)</f>
        <v>0</v>
      </c>
      <c r="Q298" s="481" t="str">
        <f>IFERROR(VLOOKUP(G298,MODULY_CBA!$B$3:$I$23,6,0),"")</f>
        <v/>
      </c>
      <c r="R298" s="383"/>
      <c r="S298" s="383"/>
      <c r="T298" s="383"/>
      <c r="U298" s="383"/>
      <c r="V298" s="383"/>
      <c r="W298" s="383"/>
      <c r="X298" s="383"/>
      <c r="Y298" s="383"/>
      <c r="Z298" s="383"/>
      <c r="AA298" s="383"/>
      <c r="AB298" s="383"/>
      <c r="AC298" s="383"/>
      <c r="AD298" s="383"/>
      <c r="AE298" s="383"/>
      <c r="AF298" s="376"/>
    </row>
  </sheetData>
  <autoFilter ref="A2:AE298" xr:uid="{00000000-0009-0000-0000-00000B000000}"/>
  <mergeCells count="4">
    <mergeCell ref="T1:V1"/>
    <mergeCell ref="W1:AC1"/>
    <mergeCell ref="AD1:AE1"/>
    <mergeCell ref="A1:S1"/>
  </mergeCells>
  <phoneticPr fontId="58" type="noConversion"/>
  <conditionalFormatting sqref="H3:I298">
    <cfRule type="expression" dxfId="19" priority="1">
      <formula>$B3="Funkcna poziadavka"</formula>
    </cfRule>
  </conditionalFormatting>
  <conditionalFormatting sqref="J3:P298">
    <cfRule type="expression" dxfId="18" priority="2">
      <formula>$B3="funkcna poziadavka"</formula>
    </cfRule>
  </conditionalFormatting>
  <dataValidations count="3">
    <dataValidation type="list" allowBlank="1" showInputMessage="1" showErrorMessage="1" sqref="B3:B298" xr:uid="{00000000-0002-0000-0B00-000002000000}">
      <formula1>"Funkcna poziadavka, Ne-Funkcna poziadavka, Technicka poziadavka"</formula1>
    </dataValidation>
    <dataValidation type="list" allowBlank="1" showInputMessage="1" showErrorMessage="1" sqref="I3:I298" xr:uid="{00000000-0002-0000-0B00-000000000000}">
      <formula1>"5,10,15"</formula1>
    </dataValidation>
    <dataValidation type="list" allowBlank="1" showInputMessage="1" showErrorMessage="1" sqref="G3:G1048576" xr:uid="{00000000-0002-0000-0B00-000001000000}">
      <formula1>Moduly_2</formula1>
    </dataValidation>
  </dataValidations>
  <pageMargins left="0.7" right="0.7" top="0.75" bottom="0.75" header="0.3" footer="0.3"/>
  <pageSetup paperSize="9" orientation="portrait" horizontalDpi="4294967293"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27">
    <tabColor rgb="FFFFC000"/>
  </sheetPr>
  <dimension ref="A1:G17"/>
  <sheetViews>
    <sheetView workbookViewId="0">
      <pane xSplit="2" ySplit="4" topLeftCell="D7" activePane="bottomRight" state="frozen"/>
      <selection pane="topRight" activeCell="C1" sqref="C1"/>
      <selection pane="bottomLeft" activeCell="A5" sqref="A5"/>
      <selection pane="bottomRight" activeCell="F9" sqref="F9"/>
    </sheetView>
  </sheetViews>
  <sheetFormatPr baseColWidth="10" defaultColWidth="8.83203125" defaultRowHeight="14" x14ac:dyDescent="0.2"/>
  <cols>
    <col min="1" max="1" width="40" style="409" customWidth="1"/>
    <col min="2" max="2" width="11.1640625" style="409" customWidth="1"/>
    <col min="3" max="3" width="11.1640625" style="409" hidden="1" customWidth="1"/>
    <col min="4" max="4" width="55.5" style="409" customWidth="1"/>
    <col min="5" max="7" width="10.83203125" style="409" customWidth="1"/>
    <col min="8" max="16384" width="8.83203125" style="409"/>
  </cols>
  <sheetData>
    <row r="1" spans="1:7" ht="15" thickBot="1" x14ac:dyDescent="0.25">
      <c r="A1" s="613" t="s">
        <v>352</v>
      </c>
      <c r="B1" s="612">
        <f>SUM(G5:G17)</f>
        <v>41</v>
      </c>
      <c r="C1" s="612"/>
    </row>
    <row r="2" spans="1:7" ht="15" thickBot="1" x14ac:dyDescent="0.25">
      <c r="A2" s="613" t="s">
        <v>323</v>
      </c>
      <c r="B2" s="616">
        <f>0.6 + (0.01*B1)</f>
        <v>1.01</v>
      </c>
      <c r="C2" s="617"/>
    </row>
    <row r="4" spans="1:7" s="625" customFormat="1" ht="15" x14ac:dyDescent="0.2">
      <c r="A4" s="621" t="s">
        <v>40</v>
      </c>
      <c r="B4" s="622" t="s">
        <v>443</v>
      </c>
      <c r="C4" s="621" t="s">
        <v>544</v>
      </c>
      <c r="D4" s="621" t="s">
        <v>658</v>
      </c>
      <c r="E4" s="623" t="s">
        <v>442</v>
      </c>
      <c r="F4" s="624" t="s">
        <v>2</v>
      </c>
      <c r="G4" s="624" t="s">
        <v>541</v>
      </c>
    </row>
    <row r="5" spans="1:7" ht="36" customHeight="1" x14ac:dyDescent="0.2">
      <c r="A5" s="608" t="s">
        <v>351</v>
      </c>
      <c r="B5" s="607" t="s">
        <v>365</v>
      </c>
      <c r="C5" s="607">
        <v>1</v>
      </c>
      <c r="D5" s="619" t="str">
        <f>HLOOKUP(F5,Parametre_ECF_TCF!$B$1:$G$14,TCF_v02!C5+1,0)</f>
        <v>Aplikačné spracovanie je distribuované a údaje sa prenášajú oboma smermi.</v>
      </c>
      <c r="E5" s="609">
        <v>1</v>
      </c>
      <c r="F5" s="610">
        <v>4</v>
      </c>
      <c r="G5" s="611">
        <f>E5*F5</f>
        <v>4</v>
      </c>
    </row>
    <row r="6" spans="1:7" ht="45" x14ac:dyDescent="0.2">
      <c r="A6" s="608" t="s">
        <v>350</v>
      </c>
      <c r="B6" s="607" t="s">
        <v>364</v>
      </c>
      <c r="C6" s="607">
        <v>2</v>
      </c>
      <c r="D6" s="619" t="str">
        <f>HLOOKUP(F6,Parametre_ECF_TCF!$B$1:$G$14,TCF_v02!C6+1,0)</f>
        <v>Čas odozvy a prenosové rýchlosti sú kritické počas komerčných hodín. Nie je potrebný žiadny špeciálny dizajn pre použitie jadra procesora. Požiadavky týkajúce sa lehôt na komunikáciu s prepojenými systémami sú obmedzujúce.</v>
      </c>
      <c r="E6" s="609">
        <v>1</v>
      </c>
      <c r="F6" s="610">
        <v>3</v>
      </c>
      <c r="G6" s="611">
        <f t="shared" ref="G6:G17" si="0">E6*F6</f>
        <v>3</v>
      </c>
    </row>
    <row r="7" spans="1:7" ht="180" x14ac:dyDescent="0.2">
      <c r="A7" s="608" t="s">
        <v>349</v>
      </c>
      <c r="B7" s="607" t="s">
        <v>363</v>
      </c>
      <c r="C7" s="607">
        <v>3</v>
      </c>
      <c r="D7" s="619" t="str">
        <f>HLOOKUP(F7,Parametre_ECF_TCF!$B$1:$G$14,TCF_v02!C7+1,0)</f>
        <v>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v>
      </c>
      <c r="E7" s="609">
        <v>1</v>
      </c>
      <c r="F7" s="610">
        <v>3</v>
      </c>
      <c r="G7" s="611">
        <f t="shared" si="0"/>
        <v>3</v>
      </c>
    </row>
    <row r="8" spans="1:7" ht="180" x14ac:dyDescent="0.2">
      <c r="A8" s="608" t="s">
        <v>348</v>
      </c>
      <c r="B8" s="607" t="s">
        <v>362</v>
      </c>
      <c r="C8" s="607">
        <v>4</v>
      </c>
      <c r="D8" s="619" t="str">
        <f>HLOOKUP(F8,Parametre_ECF_TCF!$B$1:$G$14,TCF_v02!C8+1,0)</f>
        <v>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v>
      </c>
      <c r="E8" s="609">
        <v>1</v>
      </c>
      <c r="F8" s="610">
        <v>4</v>
      </c>
      <c r="G8" s="611">
        <f t="shared" si="0"/>
        <v>4</v>
      </c>
    </row>
    <row r="9" spans="1:7" ht="15" x14ac:dyDescent="0.2">
      <c r="A9" s="608" t="s">
        <v>347</v>
      </c>
      <c r="B9" s="607" t="s">
        <v>361</v>
      </c>
      <c r="C9" s="607">
        <v>5</v>
      </c>
      <c r="D9" s="619" t="str">
        <f>HLOOKUP(F9,Parametre_ECF_TCF!$B$1:$G$14,TCF_v02!C9+1,0)</f>
        <v>10% alebo viac aplikácie musí brať do úvahy viac, ako potrebuje používateľ.</v>
      </c>
      <c r="E9" s="609">
        <v>1</v>
      </c>
      <c r="F9" s="610">
        <v>3</v>
      </c>
      <c r="G9" s="611">
        <f t="shared" si="0"/>
        <v>3</v>
      </c>
    </row>
    <row r="10" spans="1:7" ht="45" x14ac:dyDescent="0.2">
      <c r="A10" s="608" t="s">
        <v>346</v>
      </c>
      <c r="B10" s="607" t="s">
        <v>360</v>
      </c>
      <c r="C10" s="607">
        <v>6</v>
      </c>
      <c r="D10" s="619" t="str">
        <f>HLOOKUP(F10,Parametre_ECF_TCF!$B$1:$G$14,TCF_v02!C10+1,0)</f>
        <v>Musia byť poskytnuté a otestované požiadavky stanovené klientom na prevod a inštaláciu údajov a príručky na prevod a inštaláciu. Dopad konverzie na projekt je značný.</v>
      </c>
      <c r="E10" s="609">
        <v>0.5</v>
      </c>
      <c r="F10" s="610">
        <v>3</v>
      </c>
      <c r="G10" s="611">
        <f t="shared" si="0"/>
        <v>1.5</v>
      </c>
    </row>
    <row r="11" spans="1:7" ht="135" x14ac:dyDescent="0.2">
      <c r="A11" s="608" t="s">
        <v>345</v>
      </c>
      <c r="B11" s="607" t="s">
        <v>359</v>
      </c>
      <c r="C11" s="607">
        <v>7</v>
      </c>
      <c r="D11" s="619" t="str">
        <f>HLOOKUP(F11,Parametre_ECF_TCF!$B$1:$G$14,TCF_v02!C11+1,0)</f>
        <v>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v>
      </c>
      <c r="E11" s="609">
        <v>0.5</v>
      </c>
      <c r="F11" s="610">
        <v>3</v>
      </c>
      <c r="G11" s="611">
        <f t="shared" si="0"/>
        <v>1.5</v>
      </c>
    </row>
    <row r="12" spans="1:7" ht="45" x14ac:dyDescent="0.2">
      <c r="A12" s="608" t="s">
        <v>344</v>
      </c>
      <c r="B12" s="607" t="s">
        <v>358</v>
      </c>
      <c r="C12" s="607">
        <v>8</v>
      </c>
      <c r="D12" s="619" t="str">
        <f>HLOOKUP(F12,Parametre_ECF_TCF!$B$1:$G$14,TCF_v02!C12+1,0)</f>
        <v>Návrh musí brať do úvahy potrebu systému pracovať na rôznych platformách, ale aplikácia musí byť navrhnutá tak, aby fungovala v heterogénnych hardvérových a softvérových prostrediach.</v>
      </c>
      <c r="E12" s="609">
        <v>2</v>
      </c>
      <c r="F12" s="610">
        <v>3</v>
      </c>
      <c r="G12" s="611">
        <f t="shared" si="0"/>
        <v>6</v>
      </c>
    </row>
    <row r="13" spans="1:7" ht="255" x14ac:dyDescent="0.2">
      <c r="A13" s="608" t="s">
        <v>343</v>
      </c>
      <c r="B13" s="607" t="s">
        <v>357</v>
      </c>
      <c r="C13" s="607">
        <v>9</v>
      </c>
      <c r="D13" s="619" t="str">
        <f>HLOOKUP(F13,Parametre_ECF_TCF!$B$1:$G$14,TCF_v02!C13+1,0)</f>
        <v>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v>
      </c>
      <c r="E13" s="609">
        <v>1</v>
      </c>
      <c r="F13" s="610">
        <v>3</v>
      </c>
      <c r="G13" s="611">
        <f t="shared" si="0"/>
        <v>3</v>
      </c>
    </row>
    <row r="14" spans="1:7" ht="15" x14ac:dyDescent="0.2">
      <c r="A14" s="608" t="s">
        <v>342</v>
      </c>
      <c r="B14" s="607" t="s">
        <v>356</v>
      </c>
      <c r="C14" s="607">
        <v>10</v>
      </c>
      <c r="D14" s="619" t="str">
        <f>HLOOKUP(F14,Parametre_ECF_TCF!$B$1:$G$14,TCF_v02!C14+1,0)</f>
        <v>Súčasný prístup k údajom sa očakáva neustále</v>
      </c>
      <c r="E14" s="609">
        <v>1</v>
      </c>
      <c r="F14" s="610">
        <v>3</v>
      </c>
      <c r="G14" s="611">
        <f t="shared" si="0"/>
        <v>3</v>
      </c>
    </row>
    <row r="15" spans="1:7" ht="60" x14ac:dyDescent="0.2">
      <c r="A15" s="608" t="s">
        <v>341</v>
      </c>
      <c r="B15" s="607" t="s">
        <v>355</v>
      </c>
      <c r="C15" s="607">
        <v>11</v>
      </c>
      <c r="D15" s="619" t="str">
        <f>HLOOKUP(F15,Parametre_ECF_TCF!$B$1:$G$14,TCF_v02!C15+1,0)</f>
        <v>Pri návrhu sa musí brať do úvahy potreba bezpečnosti.
Aplikácia musí byť navrhnutá tak, aby k nej mali prístup iba autorizovaní používatelia.
Zároveň bude kontrolovaný a kontrolovaný prístup do systému</v>
      </c>
      <c r="E15" s="609">
        <v>1</v>
      </c>
      <c r="F15" s="610">
        <v>3</v>
      </c>
      <c r="G15" s="611">
        <f t="shared" si="0"/>
        <v>3</v>
      </c>
    </row>
    <row r="16" spans="1:7" ht="36" customHeight="1" x14ac:dyDescent="0.2">
      <c r="A16" s="608" t="s">
        <v>340</v>
      </c>
      <c r="B16" s="607" t="s">
        <v>354</v>
      </c>
      <c r="C16" s="607">
        <v>12</v>
      </c>
      <c r="D16" s="619" t="str">
        <f>HLOOKUP(F16,Parametre_ECF_TCF!$B$1:$G$14,TCF_v02!C16+1,0)</f>
        <v>Predbežný kód, ktorý je nakoniec potrebné upraviť, sa použije v malých častiach aplikácie.</v>
      </c>
      <c r="E16" s="609">
        <v>1</v>
      </c>
      <c r="F16" s="610">
        <v>3</v>
      </c>
      <c r="G16" s="611">
        <f t="shared" si="0"/>
        <v>3</v>
      </c>
    </row>
    <row r="17" spans="1:7" ht="40.25" customHeight="1" x14ac:dyDescent="0.2">
      <c r="A17" s="608" t="s">
        <v>339</v>
      </c>
      <c r="B17" s="607" t="s">
        <v>353</v>
      </c>
      <c r="C17" s="607">
        <v>13</v>
      </c>
      <c r="D17" s="619" t="str">
        <f>HLOOKUP(F17,Parametre_ECF_TCF!$B$1:$G$14,TCF_v02!C17+1,0)</f>
        <v>Existujú formálne špecifické požiadavky na školenie používateľov a aplikácia musí byť navrhnutá na podporu používateľov s rôznymi úrovňami školenia.</v>
      </c>
      <c r="E17" s="609">
        <v>1</v>
      </c>
      <c r="F17" s="610">
        <v>3</v>
      </c>
      <c r="G17" s="611">
        <f t="shared" si="0"/>
        <v>3</v>
      </c>
    </row>
  </sheetData>
  <conditionalFormatting sqref="F5:G17">
    <cfRule type="expression" dxfId="17" priority="1">
      <formula>#REF!="NIE"</formula>
    </cfRule>
    <cfRule type="expression" dxfId="16" priority="2">
      <formula>#REF!="ANO"</formula>
    </cfRule>
  </conditionalFormatting>
  <dataValidations count="1">
    <dataValidation type="list" allowBlank="1" showInputMessage="1" showErrorMessage="1" sqref="F5:F17" xr:uid="{00000000-0002-0000-0C00-000000000000}">
      <formula1>"0,1,2,3,4,5"</formula1>
    </dataValidation>
  </dataValidations>
  <pageMargins left="0.7" right="0.7" top="0.75" bottom="0.75" header="0.3" footer="0.3"/>
  <pageSetup paperSize="9" orientation="portrait" horizontalDpi="4294967293"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28">
    <tabColor rgb="FFFFC000"/>
  </sheetPr>
  <dimension ref="A1:G12"/>
  <sheetViews>
    <sheetView workbookViewId="0">
      <pane ySplit="4" topLeftCell="A5" activePane="bottomLeft" state="frozen"/>
      <selection pane="bottomLeft" activeCell="D2" sqref="D2"/>
    </sheetView>
  </sheetViews>
  <sheetFormatPr baseColWidth="10" defaultColWidth="8.83203125" defaultRowHeight="14" x14ac:dyDescent="0.2"/>
  <cols>
    <col min="1" max="1" width="40" style="409" customWidth="1"/>
    <col min="2" max="2" width="11.1640625" style="409" customWidth="1"/>
    <col min="3" max="3" width="10.83203125" style="409" hidden="1" customWidth="1"/>
    <col min="4" max="4" width="55.6640625" style="409" customWidth="1"/>
    <col min="5" max="7" width="10.6640625" style="409" customWidth="1"/>
    <col min="8" max="16384" width="8.83203125" style="409"/>
  </cols>
  <sheetData>
    <row r="1" spans="1:7" ht="15" thickBot="1" x14ac:dyDescent="0.25">
      <c r="A1" s="613" t="s">
        <v>352</v>
      </c>
      <c r="B1" s="612">
        <f>SUM(G5:G12)</f>
        <v>21</v>
      </c>
      <c r="C1" s="612"/>
    </row>
    <row r="2" spans="1:7" ht="15" thickBot="1" x14ac:dyDescent="0.25">
      <c r="A2" s="613" t="s">
        <v>323</v>
      </c>
      <c r="B2" s="616">
        <f>1.4 + (-0.03*B1)</f>
        <v>0.76999999999999991</v>
      </c>
      <c r="C2" s="617"/>
    </row>
    <row r="4" spans="1:7" s="625" customFormat="1" ht="15" x14ac:dyDescent="0.2">
      <c r="A4" s="621" t="s">
        <v>40</v>
      </c>
      <c r="B4" s="622" t="s">
        <v>443</v>
      </c>
      <c r="C4" s="621" t="s">
        <v>544</v>
      </c>
      <c r="D4" s="621" t="s">
        <v>658</v>
      </c>
      <c r="E4" s="623" t="s">
        <v>442</v>
      </c>
      <c r="F4" s="624" t="s">
        <v>2</v>
      </c>
      <c r="G4" s="624" t="s">
        <v>541</v>
      </c>
    </row>
    <row r="5" spans="1:7" ht="45.5" customHeight="1" x14ac:dyDescent="0.2">
      <c r="A5" s="615" t="s">
        <v>448</v>
      </c>
      <c r="B5" s="614" t="s">
        <v>497</v>
      </c>
      <c r="C5" s="614">
        <v>1</v>
      </c>
      <c r="D5" s="619" t="str">
        <f>HLOOKUP(F5,Parametre_ECF_TCF!$B$1:$G$50,ECF_v02!C5+14,0)</f>
        <v>Až polovica tímu použila postup v mnohých projektoch.</v>
      </c>
      <c r="E5" s="609">
        <v>1.5</v>
      </c>
      <c r="F5" s="610">
        <v>4</v>
      </c>
      <c r="G5" s="611">
        <f>E5*F5</f>
        <v>6</v>
      </c>
    </row>
    <row r="6" spans="1:7" ht="45.5" customHeight="1" x14ac:dyDescent="0.2">
      <c r="A6" s="615" t="s">
        <v>372</v>
      </c>
      <c r="B6" s="607" t="s">
        <v>498</v>
      </c>
      <c r="C6" s="607">
        <v>2</v>
      </c>
      <c r="D6" s="619" t="str">
        <f>HLOOKUP(F6,Parametre_ECF_TCF!$B$1:$G$50,ECF_v02!C6+14,0)</f>
        <v>Väčšina členov tímu má viac ako dvojročné skúsenosti v rovnakej oblasti.</v>
      </c>
      <c r="E6" s="609">
        <v>0.5</v>
      </c>
      <c r="F6" s="610">
        <v>4</v>
      </c>
      <c r="G6" s="611">
        <f t="shared" ref="G6:G12" si="0">E6*F6</f>
        <v>2</v>
      </c>
    </row>
    <row r="7" spans="1:7" ht="45.5" customHeight="1" x14ac:dyDescent="0.2">
      <c r="A7" s="615" t="s">
        <v>371</v>
      </c>
      <c r="B7" s="607" t="s">
        <v>499</v>
      </c>
      <c r="C7" s="607">
        <v>3</v>
      </c>
      <c r="D7" s="619" t="str">
        <f>HLOOKUP(F7,Parametre_ECF_TCF!$B$1:$G$50,ECF_v02!C7+14,0)</f>
        <v>Väčšina členov tímu má viac ako dvojročné skúsenosti s objektovo orientovanými technikami.</v>
      </c>
      <c r="E7" s="609">
        <v>1</v>
      </c>
      <c r="F7" s="610">
        <v>4</v>
      </c>
      <c r="G7" s="611">
        <f t="shared" si="0"/>
        <v>4</v>
      </c>
    </row>
    <row r="8" spans="1:7" ht="45.5" customHeight="1" x14ac:dyDescent="0.2">
      <c r="A8" s="615" t="s">
        <v>370</v>
      </c>
      <c r="B8" s="607" t="s">
        <v>500</v>
      </c>
      <c r="C8" s="607">
        <v>4</v>
      </c>
      <c r="D8" s="619" t="str">
        <f>HLOOKUP(F8,Parametre_ECF_TCF!$B$1:$G$50,ECF_v02!C8+14,0)</f>
        <v>Vedúci analytik má viac ako dvojročné skúsenosti s podobnými projektmi.</v>
      </c>
      <c r="E8" s="609">
        <v>0.5</v>
      </c>
      <c r="F8" s="610">
        <v>4</v>
      </c>
      <c r="G8" s="611">
        <f t="shared" si="0"/>
        <v>2</v>
      </c>
    </row>
    <row r="9" spans="1:7" ht="45.5" customHeight="1" x14ac:dyDescent="0.2">
      <c r="A9" s="615" t="s">
        <v>369</v>
      </c>
      <c r="B9" s="607" t="s">
        <v>501</v>
      </c>
      <c r="C9" s="607">
        <v>5</v>
      </c>
      <c r="D9" s="619" t="str">
        <f>HLOOKUP(F9,Parametre_ECF_TCF!$B$1:$G$50,ECF_v02!C9+14,0)</f>
        <v>Tím je dobre motivovaný. Tím zvyčajne riadi sám, ale existencia dohľadu je stále nevyhnutná, pretože bez neho je možné stratiť produktivitu</v>
      </c>
      <c r="E9" s="609">
        <v>1</v>
      </c>
      <c r="F9" s="610">
        <v>4</v>
      </c>
      <c r="G9" s="611">
        <f t="shared" si="0"/>
        <v>4</v>
      </c>
    </row>
    <row r="10" spans="1:7" ht="45.5" customHeight="1" x14ac:dyDescent="0.2">
      <c r="A10" s="615" t="s">
        <v>368</v>
      </c>
      <c r="B10" s="607" t="s">
        <v>502</v>
      </c>
      <c r="C10" s="607">
        <v>6</v>
      </c>
      <c r="D10" s="619" t="str">
        <f>HLOOKUP(F10,Parametre_ECF_TCF!$B$1:$G$50,ECF_v02!C10+14,0)</f>
        <v>Požiadavky boli v minulosti väčšinou stabilné. Používatelia požadovali malé zmeny, najmä tie kozmetické. Zmeny hlavných alebo vedľajších funkcií boli neobvyklé.</v>
      </c>
      <c r="E10" s="609">
        <v>2</v>
      </c>
      <c r="F10" s="610">
        <v>4</v>
      </c>
      <c r="G10" s="611">
        <f t="shared" si="0"/>
        <v>8</v>
      </c>
    </row>
    <row r="11" spans="1:7" ht="45.5" customHeight="1" x14ac:dyDescent="0.2">
      <c r="A11" s="615" t="s">
        <v>367</v>
      </c>
      <c r="B11" s="607" t="s">
        <v>503</v>
      </c>
      <c r="C11" s="607">
        <v>7</v>
      </c>
      <c r="D11" s="619" t="str">
        <f>HLOOKUP(F11,Parametre_ECF_TCF!$B$1:$G$50,ECF_v02!C11+14,0)</f>
        <v>Až 40% tímu je na čiastočný úväzok.</v>
      </c>
      <c r="E11" s="609">
        <v>-1</v>
      </c>
      <c r="F11" s="610">
        <v>3</v>
      </c>
      <c r="G11" s="611">
        <f t="shared" si="0"/>
        <v>-3</v>
      </c>
    </row>
    <row r="12" spans="1:7" ht="45.5" customHeight="1" x14ac:dyDescent="0.2">
      <c r="A12" s="615" t="s">
        <v>366</v>
      </c>
      <c r="B12" s="607" t="s">
        <v>504</v>
      </c>
      <c r="C12" s="618">
        <v>8</v>
      </c>
      <c r="D12" s="619" t="str">
        <f>HLOOKUP(F12,Parametre_ECF_TCF!$B$1:$G$50,ECF_v02!C12+14,0)</f>
        <v>Všetci členovia tímu majú najmenej 18 mesiacov skúseností s programovaním.</v>
      </c>
      <c r="E12" s="609">
        <v>-1</v>
      </c>
      <c r="F12" s="610">
        <v>2</v>
      </c>
      <c r="G12" s="611">
        <f t="shared" si="0"/>
        <v>-2</v>
      </c>
    </row>
  </sheetData>
  <phoneticPr fontId="58" type="noConversion"/>
  <conditionalFormatting sqref="F5:G12">
    <cfRule type="expression" dxfId="15" priority="1">
      <formula>#REF!="NIE"</formula>
    </cfRule>
    <cfRule type="expression" dxfId="14" priority="2">
      <formula>#REF!="ANO"</formula>
    </cfRule>
  </conditionalFormatting>
  <dataValidations count="1">
    <dataValidation type="list" allowBlank="1" showInputMessage="1" showErrorMessage="1" sqref="F5:F12" xr:uid="{00000000-0002-0000-0D00-000000000000}">
      <formula1>"0,1,2,3,4,5"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9">
    <tabColor rgb="FFFFC000"/>
  </sheetPr>
  <dimension ref="A1:Q26"/>
  <sheetViews>
    <sheetView workbookViewId="0">
      <pane xSplit="2" ySplit="5" topLeftCell="C6" activePane="bottomRight" state="frozen"/>
      <selection activeCell="I3" sqref="I3"/>
      <selection pane="topRight" activeCell="I3" sqref="I3"/>
      <selection pane="bottomLeft" activeCell="I3" sqref="I3"/>
      <selection pane="bottomRight" activeCell="F18" sqref="F18"/>
    </sheetView>
  </sheetViews>
  <sheetFormatPr baseColWidth="10" defaultColWidth="8.83203125" defaultRowHeight="14" x14ac:dyDescent="0.2"/>
  <cols>
    <col min="1" max="1" width="26.33203125" style="409" customWidth="1"/>
    <col min="2" max="2" width="13.33203125" style="409" bestFit="1" customWidth="1"/>
    <col min="3" max="16" width="11.6640625" style="409" customWidth="1"/>
    <col min="17" max="16384" width="8.83203125" style="409"/>
  </cols>
  <sheetData>
    <row r="1" spans="1:17" ht="15" x14ac:dyDescent="0.2">
      <c r="A1" s="1366" t="s">
        <v>292</v>
      </c>
      <c r="B1" s="420" t="s">
        <v>377</v>
      </c>
      <c r="C1" s="424" t="s">
        <v>745</v>
      </c>
      <c r="D1" s="424" t="s">
        <v>745</v>
      </c>
      <c r="E1" s="424" t="s">
        <v>745</v>
      </c>
      <c r="F1" s="424" t="s">
        <v>745</v>
      </c>
      <c r="G1" s="424" t="s">
        <v>745</v>
      </c>
      <c r="H1" s="424" t="s">
        <v>745</v>
      </c>
      <c r="I1" s="424" t="s">
        <v>745</v>
      </c>
      <c r="J1" s="424" t="s">
        <v>745</v>
      </c>
      <c r="K1" s="424" t="s">
        <v>745</v>
      </c>
      <c r="L1" s="424" t="s">
        <v>745</v>
      </c>
      <c r="M1" s="424" t="s">
        <v>745</v>
      </c>
      <c r="N1" s="424" t="s">
        <v>745</v>
      </c>
      <c r="O1" s="424" t="s">
        <v>745</v>
      </c>
      <c r="P1" s="424" t="s">
        <v>745</v>
      </c>
      <c r="Q1" s="417"/>
    </row>
    <row r="2" spans="1:17" ht="60" x14ac:dyDescent="0.2">
      <c r="A2" s="1366"/>
      <c r="B2" s="420" t="s">
        <v>376</v>
      </c>
      <c r="C2" s="423" t="s">
        <v>375</v>
      </c>
      <c r="D2" s="423" t="s">
        <v>434</v>
      </c>
      <c r="E2" s="423" t="s">
        <v>436</v>
      </c>
      <c r="F2" s="423"/>
      <c r="G2" s="423"/>
      <c r="H2" s="423"/>
      <c r="I2" s="423"/>
      <c r="J2" s="423"/>
      <c r="K2" s="423"/>
      <c r="L2" s="423"/>
      <c r="M2" s="423"/>
      <c r="N2" s="423"/>
      <c r="O2" s="423"/>
      <c r="P2" s="423"/>
      <c r="Q2" s="417"/>
    </row>
    <row r="3" spans="1:17" x14ac:dyDescent="0.2">
      <c r="A3" s="1366"/>
      <c r="B3" s="420" t="s">
        <v>374</v>
      </c>
      <c r="C3" s="422">
        <v>3</v>
      </c>
      <c r="D3" s="422">
        <v>3</v>
      </c>
      <c r="E3" s="422">
        <v>3</v>
      </c>
      <c r="F3" s="422"/>
      <c r="G3" s="422"/>
      <c r="H3" s="422"/>
      <c r="I3" s="422"/>
      <c r="J3" s="422"/>
      <c r="K3" s="422"/>
      <c r="L3" s="422"/>
      <c r="M3" s="422"/>
      <c r="N3" s="422"/>
      <c r="O3" s="422"/>
      <c r="P3" s="422"/>
      <c r="Q3" s="417"/>
    </row>
    <row r="4" spans="1:17" x14ac:dyDescent="0.2">
      <c r="A4" s="1366"/>
      <c r="B4" s="420" t="s">
        <v>242</v>
      </c>
      <c r="C4" s="422">
        <v>2</v>
      </c>
      <c r="D4" s="422">
        <v>2</v>
      </c>
      <c r="E4" s="422">
        <v>5</v>
      </c>
      <c r="F4" s="422"/>
      <c r="G4" s="422"/>
      <c r="H4" s="414"/>
      <c r="I4" s="414"/>
      <c r="J4" s="414"/>
      <c r="K4" s="414"/>
      <c r="L4" s="414"/>
      <c r="M4" s="414"/>
      <c r="N4" s="414"/>
      <c r="O4" s="414"/>
      <c r="P4" s="421"/>
      <c r="Q4" s="417"/>
    </row>
    <row r="5" spans="1:17" x14ac:dyDescent="0.2">
      <c r="A5" s="1366"/>
      <c r="B5" s="420" t="s">
        <v>373</v>
      </c>
      <c r="C5" s="419">
        <f t="shared" ref="C5:P5" si="0">C3*C4</f>
        <v>6</v>
      </c>
      <c r="D5" s="419">
        <f t="shared" si="0"/>
        <v>6</v>
      </c>
      <c r="E5" s="419">
        <f t="shared" si="0"/>
        <v>15</v>
      </c>
      <c r="F5" s="419">
        <f t="shared" si="0"/>
        <v>0</v>
      </c>
      <c r="G5" s="419">
        <f t="shared" si="0"/>
        <v>0</v>
      </c>
      <c r="H5" s="419">
        <f t="shared" si="0"/>
        <v>0</v>
      </c>
      <c r="I5" s="419">
        <f t="shared" si="0"/>
        <v>0</v>
      </c>
      <c r="J5" s="419">
        <f t="shared" si="0"/>
        <v>0</v>
      </c>
      <c r="K5" s="419">
        <f t="shared" si="0"/>
        <v>0</v>
      </c>
      <c r="L5" s="419">
        <f t="shared" si="0"/>
        <v>0</v>
      </c>
      <c r="M5" s="419">
        <f t="shared" si="0"/>
        <v>0</v>
      </c>
      <c r="N5" s="419">
        <f t="shared" si="0"/>
        <v>0</v>
      </c>
      <c r="O5" s="419">
        <f t="shared" si="0"/>
        <v>0</v>
      </c>
      <c r="P5" s="419">
        <f t="shared" si="0"/>
        <v>0</v>
      </c>
      <c r="Q5" s="417"/>
    </row>
    <row r="6" spans="1:17" x14ac:dyDescent="0.2">
      <c r="A6" s="418" t="str">
        <f>IF(ISBLANK(MODULY_CBA!B3),"",MODULY_CBA!B3)</f>
        <v>NetAcad LAB A vybavenie (Networking a základy cybersec)</v>
      </c>
      <c r="B6" s="418">
        <f t="shared" ref="B6:B26" si="1">SUM(C6*C$5,D6*D$5,E6*E$5,F6*F$5,G6*G$5,H6*H$5,I6*I$5,J6*J$5,K6*K$5,L6*L$5,M6*M$5,N6*N$5,O6*O$5,P6*P$5)</f>
        <v>21</v>
      </c>
      <c r="C6" s="482"/>
      <c r="D6" s="482">
        <v>1</v>
      </c>
      <c r="E6" s="482">
        <v>1</v>
      </c>
      <c r="F6" s="482"/>
      <c r="G6" s="482"/>
      <c r="H6" s="482"/>
      <c r="I6" s="482"/>
      <c r="J6" s="482"/>
      <c r="K6" s="482"/>
      <c r="L6" s="482"/>
      <c r="M6" s="482"/>
      <c r="N6" s="482"/>
      <c r="O6" s="482"/>
      <c r="P6" s="482"/>
      <c r="Q6" s="417"/>
    </row>
    <row r="7" spans="1:17" x14ac:dyDescent="0.2">
      <c r="A7" s="418" t="str">
        <f>IF(ISBLANK(MODULY_CBA!B4),"",MODULY_CBA!B4)</f>
        <v>NetAcad LAB B vybavenie (Pokročilá cybersec)</v>
      </c>
      <c r="B7" s="418">
        <f t="shared" si="1"/>
        <v>21</v>
      </c>
      <c r="C7" s="482"/>
      <c r="D7" s="482">
        <v>1</v>
      </c>
      <c r="E7" s="482">
        <v>1</v>
      </c>
      <c r="F7" s="482"/>
      <c r="G7" s="482"/>
      <c r="H7" s="482"/>
      <c r="I7" s="482"/>
      <c r="J7" s="482"/>
      <c r="K7" s="482"/>
      <c r="L7" s="482"/>
      <c r="M7" s="482"/>
      <c r="N7" s="482"/>
      <c r="O7" s="482"/>
      <c r="P7" s="482"/>
      <c r="Q7" s="417"/>
    </row>
    <row r="8" spans="1:17" x14ac:dyDescent="0.2">
      <c r="A8" s="418" t="str">
        <f>IF(ISBLANK(MODULY_CBA!B5),"",MODULY_CBA!B5)</f>
        <v>NetAcad LAB spoločná komunikačná infraštruktúra</v>
      </c>
      <c r="B8" s="418">
        <f t="shared" si="1"/>
        <v>21</v>
      </c>
      <c r="C8" s="482"/>
      <c r="D8" s="482">
        <v>1</v>
      </c>
      <c r="E8" s="482">
        <v>1</v>
      </c>
      <c r="F8" s="482"/>
      <c r="G8" s="482"/>
      <c r="H8" s="482"/>
      <c r="I8" s="482"/>
      <c r="J8" s="482"/>
      <c r="K8" s="482"/>
      <c r="L8" s="482"/>
      <c r="M8" s="482"/>
      <c r="N8" s="482"/>
      <c r="O8" s="482"/>
      <c r="P8" s="482"/>
      <c r="Q8" s="417"/>
    </row>
    <row r="9" spans="1:17" x14ac:dyDescent="0.2">
      <c r="A9" s="418" t="str">
        <f>IF(ISBLANK(MODULY_CBA!B6),"",MODULY_CBA!B6)</f>
        <v>NetAcad LAB vzdelávací obsah v  oblasti kybernetickej bezpečnosti (na Slovensku)</v>
      </c>
      <c r="B9" s="418">
        <f t="shared" si="1"/>
        <v>0</v>
      </c>
      <c r="C9" s="482"/>
      <c r="D9" s="482"/>
      <c r="E9" s="482"/>
      <c r="F9" s="482"/>
      <c r="G9" s="482"/>
      <c r="H9" s="482"/>
      <c r="I9" s="482"/>
      <c r="J9" s="482"/>
      <c r="K9" s="482"/>
      <c r="L9" s="482"/>
      <c r="M9" s="482"/>
      <c r="N9" s="482"/>
      <c r="O9" s="482"/>
      <c r="P9" s="482"/>
      <c r="Q9" s="417"/>
    </row>
    <row r="10" spans="1:17" x14ac:dyDescent="0.2">
      <c r="A10" s="418" t="str">
        <f>IF(ISBLANK(MODULY_CBA!B7),"",MODULY_CBA!B7)</f>
        <v>LMS Cluster + Interoperabilita</v>
      </c>
      <c r="B10" s="418">
        <f t="shared" si="1"/>
        <v>21</v>
      </c>
      <c r="C10" s="482"/>
      <c r="D10" s="482">
        <v>1</v>
      </c>
      <c r="E10" s="482">
        <v>1</v>
      </c>
      <c r="F10" s="482"/>
      <c r="G10" s="482"/>
      <c r="H10" s="482"/>
      <c r="I10" s="482"/>
      <c r="J10" s="482"/>
      <c r="K10" s="482"/>
      <c r="L10" s="482"/>
      <c r="M10" s="482"/>
      <c r="N10" s="482"/>
      <c r="O10" s="482"/>
      <c r="P10" s="482"/>
      <c r="Q10" s="417"/>
    </row>
    <row r="11" spans="1:17" x14ac:dyDescent="0.2">
      <c r="A11" s="418" t="str">
        <f>IF(ISBLANK(MODULY_CBA!B8),"",MODULY_CBA!B8)</f>
        <v>CSKI Centrálna serverová a komunikačná infraštruktúra</v>
      </c>
      <c r="B11" s="418">
        <f t="shared" si="1"/>
        <v>0</v>
      </c>
      <c r="C11" s="482"/>
      <c r="D11" s="482"/>
      <c r="E11" s="482"/>
      <c r="F11" s="482"/>
      <c r="G11" s="482"/>
      <c r="H11" s="482"/>
      <c r="I11" s="482"/>
      <c r="J11" s="482"/>
      <c r="K11" s="482"/>
      <c r="L11" s="482"/>
      <c r="M11" s="482"/>
      <c r="N11" s="482"/>
      <c r="O11" s="482"/>
      <c r="P11" s="482"/>
      <c r="Q11" s="417"/>
    </row>
    <row r="12" spans="1:17" x14ac:dyDescent="0.2">
      <c r="A12" s="418" t="str">
        <f>IF(ISBLANK(MODULY_CBA!B9),"",MODULY_CBA!B9)</f>
        <v>AI Cluster</v>
      </c>
      <c r="B12" s="418">
        <f t="shared" si="1"/>
        <v>21</v>
      </c>
      <c r="C12" s="482"/>
      <c r="D12" s="482">
        <v>1</v>
      </c>
      <c r="E12" s="482">
        <v>1</v>
      </c>
      <c r="F12" s="482"/>
      <c r="G12" s="482"/>
      <c r="H12" s="482"/>
      <c r="I12" s="482"/>
      <c r="J12" s="482"/>
      <c r="K12" s="482"/>
      <c r="L12" s="482"/>
      <c r="M12" s="482"/>
      <c r="N12" s="482"/>
      <c r="O12" s="482"/>
      <c r="P12" s="482"/>
      <c r="Q12" s="417"/>
    </row>
    <row r="13" spans="1:17" x14ac:dyDescent="0.2">
      <c r="A13" s="418" t="str">
        <f>IF(ISBLANK(MODULY_CBA!B10),"",MODULY_CBA!B10)</f>
        <v>CSIRT-SOC Cluster</v>
      </c>
      <c r="B13" s="418">
        <f t="shared" si="1"/>
        <v>21</v>
      </c>
      <c r="C13" s="482"/>
      <c r="D13" s="482">
        <v>1</v>
      </c>
      <c r="E13" s="482">
        <v>1</v>
      </c>
      <c r="F13" s="482"/>
      <c r="G13" s="482"/>
      <c r="H13" s="482"/>
      <c r="I13" s="482"/>
      <c r="J13" s="482"/>
      <c r="K13" s="482"/>
      <c r="L13" s="482"/>
      <c r="M13" s="482"/>
      <c r="N13" s="482"/>
      <c r="O13" s="482"/>
      <c r="P13" s="482"/>
      <c r="Q13" s="417"/>
    </row>
    <row r="14" spans="1:17" x14ac:dyDescent="0.2">
      <c r="A14" s="418" t="str">
        <f>IF(ISBLANK(MODULY_CBA!B11),"",MODULY_CBA!B11)</f>
        <v>Kvantové počítače a príslušenstvo</v>
      </c>
      <c r="B14" s="418">
        <f t="shared" si="1"/>
        <v>0</v>
      </c>
      <c r="C14" s="482"/>
      <c r="D14" s="482"/>
      <c r="E14" s="482"/>
      <c r="F14" s="482"/>
      <c r="G14" s="482"/>
      <c r="H14" s="482"/>
      <c r="I14" s="482"/>
      <c r="J14" s="482"/>
      <c r="K14" s="482"/>
      <c r="L14" s="482"/>
      <c r="M14" s="482"/>
      <c r="N14" s="482"/>
      <c r="O14" s="482"/>
      <c r="P14" s="482"/>
      <c r="Q14" s="417"/>
    </row>
    <row r="15" spans="1:17" x14ac:dyDescent="0.2">
      <c r="A15" s="418" t="str">
        <f>IF(ISBLANK(MODULY_CBA!B12),"",MODULY_CBA!B12)</f>
        <v>Rozširujúce laboratórne vybavenie UI</v>
      </c>
      <c r="B15" s="418">
        <f t="shared" si="1"/>
        <v>0</v>
      </c>
      <c r="C15" s="482"/>
      <c r="D15" s="482"/>
      <c r="E15" s="482"/>
      <c r="F15" s="482"/>
      <c r="G15" s="482"/>
      <c r="H15" s="482"/>
      <c r="I15" s="482"/>
      <c r="J15" s="482"/>
      <c r="K15" s="482"/>
      <c r="L15" s="482"/>
      <c r="M15" s="482"/>
      <c r="N15" s="482"/>
      <c r="O15" s="482"/>
      <c r="P15" s="482"/>
      <c r="Q15" s="417"/>
    </row>
    <row r="16" spans="1:17" x14ac:dyDescent="0.2">
      <c r="A16" s="418" t="str">
        <f>IF(ISBLANK(MODULY_CBA!B13),"",MODULY_CBA!B13)</f>
        <v>Externé služby a podpora (kurzy, vzdelávanie, ....)</v>
      </c>
      <c r="B16" s="418">
        <f t="shared" si="1"/>
        <v>21</v>
      </c>
      <c r="C16" s="482"/>
      <c r="D16" s="482">
        <v>1</v>
      </c>
      <c r="E16" s="482">
        <v>1</v>
      </c>
      <c r="F16" s="482"/>
      <c r="G16" s="482"/>
      <c r="H16" s="482"/>
      <c r="I16" s="482"/>
      <c r="J16" s="482"/>
      <c r="K16" s="482"/>
      <c r="L16" s="482"/>
      <c r="M16" s="482"/>
      <c r="N16" s="482"/>
      <c r="O16" s="482"/>
      <c r="P16" s="482"/>
      <c r="Q16" s="417"/>
    </row>
    <row r="17" spans="1:17" x14ac:dyDescent="0.2">
      <c r="A17" s="418" t="str">
        <f>IF(ISBLANK(MODULY_CBA!B14),"",MODULY_CBA!B14)</f>
        <v/>
      </c>
      <c r="B17" s="418">
        <f t="shared" si="1"/>
        <v>0</v>
      </c>
      <c r="C17" s="482"/>
      <c r="D17" s="482"/>
      <c r="E17" s="482"/>
      <c r="F17" s="482"/>
      <c r="G17" s="482"/>
      <c r="H17" s="482"/>
      <c r="I17" s="482"/>
      <c r="J17" s="482"/>
      <c r="K17" s="482"/>
      <c r="L17" s="482"/>
      <c r="M17" s="482"/>
      <c r="N17" s="482"/>
      <c r="O17" s="482"/>
      <c r="P17" s="482"/>
      <c r="Q17" s="417"/>
    </row>
    <row r="18" spans="1:17" x14ac:dyDescent="0.2">
      <c r="A18" s="418" t="str">
        <f>IF(ISBLANK(MODULY_CBA!B15),"",MODULY_CBA!B15)</f>
        <v/>
      </c>
      <c r="B18" s="418">
        <f t="shared" si="1"/>
        <v>0</v>
      </c>
      <c r="C18" s="482"/>
      <c r="D18" s="482"/>
      <c r="E18" s="482"/>
      <c r="F18" s="482"/>
      <c r="G18" s="482"/>
      <c r="H18" s="482"/>
      <c r="I18" s="482"/>
      <c r="J18" s="482"/>
      <c r="K18" s="482"/>
      <c r="L18" s="482"/>
      <c r="M18" s="482"/>
      <c r="N18" s="482"/>
      <c r="O18" s="482"/>
      <c r="P18" s="482"/>
      <c r="Q18" s="417"/>
    </row>
    <row r="19" spans="1:17" x14ac:dyDescent="0.2">
      <c r="A19" s="418" t="str">
        <f>IF(ISBLANK(MODULY_CBA!B16),"",MODULY_CBA!B16)</f>
        <v/>
      </c>
      <c r="B19" s="418">
        <f t="shared" si="1"/>
        <v>0</v>
      </c>
      <c r="C19" s="482"/>
      <c r="D19" s="482"/>
      <c r="E19" s="482"/>
      <c r="F19" s="482"/>
      <c r="G19" s="482"/>
      <c r="H19" s="482"/>
      <c r="I19" s="482"/>
      <c r="J19" s="482"/>
      <c r="K19" s="482"/>
      <c r="L19" s="482"/>
      <c r="M19" s="482"/>
      <c r="N19" s="482"/>
      <c r="O19" s="482"/>
      <c r="P19" s="482"/>
      <c r="Q19" s="417"/>
    </row>
    <row r="20" spans="1:17" x14ac:dyDescent="0.2">
      <c r="A20" s="418" t="str">
        <f>IF(ISBLANK(MODULY_CBA!B17),"",MODULY_CBA!B17)</f>
        <v/>
      </c>
      <c r="B20" s="418">
        <f t="shared" si="1"/>
        <v>0</v>
      </c>
      <c r="C20" s="482"/>
      <c r="D20" s="482"/>
      <c r="E20" s="482"/>
      <c r="F20" s="482"/>
      <c r="G20" s="482"/>
      <c r="H20" s="482"/>
      <c r="I20" s="482"/>
      <c r="J20" s="482"/>
      <c r="K20" s="482"/>
      <c r="L20" s="482"/>
      <c r="M20" s="482"/>
      <c r="N20" s="482"/>
      <c r="O20" s="482"/>
      <c r="P20" s="482"/>
      <c r="Q20" s="417"/>
    </row>
    <row r="21" spans="1:17" x14ac:dyDescent="0.2">
      <c r="A21" s="418" t="str">
        <f>IF(ISBLANK(MODULY_CBA!B18),"",MODULY_CBA!B18)</f>
        <v/>
      </c>
      <c r="B21" s="418">
        <f t="shared" si="1"/>
        <v>0</v>
      </c>
      <c r="C21" s="482"/>
      <c r="D21" s="482"/>
      <c r="E21" s="482"/>
      <c r="F21" s="482"/>
      <c r="G21" s="482"/>
      <c r="H21" s="482"/>
      <c r="I21" s="482"/>
      <c r="J21" s="482"/>
      <c r="K21" s="482"/>
      <c r="L21" s="482"/>
      <c r="M21" s="482"/>
      <c r="N21" s="482"/>
      <c r="O21" s="482"/>
      <c r="P21" s="482"/>
      <c r="Q21" s="417"/>
    </row>
    <row r="22" spans="1:17" x14ac:dyDescent="0.2">
      <c r="A22" s="418" t="str">
        <f>IF(ISBLANK(MODULY_CBA!B19),"",MODULY_CBA!B19)</f>
        <v/>
      </c>
      <c r="B22" s="418">
        <f t="shared" si="1"/>
        <v>0</v>
      </c>
      <c r="C22" s="482"/>
      <c r="D22" s="482"/>
      <c r="E22" s="482"/>
      <c r="F22" s="482"/>
      <c r="G22" s="482"/>
      <c r="H22" s="482"/>
      <c r="I22" s="482"/>
      <c r="J22" s="482"/>
      <c r="K22" s="482"/>
      <c r="L22" s="482"/>
      <c r="M22" s="482"/>
      <c r="N22" s="482"/>
      <c r="O22" s="482"/>
      <c r="P22" s="482"/>
      <c r="Q22" s="417"/>
    </row>
    <row r="23" spans="1:17" x14ac:dyDescent="0.2">
      <c r="A23" s="418" t="str">
        <f>IF(ISBLANK(MODULY_CBA!B20),"",MODULY_CBA!B20)</f>
        <v/>
      </c>
      <c r="B23" s="418">
        <f t="shared" si="1"/>
        <v>0</v>
      </c>
      <c r="C23" s="482"/>
      <c r="D23" s="482"/>
      <c r="E23" s="482"/>
      <c r="F23" s="482"/>
      <c r="G23" s="482"/>
      <c r="H23" s="482"/>
      <c r="I23" s="482"/>
      <c r="J23" s="482"/>
      <c r="K23" s="482"/>
      <c r="L23" s="482"/>
      <c r="M23" s="482"/>
      <c r="N23" s="482"/>
      <c r="O23" s="482"/>
      <c r="P23" s="482"/>
      <c r="Q23" s="417"/>
    </row>
    <row r="24" spans="1:17" x14ac:dyDescent="0.2">
      <c r="A24" s="418" t="str">
        <f>IF(ISBLANK(MODULY_CBA!B21),"",MODULY_CBA!B21)</f>
        <v/>
      </c>
      <c r="B24" s="418">
        <f t="shared" si="1"/>
        <v>0</v>
      </c>
      <c r="C24" s="482"/>
      <c r="D24" s="482"/>
      <c r="E24" s="482"/>
      <c r="F24" s="482"/>
      <c r="G24" s="482"/>
      <c r="H24" s="482"/>
      <c r="I24" s="482"/>
      <c r="J24" s="482"/>
      <c r="K24" s="482"/>
      <c r="L24" s="482"/>
      <c r="M24" s="482"/>
      <c r="N24" s="482"/>
      <c r="O24" s="482"/>
      <c r="P24" s="482"/>
      <c r="Q24" s="417"/>
    </row>
    <row r="25" spans="1:17" x14ac:dyDescent="0.2">
      <c r="A25" s="418" t="str">
        <f>IF(ISBLANK(MODULY_CBA!B22),"",MODULY_CBA!B22)</f>
        <v/>
      </c>
      <c r="B25" s="418">
        <f t="shared" si="1"/>
        <v>0</v>
      </c>
      <c r="C25" s="482"/>
      <c r="D25" s="482"/>
      <c r="E25" s="482"/>
      <c r="F25" s="482"/>
      <c r="G25" s="482"/>
      <c r="H25" s="482"/>
      <c r="I25" s="482"/>
      <c r="J25" s="482"/>
      <c r="K25" s="482"/>
      <c r="L25" s="482"/>
      <c r="M25" s="482"/>
      <c r="N25" s="482"/>
      <c r="O25" s="482"/>
      <c r="P25" s="482"/>
      <c r="Q25" s="417"/>
    </row>
    <row r="26" spans="1:17" x14ac:dyDescent="0.2">
      <c r="A26" s="418" t="str">
        <f>IF(ISBLANK(MODULY_CBA!B23),"",MODULY_CBA!B23)</f>
        <v/>
      </c>
      <c r="B26" s="418">
        <f t="shared" si="1"/>
        <v>0</v>
      </c>
      <c r="C26" s="482"/>
      <c r="D26" s="482"/>
      <c r="E26" s="482"/>
      <c r="F26" s="482"/>
      <c r="G26" s="482"/>
      <c r="H26" s="482"/>
      <c r="I26" s="482"/>
      <c r="J26" s="482"/>
      <c r="K26" s="482"/>
      <c r="L26" s="482"/>
      <c r="M26" s="482"/>
      <c r="N26" s="482"/>
      <c r="O26" s="482"/>
      <c r="P26" s="482"/>
      <c r="Q26" s="417"/>
    </row>
  </sheetData>
  <mergeCells count="1">
    <mergeCell ref="A1:A5"/>
  </mergeCells>
  <dataValidations count="2">
    <dataValidation type="list" allowBlank="1" showInputMessage="1" showErrorMessage="1" sqref="C2:P2" xr:uid="{00000000-0002-0000-0E00-000000000000}">
      <formula1>Subjekt</formula1>
    </dataValidation>
    <dataValidation type="list" allowBlank="1" showInputMessage="1" showErrorMessage="1" sqref="C3:P3" xr:uid="{00000000-0002-0000-0E00-000001000000}">
      <formula1>"1,2,3"</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8">
    <tabColor rgb="FF00B050"/>
  </sheetPr>
  <dimension ref="A1:X64"/>
  <sheetViews>
    <sheetView zoomScale="85" zoomScaleNormal="85" workbookViewId="0">
      <pane ySplit="3" topLeftCell="A4" activePane="bottomLeft" state="frozen"/>
      <selection activeCell="J3" sqref="J3:J11"/>
      <selection pane="bottomLeft" activeCell="K1" sqref="K1:K1048576"/>
    </sheetView>
  </sheetViews>
  <sheetFormatPr baseColWidth="10" defaultColWidth="8.83203125" defaultRowHeight="15" x14ac:dyDescent="0.2"/>
  <cols>
    <col min="1" max="1" width="31.5" style="364" customWidth="1"/>
    <col min="2" max="2" width="10.6640625" style="364" customWidth="1"/>
    <col min="3" max="3" width="10.6640625" style="364" hidden="1" customWidth="1"/>
    <col min="4" max="4" width="10.6640625" style="364" customWidth="1"/>
    <col min="5" max="5" width="15.5" style="364" customWidth="1"/>
    <col min="6" max="6" width="28.33203125" style="364" customWidth="1"/>
    <col min="7" max="7" width="28.33203125" style="364" hidden="1" customWidth="1"/>
    <col min="8" max="8" width="28.33203125" style="364" customWidth="1"/>
    <col min="9" max="9" width="13.1640625" style="364" bestFit="1" customWidth="1"/>
    <col min="10" max="10" width="11.33203125" style="364" customWidth="1"/>
    <col min="11" max="11" width="10.6640625" style="364" bestFit="1" customWidth="1"/>
    <col min="12" max="12" width="10" style="364" customWidth="1"/>
    <col min="13" max="13" width="15.1640625" style="364" bestFit="1" customWidth="1"/>
    <col min="14" max="14" width="10.33203125" style="364" bestFit="1" customWidth="1"/>
    <col min="15" max="15" width="11.83203125" style="364" bestFit="1" customWidth="1"/>
    <col min="16" max="16" width="26.33203125" style="364" bestFit="1" customWidth="1"/>
    <col min="17" max="17" width="43.1640625" style="364" customWidth="1"/>
    <col min="18" max="18" width="16.1640625" style="364" customWidth="1"/>
    <col min="19" max="19" width="13.6640625" style="364" customWidth="1"/>
    <col min="20" max="20" width="12.33203125" style="364" bestFit="1" customWidth="1"/>
    <col min="21" max="23" width="12.33203125" style="364" customWidth="1"/>
    <col min="24" max="24" width="20.1640625" style="364" customWidth="1"/>
    <col min="25" max="16384" width="8.83203125" style="364"/>
  </cols>
  <sheetData>
    <row r="1" spans="1:24" x14ac:dyDescent="0.2">
      <c r="F1" s="1367" t="s">
        <v>762</v>
      </c>
      <c r="G1" s="1367"/>
      <c r="H1" s="1367"/>
      <c r="I1" s="1367"/>
      <c r="J1" s="1367"/>
      <c r="K1" s="441">
        <f>SUM(K4:K64)</f>
        <v>2450</v>
      </c>
      <c r="M1" s="443">
        <f>SUM(M4:M64)</f>
        <v>1055994</v>
      </c>
    </row>
    <row r="2" spans="1:24" x14ac:dyDescent="0.2">
      <c r="D2" s="442">
        <f>SUM(D3:D64)</f>
        <v>2450</v>
      </c>
      <c r="F2" s="1368" t="s">
        <v>763</v>
      </c>
      <c r="G2" s="1368"/>
      <c r="H2" s="1368"/>
      <c r="I2" s="1368"/>
      <c r="J2" s="1368"/>
      <c r="K2" s="441">
        <f>SUM(K41:K64)</f>
        <v>0</v>
      </c>
      <c r="M2" s="443">
        <f>SUM(M41:M64)</f>
        <v>0</v>
      </c>
    </row>
    <row r="3" spans="1:24" s="480" customFormat="1" ht="48" x14ac:dyDescent="0.2">
      <c r="A3" s="478" t="s">
        <v>757</v>
      </c>
      <c r="B3" s="479" t="s">
        <v>263</v>
      </c>
      <c r="C3" s="479" t="s">
        <v>721</v>
      </c>
      <c r="D3" s="479" t="s">
        <v>415</v>
      </c>
      <c r="E3" s="479" t="s">
        <v>414</v>
      </c>
      <c r="F3" s="479" t="s">
        <v>397</v>
      </c>
      <c r="G3" s="479" t="s">
        <v>694</v>
      </c>
      <c r="H3" s="479" t="s">
        <v>685</v>
      </c>
      <c r="I3" s="479" t="s">
        <v>686</v>
      </c>
      <c r="J3" s="479" t="s">
        <v>760</v>
      </c>
      <c r="K3" s="479" t="s">
        <v>264</v>
      </c>
      <c r="L3" s="479" t="s">
        <v>715</v>
      </c>
      <c r="M3" s="479" t="s">
        <v>716</v>
      </c>
      <c r="Q3" s="477" t="s">
        <v>746</v>
      </c>
      <c r="R3" s="477" t="s">
        <v>667</v>
      </c>
      <c r="S3" s="477" t="s">
        <v>712</v>
      </c>
      <c r="T3" s="477" t="s">
        <v>764</v>
      </c>
      <c r="U3" s="477" t="s">
        <v>411</v>
      </c>
      <c r="V3" s="477" t="s">
        <v>416</v>
      </c>
      <c r="W3" s="477" t="s">
        <v>747</v>
      </c>
      <c r="X3" s="477" t="s">
        <v>410</v>
      </c>
    </row>
    <row r="4" spans="1:24" x14ac:dyDescent="0.2">
      <c r="A4" s="369" t="s">
        <v>261</v>
      </c>
      <c r="B4" s="556">
        <v>0.13066010449000001</v>
      </c>
      <c r="C4" s="555">
        <f>SUM(K4:K15)/$K$1</f>
        <v>0.1306122448979592</v>
      </c>
      <c r="D4" s="483">
        <f>B4*SUM(MODULY_CBA!$J$3:$J$23)</f>
        <v>320.11725600050005</v>
      </c>
      <c r="E4" s="484">
        <f>IFERROR(SUM(M4:M15)/SUM(K4:K15),0)</f>
        <v>439.47500000000002</v>
      </c>
      <c r="F4" s="554" t="s">
        <v>398</v>
      </c>
      <c r="G4" s="554" t="str">
        <f>IFERROR(VLOOKUP(F4,ISCO_Prevodnik!$A$10:$B$21,2,0),"")</f>
        <v>IT_architekt</v>
      </c>
      <c r="H4" s="554"/>
      <c r="I4" s="554" t="str">
        <f>IFERROR(VLOOKUP(H4,ISCO_Prevodnik!$E$10:$F$31,2,0),"")</f>
        <v/>
      </c>
      <c r="J4" s="555">
        <v>0</v>
      </c>
      <c r="K4" s="483">
        <f>ROUND(J4*$D$4,0)</f>
        <v>0</v>
      </c>
      <c r="L4" s="491">
        <f>IFERROR(VLOOKUP(F4,$Q$4:$R$27,2,0),0)</f>
        <v>490</v>
      </c>
      <c r="M4" s="485">
        <f>K4*L4</f>
        <v>0</v>
      </c>
      <c r="N4" s="508"/>
      <c r="Q4" s="432" t="s">
        <v>398</v>
      </c>
      <c r="R4" s="557">
        <v>490</v>
      </c>
      <c r="S4" s="669">
        <v>499</v>
      </c>
      <c r="T4" s="433">
        <v>0.1</v>
      </c>
      <c r="U4" s="435">
        <f>SUMIF($F$4:$F$64,Q4,$K$4:$K$64)</f>
        <v>144</v>
      </c>
      <c r="V4" s="433">
        <f t="shared" ref="V4:V15" si="0">IF(U4=0,0%,U4/SUM($U$4:$U$15))</f>
        <v>5.877551020408163E-2</v>
      </c>
      <c r="W4" s="433" t="str">
        <f t="shared" ref="W4:W15" si="1">IFERROR(IF(U4/SUM($U$4:$U$15)&gt;T4,"NAD","OK"),"")</f>
        <v>OK</v>
      </c>
      <c r="X4" s="434"/>
    </row>
    <row r="5" spans="1:24" x14ac:dyDescent="0.2">
      <c r="A5" s="366"/>
      <c r="B5" s="366"/>
      <c r="C5" s="366"/>
      <c r="D5" s="366"/>
      <c r="E5" s="366"/>
      <c r="F5" s="554" t="s">
        <v>402</v>
      </c>
      <c r="G5" s="554" t="str">
        <f>IFERROR(VLOOKUP(F5,ISCO_Prevodnik!$A$10:$B$21,2,0),"")</f>
        <v>IT_analytik</v>
      </c>
      <c r="H5" s="554"/>
      <c r="I5" s="554" t="str">
        <f>IFERROR(VLOOKUP(H5,ISCO_Prevodnik!$E$10:$F$31,2,0),"")</f>
        <v/>
      </c>
      <c r="J5" s="555">
        <v>0.35739778045980403</v>
      </c>
      <c r="K5" s="483">
        <f t="shared" ref="K5:K15" si="2">ROUND(J5*$D$4,0)</f>
        <v>114</v>
      </c>
      <c r="L5" s="491">
        <f t="shared" ref="L5:L39" si="3">IFERROR(VLOOKUP(F5,$Q$4:$R$27,2,0),0)</f>
        <v>450</v>
      </c>
      <c r="M5" s="485">
        <f>K5*L5</f>
        <v>51300</v>
      </c>
      <c r="Q5" s="432" t="s">
        <v>399</v>
      </c>
      <c r="R5" s="557">
        <v>380</v>
      </c>
      <c r="S5" s="669">
        <v>397</v>
      </c>
      <c r="T5" s="433">
        <v>0.15</v>
      </c>
      <c r="U5" s="435">
        <f t="shared" ref="U5:U27" si="4">SUMIF($F$4:$F$64,Q5,$K$4:$K$64)</f>
        <v>241</v>
      </c>
      <c r="V5" s="433">
        <f t="shared" si="0"/>
        <v>9.836734693877551E-2</v>
      </c>
      <c r="W5" s="433" t="str">
        <f t="shared" si="1"/>
        <v>OK</v>
      </c>
      <c r="X5" s="434"/>
    </row>
    <row r="6" spans="1:24" x14ac:dyDescent="0.2">
      <c r="A6" s="366"/>
      <c r="B6" s="366"/>
      <c r="C6" s="366"/>
      <c r="D6" s="366"/>
      <c r="E6" s="366"/>
      <c r="F6" s="554" t="s">
        <v>400</v>
      </c>
      <c r="G6" s="554" t="str">
        <f>IFERROR(VLOOKUP(F6,ISCO_Prevodnik!$A$10:$B$21,2,0),"")</f>
        <v>IT_programator</v>
      </c>
      <c r="H6" s="554"/>
      <c r="I6" s="554" t="str">
        <f>IFERROR(VLOOKUP(H6,ISCO_Prevodnik!$E$10:$F$31,2,0),"")</f>
        <v/>
      </c>
      <c r="J6" s="555">
        <v>0.40243648567896101</v>
      </c>
      <c r="K6" s="483">
        <f t="shared" si="2"/>
        <v>129</v>
      </c>
      <c r="L6" s="491">
        <f t="shared" si="3"/>
        <v>400</v>
      </c>
      <c r="M6" s="485">
        <f t="shared" ref="M6:M33" si="5">K6*L6</f>
        <v>51600</v>
      </c>
      <c r="Q6" s="432" t="s">
        <v>400</v>
      </c>
      <c r="R6" s="557">
        <v>400</v>
      </c>
      <c r="S6" s="670">
        <v>419</v>
      </c>
      <c r="T6" s="433">
        <v>0.6</v>
      </c>
      <c r="U6" s="435">
        <f t="shared" si="4"/>
        <v>307</v>
      </c>
      <c r="V6" s="433">
        <f t="shared" si="0"/>
        <v>0.1253061224489796</v>
      </c>
      <c r="W6" s="433" t="str">
        <f t="shared" si="1"/>
        <v>OK</v>
      </c>
      <c r="X6" s="434"/>
    </row>
    <row r="7" spans="1:24" x14ac:dyDescent="0.2">
      <c r="A7" s="366"/>
      <c r="B7" s="366"/>
      <c r="C7" s="366"/>
      <c r="D7" s="366"/>
      <c r="E7" s="366"/>
      <c r="F7" s="554" t="s">
        <v>401</v>
      </c>
      <c r="G7" s="554" t="str">
        <f>IFERROR(VLOOKUP(F7,ISCO_Prevodnik!$A$10:$B$21,2,0),"")</f>
        <v>Projektovy_manazer</v>
      </c>
      <c r="H7" s="554"/>
      <c r="I7" s="554" t="str">
        <f>IFERROR(VLOOKUP(H7,ISCO_Prevodnik!$E$10:$F$31,2,0),"")</f>
        <v/>
      </c>
      <c r="J7" s="555">
        <v>3.9995000000000003E-2</v>
      </c>
      <c r="K7" s="483">
        <f t="shared" si="2"/>
        <v>13</v>
      </c>
      <c r="L7" s="491">
        <f t="shared" si="3"/>
        <v>500</v>
      </c>
      <c r="M7" s="485">
        <f t="shared" si="5"/>
        <v>6500</v>
      </c>
      <c r="Q7" s="432" t="s">
        <v>401</v>
      </c>
      <c r="R7" s="557">
        <v>500</v>
      </c>
      <c r="S7" s="670">
        <v>500</v>
      </c>
      <c r="T7" s="433">
        <v>0.04</v>
      </c>
      <c r="U7" s="435">
        <f t="shared" si="4"/>
        <v>98</v>
      </c>
      <c r="V7" s="433">
        <f t="shared" si="0"/>
        <v>0.04</v>
      </c>
      <c r="W7" s="433" t="str">
        <f t="shared" si="1"/>
        <v>OK</v>
      </c>
      <c r="X7" s="434"/>
    </row>
    <row r="8" spans="1:24" x14ac:dyDescent="0.2">
      <c r="A8" s="366"/>
      <c r="B8" s="366"/>
      <c r="C8" s="366"/>
      <c r="D8" s="366"/>
      <c r="E8" s="366"/>
      <c r="F8" s="554" t="s">
        <v>399</v>
      </c>
      <c r="G8" s="554" t="str">
        <f>IFERROR(VLOOKUP(F8,ISCO_Prevodnik!$A$10:$B$21,2,0),"")</f>
        <v>IT_tester</v>
      </c>
      <c r="H8" s="554"/>
      <c r="I8" s="554" t="str">
        <f>IFERROR(VLOOKUP(H8,ISCO_Prevodnik!$E$10:$F$31,2,0),"")</f>
        <v/>
      </c>
      <c r="J8" s="555">
        <v>0</v>
      </c>
      <c r="K8" s="483">
        <f t="shared" si="2"/>
        <v>0</v>
      </c>
      <c r="L8" s="491">
        <f t="shared" si="3"/>
        <v>380</v>
      </c>
      <c r="M8" s="485">
        <f t="shared" si="5"/>
        <v>0</v>
      </c>
      <c r="Q8" s="432" t="s">
        <v>402</v>
      </c>
      <c r="R8" s="557">
        <v>450</v>
      </c>
      <c r="S8" s="670">
        <v>483</v>
      </c>
      <c r="T8" s="433">
        <v>0.5</v>
      </c>
      <c r="U8" s="435">
        <f t="shared" si="4"/>
        <v>607</v>
      </c>
      <c r="V8" s="433">
        <f t="shared" si="0"/>
        <v>0.24775510204081633</v>
      </c>
      <c r="W8" s="433" t="str">
        <f t="shared" si="1"/>
        <v>OK</v>
      </c>
      <c r="X8" s="434"/>
    </row>
    <row r="9" spans="1:24" x14ac:dyDescent="0.2">
      <c r="A9" s="366"/>
      <c r="B9" s="366"/>
      <c r="C9" s="366"/>
      <c r="D9" s="366"/>
      <c r="E9" s="366"/>
      <c r="F9" s="554" t="s">
        <v>405</v>
      </c>
      <c r="G9" s="554" t="str">
        <f>IFERROR(VLOOKUP(F9,ISCO_Prevodnik!$A$10:$B$21,2,0),"")</f>
        <v>Infrastrutkura</v>
      </c>
      <c r="H9" s="554"/>
      <c r="I9" s="554" t="str">
        <f>IFERROR(VLOOKUP(H9,ISCO_Prevodnik!$E$10:$F$31,2,0),"")</f>
        <v/>
      </c>
      <c r="J9" s="555">
        <v>0</v>
      </c>
      <c r="K9" s="483">
        <f t="shared" si="2"/>
        <v>0</v>
      </c>
      <c r="L9" s="491">
        <f t="shared" si="3"/>
        <v>440</v>
      </c>
      <c r="M9" s="485">
        <f t="shared" si="5"/>
        <v>0</v>
      </c>
      <c r="Q9" s="432" t="s">
        <v>403</v>
      </c>
      <c r="R9" s="557"/>
      <c r="S9" s="670">
        <v>457</v>
      </c>
      <c r="T9" s="433">
        <v>0.05</v>
      </c>
      <c r="U9" s="435">
        <f t="shared" si="4"/>
        <v>0</v>
      </c>
      <c r="V9" s="433">
        <f t="shared" si="0"/>
        <v>0</v>
      </c>
      <c r="W9" s="433" t="str">
        <f t="shared" si="1"/>
        <v>OK</v>
      </c>
      <c r="X9" s="434"/>
    </row>
    <row r="10" spans="1:24" x14ac:dyDescent="0.2">
      <c r="A10" s="366"/>
      <c r="B10" s="366"/>
      <c r="C10" s="366"/>
      <c r="D10" s="366"/>
      <c r="E10" s="366"/>
      <c r="F10" s="554" t="s">
        <v>408</v>
      </c>
      <c r="G10" s="554" t="str">
        <f>IFERROR(VLOOKUP(F10,ISCO_Prevodnik!$A$10:$B$21,2,0),"")</f>
        <v>IT_konzultant</v>
      </c>
      <c r="H10" s="554"/>
      <c r="I10" s="554" t="str">
        <f>IFERROR(VLOOKUP(H10,ISCO_Prevodnik!$E$10:$F$31,2,0),"")</f>
        <v/>
      </c>
      <c r="J10" s="555">
        <v>0.20017073386123457</v>
      </c>
      <c r="K10" s="483">
        <f t="shared" si="2"/>
        <v>64</v>
      </c>
      <c r="L10" s="491">
        <f t="shared" si="3"/>
        <v>488</v>
      </c>
      <c r="M10" s="485">
        <f t="shared" ref="M10:M15" si="6">K10*L10</f>
        <v>31232</v>
      </c>
      <c r="Q10" s="432" t="s">
        <v>404</v>
      </c>
      <c r="R10" s="557"/>
      <c r="S10" s="670">
        <v>498</v>
      </c>
      <c r="T10" s="433">
        <v>0.1</v>
      </c>
      <c r="U10" s="435">
        <f t="shared" si="4"/>
        <v>0</v>
      </c>
      <c r="V10" s="433">
        <f t="shared" si="0"/>
        <v>0</v>
      </c>
      <c r="W10" s="433" t="str">
        <f t="shared" si="1"/>
        <v>OK</v>
      </c>
      <c r="X10" s="434"/>
    </row>
    <row r="11" spans="1:24" x14ac:dyDescent="0.2">
      <c r="A11" s="366"/>
      <c r="B11" s="366"/>
      <c r="C11" s="366"/>
      <c r="D11" s="366"/>
      <c r="E11" s="366"/>
      <c r="F11" s="554" t="s">
        <v>407</v>
      </c>
      <c r="G11" s="554" t="str">
        <f>IFERROR(VLOOKUP(F11,ISCO_Prevodnik!$A$10:$B$21,2,0),"")</f>
        <v>Skolenie</v>
      </c>
      <c r="H11" s="554"/>
      <c r="I11" s="554" t="str">
        <f>IFERROR(VLOOKUP(H11,ISCO_Prevodnik!$E$10:$F$31,2,0),"")</f>
        <v/>
      </c>
      <c r="J11" s="555">
        <v>0</v>
      </c>
      <c r="K11" s="483">
        <f t="shared" si="2"/>
        <v>0</v>
      </c>
      <c r="L11" s="491">
        <f t="shared" si="3"/>
        <v>400</v>
      </c>
      <c r="M11" s="485">
        <f t="shared" si="6"/>
        <v>0</v>
      </c>
      <c r="Q11" s="432" t="s">
        <v>405</v>
      </c>
      <c r="R11" s="557">
        <v>440</v>
      </c>
      <c r="S11" s="670">
        <v>450</v>
      </c>
      <c r="T11" s="433">
        <v>0.3</v>
      </c>
      <c r="U11" s="435">
        <f t="shared" si="4"/>
        <v>246</v>
      </c>
      <c r="V11" s="433">
        <f t="shared" si="0"/>
        <v>0.10040816326530612</v>
      </c>
      <c r="W11" s="433" t="str">
        <f t="shared" si="1"/>
        <v>OK</v>
      </c>
      <c r="X11" s="434"/>
    </row>
    <row r="12" spans="1:24" x14ac:dyDescent="0.2">
      <c r="A12" s="366"/>
      <c r="B12" s="366"/>
      <c r="C12" s="366"/>
      <c r="D12" s="366"/>
      <c r="E12" s="366"/>
      <c r="F12" s="554" t="s">
        <v>409</v>
      </c>
      <c r="G12" s="554" t="str">
        <f>IFERROR(VLOOKUP(F12,ISCO_Prevodnik!$A$10:$B$21,2,0),"")</f>
        <v>Ine</v>
      </c>
      <c r="H12" s="554"/>
      <c r="I12" s="554" t="str">
        <f>IFERROR(VLOOKUP(H12,ISCO_Prevodnik!$E$10:$F$31,2,0),"")</f>
        <v/>
      </c>
      <c r="J12" s="555">
        <v>0</v>
      </c>
      <c r="K12" s="483">
        <f t="shared" si="2"/>
        <v>0</v>
      </c>
      <c r="L12" s="491">
        <f t="shared" si="3"/>
        <v>400</v>
      </c>
      <c r="M12" s="485">
        <f t="shared" si="6"/>
        <v>0</v>
      </c>
      <c r="Q12" s="432" t="s">
        <v>406</v>
      </c>
      <c r="R12" s="557"/>
      <c r="S12" s="670">
        <v>420</v>
      </c>
      <c r="T12" s="433">
        <v>0.15</v>
      </c>
      <c r="U12" s="435">
        <f t="shared" si="4"/>
        <v>0</v>
      </c>
      <c r="V12" s="433">
        <f t="shared" si="0"/>
        <v>0</v>
      </c>
      <c r="W12" s="433" t="str">
        <f t="shared" si="1"/>
        <v>OK</v>
      </c>
      <c r="X12" s="434"/>
    </row>
    <row r="13" spans="1:24" x14ac:dyDescent="0.2">
      <c r="A13" s="366"/>
      <c r="B13" s="366"/>
      <c r="C13" s="366"/>
      <c r="D13" s="366"/>
      <c r="E13" s="366"/>
      <c r="F13" s="554"/>
      <c r="G13" s="554" t="str">
        <f>IFERROR(VLOOKUP(F13,ISCO_Prevodnik!$A$10:$B$21,2,0),"")</f>
        <v/>
      </c>
      <c r="H13" s="554"/>
      <c r="I13" s="554" t="str">
        <f>IFERROR(VLOOKUP(H13,ISCO_Prevodnik!$E$10:$F$31,2,0),"")</f>
        <v/>
      </c>
      <c r="J13" s="555"/>
      <c r="K13" s="483">
        <f t="shared" si="2"/>
        <v>0</v>
      </c>
      <c r="L13" s="491">
        <f t="shared" si="3"/>
        <v>0</v>
      </c>
      <c r="M13" s="485">
        <f t="shared" si="6"/>
        <v>0</v>
      </c>
      <c r="Q13" s="432" t="s">
        <v>407</v>
      </c>
      <c r="R13" s="557">
        <v>400</v>
      </c>
      <c r="S13" s="670">
        <v>400</v>
      </c>
      <c r="T13" s="433">
        <v>0.05</v>
      </c>
      <c r="U13" s="435">
        <f t="shared" si="4"/>
        <v>116</v>
      </c>
      <c r="V13" s="433">
        <f t="shared" si="0"/>
        <v>4.7346938775510203E-2</v>
      </c>
      <c r="W13" s="433" t="str">
        <f t="shared" si="1"/>
        <v>OK</v>
      </c>
      <c r="X13" s="434"/>
    </row>
    <row r="14" spans="1:24" x14ac:dyDescent="0.2">
      <c r="A14" s="366"/>
      <c r="B14" s="366"/>
      <c r="C14" s="366"/>
      <c r="D14" s="366"/>
      <c r="E14" s="366"/>
      <c r="F14" s="554"/>
      <c r="G14" s="554" t="str">
        <f>IFERROR(VLOOKUP(F14,ISCO_Prevodnik!$A$10:$B$21,2,0),"")</f>
        <v/>
      </c>
      <c r="H14" s="554"/>
      <c r="I14" s="554" t="str">
        <f>IFERROR(VLOOKUP(H14,ISCO_Prevodnik!$E$10:$F$31,2,0),"")</f>
        <v/>
      </c>
      <c r="J14" s="555"/>
      <c r="K14" s="483">
        <f t="shared" si="2"/>
        <v>0</v>
      </c>
      <c r="L14" s="491">
        <f t="shared" si="3"/>
        <v>0</v>
      </c>
      <c r="M14" s="485">
        <f t="shared" si="6"/>
        <v>0</v>
      </c>
      <c r="Q14" s="432" t="s">
        <v>408</v>
      </c>
      <c r="R14" s="557">
        <v>488</v>
      </c>
      <c r="S14" s="670">
        <v>488</v>
      </c>
      <c r="T14" s="433">
        <v>0.5</v>
      </c>
      <c r="U14" s="435">
        <f t="shared" si="4"/>
        <v>203</v>
      </c>
      <c r="V14" s="433">
        <f t="shared" si="0"/>
        <v>8.2857142857142851E-2</v>
      </c>
      <c r="W14" s="433" t="str">
        <f t="shared" si="1"/>
        <v>OK</v>
      </c>
      <c r="X14" s="434"/>
    </row>
    <row r="15" spans="1:24" x14ac:dyDescent="0.2">
      <c r="A15" s="366"/>
      <c r="B15" s="366"/>
      <c r="C15" s="366"/>
      <c r="D15" s="366"/>
      <c r="E15" s="366"/>
      <c r="F15" s="554"/>
      <c r="G15" s="554" t="str">
        <f>IFERROR(VLOOKUP(F15,ISCO_Prevodnik!$A$10:$B$21,2,0),"")</f>
        <v/>
      </c>
      <c r="H15" s="554"/>
      <c r="I15" s="554" t="str">
        <f>IFERROR(VLOOKUP(H15,ISCO_Prevodnik!$E$10:$F$31,2,0),"")</f>
        <v/>
      </c>
      <c r="J15" s="555"/>
      <c r="K15" s="483">
        <f t="shared" si="2"/>
        <v>0</v>
      </c>
      <c r="L15" s="491">
        <f t="shared" si="3"/>
        <v>0</v>
      </c>
      <c r="M15" s="485">
        <f t="shared" si="6"/>
        <v>0</v>
      </c>
      <c r="Q15" s="432" t="s">
        <v>409</v>
      </c>
      <c r="R15" s="557">
        <v>400</v>
      </c>
      <c r="S15" s="670">
        <v>400</v>
      </c>
      <c r="T15" s="433">
        <v>0.2</v>
      </c>
      <c r="U15" s="435">
        <f t="shared" si="4"/>
        <v>488</v>
      </c>
      <c r="V15" s="433">
        <f t="shared" si="0"/>
        <v>0.19918367346938776</v>
      </c>
      <c r="W15" s="433" t="str">
        <f t="shared" si="1"/>
        <v>OK</v>
      </c>
      <c r="X15" s="434"/>
    </row>
    <row r="16" spans="1:24" x14ac:dyDescent="0.2">
      <c r="A16" s="369" t="s">
        <v>530</v>
      </c>
      <c r="B16" s="556">
        <v>0.61004587776999997</v>
      </c>
      <c r="C16" s="555">
        <f>SUM(K16:K27)/$K$1</f>
        <v>0.61020408163265305</v>
      </c>
      <c r="D16" s="483">
        <f>B16*SUM(MODULY_CBA!$J$3:$J$23)</f>
        <v>1494.6124005365</v>
      </c>
      <c r="E16" s="484">
        <f>IFERROR(SUM(M16:M27)/SUM(K16:K27),0)</f>
        <v>424.51371237458193</v>
      </c>
      <c r="F16" s="554" t="s">
        <v>398</v>
      </c>
      <c r="G16" s="554" t="str">
        <f>IFERROR(VLOOKUP(F16,ISCO_Prevodnik!$A$10:$B$21,2,0),"")</f>
        <v>IT_architekt</v>
      </c>
      <c r="H16" s="554"/>
      <c r="I16" s="554" t="str">
        <f>IFERROR(VLOOKUP(H16,ISCO_Prevodnik!$E$10:$F$31,2,0),"")</f>
        <v/>
      </c>
      <c r="J16" s="555">
        <v>2.7488982340220292E-2</v>
      </c>
      <c r="K16" s="483">
        <f>ROUND(J16*$D$16,0)</f>
        <v>41</v>
      </c>
      <c r="L16" s="491">
        <f t="shared" si="3"/>
        <v>490</v>
      </c>
      <c r="M16" s="485">
        <f t="shared" si="5"/>
        <v>20090</v>
      </c>
      <c r="N16" s="508"/>
      <c r="Q16" s="644" t="s">
        <v>423</v>
      </c>
      <c r="R16" s="557"/>
      <c r="S16" s="507" t="s">
        <v>449</v>
      </c>
      <c r="T16" s="433" t="s">
        <v>449</v>
      </c>
      <c r="U16" s="435">
        <f t="shared" si="4"/>
        <v>0</v>
      </c>
      <c r="V16" s="433" t="s">
        <v>449</v>
      </c>
      <c r="W16" s="433" t="s">
        <v>449</v>
      </c>
      <c r="X16" s="434"/>
    </row>
    <row r="17" spans="1:24" x14ac:dyDescent="0.2">
      <c r="A17" s="366"/>
      <c r="B17" s="366"/>
      <c r="C17" s="366"/>
      <c r="D17" s="366"/>
      <c r="E17" s="366"/>
      <c r="F17" s="554" t="s">
        <v>402</v>
      </c>
      <c r="G17" s="554" t="str">
        <f>IFERROR(VLOOKUP(F17,ISCO_Prevodnik!$A$10:$B$21,2,0),"")</f>
        <v>IT_analytik</v>
      </c>
      <c r="H17" s="554"/>
      <c r="I17" s="554" t="str">
        <f>IFERROR(VLOOKUP(H17,ISCO_Prevodnik!$E$10:$F$31,2,0),"")</f>
        <v/>
      </c>
      <c r="J17" s="555">
        <v>0.33</v>
      </c>
      <c r="K17" s="483">
        <f t="shared" ref="K17:K27" si="7">ROUND(J17*$D$16,0)</f>
        <v>493</v>
      </c>
      <c r="L17" s="491">
        <f t="shared" si="3"/>
        <v>450</v>
      </c>
      <c r="M17" s="485">
        <f t="shared" si="5"/>
        <v>221850</v>
      </c>
      <c r="Q17" s="644" t="s">
        <v>425</v>
      </c>
      <c r="R17" s="557"/>
      <c r="S17" s="507" t="s">
        <v>449</v>
      </c>
      <c r="T17" s="433" t="s">
        <v>449</v>
      </c>
      <c r="U17" s="435">
        <f t="shared" si="4"/>
        <v>0</v>
      </c>
      <c r="V17" s="433" t="s">
        <v>449</v>
      </c>
      <c r="W17" s="433" t="s">
        <v>449</v>
      </c>
      <c r="X17" s="434"/>
    </row>
    <row r="18" spans="1:24" x14ac:dyDescent="0.2">
      <c r="A18" s="366"/>
      <c r="B18" s="366"/>
      <c r="C18" s="366"/>
      <c r="D18" s="366"/>
      <c r="E18" s="366"/>
      <c r="F18" s="554" t="s">
        <v>400</v>
      </c>
      <c r="G18" s="554" t="str">
        <f>IFERROR(VLOOKUP(F18,ISCO_Prevodnik!$A$10:$B$21,2,0),"")</f>
        <v>IT_programator</v>
      </c>
      <c r="H18" s="554"/>
      <c r="I18" s="554" t="str">
        <f>IFERROR(VLOOKUP(H18,ISCO_Prevodnik!$E$10:$F$31,2,0),"")</f>
        <v/>
      </c>
      <c r="J18" s="555">
        <v>0.118778631729599</v>
      </c>
      <c r="K18" s="483">
        <f t="shared" si="7"/>
        <v>178</v>
      </c>
      <c r="L18" s="491">
        <f t="shared" si="3"/>
        <v>400</v>
      </c>
      <c r="M18" s="485">
        <f t="shared" si="5"/>
        <v>71200</v>
      </c>
      <c r="Q18" s="644" t="s">
        <v>422</v>
      </c>
      <c r="R18" s="557"/>
      <c r="S18" s="507" t="s">
        <v>449</v>
      </c>
      <c r="T18" s="433" t="s">
        <v>449</v>
      </c>
      <c r="U18" s="435">
        <f t="shared" si="4"/>
        <v>0</v>
      </c>
      <c r="V18" s="433" t="s">
        <v>449</v>
      </c>
      <c r="W18" s="433" t="s">
        <v>449</v>
      </c>
      <c r="X18" s="434"/>
    </row>
    <row r="19" spans="1:24" x14ac:dyDescent="0.2">
      <c r="A19" s="366"/>
      <c r="B19" s="366"/>
      <c r="C19" s="366"/>
      <c r="D19" s="366"/>
      <c r="E19" s="366"/>
      <c r="F19" s="554" t="s">
        <v>401</v>
      </c>
      <c r="G19" s="554" t="str">
        <f>IFERROR(VLOOKUP(F19,ISCO_Prevodnik!$A$10:$B$21,2,0),"")</f>
        <v>Projektovy_manazer</v>
      </c>
      <c r="H19" s="554"/>
      <c r="I19" s="554" t="str">
        <f>IFERROR(VLOOKUP(H19,ISCO_Prevodnik!$E$10:$F$31,2,0),"")</f>
        <v/>
      </c>
      <c r="J19" s="555">
        <v>0.04</v>
      </c>
      <c r="K19" s="483">
        <f t="shared" si="7"/>
        <v>60</v>
      </c>
      <c r="L19" s="491">
        <f t="shared" si="3"/>
        <v>500</v>
      </c>
      <c r="M19" s="485">
        <f t="shared" si="5"/>
        <v>30000</v>
      </c>
      <c r="Q19" s="644" t="s">
        <v>664</v>
      </c>
      <c r="R19" s="557"/>
      <c r="S19" s="507" t="s">
        <v>449</v>
      </c>
      <c r="T19" s="433" t="s">
        <v>449</v>
      </c>
      <c r="U19" s="435">
        <f t="shared" si="4"/>
        <v>0</v>
      </c>
      <c r="V19" s="433" t="s">
        <v>449</v>
      </c>
      <c r="W19" s="433" t="s">
        <v>449</v>
      </c>
      <c r="X19" s="434"/>
    </row>
    <row r="20" spans="1:24" x14ac:dyDescent="0.2">
      <c r="A20" s="366"/>
      <c r="B20" s="366"/>
      <c r="C20" s="366"/>
      <c r="D20" s="366"/>
      <c r="E20" s="366"/>
      <c r="F20" s="554" t="s">
        <v>399</v>
      </c>
      <c r="G20" s="554" t="str">
        <f>IFERROR(VLOOKUP(F20,ISCO_Prevodnik!$A$10:$B$21,2,0),"")</f>
        <v>IT_tester</v>
      </c>
      <c r="H20" s="554"/>
      <c r="I20" s="554" t="str">
        <f>IFERROR(VLOOKUP(H20,ISCO_Prevodnik!$E$10:$F$31,2,0),"")</f>
        <v/>
      </c>
      <c r="J20" s="555">
        <v>0.16123927393779672</v>
      </c>
      <c r="K20" s="483">
        <f t="shared" si="7"/>
        <v>241</v>
      </c>
      <c r="L20" s="491">
        <f t="shared" si="3"/>
        <v>380</v>
      </c>
      <c r="M20" s="485">
        <f t="shared" si="5"/>
        <v>91580</v>
      </c>
      <c r="P20" s="786"/>
      <c r="Q20" s="644" t="s">
        <v>713</v>
      </c>
      <c r="R20" s="557"/>
      <c r="S20" s="507" t="s">
        <v>449</v>
      </c>
      <c r="T20" s="433" t="s">
        <v>449</v>
      </c>
      <c r="U20" s="435">
        <f t="shared" si="4"/>
        <v>0</v>
      </c>
      <c r="V20" s="433" t="s">
        <v>449</v>
      </c>
      <c r="W20" s="433" t="s">
        <v>449</v>
      </c>
      <c r="X20" s="434"/>
    </row>
    <row r="21" spans="1:24" x14ac:dyDescent="0.2">
      <c r="A21" s="366"/>
      <c r="B21" s="366"/>
      <c r="C21" s="366"/>
      <c r="D21" s="366"/>
      <c r="E21" s="366"/>
      <c r="F21" s="554" t="s">
        <v>405</v>
      </c>
      <c r="G21" s="554" t="str">
        <f>IFERROR(VLOOKUP(F21,ISCO_Prevodnik!$A$10:$B$21,2,0),"")</f>
        <v>Infrastrutkura</v>
      </c>
      <c r="H21" s="554"/>
      <c r="I21" s="554" t="str">
        <f>IFERROR(VLOOKUP(H21,ISCO_Prevodnik!$E$10:$F$31,2,0),"")</f>
        <v/>
      </c>
      <c r="J21" s="555">
        <v>0</v>
      </c>
      <c r="K21" s="483">
        <f t="shared" si="7"/>
        <v>0</v>
      </c>
      <c r="L21" s="491">
        <f t="shared" si="3"/>
        <v>440</v>
      </c>
      <c r="M21" s="485">
        <f t="shared" si="5"/>
        <v>0</v>
      </c>
      <c r="P21" s="786"/>
      <c r="Q21" s="644" t="s">
        <v>714</v>
      </c>
      <c r="R21" s="557"/>
      <c r="S21" s="507" t="s">
        <v>449</v>
      </c>
      <c r="T21" s="433" t="s">
        <v>449</v>
      </c>
      <c r="U21" s="435">
        <f t="shared" si="4"/>
        <v>0</v>
      </c>
      <c r="V21" s="433" t="s">
        <v>449</v>
      </c>
      <c r="W21" s="433" t="s">
        <v>449</v>
      </c>
      <c r="X21" s="434"/>
    </row>
    <row r="22" spans="1:24" x14ac:dyDescent="0.2">
      <c r="A22" s="366"/>
      <c r="B22" s="604"/>
      <c r="C22" s="604"/>
      <c r="D22" s="605"/>
      <c r="E22" s="606"/>
      <c r="F22" s="554" t="s">
        <v>408</v>
      </c>
      <c r="G22" s="554" t="str">
        <f>IFERROR(VLOOKUP(F22,ISCO_Prevodnik!$A$10:$B$21,2,0),"")</f>
        <v>IT_konzultant</v>
      </c>
      <c r="H22" s="554"/>
      <c r="I22" s="554" t="str">
        <f>IFERROR(VLOOKUP(H22,ISCO_Prevodnik!$E$10:$F$31,2,0),"")</f>
        <v/>
      </c>
      <c r="J22" s="555">
        <v>5.418778253440891E-2</v>
      </c>
      <c r="K22" s="483">
        <f t="shared" si="7"/>
        <v>81</v>
      </c>
      <c r="L22" s="491">
        <f t="shared" si="3"/>
        <v>488</v>
      </c>
      <c r="M22" s="485">
        <f t="shared" si="5"/>
        <v>39528</v>
      </c>
      <c r="O22" s="787"/>
      <c r="Q22" s="628"/>
      <c r="R22" s="557"/>
      <c r="S22" s="507" t="s">
        <v>449</v>
      </c>
      <c r="T22" s="433" t="s">
        <v>449</v>
      </c>
      <c r="U22" s="435">
        <f t="shared" si="4"/>
        <v>0</v>
      </c>
      <c r="V22" s="433" t="s">
        <v>449</v>
      </c>
      <c r="W22" s="433" t="s">
        <v>449</v>
      </c>
      <c r="X22" s="434"/>
    </row>
    <row r="23" spans="1:24" x14ac:dyDescent="0.2">
      <c r="A23" s="366"/>
      <c r="B23" s="366"/>
      <c r="C23" s="366"/>
      <c r="D23" s="366"/>
      <c r="E23" s="366"/>
      <c r="F23" s="554" t="s">
        <v>407</v>
      </c>
      <c r="G23" s="554" t="str">
        <f>IFERROR(VLOOKUP(F23,ISCO_Prevodnik!$A$10:$B$21,2,0),"")</f>
        <v>Skolenie</v>
      </c>
      <c r="H23" s="554"/>
      <c r="I23" s="554" t="str">
        <f>IFERROR(VLOOKUP(H23,ISCO_Prevodnik!$E$10:$F$31,2,0),"")</f>
        <v/>
      </c>
      <c r="J23" s="555">
        <v>7.7762989489877601E-2</v>
      </c>
      <c r="K23" s="483">
        <f t="shared" si="7"/>
        <v>116</v>
      </c>
      <c r="L23" s="491">
        <f t="shared" si="3"/>
        <v>400</v>
      </c>
      <c r="M23" s="485">
        <f t="shared" si="5"/>
        <v>46400</v>
      </c>
      <c r="O23" s="787"/>
      <c r="Q23" s="628"/>
      <c r="R23" s="557"/>
      <c r="S23" s="507" t="s">
        <v>449</v>
      </c>
      <c r="T23" s="433" t="s">
        <v>449</v>
      </c>
      <c r="U23" s="435">
        <f t="shared" si="4"/>
        <v>0</v>
      </c>
      <c r="V23" s="433" t="s">
        <v>449</v>
      </c>
      <c r="W23" s="433" t="s">
        <v>449</v>
      </c>
      <c r="X23" s="434"/>
    </row>
    <row r="24" spans="1:24" x14ac:dyDescent="0.2">
      <c r="A24" s="366"/>
      <c r="B24" s="366"/>
      <c r="C24" s="366"/>
      <c r="D24" s="366"/>
      <c r="E24" s="366"/>
      <c r="F24" s="554" t="s">
        <v>409</v>
      </c>
      <c r="G24" s="554" t="str">
        <f>IFERROR(VLOOKUP(F24,ISCO_Prevodnik!$A$10:$B$21,2,0),"")</f>
        <v>Ine</v>
      </c>
      <c r="H24" s="554"/>
      <c r="I24" s="554" t="str">
        <f>IFERROR(VLOOKUP(H24,ISCO_Prevodnik!$E$10:$F$31,2,0),"")</f>
        <v/>
      </c>
      <c r="J24" s="555">
        <v>0.190542339968098</v>
      </c>
      <c r="K24" s="483">
        <f t="shared" si="7"/>
        <v>285</v>
      </c>
      <c r="L24" s="491">
        <f t="shared" si="3"/>
        <v>400</v>
      </c>
      <c r="M24" s="485">
        <f t="shared" si="5"/>
        <v>114000</v>
      </c>
      <c r="Q24" s="628"/>
      <c r="R24" s="557"/>
      <c r="S24" s="507" t="s">
        <v>449</v>
      </c>
      <c r="T24" s="433" t="s">
        <v>449</v>
      </c>
      <c r="U24" s="435">
        <f t="shared" si="4"/>
        <v>0</v>
      </c>
      <c r="V24" s="433" t="s">
        <v>449</v>
      </c>
      <c r="W24" s="433" t="s">
        <v>449</v>
      </c>
      <c r="X24" s="434"/>
    </row>
    <row r="25" spans="1:24" x14ac:dyDescent="0.2">
      <c r="A25" s="366"/>
      <c r="B25" s="366"/>
      <c r="C25" s="366"/>
      <c r="D25" s="366"/>
      <c r="E25" s="366"/>
      <c r="F25" s="554"/>
      <c r="G25" s="554" t="str">
        <f>IFERROR(VLOOKUP(F25,ISCO_Prevodnik!$A$10:$B$21,2,0),"")</f>
        <v/>
      </c>
      <c r="H25" s="554"/>
      <c r="I25" s="554" t="str">
        <f>IFERROR(VLOOKUP(H25,ISCO_Prevodnik!$E$10:$F$31,2,0),"")</f>
        <v/>
      </c>
      <c r="J25" s="555"/>
      <c r="K25" s="483">
        <f t="shared" si="7"/>
        <v>0</v>
      </c>
      <c r="L25" s="491">
        <f t="shared" si="3"/>
        <v>0</v>
      </c>
      <c r="M25" s="485">
        <f t="shared" si="5"/>
        <v>0</v>
      </c>
      <c r="Q25" s="628"/>
      <c r="R25" s="557"/>
      <c r="S25" s="507" t="s">
        <v>449</v>
      </c>
      <c r="T25" s="433" t="s">
        <v>449</v>
      </c>
      <c r="U25" s="435">
        <f t="shared" si="4"/>
        <v>0</v>
      </c>
      <c r="V25" s="433" t="s">
        <v>449</v>
      </c>
      <c r="W25" s="433" t="s">
        <v>449</v>
      </c>
      <c r="X25" s="434"/>
    </row>
    <row r="26" spans="1:24" x14ac:dyDescent="0.2">
      <c r="A26" s="366"/>
      <c r="B26" s="366"/>
      <c r="C26" s="366"/>
      <c r="D26" s="366"/>
      <c r="E26" s="366"/>
      <c r="F26" s="554"/>
      <c r="G26" s="554" t="str">
        <f>IFERROR(VLOOKUP(F26,ISCO_Prevodnik!$A$10:$B$21,2,0),"")</f>
        <v/>
      </c>
      <c r="H26" s="554"/>
      <c r="I26" s="554" t="str">
        <f>IFERROR(VLOOKUP(H26,ISCO_Prevodnik!$E$10:$F$31,2,0),"")</f>
        <v/>
      </c>
      <c r="J26" s="555"/>
      <c r="K26" s="483">
        <f t="shared" si="7"/>
        <v>0</v>
      </c>
      <c r="L26" s="491">
        <f t="shared" si="3"/>
        <v>0</v>
      </c>
      <c r="M26" s="485">
        <f t="shared" si="5"/>
        <v>0</v>
      </c>
      <c r="Q26" s="628"/>
      <c r="R26" s="557"/>
      <c r="S26" s="507" t="s">
        <v>449</v>
      </c>
      <c r="T26" s="433" t="s">
        <v>449</v>
      </c>
      <c r="U26" s="435">
        <f t="shared" si="4"/>
        <v>0</v>
      </c>
      <c r="V26" s="433" t="s">
        <v>449</v>
      </c>
      <c r="W26" s="433" t="s">
        <v>449</v>
      </c>
      <c r="X26" s="434"/>
    </row>
    <row r="27" spans="1:24" x14ac:dyDescent="0.2">
      <c r="A27" s="366"/>
      <c r="B27" s="366"/>
      <c r="C27" s="366"/>
      <c r="D27" s="366"/>
      <c r="E27" s="366"/>
      <c r="F27" s="554"/>
      <c r="G27" s="554" t="str">
        <f>IFERROR(VLOOKUP(F27,ISCO_Prevodnik!$A$10:$B$21,2,0),"")</f>
        <v/>
      </c>
      <c r="H27" s="554"/>
      <c r="I27" s="554" t="str">
        <f>IFERROR(VLOOKUP(H27,ISCO_Prevodnik!$E$10:$F$31,2,0),"")</f>
        <v/>
      </c>
      <c r="J27" s="555"/>
      <c r="K27" s="483">
        <f t="shared" si="7"/>
        <v>0</v>
      </c>
      <c r="L27" s="491">
        <f t="shared" si="3"/>
        <v>0</v>
      </c>
      <c r="M27" s="485">
        <f t="shared" si="5"/>
        <v>0</v>
      </c>
      <c r="Q27" s="628"/>
      <c r="R27" s="557"/>
      <c r="S27" s="507" t="s">
        <v>449</v>
      </c>
      <c r="T27" s="433" t="s">
        <v>449</v>
      </c>
      <c r="U27" s="435">
        <f t="shared" si="4"/>
        <v>0</v>
      </c>
      <c r="V27" s="433" t="s">
        <v>449</v>
      </c>
      <c r="W27" s="433" t="s">
        <v>449</v>
      </c>
      <c r="X27" s="434"/>
    </row>
    <row r="28" spans="1:24" x14ac:dyDescent="0.2">
      <c r="A28" s="369" t="s">
        <v>262</v>
      </c>
      <c r="B28" s="556">
        <v>0.25929401773999999</v>
      </c>
      <c r="C28" s="555">
        <f>SUM(K28:K39)/$K$1</f>
        <v>0.25918367346938775</v>
      </c>
      <c r="D28" s="483">
        <f>B28*SUM(MODULY_CBA!$J$3:$J$23)</f>
        <v>635.27034346300002</v>
      </c>
      <c r="E28" s="484">
        <f>IFERROR(SUM(M28:M39)/SUM(K28:K39),0)</f>
        <v>442.06929133858267</v>
      </c>
      <c r="F28" s="554" t="s">
        <v>398</v>
      </c>
      <c r="G28" s="554" t="str">
        <f>IFERROR(VLOOKUP(F28,ISCO_Prevodnik!$A$10:$B$21,2,0),"")</f>
        <v>IT_architekt</v>
      </c>
      <c r="H28" s="554"/>
      <c r="I28" s="554" t="str">
        <f>IFERROR(VLOOKUP(H28,ISCO_Prevodnik!$E$10:$F$31,2,0),"")</f>
        <v/>
      </c>
      <c r="J28" s="555">
        <v>0.16198127425269079</v>
      </c>
      <c r="K28" s="483">
        <f>ROUND(J28*$D$28,0)</f>
        <v>103</v>
      </c>
      <c r="L28" s="491">
        <f t="shared" si="3"/>
        <v>490</v>
      </c>
      <c r="M28" s="485">
        <f t="shared" si="5"/>
        <v>50470</v>
      </c>
    </row>
    <row r="29" spans="1:24" x14ac:dyDescent="0.2">
      <c r="A29" s="366"/>
      <c r="B29" s="366"/>
      <c r="C29" s="366"/>
      <c r="D29" s="366"/>
      <c r="E29" s="366"/>
      <c r="F29" s="554" t="s">
        <v>402</v>
      </c>
      <c r="G29" s="554" t="str">
        <f>IFERROR(VLOOKUP(F29,ISCO_Prevodnik!$A$10:$B$21,2,0),"")</f>
        <v>IT_analytik</v>
      </c>
      <c r="H29" s="554"/>
      <c r="I29" s="554" t="str">
        <f>IFERROR(VLOOKUP(H29,ISCO_Prevodnik!$E$10:$F$31,2,0),"")</f>
        <v/>
      </c>
      <c r="J29" s="555">
        <v>0</v>
      </c>
      <c r="K29" s="483">
        <f t="shared" ref="K29:K39" si="8">ROUND(J29*$D$28,0)</f>
        <v>0</v>
      </c>
      <c r="L29" s="491">
        <f t="shared" si="3"/>
        <v>450</v>
      </c>
      <c r="M29" s="485">
        <f t="shared" si="5"/>
        <v>0</v>
      </c>
    </row>
    <row r="30" spans="1:24" x14ac:dyDescent="0.2">
      <c r="A30" s="366"/>
      <c r="B30" s="366"/>
      <c r="C30" s="366"/>
      <c r="D30" s="366"/>
      <c r="E30" s="366"/>
      <c r="F30" s="554" t="s">
        <v>400</v>
      </c>
      <c r="G30" s="554" t="str">
        <f>IFERROR(VLOOKUP(F30,ISCO_Prevodnik!$A$10:$B$21,2,0),"")</f>
        <v>IT_programator</v>
      </c>
      <c r="H30" s="554"/>
      <c r="I30" s="554" t="str">
        <f>IFERROR(VLOOKUP(H30,ISCO_Prevodnik!$E$10:$F$31,2,0),"")</f>
        <v/>
      </c>
      <c r="J30" s="555">
        <v>0</v>
      </c>
      <c r="K30" s="483">
        <f t="shared" si="8"/>
        <v>0</v>
      </c>
      <c r="L30" s="491">
        <f t="shared" si="3"/>
        <v>400</v>
      </c>
      <c r="M30" s="485">
        <f t="shared" si="5"/>
        <v>0</v>
      </c>
    </row>
    <row r="31" spans="1:24" x14ac:dyDescent="0.2">
      <c r="A31" s="366"/>
      <c r="B31" s="366"/>
      <c r="C31" s="366"/>
      <c r="D31" s="366"/>
      <c r="E31" s="366"/>
      <c r="F31" s="554" t="s">
        <v>401</v>
      </c>
      <c r="G31" s="554" t="str">
        <f>IFERROR(VLOOKUP(F31,ISCO_Prevodnik!$A$10:$B$21,2,0),"")</f>
        <v>Projektovy_manazer</v>
      </c>
      <c r="H31" s="554"/>
      <c r="I31" s="554" t="str">
        <f>IFERROR(VLOOKUP(H31,ISCO_Prevodnik!$E$10:$F$31,2,0),"")</f>
        <v/>
      </c>
      <c r="J31" s="555">
        <v>0.04</v>
      </c>
      <c r="K31" s="483">
        <f t="shared" si="8"/>
        <v>25</v>
      </c>
      <c r="L31" s="491">
        <f t="shared" si="3"/>
        <v>500</v>
      </c>
      <c r="M31" s="485">
        <f t="shared" si="5"/>
        <v>12500</v>
      </c>
    </row>
    <row r="32" spans="1:24" x14ac:dyDescent="0.2">
      <c r="A32" s="366"/>
      <c r="B32" s="366"/>
      <c r="C32" s="366"/>
      <c r="D32" s="366"/>
      <c r="E32" s="366"/>
      <c r="F32" s="554" t="s">
        <v>399</v>
      </c>
      <c r="G32" s="554" t="str">
        <f>IFERROR(VLOOKUP(F32,ISCO_Prevodnik!$A$10:$B$21,2,0),"")</f>
        <v>IT_tester</v>
      </c>
      <c r="H32" s="554"/>
      <c r="I32" s="554" t="str">
        <f>IFERROR(VLOOKUP(H32,ISCO_Prevodnik!$E$10:$F$31,2,0),"")</f>
        <v/>
      </c>
      <c r="J32" s="555">
        <v>0</v>
      </c>
      <c r="K32" s="483">
        <f t="shared" si="8"/>
        <v>0</v>
      </c>
      <c r="L32" s="491">
        <f t="shared" si="3"/>
        <v>380</v>
      </c>
      <c r="M32" s="485">
        <f t="shared" si="5"/>
        <v>0</v>
      </c>
    </row>
    <row r="33" spans="1:16" x14ac:dyDescent="0.2">
      <c r="A33" s="366"/>
      <c r="B33" s="366"/>
      <c r="C33" s="366"/>
      <c r="D33" s="366"/>
      <c r="E33" s="366"/>
      <c r="F33" s="554" t="s">
        <v>405</v>
      </c>
      <c r="G33" s="554" t="str">
        <f>IFERROR(VLOOKUP(F33,ISCO_Prevodnik!$A$10:$B$21,2,0),"")</f>
        <v>Infrastrutkura</v>
      </c>
      <c r="H33" s="554"/>
      <c r="I33" s="554" t="str">
        <f>IFERROR(VLOOKUP(H33,ISCO_Prevodnik!$E$10:$F$31,2,0),"")</f>
        <v/>
      </c>
      <c r="J33" s="555">
        <v>0.38654784084301463</v>
      </c>
      <c r="K33" s="483">
        <f t="shared" si="8"/>
        <v>246</v>
      </c>
      <c r="L33" s="491">
        <f t="shared" si="3"/>
        <v>440</v>
      </c>
      <c r="M33" s="485">
        <f t="shared" si="5"/>
        <v>108240</v>
      </c>
    </row>
    <row r="34" spans="1:16" x14ac:dyDescent="0.2">
      <c r="F34" s="554" t="s">
        <v>408</v>
      </c>
      <c r="G34" s="554" t="str">
        <f>IFERROR(VLOOKUP(F34,ISCO_Prevodnik!$A$10:$B$21,2,0),"")</f>
        <v>IT_konzultant</v>
      </c>
      <c r="H34" s="554"/>
      <c r="I34" s="554" t="str">
        <f>IFERROR(VLOOKUP(H34,ISCO_Prevodnik!$E$10:$F$31,2,0),"")</f>
        <v/>
      </c>
      <c r="J34" s="555">
        <v>9.1967390143469135E-2</v>
      </c>
      <c r="K34" s="483">
        <f t="shared" si="8"/>
        <v>58</v>
      </c>
      <c r="L34" s="491">
        <f t="shared" si="3"/>
        <v>488</v>
      </c>
      <c r="M34" s="485">
        <f t="shared" ref="M34:M46" si="9">K34*L34</f>
        <v>28304</v>
      </c>
    </row>
    <row r="35" spans="1:16" x14ac:dyDescent="0.2">
      <c r="F35" s="554" t="s">
        <v>407</v>
      </c>
      <c r="G35" s="554" t="str">
        <f>IFERROR(VLOOKUP(F35,ISCO_Prevodnik!$A$10:$B$21,2,0),"")</f>
        <v>Skolenie</v>
      </c>
      <c r="H35" s="554"/>
      <c r="I35" s="554" t="str">
        <f>IFERROR(VLOOKUP(H35,ISCO_Prevodnik!$E$10:$F$31,2,0),"")</f>
        <v/>
      </c>
      <c r="J35" s="555">
        <v>0</v>
      </c>
      <c r="K35" s="483">
        <f t="shared" si="8"/>
        <v>0</v>
      </c>
      <c r="L35" s="491">
        <f t="shared" si="3"/>
        <v>400</v>
      </c>
      <c r="M35" s="485">
        <f t="shared" si="9"/>
        <v>0</v>
      </c>
      <c r="O35" s="787"/>
      <c r="P35" s="788"/>
    </row>
    <row r="36" spans="1:16" x14ac:dyDescent="0.2">
      <c r="F36" s="554" t="s">
        <v>409</v>
      </c>
      <c r="G36" s="554" t="str">
        <f>IFERROR(VLOOKUP(F36,ISCO_Prevodnik!$A$10:$B$21,2,0),"")</f>
        <v>Ine</v>
      </c>
      <c r="H36" s="554"/>
      <c r="I36" s="554" t="str">
        <f>IFERROR(VLOOKUP(H36,ISCO_Prevodnik!$E$10:$F$31,2,0),"")</f>
        <v/>
      </c>
      <c r="J36" s="555">
        <v>0.31950349476082551</v>
      </c>
      <c r="K36" s="483">
        <f t="shared" si="8"/>
        <v>203</v>
      </c>
      <c r="L36" s="491">
        <f t="shared" si="3"/>
        <v>400</v>
      </c>
      <c r="M36" s="485">
        <f t="shared" si="9"/>
        <v>81200</v>
      </c>
    </row>
    <row r="37" spans="1:16" x14ac:dyDescent="0.2">
      <c r="F37" s="554"/>
      <c r="G37" s="554" t="str">
        <f>IFERROR(VLOOKUP(F37,ISCO_Prevodnik!$A$10:$B$21,2,0),"")</f>
        <v/>
      </c>
      <c r="H37" s="554"/>
      <c r="I37" s="554" t="str">
        <f>IFERROR(VLOOKUP(H37,ISCO_Prevodnik!$E$10:$F$31,2,0),"")</f>
        <v/>
      </c>
      <c r="J37" s="555"/>
      <c r="K37" s="483">
        <f t="shared" si="8"/>
        <v>0</v>
      </c>
      <c r="L37" s="491">
        <f t="shared" si="3"/>
        <v>0</v>
      </c>
      <c r="M37" s="485">
        <f t="shared" si="9"/>
        <v>0</v>
      </c>
    </row>
    <row r="38" spans="1:16" x14ac:dyDescent="0.2">
      <c r="F38" s="554"/>
      <c r="G38" s="554" t="str">
        <f>IFERROR(VLOOKUP(F38,ISCO_Prevodnik!$A$10:$B$21,2,0),"")</f>
        <v/>
      </c>
      <c r="H38" s="554"/>
      <c r="I38" s="554" t="str">
        <f>IFERROR(VLOOKUP(H38,ISCO_Prevodnik!$E$10:$F$31,2,0),"")</f>
        <v/>
      </c>
      <c r="J38" s="555"/>
      <c r="K38" s="483">
        <f t="shared" si="8"/>
        <v>0</v>
      </c>
      <c r="L38" s="491">
        <f t="shared" si="3"/>
        <v>0</v>
      </c>
      <c r="M38" s="485">
        <f t="shared" si="9"/>
        <v>0</v>
      </c>
    </row>
    <row r="39" spans="1:16" x14ac:dyDescent="0.2">
      <c r="F39" s="554"/>
      <c r="G39" s="554" t="str">
        <f>IFERROR(VLOOKUP(F39,ISCO_Prevodnik!$A$10:$B$21,2,0),"")</f>
        <v/>
      </c>
      <c r="H39" s="554"/>
      <c r="I39" s="554" t="str">
        <f>IFERROR(VLOOKUP(H39,ISCO_Prevodnik!$E$10:$F$31,2,0),"")</f>
        <v/>
      </c>
      <c r="J39" s="555"/>
      <c r="K39" s="483">
        <f t="shared" si="8"/>
        <v>0</v>
      </c>
      <c r="L39" s="491">
        <f t="shared" si="3"/>
        <v>0</v>
      </c>
      <c r="M39" s="485">
        <f t="shared" si="9"/>
        <v>0</v>
      </c>
    </row>
    <row r="40" spans="1:16" ht="32" x14ac:dyDescent="0.2">
      <c r="A40" s="479" t="s">
        <v>758</v>
      </c>
      <c r="B40" s="479" t="s">
        <v>759</v>
      </c>
      <c r="C40" s="479"/>
      <c r="D40" s="479" t="s">
        <v>264</v>
      </c>
      <c r="E40" s="479" t="s">
        <v>414</v>
      </c>
      <c r="F40" s="479" t="s">
        <v>397</v>
      </c>
      <c r="G40" s="479"/>
      <c r="H40" s="479" t="s">
        <v>685</v>
      </c>
      <c r="I40" s="479" t="s">
        <v>686</v>
      </c>
      <c r="J40" s="479" t="s">
        <v>761</v>
      </c>
      <c r="K40" s="479" t="s">
        <v>412</v>
      </c>
      <c r="L40" s="479" t="s">
        <v>715</v>
      </c>
      <c r="M40" s="479" t="s">
        <v>413</v>
      </c>
    </row>
    <row r="41" spans="1:16" x14ac:dyDescent="0.2">
      <c r="A41" s="369" t="s">
        <v>661</v>
      </c>
      <c r="B41" s="558">
        <v>18</v>
      </c>
      <c r="C41" s="558"/>
      <c r="D41" s="483">
        <f>SUM(K41:K52)</f>
        <v>0</v>
      </c>
      <c r="E41" s="484">
        <f>IFERROR(SUM(M41:M52)/SUM(K41:K52),0)</f>
        <v>0</v>
      </c>
      <c r="F41" s="554"/>
      <c r="G41" s="554"/>
      <c r="H41" s="554"/>
      <c r="I41" s="554"/>
      <c r="J41" s="627"/>
      <c r="K41" s="483">
        <f>J41*$B$41*20</f>
        <v>0</v>
      </c>
      <c r="L41" s="491">
        <f>IFERROR(VLOOKUP(F41,$Q$4:$R$30,2,0),0)</f>
        <v>0</v>
      </c>
      <c r="M41" s="485">
        <f t="shared" si="9"/>
        <v>0</v>
      </c>
    </row>
    <row r="42" spans="1:16" x14ac:dyDescent="0.2">
      <c r="A42" s="366"/>
      <c r="B42" s="366"/>
      <c r="C42" s="366"/>
      <c r="D42" s="366"/>
      <c r="E42" s="366"/>
      <c r="F42" s="554"/>
      <c r="G42" s="554"/>
      <c r="H42" s="554"/>
      <c r="I42" s="554"/>
      <c r="J42" s="627"/>
      <c r="K42" s="483">
        <f t="shared" ref="K42:K52" si="10">J42*$B$41*20</f>
        <v>0</v>
      </c>
      <c r="L42" s="491">
        <f t="shared" ref="L42:L52" si="11">IFERROR(VLOOKUP(F42,$Q$4:$R$30,2,0),0)</f>
        <v>0</v>
      </c>
      <c r="M42" s="485">
        <f t="shared" si="9"/>
        <v>0</v>
      </c>
    </row>
    <row r="43" spans="1:16" x14ac:dyDescent="0.2">
      <c r="A43" s="366"/>
      <c r="B43" s="366"/>
      <c r="C43" s="366"/>
      <c r="D43" s="366"/>
      <c r="E43" s="366"/>
      <c r="F43" s="554"/>
      <c r="G43" s="554" t="str">
        <f>IFERROR(VLOOKUP(F43,ISCO_Prevodnik!$A$10:$B$21,2,0),"")</f>
        <v/>
      </c>
      <c r="H43" s="554"/>
      <c r="I43" s="554" t="str">
        <f>IFERROR(VLOOKUP(H43,ISCO_Prevodnik!$E$10:$F$31,2,0),"")</f>
        <v/>
      </c>
      <c r="J43" s="627"/>
      <c r="K43" s="483">
        <f t="shared" si="10"/>
        <v>0</v>
      </c>
      <c r="L43" s="491">
        <f t="shared" si="11"/>
        <v>0</v>
      </c>
      <c r="M43" s="485">
        <f t="shared" si="9"/>
        <v>0</v>
      </c>
    </row>
    <row r="44" spans="1:16" x14ac:dyDescent="0.2">
      <c r="A44" s="366"/>
      <c r="B44" s="366"/>
      <c r="C44" s="366"/>
      <c r="D44" s="366"/>
      <c r="E44" s="366"/>
      <c r="F44" s="554"/>
      <c r="G44" s="554" t="str">
        <f>IFERROR(VLOOKUP(F44,ISCO_Prevodnik!$A$10:$B$21,2,0),"")</f>
        <v/>
      </c>
      <c r="H44" s="554"/>
      <c r="I44" s="554" t="str">
        <f>IFERROR(VLOOKUP(H44,ISCO_Prevodnik!$E$10:$F$31,2,0),"")</f>
        <v/>
      </c>
      <c r="J44" s="627"/>
      <c r="K44" s="483">
        <f t="shared" si="10"/>
        <v>0</v>
      </c>
      <c r="L44" s="491">
        <f t="shared" si="11"/>
        <v>0</v>
      </c>
      <c r="M44" s="485">
        <f t="shared" si="9"/>
        <v>0</v>
      </c>
    </row>
    <row r="45" spans="1:16" x14ac:dyDescent="0.2">
      <c r="A45" s="366"/>
      <c r="B45" s="366"/>
      <c r="C45" s="366"/>
      <c r="D45" s="366"/>
      <c r="E45" s="366"/>
      <c r="F45" s="554"/>
      <c r="G45" s="554" t="str">
        <f>IFERROR(VLOOKUP(F45,ISCO_Prevodnik!$A$10:$B$21,2,0),"")</f>
        <v/>
      </c>
      <c r="H45" s="554"/>
      <c r="I45" s="554" t="str">
        <f>IFERROR(VLOOKUP(H45,ISCO_Prevodnik!$E$10:$F$31,2,0),"")</f>
        <v/>
      </c>
      <c r="J45" s="627"/>
      <c r="K45" s="483">
        <f t="shared" si="10"/>
        <v>0</v>
      </c>
      <c r="L45" s="491">
        <f t="shared" si="11"/>
        <v>0</v>
      </c>
      <c r="M45" s="485">
        <f t="shared" si="9"/>
        <v>0</v>
      </c>
    </row>
    <row r="46" spans="1:16" x14ac:dyDescent="0.2">
      <c r="A46" s="366"/>
      <c r="B46" s="366"/>
      <c r="C46" s="366"/>
      <c r="D46" s="366"/>
      <c r="E46" s="366"/>
      <c r="F46" s="554"/>
      <c r="G46" s="554" t="str">
        <f>IFERROR(VLOOKUP(F46,ISCO_Prevodnik!$A$10:$B$21,2,0),"")</f>
        <v/>
      </c>
      <c r="H46" s="554"/>
      <c r="I46" s="554" t="str">
        <f>IFERROR(VLOOKUP(H46,ISCO_Prevodnik!$E$10:$F$31,2,0),"")</f>
        <v/>
      </c>
      <c r="J46" s="627"/>
      <c r="K46" s="483">
        <f t="shared" si="10"/>
        <v>0</v>
      </c>
      <c r="L46" s="491">
        <f t="shared" si="11"/>
        <v>0</v>
      </c>
      <c r="M46" s="485">
        <f t="shared" si="9"/>
        <v>0</v>
      </c>
    </row>
    <row r="47" spans="1:16" x14ac:dyDescent="0.2">
      <c r="F47" s="554"/>
      <c r="G47" s="554" t="str">
        <f>IFERROR(VLOOKUP(F47,ISCO_Prevodnik!$A$10:$B$21,2,0),"")</f>
        <v/>
      </c>
      <c r="H47" s="554"/>
      <c r="I47" s="554" t="str">
        <f>IFERROR(VLOOKUP(H47,ISCO_Prevodnik!$E$10:$F$31,2,0),"")</f>
        <v/>
      </c>
      <c r="J47" s="627"/>
      <c r="K47" s="483">
        <f t="shared" si="10"/>
        <v>0</v>
      </c>
      <c r="L47" s="491">
        <f t="shared" si="11"/>
        <v>0</v>
      </c>
      <c r="M47" s="485">
        <f t="shared" ref="M47:M58" si="12">K47*L47</f>
        <v>0</v>
      </c>
    </row>
    <row r="48" spans="1:16" x14ac:dyDescent="0.2">
      <c r="F48" s="554"/>
      <c r="G48" s="554" t="str">
        <f>IFERROR(VLOOKUP(F48,ISCO_Prevodnik!$A$10:$B$21,2,0),"")</f>
        <v/>
      </c>
      <c r="H48" s="554"/>
      <c r="I48" s="554" t="str">
        <f>IFERROR(VLOOKUP(H48,ISCO_Prevodnik!$E$10:$F$31,2,0),"")</f>
        <v/>
      </c>
      <c r="J48" s="627"/>
      <c r="K48" s="483">
        <f t="shared" si="10"/>
        <v>0</v>
      </c>
      <c r="L48" s="491">
        <f t="shared" si="11"/>
        <v>0</v>
      </c>
      <c r="M48" s="485">
        <f t="shared" si="12"/>
        <v>0</v>
      </c>
    </row>
    <row r="49" spans="1:13" x14ac:dyDescent="0.2">
      <c r="F49" s="554"/>
      <c r="G49" s="554" t="str">
        <f>IFERROR(VLOOKUP(F49,ISCO_Prevodnik!$A$10:$B$21,2,0),"")</f>
        <v/>
      </c>
      <c r="H49" s="554"/>
      <c r="I49" s="554" t="str">
        <f>IFERROR(VLOOKUP(H49,ISCO_Prevodnik!$E$10:$F$31,2,0),"")</f>
        <v/>
      </c>
      <c r="J49" s="627"/>
      <c r="K49" s="483">
        <f t="shared" si="10"/>
        <v>0</v>
      </c>
      <c r="L49" s="491">
        <f t="shared" si="11"/>
        <v>0</v>
      </c>
      <c r="M49" s="485">
        <f t="shared" si="12"/>
        <v>0</v>
      </c>
    </row>
    <row r="50" spans="1:13" x14ac:dyDescent="0.2">
      <c r="F50" s="554"/>
      <c r="G50" s="554" t="str">
        <f>IFERROR(VLOOKUP(F50,ISCO_Prevodnik!$A$10:$B$21,2,0),"")</f>
        <v/>
      </c>
      <c r="H50" s="554"/>
      <c r="I50" s="554" t="str">
        <f>IFERROR(VLOOKUP(H50,ISCO_Prevodnik!$E$10:$F$31,2,0),"")</f>
        <v/>
      </c>
      <c r="J50" s="627"/>
      <c r="K50" s="483">
        <f t="shared" si="10"/>
        <v>0</v>
      </c>
      <c r="L50" s="491">
        <f t="shared" si="11"/>
        <v>0</v>
      </c>
      <c r="M50" s="485">
        <f t="shared" si="12"/>
        <v>0</v>
      </c>
    </row>
    <row r="51" spans="1:13" x14ac:dyDescent="0.2">
      <c r="F51" s="554"/>
      <c r="G51" s="554" t="str">
        <f>IFERROR(VLOOKUP(F51,ISCO_Prevodnik!$A$10:$B$21,2,0),"")</f>
        <v/>
      </c>
      <c r="H51" s="554"/>
      <c r="I51" s="554" t="str">
        <f>IFERROR(VLOOKUP(H51,ISCO_Prevodnik!$E$10:$F$31,2,0),"")</f>
        <v/>
      </c>
      <c r="J51" s="627"/>
      <c r="K51" s="483">
        <f t="shared" si="10"/>
        <v>0</v>
      </c>
      <c r="L51" s="491">
        <f t="shared" si="11"/>
        <v>0</v>
      </c>
      <c r="M51" s="485">
        <f t="shared" si="12"/>
        <v>0</v>
      </c>
    </row>
    <row r="52" spans="1:13" x14ac:dyDescent="0.2">
      <c r="F52" s="554"/>
      <c r="G52" s="554" t="str">
        <f>IFERROR(VLOOKUP(F52,ISCO_Prevodnik!$A$10:$B$21,2,0),"")</f>
        <v/>
      </c>
      <c r="H52" s="554"/>
      <c r="I52" s="554" t="str">
        <f>IFERROR(VLOOKUP(H52,ISCO_Prevodnik!$E$10:$F$31,2,0),"")</f>
        <v/>
      </c>
      <c r="J52" s="627"/>
      <c r="K52" s="483">
        <f t="shared" si="10"/>
        <v>0</v>
      </c>
      <c r="L52" s="491">
        <f t="shared" si="11"/>
        <v>0</v>
      </c>
      <c r="M52" s="485">
        <f t="shared" si="12"/>
        <v>0</v>
      </c>
    </row>
    <row r="53" spans="1:13" x14ac:dyDescent="0.2">
      <c r="A53" s="369" t="s">
        <v>663</v>
      </c>
      <c r="B53" s="558">
        <v>18</v>
      </c>
      <c r="C53" s="558"/>
      <c r="D53" s="483">
        <f>SUM(K53:K64)</f>
        <v>0</v>
      </c>
      <c r="E53" s="484">
        <f>IFERROR(SUM(M53:M64)/SUM(K53:K64),0)</f>
        <v>0</v>
      </c>
      <c r="F53" s="554"/>
      <c r="G53" s="554" t="str">
        <f>IFERROR(VLOOKUP(F53,ISCO_Prevodnik!$A$10:$B$21,2,0),"")</f>
        <v/>
      </c>
      <c r="H53" s="554"/>
      <c r="I53" s="554" t="str">
        <f>IFERROR(VLOOKUP(H53,ISCO_Prevodnik!$E$10:$F$31,2,0),"")</f>
        <v/>
      </c>
      <c r="J53" s="627"/>
      <c r="K53" s="483">
        <f>J53*$B$41*20</f>
        <v>0</v>
      </c>
      <c r="L53" s="491">
        <f>IFERROR(VLOOKUP(F53,$Q$4:$R$30,2,0),0)</f>
        <v>0</v>
      </c>
      <c r="M53" s="485">
        <f t="shared" si="12"/>
        <v>0</v>
      </c>
    </row>
    <row r="54" spans="1:13" x14ac:dyDescent="0.2">
      <c r="A54" s="366"/>
      <c r="B54" s="366"/>
      <c r="C54" s="366"/>
      <c r="D54" s="366"/>
      <c r="E54" s="366"/>
      <c r="F54" s="554"/>
      <c r="G54" s="554" t="str">
        <f>IFERROR(VLOOKUP(F54,ISCO_Prevodnik!$A$10:$B$21,2,0),"")</f>
        <v/>
      </c>
      <c r="H54" s="554"/>
      <c r="I54" s="554" t="str">
        <f>IFERROR(VLOOKUP(H54,ISCO_Prevodnik!$E$10:$F$31,2,0),"")</f>
        <v/>
      </c>
      <c r="J54" s="627"/>
      <c r="K54" s="483">
        <f t="shared" ref="K54:K64" si="13">J54*$B$41*20</f>
        <v>0</v>
      </c>
      <c r="L54" s="491">
        <f t="shared" ref="L54:L64" si="14">IFERROR(VLOOKUP(F54,$Q$4:$R$30,2,0),0)</f>
        <v>0</v>
      </c>
      <c r="M54" s="485">
        <f t="shared" si="12"/>
        <v>0</v>
      </c>
    </row>
    <row r="55" spans="1:13" x14ac:dyDescent="0.2">
      <c r="A55" s="366"/>
      <c r="B55" s="366"/>
      <c r="C55" s="366"/>
      <c r="D55" s="366"/>
      <c r="E55" s="366"/>
      <c r="F55" s="554"/>
      <c r="G55" s="554" t="str">
        <f>IFERROR(VLOOKUP(F55,ISCO_Prevodnik!$A$10:$B$21,2,0),"")</f>
        <v/>
      </c>
      <c r="H55" s="554"/>
      <c r="I55" s="554" t="str">
        <f>IFERROR(VLOOKUP(H55,ISCO_Prevodnik!$E$10:$F$31,2,0),"")</f>
        <v/>
      </c>
      <c r="J55" s="627"/>
      <c r="K55" s="483">
        <f t="shared" si="13"/>
        <v>0</v>
      </c>
      <c r="L55" s="491">
        <f t="shared" si="14"/>
        <v>0</v>
      </c>
      <c r="M55" s="485">
        <f t="shared" si="12"/>
        <v>0</v>
      </c>
    </row>
    <row r="56" spans="1:13" x14ac:dyDescent="0.2">
      <c r="A56" s="366"/>
      <c r="B56" s="366"/>
      <c r="C56" s="366"/>
      <c r="D56" s="366"/>
      <c r="E56" s="366"/>
      <c r="F56" s="554"/>
      <c r="G56" s="554" t="str">
        <f>IFERROR(VLOOKUP(F56,ISCO_Prevodnik!$A$10:$B$21,2,0),"")</f>
        <v/>
      </c>
      <c r="H56" s="554"/>
      <c r="I56" s="554" t="str">
        <f>IFERROR(VLOOKUP(H56,ISCO_Prevodnik!$E$10:$F$31,2,0),"")</f>
        <v/>
      </c>
      <c r="J56" s="627"/>
      <c r="K56" s="483">
        <f t="shared" si="13"/>
        <v>0</v>
      </c>
      <c r="L56" s="491">
        <f t="shared" si="14"/>
        <v>0</v>
      </c>
      <c r="M56" s="485">
        <f t="shared" si="12"/>
        <v>0</v>
      </c>
    </row>
    <row r="57" spans="1:13" x14ac:dyDescent="0.2">
      <c r="A57" s="366"/>
      <c r="B57" s="366"/>
      <c r="C57" s="366"/>
      <c r="D57" s="366"/>
      <c r="E57" s="366"/>
      <c r="F57" s="554"/>
      <c r="G57" s="554" t="str">
        <f>IFERROR(VLOOKUP(F57,ISCO_Prevodnik!$A$10:$B$21,2,0),"")</f>
        <v/>
      </c>
      <c r="H57" s="554"/>
      <c r="I57" s="554" t="str">
        <f>IFERROR(VLOOKUP(H57,ISCO_Prevodnik!$E$10:$F$31,2,0),"")</f>
        <v/>
      </c>
      <c r="J57" s="627"/>
      <c r="K57" s="483">
        <f t="shared" si="13"/>
        <v>0</v>
      </c>
      <c r="L57" s="491">
        <f t="shared" si="14"/>
        <v>0</v>
      </c>
      <c r="M57" s="485">
        <f t="shared" si="12"/>
        <v>0</v>
      </c>
    </row>
    <row r="58" spans="1:13" x14ac:dyDescent="0.2">
      <c r="A58" s="366"/>
      <c r="B58" s="366"/>
      <c r="C58" s="366"/>
      <c r="D58" s="366"/>
      <c r="E58" s="366"/>
      <c r="F58" s="554"/>
      <c r="G58" s="554" t="str">
        <f>IFERROR(VLOOKUP(F58,ISCO_Prevodnik!$A$10:$B$21,2,0),"")</f>
        <v/>
      </c>
      <c r="H58" s="554"/>
      <c r="I58" s="554" t="str">
        <f>IFERROR(VLOOKUP(H58,ISCO_Prevodnik!$E$10:$F$31,2,0),"")</f>
        <v/>
      </c>
      <c r="J58" s="627"/>
      <c r="K58" s="483">
        <f t="shared" si="13"/>
        <v>0</v>
      </c>
      <c r="L58" s="491">
        <f t="shared" si="14"/>
        <v>0</v>
      </c>
      <c r="M58" s="485">
        <f t="shared" si="12"/>
        <v>0</v>
      </c>
    </row>
    <row r="59" spans="1:13" x14ac:dyDescent="0.2">
      <c r="F59" s="554"/>
      <c r="G59" s="554" t="str">
        <f>IFERROR(VLOOKUP(F59,ISCO_Prevodnik!$A$10:$B$21,2,0),"")</f>
        <v/>
      </c>
      <c r="H59" s="554"/>
      <c r="I59" s="554" t="str">
        <f>IFERROR(VLOOKUP(H59,ISCO_Prevodnik!$E$10:$F$31,2,0),"")</f>
        <v/>
      </c>
      <c r="J59" s="627"/>
      <c r="K59" s="483">
        <f t="shared" si="13"/>
        <v>0</v>
      </c>
      <c r="L59" s="491">
        <f t="shared" si="14"/>
        <v>0</v>
      </c>
      <c r="M59" s="485">
        <f t="shared" ref="M59:M64" si="15">K59*L59</f>
        <v>0</v>
      </c>
    </row>
    <row r="60" spans="1:13" x14ac:dyDescent="0.2">
      <c r="F60" s="554"/>
      <c r="G60" s="554" t="str">
        <f>IFERROR(VLOOKUP(F60,ISCO_Prevodnik!$A$10:$B$21,2,0),"")</f>
        <v/>
      </c>
      <c r="H60" s="554"/>
      <c r="I60" s="554" t="str">
        <f>IFERROR(VLOOKUP(H60,ISCO_Prevodnik!$E$10:$F$31,2,0),"")</f>
        <v/>
      </c>
      <c r="J60" s="627"/>
      <c r="K60" s="483">
        <f t="shared" si="13"/>
        <v>0</v>
      </c>
      <c r="L60" s="491">
        <f t="shared" si="14"/>
        <v>0</v>
      </c>
      <c r="M60" s="485">
        <f t="shared" si="15"/>
        <v>0</v>
      </c>
    </row>
    <row r="61" spans="1:13" x14ac:dyDescent="0.2">
      <c r="F61" s="554"/>
      <c r="G61" s="554" t="str">
        <f>IFERROR(VLOOKUP(F61,ISCO_Prevodnik!$A$10:$B$21,2,0),"")</f>
        <v/>
      </c>
      <c r="H61" s="554"/>
      <c r="I61" s="554" t="str">
        <f>IFERROR(VLOOKUP(H61,ISCO_Prevodnik!$E$10:$F$31,2,0),"")</f>
        <v/>
      </c>
      <c r="J61" s="627"/>
      <c r="K61" s="483">
        <f t="shared" si="13"/>
        <v>0</v>
      </c>
      <c r="L61" s="491">
        <f t="shared" si="14"/>
        <v>0</v>
      </c>
      <c r="M61" s="485">
        <f t="shared" si="15"/>
        <v>0</v>
      </c>
    </row>
    <row r="62" spans="1:13" x14ac:dyDescent="0.2">
      <c r="F62" s="554"/>
      <c r="G62" s="554" t="str">
        <f>IFERROR(VLOOKUP(F62,ISCO_Prevodnik!$A$10:$B$21,2,0),"")</f>
        <v/>
      </c>
      <c r="H62" s="554"/>
      <c r="I62" s="554" t="str">
        <f>IFERROR(VLOOKUP(H62,ISCO_Prevodnik!$E$10:$F$31,2,0),"")</f>
        <v/>
      </c>
      <c r="J62" s="627"/>
      <c r="K62" s="483">
        <f t="shared" si="13"/>
        <v>0</v>
      </c>
      <c r="L62" s="491">
        <f t="shared" si="14"/>
        <v>0</v>
      </c>
      <c r="M62" s="485">
        <f t="shared" si="15"/>
        <v>0</v>
      </c>
    </row>
    <row r="63" spans="1:13" x14ac:dyDescent="0.2">
      <c r="F63" s="554"/>
      <c r="G63" s="554" t="str">
        <f>IFERROR(VLOOKUP(F63,ISCO_Prevodnik!$A$10:$B$21,2,0),"")</f>
        <v/>
      </c>
      <c r="H63" s="554"/>
      <c r="I63" s="554" t="str">
        <f>IFERROR(VLOOKUP(H63,ISCO_Prevodnik!$E$10:$F$31,2,0),"")</f>
        <v/>
      </c>
      <c r="J63" s="627"/>
      <c r="K63" s="483">
        <f t="shared" si="13"/>
        <v>0</v>
      </c>
      <c r="L63" s="491">
        <f t="shared" si="14"/>
        <v>0</v>
      </c>
      <c r="M63" s="485">
        <f t="shared" si="15"/>
        <v>0</v>
      </c>
    </row>
    <row r="64" spans="1:13" x14ac:dyDescent="0.2">
      <c r="F64" s="554"/>
      <c r="G64" s="554" t="str">
        <f>IFERROR(VLOOKUP(F64,ISCO_Prevodnik!$A$10:$B$21,2,0),"")</f>
        <v/>
      </c>
      <c r="H64" s="554"/>
      <c r="I64" s="554" t="str">
        <f>IFERROR(VLOOKUP(H64,ISCO_Prevodnik!$E$10:$F$31,2,0),"")</f>
        <v/>
      </c>
      <c r="J64" s="627"/>
      <c r="K64" s="483">
        <f t="shared" si="13"/>
        <v>0</v>
      </c>
      <c r="L64" s="491">
        <f t="shared" si="14"/>
        <v>0</v>
      </c>
      <c r="M64" s="485">
        <f t="shared" si="15"/>
        <v>0</v>
      </c>
    </row>
  </sheetData>
  <mergeCells count="2">
    <mergeCell ref="F1:J1"/>
    <mergeCell ref="F2:J2"/>
  </mergeCells>
  <phoneticPr fontId="58" type="noConversion"/>
  <conditionalFormatting sqref="B4:C4 B16:C16 B28:C28">
    <cfRule type="expression" dxfId="13" priority="15">
      <formula>SUM($B$4,$B$16,$B$28)&lt;&gt;1</formula>
    </cfRule>
  </conditionalFormatting>
  <conditionalFormatting sqref="J4:J15">
    <cfRule type="expression" dxfId="12" priority="18">
      <formula>SUM($J$4:$J$15)&lt;&gt;1</formula>
    </cfRule>
  </conditionalFormatting>
  <conditionalFormatting sqref="J16:J27">
    <cfRule type="expression" dxfId="11" priority="13">
      <formula>SUM($J$16:$J$27)&lt;&gt;1</formula>
    </cfRule>
  </conditionalFormatting>
  <conditionalFormatting sqref="J28:J39">
    <cfRule type="expression" dxfId="10" priority="11">
      <formula>SUM($J$28:$J$39)&lt;&gt;1</formula>
    </cfRule>
  </conditionalFormatting>
  <conditionalFormatting sqref="R4:R21">
    <cfRule type="expression" dxfId="9" priority="14">
      <formula>AND(ISNUMBER(S4),R4&gt;S4)</formula>
    </cfRule>
  </conditionalFormatting>
  <conditionalFormatting sqref="R16:R27">
    <cfRule type="expression" dxfId="8" priority="2">
      <formula>AND(ISNUMBER(S16),R16&gt;S16*1.2)</formula>
    </cfRule>
    <cfRule type="cellIs" dxfId="7" priority="39" operator="greaterThan">
      <formula>#REF!</formula>
    </cfRule>
  </conditionalFormatting>
  <conditionalFormatting sqref="W4:W27">
    <cfRule type="containsText" dxfId="6" priority="3" operator="containsText" text="OK">
      <formula>NOT(ISERROR(SEARCH("OK",W4)))</formula>
    </cfRule>
    <cfRule type="containsText" dxfId="5" priority="4" operator="containsText" text="NAD">
      <formula>NOT(ISERROR(SEARCH("NAD",W4)))</formula>
    </cfRule>
  </conditionalFormatting>
  <dataValidations disablePrompts="1" count="8">
    <dataValidation type="decimal" allowBlank="1" showInputMessage="1" showErrorMessage="1" sqref="B4:C4 C16 C28" xr:uid="{00000000-0002-0000-0F00-000000000000}">
      <formula1>0.1</formula1>
      <formula2>0.35</formula2>
    </dataValidation>
    <dataValidation type="decimal" allowBlank="1" showInputMessage="1" showErrorMessage="1" sqref="B16" xr:uid="{00000000-0002-0000-0F00-000001000000}">
      <formula1>0.3</formula1>
      <formula2>0.8</formula2>
    </dataValidation>
    <dataValidation type="decimal" allowBlank="1" showInputMessage="1" showErrorMessage="1" sqref="B22:C22" xr:uid="{00000000-0002-0000-0F00-000002000000}">
      <formula1>0.1</formula1>
      <formula2>0.25</formula2>
    </dataValidation>
    <dataValidation type="decimal" allowBlank="1" showInputMessage="1" showErrorMessage="1" sqref="B28" xr:uid="{00000000-0002-0000-0F00-000003000000}">
      <formula1>0.15</formula1>
      <formula2>0.3</formula2>
    </dataValidation>
    <dataValidation type="list" allowBlank="1" showInputMessage="1" showErrorMessage="1" sqref="F4:F39" xr:uid="{00000000-0002-0000-0F00-000004000000}">
      <formula1>Pozicia</formula1>
    </dataValidation>
    <dataValidation operator="lessThanOrEqual" allowBlank="1" showInputMessage="1" showErrorMessage="1" sqref="S4:S15" xr:uid="{00000000-0002-0000-0F00-000005000000}"/>
    <dataValidation type="list" allowBlank="1" showInputMessage="1" showErrorMessage="1" sqref="F41:F64" xr:uid="{00000000-0002-0000-0F00-000006000000}">
      <formula1>PozicieKomplet</formula1>
    </dataValidation>
    <dataValidation type="list" allowBlank="1" showInputMessage="1" showErrorMessage="1" sqref="H4:H39 H41:H64" xr:uid="{00000000-0002-0000-0F00-000007000000}">
      <formula1>INDIRECT($G4)</formula1>
    </dataValidation>
  </dataValidation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30">
    <tabColor rgb="FF00B050"/>
  </sheetPr>
  <dimension ref="A1:W85"/>
  <sheetViews>
    <sheetView zoomScaleNormal="100" workbookViewId="0">
      <pane ySplit="3" topLeftCell="A4" activePane="bottomLeft" state="frozen"/>
      <selection activeCell="J3" sqref="J3:J11"/>
      <selection pane="bottomLeft" activeCell="G2" sqref="G2"/>
    </sheetView>
  </sheetViews>
  <sheetFormatPr baseColWidth="10" defaultColWidth="8.83203125" defaultRowHeight="15" x14ac:dyDescent="0.2"/>
  <cols>
    <col min="1" max="1" width="31.5" style="364" customWidth="1"/>
    <col min="2" max="2" width="11.33203125" style="364" customWidth="1"/>
    <col min="3" max="3" width="10.6640625" style="364" customWidth="1"/>
    <col min="4" max="4" width="14.83203125" style="364" customWidth="1"/>
    <col min="5" max="5" width="34.6640625" style="364" bestFit="1" customWidth="1"/>
    <col min="6" max="6" width="12" style="364" customWidth="1"/>
    <col min="7" max="7" width="15.33203125" style="364" bestFit="1" customWidth="1"/>
    <col min="8" max="8" width="10" style="364" customWidth="1"/>
    <col min="9" max="9" width="18.5" style="364" bestFit="1" customWidth="1"/>
    <col min="10" max="10" width="12.6640625" style="364" customWidth="1"/>
    <col min="11" max="11" width="9.33203125" style="364" bestFit="1" customWidth="1"/>
    <col min="12" max="12" width="8.83203125" style="364"/>
    <col min="13" max="13" width="43.1640625" style="364" customWidth="1"/>
    <col min="14" max="14" width="11.33203125" style="364" customWidth="1"/>
    <col min="15" max="15" width="11.83203125" style="364" customWidth="1"/>
    <col min="16" max="16" width="13.5" style="364" customWidth="1"/>
    <col min="17" max="17" width="14.1640625" style="364" customWidth="1"/>
    <col min="18" max="18" width="13.83203125" style="364" customWidth="1"/>
    <col min="19" max="22" width="13.5" style="364" customWidth="1"/>
    <col min="23" max="23" width="20.1640625" style="364" customWidth="1"/>
    <col min="24" max="16384" width="8.83203125" style="364"/>
  </cols>
  <sheetData>
    <row r="1" spans="1:23" ht="32" x14ac:dyDescent="0.2">
      <c r="B1" s="504"/>
      <c r="C1" s="504"/>
      <c r="E1" s="1367" t="s">
        <v>718</v>
      </c>
      <c r="F1" s="1367"/>
      <c r="G1" s="629">
        <f>IFERROR(I1/EXTERNE_POZICIE!M1/1.2,0)</f>
        <v>2.1098383371496432</v>
      </c>
      <c r="I1" s="776">
        <f>SUM(I4:I60)</f>
        <v>2673571.9500000002</v>
      </c>
      <c r="P1" s="638" t="s">
        <v>525</v>
      </c>
      <c r="Q1" s="640">
        <v>0.36199999999999999</v>
      </c>
      <c r="R1" s="602"/>
    </row>
    <row r="2" spans="1:23" ht="16" x14ac:dyDescent="0.2">
      <c r="B2" s="504"/>
      <c r="C2" s="504"/>
      <c r="E2" s="1368" t="s">
        <v>523</v>
      </c>
      <c r="F2" s="1368"/>
      <c r="G2" s="441">
        <f>SUM(G4:G84)</f>
        <v>11741.875</v>
      </c>
      <c r="I2" s="443">
        <f>SUM(I4:I84)</f>
        <v>4538054.888030665</v>
      </c>
      <c r="K2" s="737"/>
      <c r="P2" s="639" t="s">
        <v>717</v>
      </c>
      <c r="Q2" s="641">
        <v>0</v>
      </c>
      <c r="R2" s="602"/>
    </row>
    <row r="3" spans="1:23" s="480" customFormat="1" ht="48" x14ac:dyDescent="0.2">
      <c r="A3" s="478" t="s">
        <v>765</v>
      </c>
      <c r="B3" s="479" t="s">
        <v>767</v>
      </c>
      <c r="C3" s="479" t="s">
        <v>264</v>
      </c>
      <c r="D3" s="479" t="s">
        <v>414</v>
      </c>
      <c r="E3" s="479" t="s">
        <v>397</v>
      </c>
      <c r="F3" s="479" t="s">
        <v>766</v>
      </c>
      <c r="G3" s="479" t="s">
        <v>264</v>
      </c>
      <c r="H3" s="479" t="s">
        <v>526</v>
      </c>
      <c r="I3" s="479" t="s">
        <v>719</v>
      </c>
      <c r="M3" s="502" t="s">
        <v>746</v>
      </c>
      <c r="N3" s="502" t="s">
        <v>768</v>
      </c>
      <c r="O3" s="477" t="s">
        <v>421</v>
      </c>
      <c r="P3" s="477" t="s">
        <v>524</v>
      </c>
      <c r="Q3" s="477" t="s">
        <v>529</v>
      </c>
      <c r="R3" s="477" t="s">
        <v>527</v>
      </c>
      <c r="S3" s="501" t="s">
        <v>424</v>
      </c>
      <c r="T3" s="477" t="s">
        <v>431</v>
      </c>
      <c r="U3" s="501" t="s">
        <v>528</v>
      </c>
      <c r="V3" s="501" t="s">
        <v>416</v>
      </c>
      <c r="W3" s="477" t="s">
        <v>410</v>
      </c>
    </row>
    <row r="4" spans="1:23" x14ac:dyDescent="0.2">
      <c r="A4" s="369" t="s">
        <v>261</v>
      </c>
      <c r="B4" s="558">
        <v>16</v>
      </c>
      <c r="C4" s="483">
        <f>SUM(G4:G22)</f>
        <v>3823.9583333333335</v>
      </c>
      <c r="D4" s="484">
        <f>IFERROR(SUM(I4:I22)/C4,0)</f>
        <v>226.64332988286563</v>
      </c>
      <c r="E4" s="554" t="s">
        <v>899</v>
      </c>
      <c r="F4" s="555">
        <f>L4/3/J4/5</f>
        <v>0.28466145833333334</v>
      </c>
      <c r="G4" s="483">
        <f>IFERROR(VLOOKUP(E4,$M$4:$O$27,3,0)*F4*$B$4*20,)</f>
        <v>455.45833333333337</v>
      </c>
      <c r="H4" s="491">
        <f>IFERROR(VLOOKUP(E4,$M$4:$R$27,6,0),0)*8</f>
        <v>272.39999999999998</v>
      </c>
      <c r="I4" s="485">
        <f>G4*H4</f>
        <v>124066.85</v>
      </c>
      <c r="J4" s="508">
        <v>320</v>
      </c>
      <c r="K4" s="738">
        <f>Rozpočet_FIN!O38+Rozpočet_FIN!P38+Rozpočet_FIN!Q38+Rozpočet_FIN!R38+Rozpočet_FIN!O40+Rozpočet_FIN!P40+Rozpočet_FIN!Q40+Rozpočet_FIN!R40+Rozpočet_FIN!O41+Rozpočet_FIN!P41+Rozpočet_FIN!Q41+Rozpočet_FIN!R41+Rozpočet_FIN!O42+Rozpočet_FIN!P42+Rozpočet_FIN!Q42+Rozpočet_FIN!R42+Rozpočet_FIN!O88+Rozpočet_FIN!P88+Rozpočet_FIN!Q88+Rozpočet_FIN!R88+Rozpočet_FIN!O89+Rozpočet_FIN!P89+Rozpočet_FIN!Q89+Rozpočet_FIN!R89+Rozpočet_FIN!O90+Rozpočet_FIN!P90+Rozpočet_FIN!Q90+Rozpočet_FIN!R90</f>
        <v>10931</v>
      </c>
      <c r="L4" s="364">
        <f t="shared" ref="L4:L60" si="0">K4/8</f>
        <v>1366.375</v>
      </c>
      <c r="M4" s="432" t="s">
        <v>899</v>
      </c>
      <c r="N4" s="432" t="s">
        <v>522</v>
      </c>
      <c r="O4" s="559">
        <v>5</v>
      </c>
      <c r="P4" s="600">
        <v>25</v>
      </c>
      <c r="Q4" s="603">
        <f>P4*(1+$Q$2)*$Q$1</f>
        <v>9.0499999999999989</v>
      </c>
      <c r="R4" s="603">
        <f>ROUND(P4+Q4+$Q$2*P4,4)</f>
        <v>34.049999999999997</v>
      </c>
      <c r="S4" s="432">
        <f t="shared" ref="S4:S27" si="1">SUMIF($E$4:$E$84,M4,$G$4:$G$84)*8</f>
        <v>10931</v>
      </c>
      <c r="T4" s="507">
        <f t="shared" ref="T4:T27" si="2">SUMIF($E$4:$E$84,M4,$I$4:$I$84)</f>
        <v>372200.55000000005</v>
      </c>
      <c r="U4" s="503">
        <f>IF(N4="hlavná",25,15)</f>
        <v>25</v>
      </c>
      <c r="V4" s="433">
        <f>IFERROR(S4/SUM($S$4:$S$27),)</f>
        <v>0.11636770106988875</v>
      </c>
      <c r="W4" s="434"/>
    </row>
    <row r="5" spans="1:23" x14ac:dyDescent="0.2">
      <c r="A5" s="366"/>
      <c r="B5" s="366"/>
      <c r="C5" s="366"/>
      <c r="D5" s="366"/>
      <c r="E5" s="554" t="s">
        <v>903</v>
      </c>
      <c r="F5" s="555">
        <f>L5/3/J5/2</f>
        <v>0.49895833333333328</v>
      </c>
      <c r="G5" s="483">
        <f t="shared" ref="G5:G22" si="3">IFERROR(VLOOKUP(E5,$M$4:$O$27,3,0)*F5*$B$4*20,)</f>
        <v>319.33333333333331</v>
      </c>
      <c r="H5" s="491">
        <f t="shared" ref="H5:H83" si="4">IFERROR(VLOOKUP(E5,$M$4:$R$27,6,0),0)*8</f>
        <v>272.39999999999998</v>
      </c>
      <c r="I5" s="485">
        <f>G5*H5</f>
        <v>86986.4</v>
      </c>
      <c r="J5" s="508">
        <v>320</v>
      </c>
      <c r="K5" s="738">
        <f>Rozpočet_FIN!O39+Rozpočet_FIN!P39+Rozpočet_FIN!Q39+Rozpočet_FIN!R39</f>
        <v>7664</v>
      </c>
      <c r="L5" s="364">
        <f t="shared" si="0"/>
        <v>958</v>
      </c>
      <c r="M5" s="432" t="s">
        <v>903</v>
      </c>
      <c r="N5" s="432" t="s">
        <v>522</v>
      </c>
      <c r="O5" s="559">
        <v>2</v>
      </c>
      <c r="P5" s="601">
        <v>25</v>
      </c>
      <c r="Q5" s="603">
        <f t="shared" ref="Q5:Q27" si="5">P5*(1+$Q$2)*$Q$1</f>
        <v>9.0499999999999989</v>
      </c>
      <c r="R5" s="603">
        <f t="shared" ref="R5:R23" si="6">ROUND(P5+Q5+$Q$2*P5,4)</f>
        <v>34.049999999999997</v>
      </c>
      <c r="S5" s="432">
        <f t="shared" si="1"/>
        <v>7664</v>
      </c>
      <c r="T5" s="507">
        <f t="shared" si="2"/>
        <v>260959.19999999998</v>
      </c>
      <c r="U5" s="503">
        <f t="shared" ref="U5:U25" si="7">IF(N5="hlavná",25,15)</f>
        <v>25</v>
      </c>
      <c r="V5" s="433">
        <f t="shared" ref="V5:V27" si="8">IFERROR(S5/SUM($S$4:$S$27),)</f>
        <v>8.1588332357481239E-2</v>
      </c>
      <c r="W5" s="434"/>
    </row>
    <row r="6" spans="1:23" x14ac:dyDescent="0.2">
      <c r="A6" s="366"/>
      <c r="B6" s="366"/>
      <c r="C6" s="366"/>
      <c r="D6" s="366"/>
      <c r="E6" s="554" t="s">
        <v>873</v>
      </c>
      <c r="F6" s="555">
        <f>L6/3/J6/2</f>
        <v>0.51002604166666665</v>
      </c>
      <c r="G6" s="483">
        <f t="shared" si="3"/>
        <v>326.41666666666663</v>
      </c>
      <c r="H6" s="491">
        <f t="shared" si="4"/>
        <v>239.71199999999999</v>
      </c>
      <c r="I6" s="485">
        <f t="shared" ref="I6:I58" si="9">G6*H6</f>
        <v>78245.991999999984</v>
      </c>
      <c r="J6" s="508">
        <v>320</v>
      </c>
      <c r="K6" s="738">
        <f>Rozpočet_FIN!O31+Rozpočet_FIN!P31+Rozpočet_FIN!Q31+Rozpočet_FIN!R31+Rozpočet_FIN!O33+Rozpočet_FIN!P33+Rozpočet_FIN!Q33+Rozpočet_FIN!R33</f>
        <v>7834</v>
      </c>
      <c r="L6" s="364">
        <f t="shared" si="0"/>
        <v>979.25</v>
      </c>
      <c r="M6" s="432" t="s">
        <v>873</v>
      </c>
      <c r="N6" s="432" t="s">
        <v>522</v>
      </c>
      <c r="O6" s="559">
        <v>2</v>
      </c>
      <c r="P6" s="601">
        <v>22</v>
      </c>
      <c r="Q6" s="603">
        <f t="shared" si="5"/>
        <v>7.9639999999999995</v>
      </c>
      <c r="R6" s="603">
        <f t="shared" si="6"/>
        <v>29.963999999999999</v>
      </c>
      <c r="S6" s="432">
        <f t="shared" si="1"/>
        <v>7833.9999999999991</v>
      </c>
      <c r="T6" s="507">
        <f t="shared" si="2"/>
        <v>234737.97599999997</v>
      </c>
      <c r="U6" s="503">
        <f t="shared" si="7"/>
        <v>25</v>
      </c>
      <c r="V6" s="433">
        <f t="shared" si="8"/>
        <v>8.3398094426997388E-2</v>
      </c>
      <c r="W6" s="434"/>
    </row>
    <row r="7" spans="1:23" x14ac:dyDescent="0.2">
      <c r="A7" s="366"/>
      <c r="B7" s="366"/>
      <c r="C7" s="366"/>
      <c r="D7" s="366"/>
      <c r="E7" s="554" t="s">
        <v>877</v>
      </c>
      <c r="F7" s="555">
        <f>L7/3/J7</f>
        <v>0.27161458333333333</v>
      </c>
      <c r="G7" s="483">
        <f t="shared" si="3"/>
        <v>86.916666666666657</v>
      </c>
      <c r="H7" s="491">
        <f t="shared" si="4"/>
        <v>261.50400000000002</v>
      </c>
      <c r="I7" s="485">
        <f t="shared" si="9"/>
        <v>22729.056</v>
      </c>
      <c r="J7" s="508">
        <v>320</v>
      </c>
      <c r="K7" s="738">
        <f>Rozpočet_FIN!O32+Rozpočet_FIN!P32+Rozpočet_FIN!Q32+Rozpočet_FIN!R32</f>
        <v>2086</v>
      </c>
      <c r="L7" s="364">
        <f t="shared" si="0"/>
        <v>260.75</v>
      </c>
      <c r="M7" s="432" t="s">
        <v>877</v>
      </c>
      <c r="N7" s="432" t="s">
        <v>522</v>
      </c>
      <c r="O7" s="559">
        <v>1</v>
      </c>
      <c r="P7" s="601">
        <v>24</v>
      </c>
      <c r="Q7" s="603">
        <f t="shared" si="5"/>
        <v>8.6879999999999988</v>
      </c>
      <c r="R7" s="603">
        <f t="shared" si="6"/>
        <v>32.688000000000002</v>
      </c>
      <c r="S7" s="432">
        <f t="shared" si="1"/>
        <v>2086</v>
      </c>
      <c r="T7" s="507">
        <f t="shared" si="2"/>
        <v>68187.168000000005</v>
      </c>
      <c r="U7" s="503">
        <f t="shared" si="7"/>
        <v>25</v>
      </c>
      <c r="V7" s="433">
        <f t="shared" si="8"/>
        <v>2.2206845158886462E-2</v>
      </c>
      <c r="W7" s="434"/>
    </row>
    <row r="8" spans="1:23" x14ac:dyDescent="0.2">
      <c r="A8" s="366"/>
      <c r="B8" s="366"/>
      <c r="C8" s="366"/>
      <c r="D8" s="366"/>
      <c r="E8" s="554" t="s">
        <v>862</v>
      </c>
      <c r="F8" s="555">
        <f>L8/3/J8/3</f>
        <v>0.72430555555555554</v>
      </c>
      <c r="G8" s="483">
        <f t="shared" ref="G8:G16" si="10">IFERROR(VLOOKUP(E8,$M$4:$O$27,3,0)*F8*$B$4*20,)</f>
        <v>695.33333333333326</v>
      </c>
      <c r="H8" s="491">
        <f t="shared" ref="H8:H16" si="11">IFERROR(VLOOKUP(E8,$M$4:$R$27,6,0),0)*8</f>
        <v>130.75200000000001</v>
      </c>
      <c r="I8" s="485">
        <f t="shared" ref="I8:I16" si="12">G8*H8</f>
        <v>90916.224000000002</v>
      </c>
      <c r="J8" s="508">
        <v>320</v>
      </c>
      <c r="K8" s="738">
        <f>Rozpočet_FIN!O29+Rozpočet_FIN!P29+Rozpočet_FIN!Q29+Rozpočet_FIN!R29+Rozpočet_FIN!O30+Rozpočet_FIN!P30+Rozpočet_FIN!Q30+Rozpočet_FIN!R30</f>
        <v>16688</v>
      </c>
      <c r="L8" s="364">
        <f t="shared" si="0"/>
        <v>2086</v>
      </c>
      <c r="M8" s="432" t="s">
        <v>862</v>
      </c>
      <c r="N8" s="432" t="s">
        <v>522</v>
      </c>
      <c r="O8" s="559">
        <v>3</v>
      </c>
      <c r="P8" s="601">
        <v>12</v>
      </c>
      <c r="Q8" s="603">
        <f t="shared" si="5"/>
        <v>4.3439999999999994</v>
      </c>
      <c r="R8" s="603">
        <f t="shared" si="6"/>
        <v>16.344000000000001</v>
      </c>
      <c r="S8" s="432">
        <f t="shared" si="1"/>
        <v>16688</v>
      </c>
      <c r="T8" s="507">
        <f t="shared" si="2"/>
        <v>272748.67200000002</v>
      </c>
      <c r="U8" s="503">
        <f t="shared" si="7"/>
        <v>25</v>
      </c>
      <c r="V8" s="433">
        <f t="shared" si="8"/>
        <v>0.1776547612710917</v>
      </c>
      <c r="W8" s="434"/>
    </row>
    <row r="9" spans="1:23" x14ac:dyDescent="0.2">
      <c r="A9" s="366"/>
      <c r="B9" s="366"/>
      <c r="C9" s="366"/>
      <c r="D9" s="366"/>
      <c r="E9" s="554" t="s">
        <v>1057</v>
      </c>
      <c r="F9" s="555">
        <f>L9/3/J9/2</f>
        <v>0</v>
      </c>
      <c r="G9" s="483">
        <f t="shared" si="10"/>
        <v>0</v>
      </c>
      <c r="H9" s="491">
        <f t="shared" si="11"/>
        <v>163.44</v>
      </c>
      <c r="I9" s="485">
        <f t="shared" si="12"/>
        <v>0</v>
      </c>
      <c r="J9" s="508">
        <v>320</v>
      </c>
      <c r="K9" s="738"/>
      <c r="L9" s="364">
        <f t="shared" si="0"/>
        <v>0</v>
      </c>
      <c r="M9" s="432" t="s">
        <v>1057</v>
      </c>
      <c r="N9" s="432" t="s">
        <v>522</v>
      </c>
      <c r="O9" s="559">
        <v>2</v>
      </c>
      <c r="P9" s="601">
        <v>15</v>
      </c>
      <c r="Q9" s="603">
        <f t="shared" si="5"/>
        <v>5.43</v>
      </c>
      <c r="R9" s="603">
        <f t="shared" si="6"/>
        <v>20.43</v>
      </c>
      <c r="S9" s="432">
        <f t="shared" si="1"/>
        <v>0</v>
      </c>
      <c r="T9" s="507">
        <f t="shared" si="2"/>
        <v>0</v>
      </c>
      <c r="U9" s="503">
        <f t="shared" si="7"/>
        <v>25</v>
      </c>
      <c r="V9" s="433">
        <f t="shared" si="8"/>
        <v>0</v>
      </c>
      <c r="W9" s="434"/>
    </row>
    <row r="10" spans="1:23" x14ac:dyDescent="0.2">
      <c r="A10" s="366"/>
      <c r="B10" s="366"/>
      <c r="C10" s="366"/>
      <c r="D10" s="366"/>
      <c r="E10" s="554" t="s">
        <v>1059</v>
      </c>
      <c r="F10" s="555">
        <f>L10/3/J10/2</f>
        <v>0</v>
      </c>
      <c r="G10" s="483">
        <f t="shared" si="10"/>
        <v>0</v>
      </c>
      <c r="H10" s="491">
        <f t="shared" si="11"/>
        <v>163.44</v>
      </c>
      <c r="I10" s="485">
        <f t="shared" si="12"/>
        <v>0</v>
      </c>
      <c r="J10" s="508">
        <v>320</v>
      </c>
      <c r="K10" s="738"/>
      <c r="L10" s="364">
        <f t="shared" si="0"/>
        <v>0</v>
      </c>
      <c r="M10" s="432" t="s">
        <v>1059</v>
      </c>
      <c r="N10" s="432" t="s">
        <v>522</v>
      </c>
      <c r="O10" s="559">
        <v>2</v>
      </c>
      <c r="P10" s="601">
        <v>15</v>
      </c>
      <c r="Q10" s="603">
        <f t="shared" si="5"/>
        <v>5.43</v>
      </c>
      <c r="R10" s="603">
        <f t="shared" si="6"/>
        <v>20.43</v>
      </c>
      <c r="S10" s="432">
        <f t="shared" si="1"/>
        <v>0</v>
      </c>
      <c r="T10" s="507">
        <f t="shared" si="2"/>
        <v>0</v>
      </c>
      <c r="U10" s="503">
        <f t="shared" si="7"/>
        <v>25</v>
      </c>
      <c r="V10" s="433">
        <f t="shared" si="8"/>
        <v>0</v>
      </c>
      <c r="W10" s="434"/>
    </row>
    <row r="11" spans="1:23" x14ac:dyDescent="0.2">
      <c r="A11" s="366"/>
      <c r="B11" s="366"/>
      <c r="C11" s="366"/>
      <c r="D11" s="366"/>
      <c r="E11" s="554" t="s">
        <v>917</v>
      </c>
      <c r="F11" s="555">
        <f>L11/3/J11/13</f>
        <v>0.17828525641025639</v>
      </c>
      <c r="G11" s="483">
        <f t="shared" si="10"/>
        <v>741.66666666666652</v>
      </c>
      <c r="H11" s="491">
        <f t="shared" si="11"/>
        <v>272.39999999999998</v>
      </c>
      <c r="I11" s="485">
        <f t="shared" si="12"/>
        <v>202029.99999999994</v>
      </c>
      <c r="J11" s="508">
        <v>320</v>
      </c>
      <c r="K11" s="738">
        <f>Rozpočet_FIN!O45+Rozpočet_FIN!P45+Rozpočet_FIN!Q45+Rozpočet_FIN!R45+Rozpočet_FIN!O46+Rozpočet_FIN!P46+Rozpočet_FIN!Q46+Rozpočet_FIN!R46+Rozpočet_FIN!O47+Rozpočet_FIN!P47+Rozpočet_FIN!Q47+Rozpočet_FIN!R47+Rozpočet_FIN!O49+Rozpočet_FIN!P49+Rozpočet_FIN!Q49+Rozpočet_FIN!R49+Rozpočet_FIN!O51+Rozpočet_FIN!P51+Rozpočet_FIN!Q51+Rozpočet_FIN!R51+Rozpočet_FIN!O52+Rozpočet_FIN!P52+Rozpočet_FIN!Q52+Rozpočet_FIN!R52+Rozpočet_FIN!O54+Rozpočet_FIN!P54+Rozpočet_FIN!Q54+Rozpočet_FIN!R54+Rozpočet_FIN!O55+Rozpočet_FIN!P55+Rozpočet_FIN!Q55+Rozpočet_FIN!R55+Rozpočet_FIN!O56+Rozpočet_FIN!P56+Rozpočet_FIN!Q56+Rozpočet_FIN!R56+Rozpočet_FIN!O57+Rozpočet_FIN!P57+Rozpočet_FIN!Q57+Rozpočet_FIN!R57+Rozpočet_FIN!O58+Rozpočet_FIN!P58+Rozpočet_FIN!Q58+Rozpočet_FIN!R58+Rozpočet_FIN!O59+Rozpočet_FIN!P59+Rozpočet_FIN!Q59+Rozpočet_FIN!R59+Rozpočet_FIN!O72+Rozpočet_FIN!P72</f>
        <v>17800</v>
      </c>
      <c r="L11" s="364">
        <f t="shared" si="0"/>
        <v>2225</v>
      </c>
      <c r="M11" s="432" t="s">
        <v>917</v>
      </c>
      <c r="N11" s="432" t="s">
        <v>522</v>
      </c>
      <c r="O11" s="559">
        <v>13</v>
      </c>
      <c r="P11" s="601">
        <v>25</v>
      </c>
      <c r="Q11" s="603">
        <f t="shared" si="5"/>
        <v>9.0499999999999989</v>
      </c>
      <c r="R11" s="603">
        <f t="shared" si="6"/>
        <v>34.049999999999997</v>
      </c>
      <c r="S11" s="432">
        <f t="shared" si="1"/>
        <v>17799.999999999996</v>
      </c>
      <c r="T11" s="507">
        <f t="shared" si="2"/>
        <v>606089.99999999977</v>
      </c>
      <c r="U11" s="503">
        <f t="shared" si="7"/>
        <v>25</v>
      </c>
      <c r="V11" s="433">
        <f t="shared" si="8"/>
        <v>0.18949273433757383</v>
      </c>
      <c r="W11" s="434"/>
    </row>
    <row r="12" spans="1:23" x14ac:dyDescent="0.2">
      <c r="A12" s="366"/>
      <c r="B12" s="366"/>
      <c r="C12" s="366"/>
      <c r="D12" s="366"/>
      <c r="E12" s="554" t="s">
        <v>922</v>
      </c>
      <c r="F12" s="555">
        <f>L12/3/J12/2</f>
        <v>0.49895833333333328</v>
      </c>
      <c r="G12" s="483">
        <f t="shared" si="10"/>
        <v>319.33333333333331</v>
      </c>
      <c r="H12" s="491">
        <f t="shared" si="11"/>
        <v>196.12799999999999</v>
      </c>
      <c r="I12" s="485">
        <f t="shared" si="12"/>
        <v>62630.207999999991</v>
      </c>
      <c r="J12" s="508">
        <v>320</v>
      </c>
      <c r="K12" s="738">
        <f>Rozpočet_FIN!O48+Rozpočet_FIN!P48+Rozpočet_FIN!Q48+Rozpočet_FIN!R48</f>
        <v>7664</v>
      </c>
      <c r="L12" s="364">
        <f t="shared" si="0"/>
        <v>958</v>
      </c>
      <c r="M12" s="432" t="s">
        <v>922</v>
      </c>
      <c r="N12" s="432" t="s">
        <v>522</v>
      </c>
      <c r="O12" s="559">
        <v>2</v>
      </c>
      <c r="P12" s="601">
        <v>18</v>
      </c>
      <c r="Q12" s="603">
        <f t="shared" si="5"/>
        <v>6.516</v>
      </c>
      <c r="R12" s="603">
        <f t="shared" si="6"/>
        <v>24.515999999999998</v>
      </c>
      <c r="S12" s="432">
        <f t="shared" si="1"/>
        <v>7664</v>
      </c>
      <c r="T12" s="507">
        <f t="shared" si="2"/>
        <v>187890.62399999998</v>
      </c>
      <c r="U12" s="503">
        <f t="shared" si="7"/>
        <v>25</v>
      </c>
      <c r="V12" s="433">
        <f t="shared" si="8"/>
        <v>8.1588332357481239E-2</v>
      </c>
      <c r="W12" s="434"/>
    </row>
    <row r="13" spans="1:23" x14ac:dyDescent="0.2">
      <c r="A13" s="366"/>
      <c r="B13" s="366"/>
      <c r="C13" s="366"/>
      <c r="D13" s="366"/>
      <c r="E13" s="554" t="s">
        <v>912</v>
      </c>
      <c r="F13" s="555">
        <f>L13/3/J13/2</f>
        <v>0.12473958333333332</v>
      </c>
      <c r="G13" s="483">
        <f t="shared" si="10"/>
        <v>79.833333333333329</v>
      </c>
      <c r="H13" s="491">
        <f t="shared" si="11"/>
        <v>217.92</v>
      </c>
      <c r="I13" s="485">
        <f t="shared" si="12"/>
        <v>17397.28</v>
      </c>
      <c r="J13" s="508">
        <v>320</v>
      </c>
      <c r="K13" s="738">
        <f>Rozpočet_FIN!O43+Rozpočet_FIN!P43+Rozpočet_FIN!Q43+Rozpočet_FIN!R43+Rozpočet_FIN!O44+Rozpočet_FIN!P44+Rozpočet_FIN!Q44+Rozpočet_FIN!R44</f>
        <v>1916</v>
      </c>
      <c r="L13" s="364">
        <f t="shared" si="0"/>
        <v>239.5</v>
      </c>
      <c r="M13" s="432" t="s">
        <v>912</v>
      </c>
      <c r="N13" s="432" t="s">
        <v>522</v>
      </c>
      <c r="O13" s="559">
        <v>2</v>
      </c>
      <c r="P13" s="601">
        <v>20</v>
      </c>
      <c r="Q13" s="603">
        <f t="shared" si="5"/>
        <v>7.24</v>
      </c>
      <c r="R13" s="603">
        <f t="shared" si="6"/>
        <v>27.24</v>
      </c>
      <c r="S13" s="432">
        <f t="shared" si="1"/>
        <v>1916</v>
      </c>
      <c r="T13" s="507">
        <f t="shared" si="2"/>
        <v>52191.839999999997</v>
      </c>
      <c r="U13" s="503">
        <f t="shared" si="7"/>
        <v>25</v>
      </c>
      <c r="V13" s="433">
        <f t="shared" si="8"/>
        <v>2.039708308937031E-2</v>
      </c>
      <c r="W13" s="434"/>
    </row>
    <row r="14" spans="1:23" x14ac:dyDescent="0.2">
      <c r="A14" s="366"/>
      <c r="B14" s="366"/>
      <c r="C14" s="366"/>
      <c r="D14" s="366"/>
      <c r="E14" s="554" t="s">
        <v>927</v>
      </c>
      <c r="F14" s="555">
        <f>L14/3/J14/2</f>
        <v>0.18229166666666669</v>
      </c>
      <c r="G14" s="483">
        <f t="shared" si="10"/>
        <v>116.66666666666669</v>
      </c>
      <c r="H14" s="491">
        <f t="shared" si="11"/>
        <v>272.39999999999998</v>
      </c>
      <c r="I14" s="485">
        <f t="shared" si="12"/>
        <v>31780.000000000004</v>
      </c>
      <c r="J14" s="508">
        <v>320</v>
      </c>
      <c r="K14" s="738">
        <f>Rozpočet_FIN!O50+Rozpočet_FIN!P50+Rozpočet_FIN!Q50+Rozpočet_FIN!R50+Rozpočet_FIN!O53+Rozpočet_FIN!P53+Rozpočet_FIN!Q53+Rozpočet_FIN!R53</f>
        <v>2800</v>
      </c>
      <c r="L14" s="364">
        <f t="shared" si="0"/>
        <v>350</v>
      </c>
      <c r="M14" s="432" t="s">
        <v>927</v>
      </c>
      <c r="N14" s="432" t="s">
        <v>522</v>
      </c>
      <c r="O14" s="559">
        <v>2</v>
      </c>
      <c r="P14" s="601">
        <v>25</v>
      </c>
      <c r="Q14" s="603">
        <f t="shared" si="5"/>
        <v>9.0499999999999989</v>
      </c>
      <c r="R14" s="603">
        <f t="shared" si="6"/>
        <v>34.049999999999997</v>
      </c>
      <c r="S14" s="432">
        <f t="shared" si="1"/>
        <v>2800.0000000000005</v>
      </c>
      <c r="T14" s="507">
        <f t="shared" si="2"/>
        <v>95340.000000000015</v>
      </c>
      <c r="U14" s="503">
        <f t="shared" si="7"/>
        <v>25</v>
      </c>
      <c r="V14" s="433">
        <f t="shared" si="8"/>
        <v>2.9807845850854321E-2</v>
      </c>
      <c r="W14" s="434"/>
    </row>
    <row r="15" spans="1:23" x14ac:dyDescent="0.2">
      <c r="A15" s="366"/>
      <c r="B15" s="366"/>
      <c r="C15" s="366"/>
      <c r="D15" s="366"/>
      <c r="E15" s="554" t="s">
        <v>938</v>
      </c>
      <c r="F15" s="555">
        <f>L15/3/J15/3</f>
        <v>0.18229166666666666</v>
      </c>
      <c r="G15" s="483">
        <f t="shared" si="10"/>
        <v>175</v>
      </c>
      <c r="H15" s="491">
        <f t="shared" si="11"/>
        <v>272.39999999999998</v>
      </c>
      <c r="I15" s="485">
        <f t="shared" si="12"/>
        <v>47669.999999999993</v>
      </c>
      <c r="J15" s="508">
        <v>320</v>
      </c>
      <c r="K15" s="738">
        <f>Rozpočet_FIN!O60+Rozpočet_FIN!P60+Rozpočet_FIN!Q60+Rozpočet_FIN!R60+Rozpočet_FIN!O61+Rozpočet_FIN!P61+Rozpočet_FIN!Q61+Rozpočet_FIN!R61+Rozpočet_FIN!O62+Rozpočet_FIN!P62+Rozpočet_FIN!Q62+Rozpočet_FIN!R62</f>
        <v>4200</v>
      </c>
      <c r="L15" s="364">
        <f t="shared" si="0"/>
        <v>525</v>
      </c>
      <c r="M15" s="432" t="s">
        <v>938</v>
      </c>
      <c r="N15" s="432" t="s">
        <v>522</v>
      </c>
      <c r="O15" s="559">
        <v>3</v>
      </c>
      <c r="P15" s="601">
        <v>25</v>
      </c>
      <c r="Q15" s="603">
        <f t="shared" si="5"/>
        <v>9.0499999999999989</v>
      </c>
      <c r="R15" s="603">
        <f t="shared" si="6"/>
        <v>34.049999999999997</v>
      </c>
      <c r="S15" s="432">
        <f t="shared" si="1"/>
        <v>4200</v>
      </c>
      <c r="T15" s="507">
        <f t="shared" si="2"/>
        <v>143009.99999999997</v>
      </c>
      <c r="U15" s="503">
        <f t="shared" si="7"/>
        <v>25</v>
      </c>
      <c r="V15" s="433">
        <f t="shared" si="8"/>
        <v>4.4711768776281469E-2</v>
      </c>
      <c r="W15" s="434"/>
    </row>
    <row r="16" spans="1:23" x14ac:dyDescent="0.2">
      <c r="A16" s="366"/>
      <c r="B16" s="366"/>
      <c r="C16" s="366"/>
      <c r="D16" s="366"/>
      <c r="E16" s="554" t="s">
        <v>1000</v>
      </c>
      <c r="F16" s="555">
        <f>L16/3/J16/2</f>
        <v>0.18229166666666669</v>
      </c>
      <c r="G16" s="483">
        <f t="shared" si="10"/>
        <v>116.66666666666669</v>
      </c>
      <c r="H16" s="491">
        <f t="shared" si="11"/>
        <v>217.92</v>
      </c>
      <c r="I16" s="485">
        <f t="shared" si="12"/>
        <v>25424.000000000004</v>
      </c>
      <c r="J16" s="508">
        <v>320</v>
      </c>
      <c r="K16" s="738">
        <f>Rozpočet_FIN!O78+Rozpočet_FIN!P78+Rozpočet_FIN!Q78+Rozpočet_FIN!R78+Rozpočet_FIN!O79+Rozpočet_FIN!P79+Rozpočet_FIN!Q79+Rozpočet_FIN!R79</f>
        <v>2800</v>
      </c>
      <c r="L16" s="364">
        <f t="shared" si="0"/>
        <v>350</v>
      </c>
      <c r="M16" s="432" t="s">
        <v>1000</v>
      </c>
      <c r="N16" s="432" t="s">
        <v>522</v>
      </c>
      <c r="O16" s="559">
        <v>2</v>
      </c>
      <c r="P16" s="601">
        <v>20</v>
      </c>
      <c r="Q16" s="603">
        <f t="shared" si="5"/>
        <v>7.24</v>
      </c>
      <c r="R16" s="603">
        <f t="shared" si="6"/>
        <v>27.24</v>
      </c>
      <c r="S16" s="432">
        <f t="shared" si="1"/>
        <v>2800.0000000000005</v>
      </c>
      <c r="T16" s="507">
        <f t="shared" si="2"/>
        <v>76272.000000000015</v>
      </c>
      <c r="U16" s="503">
        <f t="shared" si="7"/>
        <v>25</v>
      </c>
      <c r="V16" s="433">
        <f t="shared" si="8"/>
        <v>2.9807845850854321E-2</v>
      </c>
      <c r="W16" s="434"/>
    </row>
    <row r="17" spans="1:23" x14ac:dyDescent="0.2">
      <c r="A17" s="366"/>
      <c r="B17" s="366"/>
      <c r="C17" s="366"/>
      <c r="D17" s="366"/>
      <c r="E17" s="554" t="s">
        <v>1670</v>
      </c>
      <c r="F17" s="555">
        <v>0</v>
      </c>
      <c r="G17" s="483">
        <f t="shared" si="3"/>
        <v>0</v>
      </c>
      <c r="H17" s="491">
        <f t="shared" si="4"/>
        <v>272.39999999999998</v>
      </c>
      <c r="I17" s="485">
        <f t="shared" si="9"/>
        <v>0</v>
      </c>
      <c r="J17" s="508">
        <v>320</v>
      </c>
      <c r="K17" s="738">
        <f>Rozpočet_FIN!O81+Rozpočet_FIN!P81+Rozpočet_FIN!Q81+Rozpočet_FIN!R81</f>
        <v>1080</v>
      </c>
      <c r="L17" s="364">
        <f t="shared" si="0"/>
        <v>135</v>
      </c>
      <c r="M17" s="432" t="s">
        <v>1670</v>
      </c>
      <c r="N17" s="432" t="s">
        <v>522</v>
      </c>
      <c r="O17" s="559">
        <v>1</v>
      </c>
      <c r="P17" s="601">
        <v>25</v>
      </c>
      <c r="Q17" s="603">
        <f t="shared" si="5"/>
        <v>9.0499999999999989</v>
      </c>
      <c r="R17" s="603">
        <f t="shared" si="6"/>
        <v>34.049999999999997</v>
      </c>
      <c r="S17" s="432">
        <f t="shared" si="1"/>
        <v>1080</v>
      </c>
      <c r="T17" s="507">
        <f t="shared" si="2"/>
        <v>36774</v>
      </c>
      <c r="U17" s="503">
        <f t="shared" si="7"/>
        <v>25</v>
      </c>
      <c r="V17" s="433">
        <f t="shared" si="8"/>
        <v>1.1497311971043808E-2</v>
      </c>
      <c r="W17" s="434"/>
    </row>
    <row r="18" spans="1:23" x14ac:dyDescent="0.2">
      <c r="A18" s="366"/>
      <c r="B18" s="366"/>
      <c r="C18" s="366"/>
      <c r="D18" s="366"/>
      <c r="E18" s="554" t="s">
        <v>1671</v>
      </c>
      <c r="F18" s="555">
        <v>0</v>
      </c>
      <c r="G18" s="483">
        <f t="shared" si="3"/>
        <v>0</v>
      </c>
      <c r="H18" s="491">
        <f t="shared" si="4"/>
        <v>272.39999999999998</v>
      </c>
      <c r="I18" s="485">
        <f t="shared" ref="I18:I22" si="13">G18*H18</f>
        <v>0</v>
      </c>
      <c r="J18" s="508">
        <v>320</v>
      </c>
      <c r="K18" s="738">
        <f>Rozpočet_FIN!O82+Rozpočet_FIN!P82+Rozpočet_FIN!Q82+Rozpočet_FIN!R82</f>
        <v>1080</v>
      </c>
      <c r="L18" s="364">
        <f t="shared" si="0"/>
        <v>135</v>
      </c>
      <c r="M18" s="432" t="s">
        <v>1671</v>
      </c>
      <c r="N18" s="432" t="s">
        <v>522</v>
      </c>
      <c r="O18" s="559">
        <v>1</v>
      </c>
      <c r="P18" s="601">
        <v>25</v>
      </c>
      <c r="Q18" s="603">
        <f t="shared" si="5"/>
        <v>9.0499999999999989</v>
      </c>
      <c r="R18" s="603">
        <f t="shared" si="6"/>
        <v>34.049999999999997</v>
      </c>
      <c r="S18" s="432">
        <f t="shared" si="1"/>
        <v>1080</v>
      </c>
      <c r="T18" s="507">
        <f t="shared" si="2"/>
        <v>36774</v>
      </c>
      <c r="U18" s="503">
        <f t="shared" si="7"/>
        <v>25</v>
      </c>
      <c r="V18" s="433">
        <f t="shared" si="8"/>
        <v>1.1497311971043808E-2</v>
      </c>
      <c r="W18" s="434"/>
    </row>
    <row r="19" spans="1:23" x14ac:dyDescent="0.2">
      <c r="A19" s="366"/>
      <c r="B19" s="366"/>
      <c r="C19" s="366"/>
      <c r="D19" s="366"/>
      <c r="E19" s="554" t="s">
        <v>1672</v>
      </c>
      <c r="F19" s="555">
        <f>L19/3/J19/2</f>
        <v>0.27161458333333333</v>
      </c>
      <c r="G19" s="483">
        <f t="shared" si="3"/>
        <v>173.83333333333331</v>
      </c>
      <c r="H19" s="491">
        <f t="shared" si="4"/>
        <v>272.39999999999998</v>
      </c>
      <c r="I19" s="485">
        <f t="shared" si="13"/>
        <v>47352.19999999999</v>
      </c>
      <c r="J19" s="508">
        <v>320</v>
      </c>
      <c r="K19" s="738">
        <f>Rozpočet_FIN!O36+Rozpočet_FIN!P36+Rozpočet_FIN!Q36+Rozpočet_FIN!R36+Rozpočet_FIN!O37+Rozpočet_FIN!P37+Rozpočet_FIN!Q37+Rozpočet_FIN!R37</f>
        <v>4172</v>
      </c>
      <c r="L19" s="364">
        <f t="shared" si="0"/>
        <v>521.5</v>
      </c>
      <c r="M19" s="432" t="s">
        <v>1672</v>
      </c>
      <c r="N19" s="432" t="s">
        <v>522</v>
      </c>
      <c r="O19" s="559">
        <v>2</v>
      </c>
      <c r="P19" s="601">
        <v>25</v>
      </c>
      <c r="Q19" s="603">
        <f t="shared" si="5"/>
        <v>9.0499999999999989</v>
      </c>
      <c r="R19" s="603">
        <f t="shared" si="6"/>
        <v>34.049999999999997</v>
      </c>
      <c r="S19" s="432">
        <f t="shared" si="1"/>
        <v>4172</v>
      </c>
      <c r="T19" s="507">
        <f t="shared" si="2"/>
        <v>142056.59999999998</v>
      </c>
      <c r="U19" s="503">
        <f t="shared" si="7"/>
        <v>25</v>
      </c>
      <c r="V19" s="433">
        <f t="shared" si="8"/>
        <v>4.4413690317772925E-2</v>
      </c>
      <c r="W19" s="434"/>
    </row>
    <row r="20" spans="1:23" x14ac:dyDescent="0.2">
      <c r="A20" s="366"/>
      <c r="B20" s="366"/>
      <c r="C20" s="366"/>
      <c r="D20" s="366"/>
      <c r="E20" s="554" t="s">
        <v>1014</v>
      </c>
      <c r="F20" s="555">
        <f>L20/3/J20</f>
        <v>6.5104166666666657E-2</v>
      </c>
      <c r="G20" s="483">
        <f t="shared" si="3"/>
        <v>20.833333333333329</v>
      </c>
      <c r="H20" s="491">
        <f t="shared" si="4"/>
        <v>163.44</v>
      </c>
      <c r="I20" s="485">
        <f t="shared" si="13"/>
        <v>3404.9999999999991</v>
      </c>
      <c r="J20" s="508">
        <v>320</v>
      </c>
      <c r="K20" s="738">
        <f>Rozpočet_FIN!O83+Rozpočet_FIN!P83+Rozpočet_FIN!Q83+Rozpočet_FIN!R83</f>
        <v>500</v>
      </c>
      <c r="L20" s="364">
        <f>K20/8</f>
        <v>62.5</v>
      </c>
      <c r="M20" s="432" t="s">
        <v>1014</v>
      </c>
      <c r="N20" s="432" t="s">
        <v>522</v>
      </c>
      <c r="O20" s="559">
        <v>1</v>
      </c>
      <c r="P20" s="601">
        <v>15</v>
      </c>
      <c r="Q20" s="603">
        <f t="shared" si="5"/>
        <v>5.43</v>
      </c>
      <c r="R20" s="603">
        <f t="shared" si="6"/>
        <v>20.43</v>
      </c>
      <c r="S20" s="432">
        <f t="shared" si="1"/>
        <v>499.99999999999989</v>
      </c>
      <c r="T20" s="507">
        <f t="shared" si="2"/>
        <v>10214.999999999996</v>
      </c>
      <c r="U20" s="503">
        <f t="shared" si="7"/>
        <v>25</v>
      </c>
      <c r="V20" s="433">
        <f t="shared" si="8"/>
        <v>5.3228296162239836E-3</v>
      </c>
      <c r="W20" s="434"/>
    </row>
    <row r="21" spans="1:23" x14ac:dyDescent="0.2">
      <c r="A21" s="366"/>
      <c r="B21" s="366"/>
      <c r="C21" s="366"/>
      <c r="D21" s="366"/>
      <c r="E21" s="554" t="s">
        <v>886</v>
      </c>
      <c r="F21" s="555">
        <f>L21/3/J21/2</f>
        <v>0.18229166666666669</v>
      </c>
      <c r="G21" s="483">
        <f t="shared" si="3"/>
        <v>116.66666666666669</v>
      </c>
      <c r="H21" s="491">
        <f t="shared" si="4"/>
        <v>163.44</v>
      </c>
      <c r="I21" s="485">
        <f t="shared" si="13"/>
        <v>19068.000000000004</v>
      </c>
      <c r="J21" s="508">
        <v>320</v>
      </c>
      <c r="K21" s="738">
        <f>Rozpočet_FIN!O34+Rozpočet_FIN!P34+Rozpočet_FIN!Q34+Rozpočet_FIN!R34+Rozpočet_FIN!O35+Rozpočet_FIN!P35+Rozpočet_FIN!Q35+Rozpočet_FIN!R35</f>
        <v>2800</v>
      </c>
      <c r="L21" s="364">
        <f t="shared" si="0"/>
        <v>350</v>
      </c>
      <c r="M21" s="432" t="str">
        <f>[1]Rozpočet!K37</f>
        <v>Programátor cloudu (kóder)</v>
      </c>
      <c r="N21" s="432" t="s">
        <v>522</v>
      </c>
      <c r="O21" s="559">
        <v>2</v>
      </c>
      <c r="P21" s="601">
        <v>25</v>
      </c>
      <c r="Q21" s="603">
        <f t="shared" si="5"/>
        <v>9.0499999999999989</v>
      </c>
      <c r="R21" s="603">
        <f t="shared" si="6"/>
        <v>34.049999999999997</v>
      </c>
      <c r="S21" s="432">
        <f t="shared" si="1"/>
        <v>0</v>
      </c>
      <c r="T21" s="507">
        <f t="shared" si="2"/>
        <v>0</v>
      </c>
      <c r="U21" s="503">
        <f t="shared" si="7"/>
        <v>25</v>
      </c>
      <c r="V21" s="433">
        <f t="shared" si="8"/>
        <v>0</v>
      </c>
      <c r="W21" s="434"/>
    </row>
    <row r="22" spans="1:23" x14ac:dyDescent="0.2">
      <c r="A22" s="366"/>
      <c r="B22" s="366"/>
      <c r="C22" s="366"/>
      <c r="D22" s="366"/>
      <c r="E22" s="554" t="s">
        <v>1019</v>
      </c>
      <c r="F22" s="555">
        <f>L22/3/J22/2</f>
        <v>0.125</v>
      </c>
      <c r="G22" s="483">
        <f t="shared" si="3"/>
        <v>80</v>
      </c>
      <c r="H22" s="491">
        <f t="shared" si="4"/>
        <v>87.168000000000006</v>
      </c>
      <c r="I22" s="485">
        <f t="shared" si="13"/>
        <v>6973.4400000000005</v>
      </c>
      <c r="J22" s="508">
        <v>320</v>
      </c>
      <c r="K22" s="738">
        <f>Rozpočet_FIN!O84+Rozpočet_FIN!P84+Rozpočet_FIN!Q84+Rozpočet_FIN!R84+Rozpočet_FIN!O85+Rozpočet_FIN!P85+Rozpočet_FIN!Q85+Rozpočet_FIN!R85</f>
        <v>1920</v>
      </c>
      <c r="L22" s="364">
        <f t="shared" si="0"/>
        <v>240</v>
      </c>
      <c r="M22" s="432" t="s">
        <v>1019</v>
      </c>
      <c r="N22" s="432" t="s">
        <v>522</v>
      </c>
      <c r="O22" s="559">
        <v>2</v>
      </c>
      <c r="P22" s="601">
        <v>8</v>
      </c>
      <c r="Q22" s="603">
        <f t="shared" si="5"/>
        <v>2.8959999999999999</v>
      </c>
      <c r="R22" s="603">
        <f t="shared" si="6"/>
        <v>10.896000000000001</v>
      </c>
      <c r="S22" s="432">
        <f t="shared" si="1"/>
        <v>1920</v>
      </c>
      <c r="T22" s="507">
        <f t="shared" si="2"/>
        <v>20920.32</v>
      </c>
      <c r="U22" s="503">
        <f t="shared" si="7"/>
        <v>25</v>
      </c>
      <c r="V22" s="433">
        <f t="shared" si="8"/>
        <v>2.0439665726300103E-2</v>
      </c>
      <c r="W22" s="434"/>
    </row>
    <row r="23" spans="1:23" x14ac:dyDescent="0.2">
      <c r="A23" s="369" t="s">
        <v>530</v>
      </c>
      <c r="B23" s="558">
        <v>16</v>
      </c>
      <c r="C23" s="483">
        <f>SUM(G23:G41)</f>
        <v>3958.9583333333335</v>
      </c>
      <c r="D23" s="484">
        <f>IFERROR(SUM(I23:I41)/C23,0)</f>
        <v>228.20362679576903</v>
      </c>
      <c r="E23" s="554" t="s">
        <v>899</v>
      </c>
      <c r="F23" s="555">
        <f t="shared" ref="F23:F35" si="14">F4</f>
        <v>0.28466145833333334</v>
      </c>
      <c r="G23" s="483">
        <f t="shared" ref="G23:G41" si="15">IFERROR(VLOOKUP(E23,$M$4:$O$27,3,0)*F23*$B$23*20,)</f>
        <v>455.45833333333337</v>
      </c>
      <c r="H23" s="491">
        <f t="shared" si="4"/>
        <v>272.39999999999998</v>
      </c>
      <c r="I23" s="485">
        <f t="shared" si="9"/>
        <v>124066.85</v>
      </c>
      <c r="J23" s="508">
        <v>320</v>
      </c>
      <c r="K23" s="738">
        <f t="shared" ref="K23:K60" si="16">K4</f>
        <v>10931</v>
      </c>
      <c r="L23" s="364">
        <f t="shared" si="0"/>
        <v>1366.375</v>
      </c>
      <c r="M23" s="432" t="s">
        <v>886</v>
      </c>
      <c r="N23" s="432" t="s">
        <v>522</v>
      </c>
      <c r="O23" s="559">
        <v>2</v>
      </c>
      <c r="P23" s="601">
        <v>15</v>
      </c>
      <c r="Q23" s="603">
        <f t="shared" si="5"/>
        <v>5.43</v>
      </c>
      <c r="R23" s="603">
        <f t="shared" si="6"/>
        <v>20.43</v>
      </c>
      <c r="S23" s="432">
        <f t="shared" si="1"/>
        <v>2800.0000000000005</v>
      </c>
      <c r="T23" s="507">
        <f t="shared" si="2"/>
        <v>57204.000000000015</v>
      </c>
      <c r="U23" s="503">
        <f t="shared" si="7"/>
        <v>25</v>
      </c>
      <c r="V23" s="433">
        <f t="shared" si="8"/>
        <v>2.9807845850854321E-2</v>
      </c>
      <c r="W23" s="434"/>
    </row>
    <row r="24" spans="1:23" x14ac:dyDescent="0.2">
      <c r="A24" s="366"/>
      <c r="B24" s="366"/>
      <c r="C24" s="366"/>
      <c r="D24" s="366"/>
      <c r="E24" s="554" t="s">
        <v>903</v>
      </c>
      <c r="F24" s="555">
        <f t="shared" si="14"/>
        <v>0.49895833333333328</v>
      </c>
      <c r="G24" s="483">
        <f t="shared" si="15"/>
        <v>319.33333333333331</v>
      </c>
      <c r="H24" s="491">
        <f t="shared" si="4"/>
        <v>272.39999999999998</v>
      </c>
      <c r="I24" s="485">
        <f t="shared" si="9"/>
        <v>86986.4</v>
      </c>
      <c r="J24" s="508">
        <v>320</v>
      </c>
      <c r="K24" s="738">
        <f t="shared" si="16"/>
        <v>7664</v>
      </c>
      <c r="L24" s="364">
        <f t="shared" si="0"/>
        <v>958</v>
      </c>
      <c r="M24" s="560"/>
      <c r="N24" s="560"/>
      <c r="O24" s="559"/>
      <c r="P24" s="601"/>
      <c r="Q24" s="603">
        <f t="shared" si="5"/>
        <v>0</v>
      </c>
      <c r="R24" s="603">
        <f t="shared" ref="R24:R27" si="17">ROUND(P24+Q24+$Q$2*P24,2)</f>
        <v>0</v>
      </c>
      <c r="S24" s="432">
        <f t="shared" si="1"/>
        <v>0</v>
      </c>
      <c r="T24" s="507">
        <f t="shared" si="2"/>
        <v>0</v>
      </c>
      <c r="U24" s="503">
        <f t="shared" si="7"/>
        <v>15</v>
      </c>
      <c r="V24" s="433">
        <f t="shared" si="8"/>
        <v>0</v>
      </c>
      <c r="W24" s="434"/>
    </row>
    <row r="25" spans="1:23" x14ac:dyDescent="0.2">
      <c r="A25" s="366"/>
      <c r="B25" s="366"/>
      <c r="C25" s="366"/>
      <c r="D25" s="366"/>
      <c r="E25" s="554" t="s">
        <v>873</v>
      </c>
      <c r="F25" s="555">
        <f t="shared" si="14"/>
        <v>0.51002604166666665</v>
      </c>
      <c r="G25" s="483">
        <f t="shared" si="15"/>
        <v>326.41666666666663</v>
      </c>
      <c r="H25" s="491">
        <f t="shared" si="4"/>
        <v>239.71199999999999</v>
      </c>
      <c r="I25" s="485">
        <f t="shared" si="9"/>
        <v>78245.991999999984</v>
      </c>
      <c r="J25" s="508">
        <v>320</v>
      </c>
      <c r="K25" s="738">
        <f t="shared" si="16"/>
        <v>7834</v>
      </c>
      <c r="L25" s="364">
        <f t="shared" si="0"/>
        <v>979.25</v>
      </c>
      <c r="M25" s="560"/>
      <c r="N25" s="560"/>
      <c r="O25" s="559"/>
      <c r="P25" s="601"/>
      <c r="Q25" s="603">
        <f t="shared" si="5"/>
        <v>0</v>
      </c>
      <c r="R25" s="603">
        <f t="shared" si="17"/>
        <v>0</v>
      </c>
      <c r="S25" s="432">
        <f t="shared" si="1"/>
        <v>0</v>
      </c>
      <c r="T25" s="507">
        <f t="shared" si="2"/>
        <v>0</v>
      </c>
      <c r="U25" s="503">
        <f t="shared" si="7"/>
        <v>15</v>
      </c>
      <c r="V25" s="433">
        <f t="shared" si="8"/>
        <v>0</v>
      </c>
      <c r="W25" s="434"/>
    </row>
    <row r="26" spans="1:23" x14ac:dyDescent="0.2">
      <c r="A26" s="366"/>
      <c r="B26" s="366"/>
      <c r="C26" s="366"/>
      <c r="D26" s="366"/>
      <c r="E26" s="554" t="s">
        <v>877</v>
      </c>
      <c r="F26" s="555">
        <f t="shared" si="14"/>
        <v>0.27161458333333333</v>
      </c>
      <c r="G26" s="483">
        <f t="shared" si="15"/>
        <v>86.916666666666657</v>
      </c>
      <c r="H26" s="491">
        <f t="shared" ref="H26:H34" si="18">IFERROR(VLOOKUP(E26,$M$4:$R$27,6,0),0)*8</f>
        <v>261.50400000000002</v>
      </c>
      <c r="I26" s="485">
        <f t="shared" ref="I26:I34" si="19">G26*H26</f>
        <v>22729.056</v>
      </c>
      <c r="J26" s="508">
        <v>320</v>
      </c>
      <c r="K26" s="738">
        <f t="shared" si="16"/>
        <v>2086</v>
      </c>
      <c r="L26" s="364">
        <f t="shared" si="0"/>
        <v>260.75</v>
      </c>
      <c r="M26" s="560"/>
      <c r="N26" s="560"/>
      <c r="O26" s="559"/>
      <c r="P26" s="601"/>
      <c r="Q26" s="603">
        <f t="shared" si="5"/>
        <v>0</v>
      </c>
      <c r="R26" s="603">
        <f t="shared" si="17"/>
        <v>0</v>
      </c>
      <c r="S26" s="432">
        <f t="shared" si="1"/>
        <v>0</v>
      </c>
      <c r="T26" s="507">
        <f t="shared" si="2"/>
        <v>0</v>
      </c>
      <c r="U26" s="503">
        <f t="shared" ref="U26:U27" si="20">IF(N26="hlavná",25,15)</f>
        <v>15</v>
      </c>
      <c r="V26" s="433">
        <f t="shared" si="8"/>
        <v>0</v>
      </c>
      <c r="W26" s="434"/>
    </row>
    <row r="27" spans="1:23" x14ac:dyDescent="0.2">
      <c r="A27" s="366"/>
      <c r="B27" s="366"/>
      <c r="C27" s="366"/>
      <c r="D27" s="366"/>
      <c r="E27" s="554" t="s">
        <v>862</v>
      </c>
      <c r="F27" s="555">
        <f t="shared" si="14"/>
        <v>0.72430555555555554</v>
      </c>
      <c r="G27" s="483">
        <f t="shared" si="15"/>
        <v>695.33333333333326</v>
      </c>
      <c r="H27" s="491">
        <f t="shared" si="18"/>
        <v>130.75200000000001</v>
      </c>
      <c r="I27" s="485">
        <f t="shared" si="19"/>
        <v>90916.224000000002</v>
      </c>
      <c r="J27" s="508">
        <v>320</v>
      </c>
      <c r="K27" s="738">
        <f t="shared" si="16"/>
        <v>16688</v>
      </c>
      <c r="L27" s="364">
        <f t="shared" si="0"/>
        <v>2086</v>
      </c>
      <c r="M27" s="560"/>
      <c r="N27" s="560"/>
      <c r="O27" s="559"/>
      <c r="P27" s="601"/>
      <c r="Q27" s="603">
        <f t="shared" si="5"/>
        <v>0</v>
      </c>
      <c r="R27" s="603">
        <f t="shared" si="17"/>
        <v>0</v>
      </c>
      <c r="S27" s="432">
        <f t="shared" si="1"/>
        <v>0</v>
      </c>
      <c r="T27" s="507">
        <f t="shared" si="2"/>
        <v>0</v>
      </c>
      <c r="U27" s="503">
        <f t="shared" si="20"/>
        <v>15</v>
      </c>
      <c r="V27" s="433">
        <f t="shared" si="8"/>
        <v>0</v>
      </c>
      <c r="W27" s="434"/>
    </row>
    <row r="28" spans="1:23" x14ac:dyDescent="0.2">
      <c r="A28" s="366"/>
      <c r="B28" s="366"/>
      <c r="C28" s="366"/>
      <c r="D28" s="366"/>
      <c r="E28" s="554" t="s">
        <v>1057</v>
      </c>
      <c r="F28" s="555">
        <f t="shared" si="14"/>
        <v>0</v>
      </c>
      <c r="G28" s="483">
        <f t="shared" si="15"/>
        <v>0</v>
      </c>
      <c r="H28" s="491">
        <f t="shared" si="18"/>
        <v>163.44</v>
      </c>
      <c r="I28" s="485">
        <f t="shared" si="19"/>
        <v>0</v>
      </c>
      <c r="J28" s="508">
        <v>320</v>
      </c>
      <c r="K28" s="738">
        <f t="shared" si="16"/>
        <v>0</v>
      </c>
      <c r="L28" s="364">
        <f t="shared" si="0"/>
        <v>0</v>
      </c>
    </row>
    <row r="29" spans="1:23" x14ac:dyDescent="0.2">
      <c r="A29" s="366"/>
      <c r="B29" s="605"/>
      <c r="C29" s="605"/>
      <c r="D29" s="606"/>
      <c r="E29" s="554" t="s">
        <v>1059</v>
      </c>
      <c r="F29" s="555">
        <f t="shared" si="14"/>
        <v>0</v>
      </c>
      <c r="G29" s="483">
        <f t="shared" si="15"/>
        <v>0</v>
      </c>
      <c r="H29" s="491">
        <f t="shared" si="18"/>
        <v>163.44</v>
      </c>
      <c r="I29" s="485">
        <f t="shared" si="19"/>
        <v>0</v>
      </c>
      <c r="J29" s="508">
        <v>320</v>
      </c>
      <c r="K29" s="738">
        <f t="shared" si="16"/>
        <v>0</v>
      </c>
      <c r="L29" s="364">
        <f t="shared" si="0"/>
        <v>0</v>
      </c>
    </row>
    <row r="30" spans="1:23" x14ac:dyDescent="0.2">
      <c r="A30" s="366"/>
      <c r="B30" s="366"/>
      <c r="C30" s="366"/>
      <c r="D30" s="366"/>
      <c r="E30" s="554" t="s">
        <v>917</v>
      </c>
      <c r="F30" s="555">
        <f t="shared" si="14"/>
        <v>0.17828525641025639</v>
      </c>
      <c r="G30" s="483">
        <f t="shared" si="15"/>
        <v>741.66666666666652</v>
      </c>
      <c r="H30" s="491">
        <f t="shared" si="18"/>
        <v>272.39999999999998</v>
      </c>
      <c r="I30" s="485">
        <f t="shared" si="19"/>
        <v>202029.99999999994</v>
      </c>
      <c r="J30" s="508">
        <v>320</v>
      </c>
      <c r="K30" s="738">
        <f t="shared" si="16"/>
        <v>17800</v>
      </c>
      <c r="L30" s="364">
        <f t="shared" si="0"/>
        <v>2225</v>
      </c>
    </row>
    <row r="31" spans="1:23" x14ac:dyDescent="0.2">
      <c r="A31" s="366"/>
      <c r="B31" s="366"/>
      <c r="C31" s="366"/>
      <c r="D31" s="366"/>
      <c r="E31" s="554" t="s">
        <v>922</v>
      </c>
      <c r="F31" s="555">
        <f t="shared" si="14"/>
        <v>0.49895833333333328</v>
      </c>
      <c r="G31" s="483">
        <f t="shared" si="15"/>
        <v>319.33333333333331</v>
      </c>
      <c r="H31" s="491">
        <f t="shared" si="18"/>
        <v>196.12799999999999</v>
      </c>
      <c r="I31" s="485">
        <f t="shared" si="19"/>
        <v>62630.207999999991</v>
      </c>
      <c r="J31" s="508">
        <v>320</v>
      </c>
      <c r="K31" s="738">
        <f t="shared" si="16"/>
        <v>7664</v>
      </c>
      <c r="L31" s="364">
        <f t="shared" si="0"/>
        <v>958</v>
      </c>
    </row>
    <row r="32" spans="1:23" x14ac:dyDescent="0.2">
      <c r="A32" s="366"/>
      <c r="B32" s="366"/>
      <c r="C32" s="366"/>
      <c r="D32" s="366"/>
      <c r="E32" s="554" t="s">
        <v>912</v>
      </c>
      <c r="F32" s="555">
        <f t="shared" si="14"/>
        <v>0.12473958333333332</v>
      </c>
      <c r="G32" s="483">
        <f t="shared" si="15"/>
        <v>79.833333333333329</v>
      </c>
      <c r="H32" s="491">
        <f t="shared" si="18"/>
        <v>217.92</v>
      </c>
      <c r="I32" s="485">
        <f t="shared" si="19"/>
        <v>17397.28</v>
      </c>
      <c r="J32" s="508">
        <v>320</v>
      </c>
      <c r="K32" s="738">
        <f t="shared" si="16"/>
        <v>1916</v>
      </c>
      <c r="L32" s="364">
        <f t="shared" si="0"/>
        <v>239.5</v>
      </c>
    </row>
    <row r="33" spans="1:12" x14ac:dyDescent="0.2">
      <c r="A33" s="366"/>
      <c r="B33" s="366"/>
      <c r="C33" s="366"/>
      <c r="D33" s="366"/>
      <c r="E33" s="554" t="s">
        <v>927</v>
      </c>
      <c r="F33" s="555">
        <f t="shared" si="14"/>
        <v>0.18229166666666669</v>
      </c>
      <c r="G33" s="483">
        <f t="shared" si="15"/>
        <v>116.66666666666669</v>
      </c>
      <c r="H33" s="491">
        <f t="shared" si="18"/>
        <v>272.39999999999998</v>
      </c>
      <c r="I33" s="485">
        <f t="shared" si="19"/>
        <v>31780.000000000004</v>
      </c>
      <c r="J33" s="508">
        <v>320</v>
      </c>
      <c r="K33" s="738">
        <f t="shared" si="16"/>
        <v>2800</v>
      </c>
      <c r="L33" s="364">
        <f t="shared" si="0"/>
        <v>350</v>
      </c>
    </row>
    <row r="34" spans="1:12" x14ac:dyDescent="0.2">
      <c r="A34" s="366"/>
      <c r="B34" s="366"/>
      <c r="C34" s="366"/>
      <c r="D34" s="366"/>
      <c r="E34" s="554" t="s">
        <v>938</v>
      </c>
      <c r="F34" s="555">
        <f t="shared" si="14"/>
        <v>0.18229166666666666</v>
      </c>
      <c r="G34" s="483">
        <f t="shared" si="15"/>
        <v>175</v>
      </c>
      <c r="H34" s="491">
        <f t="shared" si="18"/>
        <v>272.39999999999998</v>
      </c>
      <c r="I34" s="485">
        <f t="shared" si="19"/>
        <v>47669.999999999993</v>
      </c>
      <c r="J34" s="508">
        <v>320</v>
      </c>
      <c r="K34" s="738">
        <f t="shared" si="16"/>
        <v>4200</v>
      </c>
      <c r="L34" s="364">
        <f t="shared" si="0"/>
        <v>525</v>
      </c>
    </row>
    <row r="35" spans="1:12" x14ac:dyDescent="0.2">
      <c r="A35" s="366"/>
      <c r="B35" s="366"/>
      <c r="C35" s="366"/>
      <c r="D35" s="366"/>
      <c r="E35" s="554" t="s">
        <v>1000</v>
      </c>
      <c r="F35" s="555">
        <f t="shared" si="14"/>
        <v>0.18229166666666669</v>
      </c>
      <c r="G35" s="483">
        <f t="shared" si="15"/>
        <v>116.66666666666669</v>
      </c>
      <c r="H35" s="491">
        <f t="shared" si="4"/>
        <v>217.92</v>
      </c>
      <c r="I35" s="485">
        <f t="shared" si="9"/>
        <v>25424.000000000004</v>
      </c>
      <c r="J35" s="508">
        <v>320</v>
      </c>
      <c r="K35" s="738">
        <f t="shared" si="16"/>
        <v>2800</v>
      </c>
      <c r="L35" s="364">
        <f t="shared" si="0"/>
        <v>350</v>
      </c>
    </row>
    <row r="36" spans="1:12" x14ac:dyDescent="0.2">
      <c r="A36" s="366"/>
      <c r="B36" s="366"/>
      <c r="C36" s="366"/>
      <c r="D36" s="366"/>
      <c r="E36" s="554" t="s">
        <v>1670</v>
      </c>
      <c r="F36" s="555">
        <f>L36/2/J36</f>
        <v>0.2109375</v>
      </c>
      <c r="G36" s="483">
        <f t="shared" si="15"/>
        <v>67.5</v>
      </c>
      <c r="H36" s="491">
        <f t="shared" si="4"/>
        <v>272.39999999999998</v>
      </c>
      <c r="I36" s="485">
        <f t="shared" si="9"/>
        <v>18387</v>
      </c>
      <c r="J36" s="508">
        <v>320</v>
      </c>
      <c r="K36" s="738">
        <f t="shared" si="16"/>
        <v>1080</v>
      </c>
      <c r="L36" s="364">
        <f t="shared" si="0"/>
        <v>135</v>
      </c>
    </row>
    <row r="37" spans="1:12" x14ac:dyDescent="0.2">
      <c r="A37" s="366"/>
      <c r="B37" s="366"/>
      <c r="C37" s="366"/>
      <c r="D37" s="366"/>
      <c r="E37" s="554" t="s">
        <v>1671</v>
      </c>
      <c r="F37" s="555">
        <f>L37/2/J37</f>
        <v>0.2109375</v>
      </c>
      <c r="G37" s="483">
        <f t="shared" si="15"/>
        <v>67.5</v>
      </c>
      <c r="H37" s="491">
        <f t="shared" si="4"/>
        <v>272.39999999999998</v>
      </c>
      <c r="I37" s="485">
        <f t="shared" si="9"/>
        <v>18387</v>
      </c>
      <c r="J37" s="508">
        <v>320</v>
      </c>
      <c r="K37" s="738">
        <f t="shared" si="16"/>
        <v>1080</v>
      </c>
      <c r="L37" s="364">
        <f t="shared" si="0"/>
        <v>135</v>
      </c>
    </row>
    <row r="38" spans="1:12" x14ac:dyDescent="0.2">
      <c r="A38" s="366"/>
      <c r="B38" s="605"/>
      <c r="C38" s="605"/>
      <c r="D38" s="606"/>
      <c r="E38" s="554" t="s">
        <v>1672</v>
      </c>
      <c r="F38" s="555">
        <f t="shared" ref="F38:F54" si="21">F19</f>
        <v>0.27161458333333333</v>
      </c>
      <c r="G38" s="483">
        <f t="shared" si="15"/>
        <v>173.83333333333331</v>
      </c>
      <c r="H38" s="491">
        <f t="shared" si="4"/>
        <v>272.39999999999998</v>
      </c>
      <c r="I38" s="485">
        <f t="shared" si="9"/>
        <v>47352.19999999999</v>
      </c>
      <c r="J38" s="508">
        <v>320</v>
      </c>
      <c r="K38" s="738">
        <f t="shared" si="16"/>
        <v>4172</v>
      </c>
      <c r="L38" s="364">
        <f t="shared" si="0"/>
        <v>521.5</v>
      </c>
    </row>
    <row r="39" spans="1:12" x14ac:dyDescent="0.2">
      <c r="A39" s="366"/>
      <c r="B39" s="366"/>
      <c r="C39" s="366"/>
      <c r="D39" s="366"/>
      <c r="E39" s="554" t="s">
        <v>1014</v>
      </c>
      <c r="F39" s="555">
        <f t="shared" si="21"/>
        <v>6.5104166666666657E-2</v>
      </c>
      <c r="G39" s="483">
        <f t="shared" si="15"/>
        <v>20.833333333333329</v>
      </c>
      <c r="H39" s="491">
        <f t="shared" si="4"/>
        <v>163.44</v>
      </c>
      <c r="I39" s="485">
        <f t="shared" si="9"/>
        <v>3404.9999999999991</v>
      </c>
      <c r="J39" s="508">
        <v>320</v>
      </c>
      <c r="K39" s="738">
        <f t="shared" si="16"/>
        <v>500</v>
      </c>
      <c r="L39" s="364">
        <f t="shared" si="0"/>
        <v>62.5</v>
      </c>
    </row>
    <row r="40" spans="1:12" x14ac:dyDescent="0.2">
      <c r="A40" s="366"/>
      <c r="B40" s="366"/>
      <c r="C40" s="366"/>
      <c r="D40" s="366"/>
      <c r="E40" s="554" t="s">
        <v>886</v>
      </c>
      <c r="F40" s="555">
        <f t="shared" si="21"/>
        <v>0.18229166666666669</v>
      </c>
      <c r="G40" s="483">
        <f t="shared" si="15"/>
        <v>116.66666666666669</v>
      </c>
      <c r="H40" s="491">
        <f t="shared" si="4"/>
        <v>163.44</v>
      </c>
      <c r="I40" s="485">
        <f t="shared" si="9"/>
        <v>19068.000000000004</v>
      </c>
      <c r="J40" s="508">
        <v>320</v>
      </c>
      <c r="K40" s="738">
        <f t="shared" si="16"/>
        <v>2800</v>
      </c>
      <c r="L40" s="364">
        <f t="shared" si="0"/>
        <v>350</v>
      </c>
    </row>
    <row r="41" spans="1:12" x14ac:dyDescent="0.2">
      <c r="A41" s="366"/>
      <c r="B41" s="366"/>
      <c r="C41" s="366"/>
      <c r="D41" s="366"/>
      <c r="E41" s="554" t="s">
        <v>1019</v>
      </c>
      <c r="F41" s="555">
        <f t="shared" si="21"/>
        <v>0.125</v>
      </c>
      <c r="G41" s="483">
        <f t="shared" si="15"/>
        <v>80</v>
      </c>
      <c r="H41" s="491">
        <f t="shared" si="4"/>
        <v>87.168000000000006</v>
      </c>
      <c r="I41" s="485">
        <f t="shared" si="9"/>
        <v>6973.4400000000005</v>
      </c>
      <c r="J41" s="508">
        <v>320</v>
      </c>
      <c r="K41" s="738">
        <f t="shared" si="16"/>
        <v>1920</v>
      </c>
      <c r="L41" s="364">
        <f t="shared" si="0"/>
        <v>240</v>
      </c>
    </row>
    <row r="42" spans="1:12" x14ac:dyDescent="0.2">
      <c r="A42" s="369" t="s">
        <v>262</v>
      </c>
      <c r="B42" s="558">
        <v>16</v>
      </c>
      <c r="C42" s="483">
        <f>SUM(G42:G60)</f>
        <v>3958.9583333333335</v>
      </c>
      <c r="D42" s="484">
        <f>IFERROR(SUM(I42:I60)/C42,0)</f>
        <v>228.20362679576903</v>
      </c>
      <c r="E42" s="554" t="s">
        <v>899</v>
      </c>
      <c r="F42" s="555">
        <f t="shared" si="21"/>
        <v>0.28466145833333334</v>
      </c>
      <c r="G42" s="483">
        <f t="shared" ref="G42:G60" si="22">IFERROR(VLOOKUP(E42,$M$4:$O$27,3,0)*F42*$B$42*20,)</f>
        <v>455.45833333333337</v>
      </c>
      <c r="H42" s="491">
        <f t="shared" si="4"/>
        <v>272.39999999999998</v>
      </c>
      <c r="I42" s="485">
        <f t="shared" si="9"/>
        <v>124066.85</v>
      </c>
      <c r="J42" s="508">
        <v>320</v>
      </c>
      <c r="K42" s="738">
        <f t="shared" si="16"/>
        <v>10931</v>
      </c>
      <c r="L42" s="364">
        <f t="shared" si="0"/>
        <v>1366.375</v>
      </c>
    </row>
    <row r="43" spans="1:12" x14ac:dyDescent="0.2">
      <c r="A43" s="366"/>
      <c r="B43" s="366"/>
      <c r="C43" s="366"/>
      <c r="D43" s="366"/>
      <c r="E43" s="554" t="s">
        <v>903</v>
      </c>
      <c r="F43" s="555">
        <f t="shared" si="21"/>
        <v>0.49895833333333328</v>
      </c>
      <c r="G43" s="483">
        <f t="shared" si="22"/>
        <v>319.33333333333331</v>
      </c>
      <c r="H43" s="491">
        <f t="shared" si="4"/>
        <v>272.39999999999998</v>
      </c>
      <c r="I43" s="485">
        <f t="shared" si="9"/>
        <v>86986.4</v>
      </c>
      <c r="J43" s="508">
        <v>320</v>
      </c>
      <c r="K43" s="738">
        <f t="shared" si="16"/>
        <v>7664</v>
      </c>
      <c r="L43" s="364">
        <f t="shared" si="0"/>
        <v>958</v>
      </c>
    </row>
    <row r="44" spans="1:12" x14ac:dyDescent="0.2">
      <c r="A44" s="366"/>
      <c r="B44" s="366"/>
      <c r="C44" s="366"/>
      <c r="D44" s="366"/>
      <c r="E44" s="554" t="s">
        <v>873</v>
      </c>
      <c r="F44" s="555">
        <f t="shared" si="21"/>
        <v>0.51002604166666665</v>
      </c>
      <c r="G44" s="483">
        <f t="shared" si="22"/>
        <v>326.41666666666663</v>
      </c>
      <c r="H44" s="491">
        <f t="shared" si="4"/>
        <v>239.71199999999999</v>
      </c>
      <c r="I44" s="485">
        <f t="shared" si="9"/>
        <v>78245.991999999984</v>
      </c>
      <c r="J44" s="508">
        <v>320</v>
      </c>
      <c r="K44" s="738">
        <f t="shared" si="16"/>
        <v>7834</v>
      </c>
      <c r="L44" s="364">
        <f t="shared" si="0"/>
        <v>979.25</v>
      </c>
    </row>
    <row r="45" spans="1:12" x14ac:dyDescent="0.2">
      <c r="A45" s="366"/>
      <c r="B45" s="366"/>
      <c r="C45" s="366"/>
      <c r="D45" s="366"/>
      <c r="E45" s="554" t="s">
        <v>877</v>
      </c>
      <c r="F45" s="555">
        <f t="shared" si="21"/>
        <v>0.27161458333333333</v>
      </c>
      <c r="G45" s="483">
        <f t="shared" si="22"/>
        <v>86.916666666666657</v>
      </c>
      <c r="H45" s="491">
        <f t="shared" ref="H45:H55" si="23">IFERROR(VLOOKUP(E45,$M$4:$R$27,6,0),0)*8</f>
        <v>261.50400000000002</v>
      </c>
      <c r="I45" s="485">
        <f t="shared" ref="I45:I55" si="24">G45*H45</f>
        <v>22729.056</v>
      </c>
      <c r="J45" s="508">
        <v>320</v>
      </c>
      <c r="K45" s="738">
        <f t="shared" si="16"/>
        <v>2086</v>
      </c>
      <c r="L45" s="364">
        <f t="shared" si="0"/>
        <v>260.75</v>
      </c>
    </row>
    <row r="46" spans="1:12" x14ac:dyDescent="0.2">
      <c r="A46" s="366"/>
      <c r="B46" s="366"/>
      <c r="C46" s="366"/>
      <c r="D46" s="366"/>
      <c r="E46" s="554" t="s">
        <v>862</v>
      </c>
      <c r="F46" s="555">
        <f t="shared" si="21"/>
        <v>0.72430555555555554</v>
      </c>
      <c r="G46" s="483">
        <f t="shared" si="22"/>
        <v>695.33333333333326</v>
      </c>
      <c r="H46" s="491">
        <f t="shared" si="23"/>
        <v>130.75200000000001</v>
      </c>
      <c r="I46" s="485">
        <f t="shared" si="24"/>
        <v>90916.224000000002</v>
      </c>
      <c r="J46" s="508">
        <v>320</v>
      </c>
      <c r="K46" s="738">
        <f t="shared" si="16"/>
        <v>16688</v>
      </c>
      <c r="L46" s="364">
        <f t="shared" si="0"/>
        <v>2086</v>
      </c>
    </row>
    <row r="47" spans="1:12" x14ac:dyDescent="0.2">
      <c r="A47" s="366"/>
      <c r="B47" s="366"/>
      <c r="C47" s="366"/>
      <c r="D47" s="366"/>
      <c r="E47" s="554" t="s">
        <v>1057</v>
      </c>
      <c r="F47" s="555">
        <f t="shared" si="21"/>
        <v>0</v>
      </c>
      <c r="G47" s="483">
        <f t="shared" si="22"/>
        <v>0</v>
      </c>
      <c r="H47" s="491">
        <f t="shared" si="23"/>
        <v>163.44</v>
      </c>
      <c r="I47" s="485">
        <f t="shared" si="24"/>
        <v>0</v>
      </c>
      <c r="J47" s="508">
        <v>320</v>
      </c>
      <c r="K47" s="738">
        <f t="shared" si="16"/>
        <v>0</v>
      </c>
      <c r="L47" s="364">
        <f t="shared" si="0"/>
        <v>0</v>
      </c>
    </row>
    <row r="48" spans="1:12" x14ac:dyDescent="0.2">
      <c r="A48" s="366"/>
      <c r="B48" s="366"/>
      <c r="C48" s="366"/>
      <c r="D48" s="366"/>
      <c r="E48" s="554" t="s">
        <v>1059</v>
      </c>
      <c r="F48" s="555">
        <f t="shared" si="21"/>
        <v>0</v>
      </c>
      <c r="G48" s="483">
        <f t="shared" si="22"/>
        <v>0</v>
      </c>
      <c r="H48" s="491">
        <f t="shared" si="23"/>
        <v>163.44</v>
      </c>
      <c r="I48" s="485">
        <f t="shared" si="24"/>
        <v>0</v>
      </c>
      <c r="J48" s="508">
        <v>320</v>
      </c>
      <c r="K48" s="738">
        <f t="shared" si="16"/>
        <v>0</v>
      </c>
      <c r="L48" s="364">
        <f t="shared" si="0"/>
        <v>0</v>
      </c>
    </row>
    <row r="49" spans="1:15" x14ac:dyDescent="0.2">
      <c r="A49" s="366"/>
      <c r="B49" s="366"/>
      <c r="C49" s="366"/>
      <c r="D49" s="366"/>
      <c r="E49" s="554" t="s">
        <v>917</v>
      </c>
      <c r="F49" s="555">
        <f t="shared" si="21"/>
        <v>0.17828525641025639</v>
      </c>
      <c r="G49" s="483">
        <f t="shared" si="22"/>
        <v>741.66666666666652</v>
      </c>
      <c r="H49" s="491">
        <f t="shared" si="23"/>
        <v>272.39999999999998</v>
      </c>
      <c r="I49" s="485">
        <f t="shared" si="24"/>
        <v>202029.99999999994</v>
      </c>
      <c r="J49" s="508">
        <v>320</v>
      </c>
      <c r="K49" s="738">
        <f t="shared" si="16"/>
        <v>17800</v>
      </c>
      <c r="L49" s="364">
        <f t="shared" si="0"/>
        <v>2225</v>
      </c>
    </row>
    <row r="50" spans="1:15" x14ac:dyDescent="0.2">
      <c r="A50" s="366"/>
      <c r="B50" s="366"/>
      <c r="C50" s="366"/>
      <c r="D50" s="366"/>
      <c r="E50" s="554" t="s">
        <v>922</v>
      </c>
      <c r="F50" s="555">
        <f t="shared" si="21"/>
        <v>0.49895833333333328</v>
      </c>
      <c r="G50" s="483">
        <f t="shared" si="22"/>
        <v>319.33333333333331</v>
      </c>
      <c r="H50" s="491">
        <f t="shared" si="23"/>
        <v>196.12799999999999</v>
      </c>
      <c r="I50" s="485">
        <f t="shared" si="24"/>
        <v>62630.207999999991</v>
      </c>
      <c r="J50" s="508">
        <v>320</v>
      </c>
      <c r="K50" s="738">
        <f t="shared" si="16"/>
        <v>7664</v>
      </c>
      <c r="L50" s="364">
        <f t="shared" si="0"/>
        <v>958</v>
      </c>
    </row>
    <row r="51" spans="1:15" x14ac:dyDescent="0.2">
      <c r="A51" s="366"/>
      <c r="B51" s="366"/>
      <c r="C51" s="366"/>
      <c r="D51" s="366"/>
      <c r="E51" s="554" t="s">
        <v>912</v>
      </c>
      <c r="F51" s="555">
        <f t="shared" si="21"/>
        <v>0.12473958333333332</v>
      </c>
      <c r="G51" s="483">
        <f t="shared" si="22"/>
        <v>79.833333333333329</v>
      </c>
      <c r="H51" s="491">
        <f t="shared" si="23"/>
        <v>217.92</v>
      </c>
      <c r="I51" s="485">
        <f t="shared" si="24"/>
        <v>17397.28</v>
      </c>
      <c r="J51" s="508">
        <v>320</v>
      </c>
      <c r="K51" s="738">
        <f t="shared" si="16"/>
        <v>1916</v>
      </c>
      <c r="L51" s="364">
        <f t="shared" si="0"/>
        <v>239.5</v>
      </c>
    </row>
    <row r="52" spans="1:15" x14ac:dyDescent="0.2">
      <c r="A52" s="366"/>
      <c r="B52" s="366"/>
      <c r="C52" s="366"/>
      <c r="D52" s="366"/>
      <c r="E52" s="554" t="s">
        <v>927</v>
      </c>
      <c r="F52" s="555">
        <f t="shared" si="21"/>
        <v>0.18229166666666669</v>
      </c>
      <c r="G52" s="483">
        <f t="shared" si="22"/>
        <v>116.66666666666669</v>
      </c>
      <c r="H52" s="491">
        <f t="shared" si="23"/>
        <v>272.39999999999998</v>
      </c>
      <c r="I52" s="485">
        <f t="shared" si="24"/>
        <v>31780.000000000004</v>
      </c>
      <c r="J52" s="508">
        <v>320</v>
      </c>
      <c r="K52" s="738">
        <f t="shared" si="16"/>
        <v>2800</v>
      </c>
      <c r="L52" s="364">
        <f t="shared" si="0"/>
        <v>350</v>
      </c>
    </row>
    <row r="53" spans="1:15" x14ac:dyDescent="0.2">
      <c r="A53" s="366"/>
      <c r="B53" s="366"/>
      <c r="C53" s="366"/>
      <c r="D53" s="366"/>
      <c r="E53" s="554" t="s">
        <v>938</v>
      </c>
      <c r="F53" s="555">
        <f t="shared" si="21"/>
        <v>0.18229166666666666</v>
      </c>
      <c r="G53" s="483">
        <f t="shared" si="22"/>
        <v>175</v>
      </c>
      <c r="H53" s="491">
        <f t="shared" si="23"/>
        <v>272.39999999999998</v>
      </c>
      <c r="I53" s="485">
        <f t="shared" si="24"/>
        <v>47669.999999999993</v>
      </c>
      <c r="J53" s="508">
        <v>320</v>
      </c>
      <c r="K53" s="738">
        <f t="shared" si="16"/>
        <v>4200</v>
      </c>
      <c r="L53" s="364">
        <f t="shared" si="0"/>
        <v>525</v>
      </c>
    </row>
    <row r="54" spans="1:15" x14ac:dyDescent="0.2">
      <c r="A54" s="366"/>
      <c r="B54" s="366"/>
      <c r="C54" s="366"/>
      <c r="D54" s="366"/>
      <c r="E54" s="554" t="s">
        <v>1000</v>
      </c>
      <c r="F54" s="555">
        <f t="shared" si="21"/>
        <v>0.18229166666666669</v>
      </c>
      <c r="G54" s="483">
        <f t="shared" si="22"/>
        <v>116.66666666666669</v>
      </c>
      <c r="H54" s="491">
        <f t="shared" si="23"/>
        <v>217.92</v>
      </c>
      <c r="I54" s="485">
        <f t="shared" si="24"/>
        <v>25424.000000000004</v>
      </c>
      <c r="J54" s="508">
        <v>320</v>
      </c>
      <c r="K54" s="738">
        <f t="shared" si="16"/>
        <v>2800</v>
      </c>
      <c r="L54" s="364">
        <f t="shared" si="0"/>
        <v>350</v>
      </c>
    </row>
    <row r="55" spans="1:15" x14ac:dyDescent="0.2">
      <c r="A55" s="366"/>
      <c r="B55" s="366"/>
      <c r="C55" s="366"/>
      <c r="D55" s="366"/>
      <c r="E55" s="554" t="s">
        <v>1670</v>
      </c>
      <c r="F55" s="555">
        <f>L36/2/J36</f>
        <v>0.2109375</v>
      </c>
      <c r="G55" s="483">
        <f t="shared" si="22"/>
        <v>67.5</v>
      </c>
      <c r="H55" s="491">
        <f t="shared" si="23"/>
        <v>272.39999999999998</v>
      </c>
      <c r="I55" s="485">
        <f t="shared" si="24"/>
        <v>18387</v>
      </c>
      <c r="J55" s="508">
        <v>320</v>
      </c>
      <c r="K55" s="738">
        <f t="shared" si="16"/>
        <v>1080</v>
      </c>
      <c r="L55" s="364">
        <f t="shared" si="0"/>
        <v>135</v>
      </c>
    </row>
    <row r="56" spans="1:15" x14ac:dyDescent="0.2">
      <c r="A56" s="366"/>
      <c r="B56" s="366"/>
      <c r="C56" s="366"/>
      <c r="D56" s="366"/>
      <c r="E56" s="554" t="s">
        <v>1671</v>
      </c>
      <c r="F56" s="555">
        <f>L37/2/J37</f>
        <v>0.2109375</v>
      </c>
      <c r="G56" s="483">
        <f t="shared" si="22"/>
        <v>67.5</v>
      </c>
      <c r="H56" s="491">
        <f t="shared" si="4"/>
        <v>272.39999999999998</v>
      </c>
      <c r="I56" s="485">
        <f t="shared" si="9"/>
        <v>18387</v>
      </c>
      <c r="J56" s="508">
        <v>320</v>
      </c>
      <c r="K56" s="738">
        <f t="shared" si="16"/>
        <v>1080</v>
      </c>
      <c r="L56" s="364">
        <f t="shared" si="0"/>
        <v>135</v>
      </c>
    </row>
    <row r="57" spans="1:15" x14ac:dyDescent="0.2">
      <c r="A57" s="366"/>
      <c r="B57" s="366"/>
      <c r="C57" s="366"/>
      <c r="D57" s="366"/>
      <c r="E57" s="554" t="s">
        <v>1672</v>
      </c>
      <c r="F57" s="555">
        <f>F38</f>
        <v>0.27161458333333333</v>
      </c>
      <c r="G57" s="483">
        <f t="shared" si="22"/>
        <v>173.83333333333331</v>
      </c>
      <c r="H57" s="491">
        <f t="shared" si="4"/>
        <v>272.39999999999998</v>
      </c>
      <c r="I57" s="485">
        <f t="shared" si="9"/>
        <v>47352.19999999999</v>
      </c>
      <c r="J57" s="508">
        <v>320</v>
      </c>
      <c r="K57" s="738">
        <f t="shared" si="16"/>
        <v>4172</v>
      </c>
      <c r="L57" s="364">
        <f t="shared" si="0"/>
        <v>521.5</v>
      </c>
    </row>
    <row r="58" spans="1:15" x14ac:dyDescent="0.2">
      <c r="A58" s="366"/>
      <c r="B58" s="366"/>
      <c r="C58" s="366"/>
      <c r="D58" s="366"/>
      <c r="E58" s="554" t="s">
        <v>1014</v>
      </c>
      <c r="F58" s="555">
        <f>F39</f>
        <v>6.5104166666666657E-2</v>
      </c>
      <c r="G58" s="483">
        <f t="shared" si="22"/>
        <v>20.833333333333329</v>
      </c>
      <c r="H58" s="491">
        <f t="shared" si="4"/>
        <v>163.44</v>
      </c>
      <c r="I58" s="485">
        <f t="shared" si="9"/>
        <v>3404.9999999999991</v>
      </c>
      <c r="J58" s="508">
        <v>320</v>
      </c>
      <c r="K58" s="738">
        <f t="shared" si="16"/>
        <v>500</v>
      </c>
      <c r="L58" s="364">
        <f t="shared" si="0"/>
        <v>62.5</v>
      </c>
    </row>
    <row r="59" spans="1:15" x14ac:dyDescent="0.2">
      <c r="A59" s="366"/>
      <c r="B59" s="366"/>
      <c r="C59" s="366"/>
      <c r="D59" s="366"/>
      <c r="E59" s="554" t="s">
        <v>886</v>
      </c>
      <c r="F59" s="555">
        <f>F40</f>
        <v>0.18229166666666669</v>
      </c>
      <c r="G59" s="483">
        <f t="shared" si="22"/>
        <v>116.66666666666669</v>
      </c>
      <c r="H59" s="491">
        <f t="shared" si="4"/>
        <v>163.44</v>
      </c>
      <c r="I59" s="485">
        <f t="shared" ref="I59:I60" si="25">G59*H59</f>
        <v>19068.000000000004</v>
      </c>
      <c r="J59" s="508">
        <v>320</v>
      </c>
      <c r="K59" s="738">
        <f t="shared" si="16"/>
        <v>2800</v>
      </c>
      <c r="L59" s="364">
        <f t="shared" si="0"/>
        <v>350</v>
      </c>
    </row>
    <row r="60" spans="1:15" x14ac:dyDescent="0.2">
      <c r="A60" s="366"/>
      <c r="B60" s="366"/>
      <c r="C60" s="366"/>
      <c r="D60" s="366"/>
      <c r="E60" s="554" t="s">
        <v>1019</v>
      </c>
      <c r="F60" s="555">
        <f>F41</f>
        <v>0.125</v>
      </c>
      <c r="G60" s="483">
        <f t="shared" si="22"/>
        <v>80</v>
      </c>
      <c r="H60" s="491">
        <f t="shared" si="4"/>
        <v>87.168000000000006</v>
      </c>
      <c r="I60" s="485">
        <f t="shared" si="25"/>
        <v>6973.4400000000005</v>
      </c>
      <c r="J60" s="508">
        <v>320</v>
      </c>
      <c r="K60" s="738">
        <f t="shared" si="16"/>
        <v>1920</v>
      </c>
      <c r="L60" s="364">
        <f t="shared" si="0"/>
        <v>240</v>
      </c>
    </row>
    <row r="61" spans="1:15" x14ac:dyDescent="0.2">
      <c r="A61" s="369" t="s">
        <v>234</v>
      </c>
      <c r="B61" s="558">
        <v>16</v>
      </c>
      <c r="C61" s="483">
        <f>SUM(G61:G72)</f>
        <v>0</v>
      </c>
      <c r="D61" s="484">
        <f>IFERROR(SUM(I61:I72)/C61,)</f>
        <v>0</v>
      </c>
      <c r="E61" s="554"/>
      <c r="F61" s="555"/>
      <c r="G61" s="483">
        <f t="shared" ref="G61:G72" si="26">IFERROR(VLOOKUP(E61,$M$4:$O$27,3,0)*F61*$B$61*20,)</f>
        <v>0</v>
      </c>
      <c r="H61" s="491">
        <f t="shared" si="4"/>
        <v>0</v>
      </c>
      <c r="I61" s="485">
        <f t="shared" ref="I61:I66" si="27">G61*H61</f>
        <v>0</v>
      </c>
    </row>
    <row r="62" spans="1:15" x14ac:dyDescent="0.2">
      <c r="A62" s="366"/>
      <c r="B62" s="366"/>
      <c r="C62" s="366"/>
      <c r="D62" s="366"/>
      <c r="E62" s="554"/>
      <c r="F62" s="555"/>
      <c r="G62" s="483">
        <f t="shared" si="26"/>
        <v>0</v>
      </c>
      <c r="H62" s="491">
        <f t="shared" si="4"/>
        <v>0</v>
      </c>
      <c r="I62" s="485">
        <f t="shared" si="27"/>
        <v>0</v>
      </c>
    </row>
    <row r="63" spans="1:15" x14ac:dyDescent="0.2">
      <c r="A63" s="366"/>
      <c r="B63" s="366"/>
      <c r="C63" s="366"/>
      <c r="D63" s="366"/>
      <c r="E63" s="554"/>
      <c r="F63" s="555"/>
      <c r="G63" s="483">
        <f t="shared" si="26"/>
        <v>0</v>
      </c>
      <c r="H63" s="491">
        <f t="shared" si="4"/>
        <v>0</v>
      </c>
      <c r="I63" s="485">
        <f t="shared" si="27"/>
        <v>0</v>
      </c>
    </row>
    <row r="64" spans="1:15" x14ac:dyDescent="0.2">
      <c r="A64" s="366"/>
      <c r="B64" s="366"/>
      <c r="C64" s="366"/>
      <c r="D64" s="366"/>
      <c r="E64" s="554"/>
      <c r="F64" s="555"/>
      <c r="G64" s="483">
        <f t="shared" si="26"/>
        <v>0</v>
      </c>
      <c r="H64" s="491">
        <f t="shared" si="4"/>
        <v>0</v>
      </c>
      <c r="I64" s="485">
        <f t="shared" si="27"/>
        <v>0</v>
      </c>
      <c r="M64" s="554" t="s">
        <v>899</v>
      </c>
      <c r="N64" s="508">
        <f t="shared" ref="N64:N82" si="28">I4+I23+I42</f>
        <v>372200.55000000005</v>
      </c>
      <c r="O64" s="711" t="s">
        <v>899</v>
      </c>
    </row>
    <row r="65" spans="1:15" x14ac:dyDescent="0.2">
      <c r="A65" s="366"/>
      <c r="B65" s="366"/>
      <c r="C65" s="366"/>
      <c r="D65" s="366"/>
      <c r="E65" s="554"/>
      <c r="F65" s="555"/>
      <c r="G65" s="483">
        <f t="shared" si="26"/>
        <v>0</v>
      </c>
      <c r="H65" s="491">
        <f t="shared" si="4"/>
        <v>0</v>
      </c>
      <c r="I65" s="485">
        <f t="shared" si="27"/>
        <v>0</v>
      </c>
      <c r="M65" s="554" t="s">
        <v>903</v>
      </c>
      <c r="N65" s="508">
        <f t="shared" si="28"/>
        <v>260959.19999999998</v>
      </c>
      <c r="O65" s="715" t="s">
        <v>903</v>
      </c>
    </row>
    <row r="66" spans="1:15" x14ac:dyDescent="0.2">
      <c r="A66" s="366"/>
      <c r="B66" s="366"/>
      <c r="C66" s="366"/>
      <c r="D66" s="366"/>
      <c r="E66" s="554"/>
      <c r="F66" s="555"/>
      <c r="G66" s="483">
        <f t="shared" si="26"/>
        <v>0</v>
      </c>
      <c r="H66" s="491">
        <f t="shared" si="4"/>
        <v>0</v>
      </c>
      <c r="I66" s="485">
        <f t="shared" si="27"/>
        <v>0</v>
      </c>
      <c r="M66" s="554" t="s">
        <v>873</v>
      </c>
      <c r="N66" s="508">
        <f t="shared" si="28"/>
        <v>234737.97599999997</v>
      </c>
      <c r="O66" s="702" t="s">
        <v>873</v>
      </c>
    </row>
    <row r="67" spans="1:15" x14ac:dyDescent="0.2">
      <c r="E67" s="554"/>
      <c r="F67" s="555"/>
      <c r="G67" s="483">
        <f t="shared" si="26"/>
        <v>0</v>
      </c>
      <c r="H67" s="491">
        <f t="shared" si="4"/>
        <v>0</v>
      </c>
      <c r="I67" s="485">
        <f t="shared" ref="I67:I71" si="29">G67*H67</f>
        <v>0</v>
      </c>
      <c r="M67" s="554" t="s">
        <v>877</v>
      </c>
      <c r="N67" s="508">
        <f t="shared" si="28"/>
        <v>68187.168000000005</v>
      </c>
      <c r="O67" s="707" t="s">
        <v>877</v>
      </c>
    </row>
    <row r="68" spans="1:15" x14ac:dyDescent="0.2">
      <c r="E68" s="554"/>
      <c r="F68" s="555"/>
      <c r="G68" s="483">
        <f t="shared" si="26"/>
        <v>0</v>
      </c>
      <c r="H68" s="491">
        <f t="shared" si="4"/>
        <v>0</v>
      </c>
      <c r="I68" s="485">
        <f t="shared" si="29"/>
        <v>0</v>
      </c>
      <c r="M68" s="554" t="s">
        <v>862</v>
      </c>
      <c r="N68" s="508">
        <f t="shared" si="28"/>
        <v>272748.67200000002</v>
      </c>
      <c r="O68" s="702" t="s">
        <v>862</v>
      </c>
    </row>
    <row r="69" spans="1:15" x14ac:dyDescent="0.2">
      <c r="E69" s="554"/>
      <c r="F69" s="555"/>
      <c r="G69" s="483">
        <f t="shared" si="26"/>
        <v>0</v>
      </c>
      <c r="H69" s="491">
        <f t="shared" si="4"/>
        <v>0</v>
      </c>
      <c r="I69" s="485">
        <f t="shared" si="29"/>
        <v>0</v>
      </c>
      <c r="M69" s="554" t="s">
        <v>1057</v>
      </c>
      <c r="N69" s="508">
        <f t="shared" si="28"/>
        <v>0</v>
      </c>
    </row>
    <row r="70" spans="1:15" x14ac:dyDescent="0.2">
      <c r="E70" s="554"/>
      <c r="F70" s="555"/>
      <c r="G70" s="483">
        <f t="shared" si="26"/>
        <v>0</v>
      </c>
      <c r="H70" s="491">
        <f t="shared" si="4"/>
        <v>0</v>
      </c>
      <c r="I70" s="485">
        <f t="shared" si="29"/>
        <v>0</v>
      </c>
      <c r="M70" s="554" t="s">
        <v>1059</v>
      </c>
      <c r="N70" s="508">
        <f t="shared" si="28"/>
        <v>0</v>
      </c>
    </row>
    <row r="71" spans="1:15" x14ac:dyDescent="0.2">
      <c r="E71" s="554"/>
      <c r="F71" s="555"/>
      <c r="G71" s="483">
        <f t="shared" si="26"/>
        <v>0</v>
      </c>
      <c r="H71" s="491">
        <f t="shared" si="4"/>
        <v>0</v>
      </c>
      <c r="I71" s="485">
        <f t="shared" si="29"/>
        <v>0</v>
      </c>
      <c r="M71" s="554" t="s">
        <v>917</v>
      </c>
      <c r="N71" s="508">
        <f t="shared" si="28"/>
        <v>606089.99999999977</v>
      </c>
      <c r="O71" s="711" t="s">
        <v>917</v>
      </c>
    </row>
    <row r="72" spans="1:15" x14ac:dyDescent="0.2">
      <c r="E72" s="554"/>
      <c r="F72" s="555"/>
      <c r="G72" s="483">
        <f t="shared" si="26"/>
        <v>0</v>
      </c>
      <c r="H72" s="491">
        <f t="shared" si="4"/>
        <v>0</v>
      </c>
      <c r="I72" s="485">
        <f t="shared" ref="I72:I83" si="30">G72*H72</f>
        <v>0</v>
      </c>
      <c r="M72" s="554" t="s">
        <v>922</v>
      </c>
      <c r="N72" s="508">
        <f t="shared" si="28"/>
        <v>187890.62399999998</v>
      </c>
      <c r="O72" s="715" t="s">
        <v>922</v>
      </c>
    </row>
    <row r="73" spans="1:15" x14ac:dyDescent="0.2">
      <c r="A73" s="369" t="s">
        <v>115</v>
      </c>
      <c r="B73" s="558">
        <v>12</v>
      </c>
      <c r="C73" s="483">
        <f>SUM(G73:G84)</f>
        <v>0</v>
      </c>
      <c r="D73" s="484">
        <f>IFERROR(SUM(I73:I84)/C73,)</f>
        <v>0</v>
      </c>
      <c r="E73" s="554"/>
      <c r="F73" s="555"/>
      <c r="G73" s="483">
        <f t="shared" ref="G73:G83" si="31">IFERROR(VLOOKUP(E73,$M$4:$O$27,3,0)*F73*$B$73*20,)</f>
        <v>0</v>
      </c>
      <c r="H73" s="491">
        <f t="shared" si="4"/>
        <v>0</v>
      </c>
      <c r="I73" s="485">
        <f t="shared" si="30"/>
        <v>0</v>
      </c>
      <c r="M73" s="554" t="s">
        <v>912</v>
      </c>
      <c r="N73" s="508">
        <f t="shared" si="28"/>
        <v>52191.839999999997</v>
      </c>
      <c r="O73" s="715" t="s">
        <v>912</v>
      </c>
    </row>
    <row r="74" spans="1:15" x14ac:dyDescent="0.2">
      <c r="A74" s="366"/>
      <c r="B74" s="366"/>
      <c r="C74" s="366"/>
      <c r="D74" s="366"/>
      <c r="E74" s="554"/>
      <c r="F74" s="555"/>
      <c r="G74" s="483">
        <f t="shared" si="31"/>
        <v>0</v>
      </c>
      <c r="H74" s="491">
        <f t="shared" si="4"/>
        <v>0</v>
      </c>
      <c r="I74" s="485">
        <f t="shared" si="30"/>
        <v>0</v>
      </c>
      <c r="M74" s="554" t="s">
        <v>927</v>
      </c>
      <c r="N74" s="508">
        <f t="shared" si="28"/>
        <v>95340.000000000015</v>
      </c>
      <c r="O74" s="693" t="s">
        <v>927</v>
      </c>
    </row>
    <row r="75" spans="1:15" x14ac:dyDescent="0.2">
      <c r="A75" s="366"/>
      <c r="B75" s="366"/>
      <c r="C75" s="366"/>
      <c r="D75" s="366"/>
      <c r="E75" s="554"/>
      <c r="F75" s="555"/>
      <c r="G75" s="483">
        <f t="shared" si="31"/>
        <v>0</v>
      </c>
      <c r="H75" s="491">
        <f t="shared" si="4"/>
        <v>0</v>
      </c>
      <c r="I75" s="485">
        <f t="shared" si="30"/>
        <v>0</v>
      </c>
      <c r="M75" s="554" t="s">
        <v>938</v>
      </c>
      <c r="N75" s="508">
        <f t="shared" si="28"/>
        <v>143009.99999999997</v>
      </c>
      <c r="O75" s="693" t="s">
        <v>938</v>
      </c>
    </row>
    <row r="76" spans="1:15" x14ac:dyDescent="0.2">
      <c r="A76" s="366"/>
      <c r="B76" s="366"/>
      <c r="C76" s="366"/>
      <c r="D76" s="366"/>
      <c r="E76" s="554"/>
      <c r="F76" s="555"/>
      <c r="G76" s="483">
        <f t="shared" si="31"/>
        <v>0</v>
      </c>
      <c r="H76" s="491">
        <f t="shared" si="4"/>
        <v>0</v>
      </c>
      <c r="I76" s="485">
        <f t="shared" si="30"/>
        <v>0</v>
      </c>
      <c r="M76" s="554" t="s">
        <v>1000</v>
      </c>
      <c r="N76" s="508">
        <f t="shared" si="28"/>
        <v>76272.000000000015</v>
      </c>
      <c r="O76" s="693" t="s">
        <v>1000</v>
      </c>
    </row>
    <row r="77" spans="1:15" x14ac:dyDescent="0.2">
      <c r="A77" s="366"/>
      <c r="B77" s="366"/>
      <c r="C77" s="366"/>
      <c r="D77" s="366"/>
      <c r="E77" s="554"/>
      <c r="F77" s="555"/>
      <c r="G77" s="483">
        <f t="shared" si="31"/>
        <v>0</v>
      </c>
      <c r="H77" s="491">
        <f t="shared" si="4"/>
        <v>0</v>
      </c>
      <c r="I77" s="485">
        <f t="shared" si="30"/>
        <v>0</v>
      </c>
      <c r="M77" s="554" t="s">
        <v>1670</v>
      </c>
      <c r="N77" s="508">
        <f t="shared" si="28"/>
        <v>36774</v>
      </c>
      <c r="O77" s="693" t="s">
        <v>1006</v>
      </c>
    </row>
    <row r="78" spans="1:15" x14ac:dyDescent="0.2">
      <c r="A78" s="366"/>
      <c r="B78" s="366"/>
      <c r="C78" s="366"/>
      <c r="D78" s="366"/>
      <c r="E78" s="554"/>
      <c r="F78" s="555"/>
      <c r="G78" s="483">
        <f t="shared" si="31"/>
        <v>0</v>
      </c>
      <c r="H78" s="491">
        <f t="shared" si="4"/>
        <v>0</v>
      </c>
      <c r="I78" s="485">
        <f t="shared" si="30"/>
        <v>0</v>
      </c>
      <c r="M78" s="554" t="s">
        <v>1671</v>
      </c>
      <c r="N78" s="508">
        <f t="shared" si="28"/>
        <v>36774</v>
      </c>
      <c r="O78" s="693" t="s">
        <v>1009</v>
      </c>
    </row>
    <row r="79" spans="1:15" x14ac:dyDescent="0.2">
      <c r="E79" s="554"/>
      <c r="F79" s="555"/>
      <c r="G79" s="483">
        <f t="shared" si="31"/>
        <v>0</v>
      </c>
      <c r="H79" s="491">
        <f t="shared" si="4"/>
        <v>0</v>
      </c>
      <c r="I79" s="485">
        <f t="shared" si="30"/>
        <v>0</v>
      </c>
      <c r="M79" s="554" t="s">
        <v>1672</v>
      </c>
      <c r="N79" s="508">
        <f t="shared" si="28"/>
        <v>142056.59999999998</v>
      </c>
      <c r="O79" s="693" t="s">
        <v>893</v>
      </c>
    </row>
    <row r="80" spans="1:15" x14ac:dyDescent="0.2">
      <c r="E80" s="554"/>
      <c r="F80" s="555"/>
      <c r="G80" s="483">
        <f t="shared" si="31"/>
        <v>0</v>
      </c>
      <c r="H80" s="491">
        <f t="shared" si="4"/>
        <v>0</v>
      </c>
      <c r="I80" s="485">
        <f t="shared" si="30"/>
        <v>0</v>
      </c>
      <c r="M80" s="554" t="s">
        <v>1014</v>
      </c>
      <c r="N80" s="508">
        <f t="shared" si="28"/>
        <v>10214.999999999996</v>
      </c>
      <c r="O80" s="693" t="s">
        <v>1014</v>
      </c>
    </row>
    <row r="81" spans="1:15" x14ac:dyDescent="0.2">
      <c r="E81" s="554"/>
      <c r="F81" s="555"/>
      <c r="G81" s="483">
        <f t="shared" si="31"/>
        <v>0</v>
      </c>
      <c r="H81" s="491">
        <f t="shared" si="4"/>
        <v>0</v>
      </c>
      <c r="I81" s="485">
        <f t="shared" si="30"/>
        <v>0</v>
      </c>
      <c r="M81" s="554" t="s">
        <v>886</v>
      </c>
      <c r="N81" s="508">
        <f t="shared" si="28"/>
        <v>57204.000000000015</v>
      </c>
      <c r="O81" s="693" t="s">
        <v>886</v>
      </c>
    </row>
    <row r="82" spans="1:15" x14ac:dyDescent="0.2">
      <c r="E82" s="554"/>
      <c r="F82" s="555"/>
      <c r="G82" s="483">
        <f t="shared" si="31"/>
        <v>0</v>
      </c>
      <c r="H82" s="491">
        <f t="shared" si="4"/>
        <v>0</v>
      </c>
      <c r="I82" s="485">
        <f t="shared" si="30"/>
        <v>0</v>
      </c>
      <c r="M82" s="554" t="s">
        <v>1019</v>
      </c>
      <c r="N82" s="508">
        <f t="shared" si="28"/>
        <v>20920.32</v>
      </c>
      <c r="O82" s="693" t="s">
        <v>1019</v>
      </c>
    </row>
    <row r="83" spans="1:15" x14ac:dyDescent="0.2">
      <c r="E83" s="554"/>
      <c r="F83" s="555"/>
      <c r="G83" s="483">
        <f t="shared" si="31"/>
        <v>0</v>
      </c>
      <c r="H83" s="491">
        <f t="shared" si="4"/>
        <v>0</v>
      </c>
      <c r="I83" s="485">
        <f t="shared" si="30"/>
        <v>0</v>
      </c>
    </row>
    <row r="84" spans="1:15" x14ac:dyDescent="0.2">
      <c r="A84" s="369" t="str">
        <f>IF(SUM('Zdroje Financovania'!L3:L21)&gt;0,TEXT("Saldokonto - Pomocný výpočet",),TEXT(" ",))</f>
        <v>Saldokonto - Pomocný výpočet</v>
      </c>
      <c r="B84" s="1369"/>
      <c r="C84" s="1370"/>
      <c r="D84" s="1370"/>
      <c r="E84" s="1370"/>
      <c r="F84" s="1370"/>
      <c r="G84" s="1370"/>
      <c r="H84" s="1371"/>
      <c r="I84" s="485">
        <f>IF(SUM('Zdroje Financovania'!L3:L21)&gt;0,I85-(SUM(I61:I83)+SUM(EXTERNE_POZICIE!M41:M64)*1.23),0)</f>
        <v>1864482.9380306653</v>
      </c>
    </row>
    <row r="85" spans="1:15" x14ac:dyDescent="0.2">
      <c r="A85" s="369" t="str">
        <f>IF(SUM('Zdroje Financovania'!L3:L21)&gt;0,TEXT("Podporné oblasti projektu",),TEXT(" ",))</f>
        <v>Podporné oblasti projektu</v>
      </c>
      <c r="B85" s="1372" t="str">
        <f>IF(SUM('Zdroje Financovania'!L3:L21)&gt;0,TEXT("907 - Paušálna sadzba na nepriame výdavky podľa článku 54 písm. a) NSU",),TEXT(" ",))</f>
        <v>907 - Paušálna sadzba na nepriame výdavky podľa článku 54 písm. a) NSU</v>
      </c>
      <c r="C85" s="1373"/>
      <c r="D85" s="1373"/>
      <c r="E85" s="1373"/>
      <c r="F85" s="1373"/>
      <c r="G85" s="1373"/>
      <c r="H85" s="666">
        <f>IF(SUM('Zdroje Financovania'!L3:L21)&gt;0,0.07,0)</f>
        <v>7.0000000000000007E-2</v>
      </c>
      <c r="I85" s="666">
        <f>IF(SUM('Zdroje Financovania'!L3:L21)&gt;0,H85*(EXTERNE_POZICIE!M1*1.23+POZICIE_INTERNE!I1+'Rozpočet - HW a licencie'!I1),0)</f>
        <v>1864482.9380306653</v>
      </c>
    </row>
  </sheetData>
  <mergeCells count="4">
    <mergeCell ref="E1:F1"/>
    <mergeCell ref="E2:F2"/>
    <mergeCell ref="B84:H84"/>
    <mergeCell ref="B85:G85"/>
  </mergeCells>
  <conditionalFormatting sqref="P4:P27">
    <cfRule type="cellIs" dxfId="4" priority="2" operator="greaterThan">
      <formula>$U4</formula>
    </cfRule>
  </conditionalFormatting>
  <conditionalFormatting sqref="Q2">
    <cfRule type="cellIs" dxfId="3" priority="1" operator="greaterThan">
      <formula>0.2</formula>
    </cfRule>
  </conditionalFormatting>
  <dataValidations disablePrompts="1" count="1">
    <dataValidation type="list" allowBlank="1" showInputMessage="1" showErrorMessage="1" sqref="E4:E83 M64:M82" xr:uid="{00000000-0002-0000-1000-000000000000}">
      <formula1>Pozicia</formula1>
    </dataValidation>
  </dataValidations>
  <pageMargins left="0.7" right="0.7" top="0.75" bottom="0.75" header="0.3" footer="0.3"/>
  <pageSetup paperSize="9" orientation="portrait" horizontalDpi="4294967293"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5">
    <tabColor rgb="FF00B050"/>
  </sheetPr>
  <dimension ref="A1:M65"/>
  <sheetViews>
    <sheetView zoomScale="90" zoomScaleNormal="90" workbookViewId="0">
      <pane ySplit="2" topLeftCell="A51" activePane="bottomLeft" state="frozen"/>
      <selection activeCell="J3" sqref="J3:J11"/>
      <selection pane="bottomLeft" activeCell="G70" sqref="G70"/>
    </sheetView>
  </sheetViews>
  <sheetFormatPr baseColWidth="10" defaultColWidth="8.6640625" defaultRowHeight="15" x14ac:dyDescent="0.2"/>
  <cols>
    <col min="1" max="1" width="9.5" style="364" customWidth="1"/>
    <col min="2" max="2" width="36.33203125" style="364" customWidth="1"/>
    <col min="3" max="3" width="31.33203125" style="364" customWidth="1"/>
    <col min="4" max="4" width="51.5" style="364" customWidth="1"/>
    <col min="5" max="5" width="14.1640625" style="364" bestFit="1" customWidth="1"/>
    <col min="6" max="6" width="14.1640625" style="364" customWidth="1"/>
    <col min="7" max="7" width="13.6640625" style="364" customWidth="1"/>
    <col min="8" max="8" width="14.6640625" style="364" customWidth="1"/>
    <col min="9" max="9" width="14.83203125" style="371" customWidth="1"/>
    <col min="10" max="11" width="14.83203125" style="364" customWidth="1"/>
    <col min="12" max="12" width="52.1640625" style="364" customWidth="1"/>
    <col min="13" max="16384" width="8.6640625" style="364"/>
  </cols>
  <sheetData>
    <row r="1" spans="1:13" x14ac:dyDescent="0.2">
      <c r="A1" s="1377" t="s">
        <v>116</v>
      </c>
      <c r="B1" s="1378"/>
      <c r="C1" s="1378"/>
      <c r="D1" s="1379"/>
      <c r="E1" s="486">
        <f>SUM(E3:E65)</f>
        <v>2450.0000000000005</v>
      </c>
      <c r="F1" s="486">
        <f>SUM(F3:F65)</f>
        <v>11741.875</v>
      </c>
      <c r="G1" s="492"/>
      <c r="H1" s="486"/>
      <c r="I1" s="487">
        <f>SUM(I3:I65)</f>
        <v>2673571.9499999988</v>
      </c>
      <c r="J1" s="775">
        <f>SUM(J3:J65)</f>
        <v>1298872.6199999999</v>
      </c>
      <c r="K1" s="487">
        <f>SUM(K3:K65)</f>
        <v>3972444.5699999984</v>
      </c>
      <c r="L1" s="488"/>
    </row>
    <row r="2" spans="1:13" ht="51" customHeight="1" x14ac:dyDescent="0.2">
      <c r="A2" s="489" t="s">
        <v>417</v>
      </c>
      <c r="B2" s="489" t="s">
        <v>259</v>
      </c>
      <c r="C2" s="489" t="s">
        <v>765</v>
      </c>
      <c r="D2" s="489" t="s">
        <v>249</v>
      </c>
      <c r="E2" s="490" t="s">
        <v>432</v>
      </c>
      <c r="F2" s="490" t="s">
        <v>428</v>
      </c>
      <c r="G2" s="490" t="s">
        <v>427</v>
      </c>
      <c r="H2" s="490" t="s">
        <v>426</v>
      </c>
      <c r="I2" s="490" t="s">
        <v>429</v>
      </c>
      <c r="J2" s="490" t="s">
        <v>430</v>
      </c>
      <c r="K2" s="490" t="s">
        <v>35</v>
      </c>
      <c r="L2" s="490" t="s">
        <v>410</v>
      </c>
    </row>
    <row r="3" spans="1:13" ht="15" customHeight="1" x14ac:dyDescent="0.2">
      <c r="A3" s="1374" t="s">
        <v>270</v>
      </c>
      <c r="B3" s="561" t="s">
        <v>799</v>
      </c>
      <c r="C3" s="436" t="s">
        <v>261</v>
      </c>
      <c r="D3" s="813" t="s">
        <v>3761</v>
      </c>
      <c r="E3" s="642">
        <f>IFERROR(VLOOKUP(B3,MODULY_CBA!$B$3:$O$23,14,0)*VLOOKUP('Rozpocet - Vyvoj aplikacii'!C3,EXTERNE_POZICIE!$A$4:$C$39,3,0),0)</f>
        <v>7.8367346938775517</v>
      </c>
      <c r="F3" s="499">
        <f>IFERROR(VLOOKUP(C3,POZICIE_INTERNE!$A$4:$D$60,3,0)*VLOOKUP(B3,MODULY_CBA!$B$3:$J$23,9,0)/SUM(MODULY_CBA!$J$3:$J$23),)</f>
        <v>93.647959183673464</v>
      </c>
      <c r="G3" s="505">
        <f>IFERROR(IF(ISTEXT(B3),VLOOKUP(C3,POZICIE_INTERNE!$A$4:$D$60,4,0),),)</f>
        <v>226.64332988286563</v>
      </c>
      <c r="H3" s="506">
        <f>IF(ISTEXT(B3),VLOOKUP(C3,EXTERNE_POZICIE!$A$4:$E$39,5,0),)</f>
        <v>439.47500000000002</v>
      </c>
      <c r="I3" s="500">
        <f>G3*F3</f>
        <v>21224.685306122439</v>
      </c>
      <c r="J3" s="500">
        <f>E3*H3*1.23</f>
        <v>4236.1802448979597</v>
      </c>
      <c r="K3" s="500">
        <f>J3+I3</f>
        <v>25460.865551020397</v>
      </c>
      <c r="L3" s="562"/>
    </row>
    <row r="4" spans="1:13" ht="15" customHeight="1" x14ac:dyDescent="0.2">
      <c r="A4" s="1375"/>
      <c r="B4" s="561" t="s">
        <v>799</v>
      </c>
      <c r="C4" s="436" t="s">
        <v>530</v>
      </c>
      <c r="D4" s="813" t="s">
        <v>3762</v>
      </c>
      <c r="E4" s="642">
        <f>IFERROR(VLOOKUP(B4,MODULY_CBA!$B$3:$O$23,14,0)*VLOOKUP('Rozpocet - Vyvoj aplikacii'!C4,EXTERNE_POZICIE!$A$4:$C$39,3,0),0)</f>
        <v>36.612244897959187</v>
      </c>
      <c r="F4" s="499">
        <f>IFERROR(VLOOKUP(C4,POZICIE_INTERNE!$A$4:$D$60,3,0)*VLOOKUP(B4,MODULY_CBA!$B$3:$J$23,9,0)/SUM(MODULY_CBA!$J$3:$J$23),)</f>
        <v>96.954081632653057</v>
      </c>
      <c r="G4" s="505">
        <f>IFERROR(IF(ISTEXT(B4),VLOOKUP(C4,POZICIE_INTERNE!$A$4:$D$60,4,0),),)</f>
        <v>228.20362679576903</v>
      </c>
      <c r="H4" s="506">
        <f>IF(ISTEXT(B4),VLOOKUP(C4,EXTERNE_POZICIE!$A$4:$E$39,5,0),)</f>
        <v>424.51371237458193</v>
      </c>
      <c r="I4" s="500">
        <f t="shared" ref="I4:I65" si="0">G4*F4</f>
        <v>22125.273061224481</v>
      </c>
      <c r="J4" s="500">
        <f t="shared" ref="J4:J65" si="1">E4*H4*1.23</f>
        <v>19117.152000000002</v>
      </c>
      <c r="K4" s="500">
        <f t="shared" ref="K4:K22" si="2">J4+I4</f>
        <v>41242.42506122448</v>
      </c>
      <c r="L4" s="562"/>
    </row>
    <row r="5" spans="1:13" ht="15" customHeight="1" x14ac:dyDescent="0.2">
      <c r="A5" s="1375"/>
      <c r="B5" s="561" t="s">
        <v>799</v>
      </c>
      <c r="C5" s="436" t="s">
        <v>262</v>
      </c>
      <c r="D5" s="813" t="s">
        <v>3763</v>
      </c>
      <c r="E5" s="642">
        <f>IFERROR(VLOOKUP(B5,MODULY_CBA!$B$3:$O$23,14,0)*VLOOKUP('Rozpocet - Vyvoj aplikacii'!C5,EXTERNE_POZICIE!$A$4:$C$39,3,0),0)</f>
        <v>15.551020408163264</v>
      </c>
      <c r="F5" s="499">
        <f>IFERROR(VLOOKUP(C5,POZICIE_INTERNE!$A$4:$D$60,3,0)*VLOOKUP(B5,MODULY_CBA!$B$3:$J$23,9,0)/SUM(MODULY_CBA!$J$3:$J$23),)</f>
        <v>96.954081632653057</v>
      </c>
      <c r="G5" s="505">
        <f>IFERROR(IF(ISTEXT(B5),VLOOKUP(C5,POZICIE_INTERNE!$A$4:$D$60,4,0),),)</f>
        <v>228.20362679576903</v>
      </c>
      <c r="H5" s="506">
        <f>IF(ISTEXT(B5),VLOOKUP(C5,EXTERNE_POZICIE!$A$4:$E$39,5,0),)</f>
        <v>442.06929133858267</v>
      </c>
      <c r="I5" s="500">
        <f t="shared" si="0"/>
        <v>22125.273061224481</v>
      </c>
      <c r="J5" s="500">
        <f t="shared" si="1"/>
        <v>8455.7931428571428</v>
      </c>
      <c r="K5" s="500">
        <f t="shared" si="2"/>
        <v>30581.066204081624</v>
      </c>
      <c r="L5" s="562"/>
    </row>
    <row r="6" spans="1:13" ht="15" customHeight="1" x14ac:dyDescent="0.2">
      <c r="A6" s="1375" t="s">
        <v>271</v>
      </c>
      <c r="B6" s="561" t="s">
        <v>815</v>
      </c>
      <c r="C6" s="436" t="s">
        <v>261</v>
      </c>
      <c r="D6" s="813" t="s">
        <v>3764</v>
      </c>
      <c r="E6" s="642">
        <f>IFERROR(VLOOKUP(B6,MODULY_CBA!$B$3:$O$23,14,0)*VLOOKUP('Rozpocet - Vyvoj aplikacii'!C6,EXTERNE_POZICIE!$A$4:$C$39,3,0),0)</f>
        <v>7.8367346938775517</v>
      </c>
      <c r="F6" s="499">
        <f>IFERROR(VLOOKUP(C6,POZICIE_INTERNE!$A$4:$D$60,3,0)*VLOOKUP(B6,MODULY_CBA!$B$3:$J$23,9,0)/SUM(MODULY_CBA!$J$3:$J$23),)</f>
        <v>93.647959183673464</v>
      </c>
      <c r="G6" s="505">
        <f>IFERROR(IF(ISTEXT(B6),VLOOKUP(C6,POZICIE_INTERNE!$A$4:$D$60,4,0),),)</f>
        <v>226.64332988286563</v>
      </c>
      <c r="H6" s="506">
        <f>IF(ISTEXT(B6),VLOOKUP(C6,EXTERNE_POZICIE!$A$4:$E$39,5,0),)</f>
        <v>439.47500000000002</v>
      </c>
      <c r="I6" s="500">
        <f t="shared" si="0"/>
        <v>21224.685306122439</v>
      </c>
      <c r="J6" s="500">
        <f t="shared" si="1"/>
        <v>4236.1802448979597</v>
      </c>
      <c r="K6" s="500">
        <f t="shared" si="2"/>
        <v>25460.865551020397</v>
      </c>
      <c r="L6" s="562"/>
    </row>
    <row r="7" spans="1:13" ht="15" customHeight="1" x14ac:dyDescent="0.2">
      <c r="A7" s="1375"/>
      <c r="B7" s="561" t="s">
        <v>815</v>
      </c>
      <c r="C7" s="436" t="s">
        <v>530</v>
      </c>
      <c r="D7" s="813" t="s">
        <v>3765</v>
      </c>
      <c r="E7" s="642">
        <f>IFERROR(VLOOKUP(B7,MODULY_CBA!$B$3:$O$23,14,0)*VLOOKUP('Rozpocet - Vyvoj aplikacii'!C7,EXTERNE_POZICIE!$A$4:$C$39,3,0),0)</f>
        <v>36.612244897959187</v>
      </c>
      <c r="F7" s="499">
        <f>IFERROR(VLOOKUP(C7,POZICIE_INTERNE!$A$4:$D$60,3,0)*VLOOKUP(B7,MODULY_CBA!$B$3:$J$23,9,0)/SUM(MODULY_CBA!$J$3:$J$23),)</f>
        <v>96.954081632653057</v>
      </c>
      <c r="G7" s="505">
        <f>IFERROR(IF(ISTEXT(B7),VLOOKUP(C7,POZICIE_INTERNE!$A$4:$D$60,4,0),),)</f>
        <v>228.20362679576903</v>
      </c>
      <c r="H7" s="506">
        <f>IF(ISTEXT(B7),VLOOKUP(C7,EXTERNE_POZICIE!$A$4:$E$39,5,0),)</f>
        <v>424.51371237458193</v>
      </c>
      <c r="I7" s="500">
        <f t="shared" si="0"/>
        <v>22125.273061224481</v>
      </c>
      <c r="J7" s="500">
        <f t="shared" si="1"/>
        <v>19117.152000000002</v>
      </c>
      <c r="K7" s="500">
        <f t="shared" si="2"/>
        <v>41242.42506122448</v>
      </c>
      <c r="L7" s="562"/>
    </row>
    <row r="8" spans="1:13" ht="15" customHeight="1" x14ac:dyDescent="0.2">
      <c r="A8" s="1375"/>
      <c r="B8" s="561" t="s">
        <v>815</v>
      </c>
      <c r="C8" s="436" t="s">
        <v>262</v>
      </c>
      <c r="D8" s="813" t="s">
        <v>3766</v>
      </c>
      <c r="E8" s="642">
        <f>IFERROR(VLOOKUP(B8,MODULY_CBA!$B$3:$O$23,14,0)*VLOOKUP('Rozpocet - Vyvoj aplikacii'!C8,EXTERNE_POZICIE!$A$4:$C$39,3,0),0)</f>
        <v>15.551020408163264</v>
      </c>
      <c r="F8" s="499">
        <f>IFERROR(VLOOKUP(C8,POZICIE_INTERNE!$A$4:$D$60,3,0)*VLOOKUP(B8,MODULY_CBA!$B$3:$J$23,9,0)/SUM(MODULY_CBA!$J$3:$J$23),)</f>
        <v>96.954081632653057</v>
      </c>
      <c r="G8" s="505">
        <f>IFERROR(IF(ISTEXT(B8),VLOOKUP(C8,POZICIE_INTERNE!$A$4:$D$60,4,0),),)</f>
        <v>228.20362679576903</v>
      </c>
      <c r="H8" s="506">
        <f>IF(ISTEXT(B8),VLOOKUP(C8,EXTERNE_POZICIE!$A$4:$E$39,5,0),)</f>
        <v>442.06929133858267</v>
      </c>
      <c r="I8" s="500">
        <f t="shared" si="0"/>
        <v>22125.273061224481</v>
      </c>
      <c r="J8" s="500">
        <f t="shared" si="1"/>
        <v>8455.7931428571428</v>
      </c>
      <c r="K8" s="500">
        <f t="shared" si="2"/>
        <v>30581.066204081624</v>
      </c>
      <c r="L8" s="562"/>
    </row>
    <row r="9" spans="1:13" ht="15" customHeight="1" x14ac:dyDescent="0.2">
      <c r="A9" s="1375" t="s">
        <v>272</v>
      </c>
      <c r="B9" s="561" t="s">
        <v>821</v>
      </c>
      <c r="C9" s="436" t="s">
        <v>261</v>
      </c>
      <c r="D9" s="813" t="s">
        <v>3767</v>
      </c>
      <c r="E9" s="642">
        <f>IFERROR(VLOOKUP(B9,MODULY_CBA!$B$3:$O$23,14,0)*VLOOKUP('Rozpocet - Vyvoj aplikacii'!C9,EXTERNE_POZICIE!$A$4:$C$39,3,0),0)</f>
        <v>18.02448979591837</v>
      </c>
      <c r="F9" s="499">
        <f>IFERROR(VLOOKUP(C9,POZICIE_INTERNE!$A$4:$D$60,3,0)*VLOOKUP(B9,MODULY_CBA!$B$3:$J$23,9,0)/SUM(MODULY_CBA!$J$3:$J$23),)</f>
        <v>215.39030612244898</v>
      </c>
      <c r="G9" s="505">
        <f>IFERROR(IF(ISTEXT(B9),VLOOKUP(C9,POZICIE_INTERNE!$A$4:$D$60,4,0),),)</f>
        <v>226.64332988286563</v>
      </c>
      <c r="H9" s="506">
        <f>IF(ISTEXT(B9),VLOOKUP(C9,EXTERNE_POZICIE!$A$4:$E$39,5,0),)</f>
        <v>439.47500000000002</v>
      </c>
      <c r="I9" s="500">
        <f t="shared" si="0"/>
        <v>48816.776204081616</v>
      </c>
      <c r="J9" s="500">
        <f t="shared" si="1"/>
        <v>9743.2145632653082</v>
      </c>
      <c r="K9" s="500">
        <f t="shared" si="2"/>
        <v>58559.990767346928</v>
      </c>
      <c r="L9" s="562"/>
    </row>
    <row r="10" spans="1:13" ht="15" customHeight="1" x14ac:dyDescent="0.2">
      <c r="A10" s="1375"/>
      <c r="B10" s="561" t="s">
        <v>821</v>
      </c>
      <c r="C10" s="436" t="s">
        <v>530</v>
      </c>
      <c r="D10" s="813" t="s">
        <v>3768</v>
      </c>
      <c r="E10" s="642">
        <f>IFERROR(VLOOKUP(B10,MODULY_CBA!$B$3:$O$23,14,0)*VLOOKUP('Rozpocet - Vyvoj aplikacii'!C10,EXTERNE_POZICIE!$A$4:$C$39,3,0),0)</f>
        <v>84.208163265306126</v>
      </c>
      <c r="F10" s="499">
        <f>IFERROR(VLOOKUP(C10,POZICIE_INTERNE!$A$4:$D$60,3,0)*VLOOKUP(B10,MODULY_CBA!$B$3:$J$23,9,0)/SUM(MODULY_CBA!$J$3:$J$23),)</f>
        <v>222.99438775510205</v>
      </c>
      <c r="G10" s="505">
        <f>IFERROR(IF(ISTEXT(B10),VLOOKUP(C10,POZICIE_INTERNE!$A$4:$D$60,4,0),),)</f>
        <v>228.20362679576903</v>
      </c>
      <c r="H10" s="506">
        <f>IF(ISTEXT(B10),VLOOKUP(C10,EXTERNE_POZICIE!$A$4:$E$39,5,0),)</f>
        <v>424.51371237458193</v>
      </c>
      <c r="I10" s="500">
        <f t="shared" si="0"/>
        <v>50888.128040816315</v>
      </c>
      <c r="J10" s="500">
        <f t="shared" si="1"/>
        <v>43969.449600000007</v>
      </c>
      <c r="K10" s="500">
        <f t="shared" si="2"/>
        <v>94857.577640816322</v>
      </c>
      <c r="L10" s="562"/>
    </row>
    <row r="11" spans="1:13" ht="15" customHeight="1" x14ac:dyDescent="0.2">
      <c r="A11" s="1375"/>
      <c r="B11" s="561" t="s">
        <v>821</v>
      </c>
      <c r="C11" s="436" t="s">
        <v>262</v>
      </c>
      <c r="D11" s="813" t="s">
        <v>3769</v>
      </c>
      <c r="E11" s="642">
        <f>IFERROR(VLOOKUP(B11,MODULY_CBA!$B$3:$O$23,14,0)*VLOOKUP('Rozpocet - Vyvoj aplikacii'!C11,EXTERNE_POZICIE!$A$4:$C$39,3,0),0)</f>
        <v>35.767346938775511</v>
      </c>
      <c r="F11" s="499">
        <f>IFERROR(VLOOKUP(C11,POZICIE_INTERNE!$A$4:$D$60,3,0)*VLOOKUP(B11,MODULY_CBA!$B$3:$J$23,9,0)/SUM(MODULY_CBA!$J$3:$J$23),)</f>
        <v>222.99438775510205</v>
      </c>
      <c r="G11" s="505">
        <f>IFERROR(IF(ISTEXT(B11),VLOOKUP(C11,POZICIE_INTERNE!$A$4:$D$60,4,0),),)</f>
        <v>228.20362679576903</v>
      </c>
      <c r="H11" s="506">
        <f>IF(ISTEXT(B11),VLOOKUP(C11,EXTERNE_POZICIE!$A$4:$E$39,5,0),)</f>
        <v>442.06929133858267</v>
      </c>
      <c r="I11" s="500">
        <f t="shared" si="0"/>
        <v>50888.128040816315</v>
      </c>
      <c r="J11" s="500">
        <f t="shared" si="1"/>
        <v>19448.32422857143</v>
      </c>
      <c r="K11" s="500">
        <f t="shared" si="2"/>
        <v>70336.452269387752</v>
      </c>
      <c r="L11" s="562"/>
    </row>
    <row r="12" spans="1:13" ht="15" customHeight="1" x14ac:dyDescent="0.2">
      <c r="A12" s="1375" t="s">
        <v>273</v>
      </c>
      <c r="B12" s="561" t="s">
        <v>824</v>
      </c>
      <c r="C12" s="436" t="s">
        <v>261</v>
      </c>
      <c r="D12" s="813"/>
      <c r="E12" s="642">
        <f>IFERROR(VLOOKUP(B12,MODULY_CBA!$B$3:$O$23,14,0)*VLOOKUP('Rozpocet - Vyvoj aplikacii'!C12,EXTERNE_POZICIE!$A$4:$C$39,3,0),0)</f>
        <v>0</v>
      </c>
      <c r="F12" s="499">
        <f>IFERROR(VLOOKUP(C12,POZICIE_INTERNE!$A$4:$D$60,3,0)*VLOOKUP(B12,MODULY_CBA!$B$3:$J$23,9,0)/SUM(MODULY_CBA!$J$3:$J$23),)</f>
        <v>0</v>
      </c>
      <c r="G12" s="505">
        <f>IFERROR(IF(ISTEXT(B12),VLOOKUP(C12,POZICIE_INTERNE!$A$4:$D$60,4,0),),)</f>
        <v>226.64332988286563</v>
      </c>
      <c r="H12" s="506">
        <f>IF(ISTEXT(B12),VLOOKUP(C12,EXTERNE_POZICIE!$A$4:$E$39,5,0),)</f>
        <v>439.47500000000002</v>
      </c>
      <c r="I12" s="500">
        <f t="shared" si="0"/>
        <v>0</v>
      </c>
      <c r="J12" s="500">
        <f t="shared" si="1"/>
        <v>0</v>
      </c>
      <c r="K12" s="500">
        <f t="shared" si="2"/>
        <v>0</v>
      </c>
      <c r="L12" s="562"/>
    </row>
    <row r="13" spans="1:13" ht="15" customHeight="1" x14ac:dyDescent="0.2">
      <c r="A13" s="1375"/>
      <c r="B13" s="561" t="s">
        <v>824</v>
      </c>
      <c r="C13" s="436" t="s">
        <v>530</v>
      </c>
      <c r="D13" s="813"/>
      <c r="E13" s="642">
        <f>IFERROR(VLOOKUP(B13,MODULY_CBA!$B$3:$O$23,14,0)*VLOOKUP('Rozpocet - Vyvoj aplikacii'!C13,EXTERNE_POZICIE!$A$4:$C$39,3,0),0)</f>
        <v>0</v>
      </c>
      <c r="F13" s="499">
        <f>IFERROR(VLOOKUP(C13,POZICIE_INTERNE!$A$4:$D$60,3,0)*VLOOKUP(B13,MODULY_CBA!$B$3:$J$23,9,0)/SUM(MODULY_CBA!$J$3:$J$23),)</f>
        <v>0</v>
      </c>
      <c r="G13" s="505">
        <f>IFERROR(IF(ISTEXT(B13),VLOOKUP(C13,POZICIE_INTERNE!$A$4:$D$60,4,0),),)</f>
        <v>228.20362679576903</v>
      </c>
      <c r="H13" s="506">
        <f>IF(ISTEXT(B13),VLOOKUP(C13,EXTERNE_POZICIE!$A$4:$E$39,5,0),)</f>
        <v>424.51371237458193</v>
      </c>
      <c r="I13" s="500">
        <f t="shared" si="0"/>
        <v>0</v>
      </c>
      <c r="J13" s="500">
        <f t="shared" si="1"/>
        <v>0</v>
      </c>
      <c r="K13" s="500">
        <f t="shared" si="2"/>
        <v>0</v>
      </c>
      <c r="L13" s="562"/>
    </row>
    <row r="14" spans="1:13" ht="15" customHeight="1" x14ac:dyDescent="0.2">
      <c r="A14" s="1376"/>
      <c r="B14" s="561" t="s">
        <v>824</v>
      </c>
      <c r="C14" s="436" t="s">
        <v>262</v>
      </c>
      <c r="D14" s="813"/>
      <c r="E14" s="642">
        <f>IFERROR(VLOOKUP(B14,MODULY_CBA!$B$3:$O$23,14,0)*VLOOKUP('Rozpocet - Vyvoj aplikacii'!C14,EXTERNE_POZICIE!$A$4:$C$39,3,0),0)</f>
        <v>0</v>
      </c>
      <c r="F14" s="499">
        <f>IFERROR(VLOOKUP(C14,POZICIE_INTERNE!$A$4:$D$60,3,0)*VLOOKUP(B14,MODULY_CBA!$B$3:$J$23,9,0)/SUM(MODULY_CBA!$J$3:$J$23),)</f>
        <v>0</v>
      </c>
      <c r="G14" s="505">
        <f>IFERROR(IF(ISTEXT(B14),VLOOKUP(C14,POZICIE_INTERNE!$A$4:$D$60,4,0),),)</f>
        <v>228.20362679576903</v>
      </c>
      <c r="H14" s="506">
        <f>IF(ISTEXT(B14),VLOOKUP(C14,EXTERNE_POZICIE!$A$4:$E$39,5,0),)</f>
        <v>442.06929133858267</v>
      </c>
      <c r="I14" s="500">
        <f t="shared" si="0"/>
        <v>0</v>
      </c>
      <c r="J14" s="500">
        <f t="shared" si="1"/>
        <v>0</v>
      </c>
      <c r="K14" s="500">
        <f t="shared" si="2"/>
        <v>0</v>
      </c>
      <c r="L14" s="562"/>
    </row>
    <row r="15" spans="1:13" ht="15" customHeight="1" x14ac:dyDescent="0.2">
      <c r="A15" s="1374" t="s">
        <v>274</v>
      </c>
      <c r="B15" s="561" t="s">
        <v>830</v>
      </c>
      <c r="C15" s="436" t="s">
        <v>261</v>
      </c>
      <c r="D15" s="813" t="s">
        <v>3770</v>
      </c>
      <c r="E15" s="642">
        <f>IFERROR(VLOOKUP(B15,MODULY_CBA!$B$3:$O$23,14,0)*VLOOKUP('Rozpocet - Vyvoj aplikacii'!C15,EXTERNE_POZICIE!$A$4:$C$39,3,0),0)</f>
        <v>76.800000000000011</v>
      </c>
      <c r="F15" s="499">
        <f>IFERROR(VLOOKUP(C15,POZICIE_INTERNE!$A$4:$D$60,3,0)*VLOOKUP(B15,MODULY_CBA!$B$3:$J$23,9,0)/SUM(MODULY_CBA!$J$3:$J$23),)</f>
        <v>917.75</v>
      </c>
      <c r="G15" s="505">
        <f>IFERROR(IF(ISTEXT(B15),VLOOKUP(C15,POZICIE_INTERNE!$A$4:$D$60,4,0),),)</f>
        <v>226.64332988286563</v>
      </c>
      <c r="H15" s="506">
        <f>IF(ISTEXT(B15),VLOOKUP(C15,EXTERNE_POZICIE!$A$4:$E$39,5,0),)</f>
        <v>439.47500000000002</v>
      </c>
      <c r="I15" s="500">
        <f t="shared" si="0"/>
        <v>208001.91599999994</v>
      </c>
      <c r="J15" s="500">
        <f t="shared" si="1"/>
        <v>41514.566400000011</v>
      </c>
      <c r="K15" s="500">
        <f t="shared" si="2"/>
        <v>249516.48239999995</v>
      </c>
      <c r="L15" s="562"/>
      <c r="M15" s="772"/>
    </row>
    <row r="16" spans="1:13" ht="15" customHeight="1" x14ac:dyDescent="0.2">
      <c r="A16" s="1375"/>
      <c r="B16" s="561" t="s">
        <v>830</v>
      </c>
      <c r="C16" s="436" t="s">
        <v>530</v>
      </c>
      <c r="D16" s="813" t="s">
        <v>3771</v>
      </c>
      <c r="E16" s="642">
        <f>IFERROR(VLOOKUP(B16,MODULY_CBA!$B$3:$O$23,14,0)*VLOOKUP('Rozpocet - Vyvoj aplikacii'!C16,EXTERNE_POZICIE!$A$4:$C$39,3,0),0)</f>
        <v>358.8</v>
      </c>
      <c r="F16" s="499">
        <f>IFERROR(VLOOKUP(C16,POZICIE_INTERNE!$A$4:$D$60,3,0)*VLOOKUP(B16,MODULY_CBA!$B$3:$J$23,9,0)/SUM(MODULY_CBA!$J$3:$J$23),)</f>
        <v>950.15</v>
      </c>
      <c r="G16" s="505">
        <f>IFERROR(IF(ISTEXT(B16),VLOOKUP(C16,POZICIE_INTERNE!$A$4:$D$60,4,0),),)</f>
        <v>228.20362679576903</v>
      </c>
      <c r="H16" s="506">
        <f>IF(ISTEXT(B16),VLOOKUP(C16,EXTERNE_POZICIE!$A$4:$E$39,5,0),)</f>
        <v>424.51371237458193</v>
      </c>
      <c r="I16" s="500">
        <f t="shared" si="0"/>
        <v>216827.67599999995</v>
      </c>
      <c r="J16" s="500">
        <f t="shared" si="1"/>
        <v>187348.08959999998</v>
      </c>
      <c r="K16" s="500">
        <f t="shared" si="2"/>
        <v>404175.76559999993</v>
      </c>
      <c r="L16" s="562"/>
      <c r="M16" s="772"/>
    </row>
    <row r="17" spans="1:13" ht="15" customHeight="1" x14ac:dyDescent="0.2">
      <c r="A17" s="1375"/>
      <c r="B17" s="561" t="s">
        <v>830</v>
      </c>
      <c r="C17" s="436" t="s">
        <v>262</v>
      </c>
      <c r="D17" s="813" t="s">
        <v>3772</v>
      </c>
      <c r="E17" s="642">
        <f>IFERROR(VLOOKUP(B17,MODULY_CBA!$B$3:$O$23,14,0)*VLOOKUP('Rozpocet - Vyvoj aplikacii'!C17,EXTERNE_POZICIE!$A$4:$C$39,3,0),0)</f>
        <v>152.4</v>
      </c>
      <c r="F17" s="499">
        <f>IFERROR(VLOOKUP(C17,POZICIE_INTERNE!$A$4:$D$60,3,0)*VLOOKUP(B17,MODULY_CBA!$B$3:$J$23,9,0)/SUM(MODULY_CBA!$J$3:$J$23),)</f>
        <v>950.15</v>
      </c>
      <c r="G17" s="505">
        <f>IFERROR(IF(ISTEXT(B17),VLOOKUP(C17,POZICIE_INTERNE!$A$4:$D$60,4,0),),)</f>
        <v>228.20362679576903</v>
      </c>
      <c r="H17" s="506">
        <f>IF(ISTEXT(B17),VLOOKUP(C17,EXTERNE_POZICIE!$A$4:$E$39,5,0),)</f>
        <v>442.06929133858267</v>
      </c>
      <c r="I17" s="500">
        <f t="shared" si="0"/>
        <v>216827.67599999995</v>
      </c>
      <c r="J17" s="500">
        <f t="shared" si="1"/>
        <v>82866.772800000006</v>
      </c>
      <c r="K17" s="500">
        <f t="shared" si="2"/>
        <v>299694.44879999995</v>
      </c>
      <c r="L17" s="562"/>
      <c r="M17" s="772"/>
    </row>
    <row r="18" spans="1:13" ht="15" customHeight="1" x14ac:dyDescent="0.2">
      <c r="A18" s="1375" t="s">
        <v>275</v>
      </c>
      <c r="B18" s="561" t="s">
        <v>836</v>
      </c>
      <c r="C18" s="436" t="s">
        <v>261</v>
      </c>
      <c r="D18" s="813"/>
      <c r="E18" s="642">
        <f>IFERROR(VLOOKUP(B18,MODULY_CBA!$B$3:$O$23,14,0)*VLOOKUP('Rozpocet - Vyvoj aplikacii'!C18,EXTERNE_POZICIE!$A$4:$C$39,3,0),0)</f>
        <v>0</v>
      </c>
      <c r="F18" s="499">
        <f>IFERROR(VLOOKUP(C18,POZICIE_INTERNE!$A$4:$D$60,3,0)*VLOOKUP(B18,MODULY_CBA!$B$3:$J$23,9,0)/SUM(MODULY_CBA!$J$3:$J$23),)</f>
        <v>0</v>
      </c>
      <c r="G18" s="505">
        <f>IFERROR(IF(ISTEXT(B18),VLOOKUP(C18,POZICIE_INTERNE!$A$4:$D$60,4,0),),)</f>
        <v>226.64332988286563</v>
      </c>
      <c r="H18" s="506">
        <f>IF(ISTEXT(B18),VLOOKUP(C18,EXTERNE_POZICIE!$A$4:$E$39,5,0),)</f>
        <v>439.47500000000002</v>
      </c>
      <c r="I18" s="500">
        <f t="shared" si="0"/>
        <v>0</v>
      </c>
      <c r="J18" s="500">
        <f t="shared" si="1"/>
        <v>0</v>
      </c>
      <c r="K18" s="500">
        <f t="shared" si="2"/>
        <v>0</v>
      </c>
      <c r="L18" s="562"/>
    </row>
    <row r="19" spans="1:13" ht="15" customHeight="1" x14ac:dyDescent="0.2">
      <c r="A19" s="1375"/>
      <c r="B19" s="561" t="s">
        <v>836</v>
      </c>
      <c r="C19" s="436" t="s">
        <v>530</v>
      </c>
      <c r="D19" s="813"/>
      <c r="E19" s="642">
        <f>IFERROR(VLOOKUP(B19,MODULY_CBA!$B$3:$O$23,14,0)*VLOOKUP('Rozpocet - Vyvoj aplikacii'!C19,EXTERNE_POZICIE!$A$4:$C$39,3,0),0)</f>
        <v>0</v>
      </c>
      <c r="F19" s="499">
        <f>IFERROR(VLOOKUP(C19,POZICIE_INTERNE!$A$4:$D$60,3,0)*VLOOKUP(B19,MODULY_CBA!$B$3:$J$23,9,0)/SUM(MODULY_CBA!$J$3:$J$23),)</f>
        <v>0</v>
      </c>
      <c r="G19" s="505">
        <f>IFERROR(IF(ISTEXT(B19),VLOOKUP(C19,POZICIE_INTERNE!$A$4:$D$60,4,0),),)</f>
        <v>228.20362679576903</v>
      </c>
      <c r="H19" s="506">
        <f>IF(ISTEXT(B19),VLOOKUP(C19,EXTERNE_POZICIE!$A$4:$E$39,5,0),)</f>
        <v>424.51371237458193</v>
      </c>
      <c r="I19" s="500">
        <f t="shared" si="0"/>
        <v>0</v>
      </c>
      <c r="J19" s="500">
        <f t="shared" si="1"/>
        <v>0</v>
      </c>
      <c r="K19" s="500">
        <f t="shared" si="2"/>
        <v>0</v>
      </c>
      <c r="L19" s="562"/>
    </row>
    <row r="20" spans="1:13" ht="15" customHeight="1" x14ac:dyDescent="0.2">
      <c r="A20" s="1375"/>
      <c r="B20" s="561" t="s">
        <v>836</v>
      </c>
      <c r="C20" s="436" t="s">
        <v>262</v>
      </c>
      <c r="D20" s="813"/>
      <c r="E20" s="642">
        <f>IFERROR(VLOOKUP(B20,MODULY_CBA!$B$3:$O$23,14,0)*VLOOKUP('Rozpocet - Vyvoj aplikacii'!C20,EXTERNE_POZICIE!$A$4:$C$39,3,0),0)</f>
        <v>0</v>
      </c>
      <c r="F20" s="499">
        <f>IFERROR(VLOOKUP(C20,POZICIE_INTERNE!$A$4:$D$60,3,0)*VLOOKUP(B20,MODULY_CBA!$B$3:$J$23,9,0)/SUM(MODULY_CBA!$J$3:$J$23),)</f>
        <v>0</v>
      </c>
      <c r="G20" s="505">
        <f>IFERROR(IF(ISTEXT(B20),VLOOKUP(C20,POZICIE_INTERNE!$A$4:$D$60,4,0),),)</f>
        <v>228.20362679576903</v>
      </c>
      <c r="H20" s="506">
        <f>IF(ISTEXT(B20),VLOOKUP(C20,EXTERNE_POZICIE!$A$4:$E$39,5,0),)</f>
        <v>442.06929133858267</v>
      </c>
      <c r="I20" s="500">
        <f t="shared" si="0"/>
        <v>0</v>
      </c>
      <c r="J20" s="500">
        <f t="shared" si="1"/>
        <v>0</v>
      </c>
      <c r="K20" s="500">
        <f t="shared" si="2"/>
        <v>0</v>
      </c>
      <c r="L20" s="562"/>
    </row>
    <row r="21" spans="1:13" ht="15" customHeight="1" x14ac:dyDescent="0.2">
      <c r="A21" s="1375" t="s">
        <v>276</v>
      </c>
      <c r="B21" s="561" t="s">
        <v>840</v>
      </c>
      <c r="C21" s="436" t="s">
        <v>261</v>
      </c>
      <c r="D21" s="813" t="s">
        <v>3773</v>
      </c>
      <c r="E21" s="642">
        <f>IFERROR(VLOOKUP(B21,MODULY_CBA!$B$3:$O$23,14,0)*VLOOKUP('Rozpocet - Vyvoj aplikacii'!C21,EXTERNE_POZICIE!$A$4:$C$39,3,0),0)</f>
        <v>12.669387755102042</v>
      </c>
      <c r="F21" s="499">
        <f>IFERROR(VLOOKUP(C21,POZICIE_INTERNE!$A$4:$D$60,3,0)*VLOOKUP(B21,MODULY_CBA!$B$3:$J$23,9,0)/SUM(MODULY_CBA!$J$3:$J$23),)</f>
        <v>151.39753401360545</v>
      </c>
      <c r="G21" s="505">
        <f>IFERROR(IF(ISTEXT(B21),VLOOKUP(C21,POZICIE_INTERNE!$A$4:$D$60,4,0),),)</f>
        <v>226.64332988286563</v>
      </c>
      <c r="H21" s="506">
        <f>IF(ISTEXT(B21),VLOOKUP(C21,EXTERNE_POZICIE!$A$4:$E$39,5,0),)</f>
        <v>439.47500000000002</v>
      </c>
      <c r="I21" s="500">
        <f t="shared" si="0"/>
        <v>34313.241244897952</v>
      </c>
      <c r="J21" s="500">
        <f t="shared" si="1"/>
        <v>6848.4913959183677</v>
      </c>
      <c r="K21" s="500">
        <f t="shared" si="2"/>
        <v>41161.732640816321</v>
      </c>
      <c r="L21" s="562"/>
    </row>
    <row r="22" spans="1:13" ht="15" customHeight="1" x14ac:dyDescent="0.2">
      <c r="A22" s="1375"/>
      <c r="B22" s="561" t="s">
        <v>840</v>
      </c>
      <c r="C22" s="436" t="s">
        <v>530</v>
      </c>
      <c r="D22" s="813" t="s">
        <v>3774</v>
      </c>
      <c r="E22" s="642">
        <f>IFERROR(VLOOKUP(B22,MODULY_CBA!$B$3:$O$23,14,0)*VLOOKUP('Rozpocet - Vyvoj aplikacii'!C22,EXTERNE_POZICIE!$A$4:$C$39,3,0),0)</f>
        <v>59.189795918367345</v>
      </c>
      <c r="F22" s="499">
        <f>IFERROR(VLOOKUP(C22,POZICIE_INTERNE!$A$4:$D$60,3,0)*VLOOKUP(B22,MODULY_CBA!$B$3:$J$23,9,0)/SUM(MODULY_CBA!$J$3:$J$23),)</f>
        <v>156.74243197278912</v>
      </c>
      <c r="G22" s="505">
        <f>IFERROR(IF(ISTEXT(B22),VLOOKUP(C22,POZICIE_INTERNE!$A$4:$D$60,4,0),),)</f>
        <v>228.20362679576903</v>
      </c>
      <c r="H22" s="506">
        <f>IF(ISTEXT(B22),VLOOKUP(C22,EXTERNE_POZICIE!$A$4:$E$39,5,0),)</f>
        <v>424.51371237458193</v>
      </c>
      <c r="I22" s="500">
        <f t="shared" si="0"/>
        <v>35769.191448979582</v>
      </c>
      <c r="J22" s="500">
        <f t="shared" si="1"/>
        <v>30906.062399999995</v>
      </c>
      <c r="K22" s="500">
        <f t="shared" si="2"/>
        <v>66675.25384897957</v>
      </c>
      <c r="L22" s="562"/>
    </row>
    <row r="23" spans="1:13" ht="80" x14ac:dyDescent="0.2">
      <c r="A23" s="1375"/>
      <c r="B23" s="561" t="s">
        <v>840</v>
      </c>
      <c r="C23" s="436" t="s">
        <v>262</v>
      </c>
      <c r="D23" s="813" t="s">
        <v>3775</v>
      </c>
      <c r="E23" s="642">
        <f>IFERROR(VLOOKUP(B23,MODULY_CBA!$B$3:$O$23,14,0)*VLOOKUP('Rozpocet - Vyvoj aplikacii'!C23,EXTERNE_POZICIE!$A$4:$C$39,3,0),0)</f>
        <v>25.140816326530611</v>
      </c>
      <c r="F23" s="499">
        <f>IFERROR(VLOOKUP(C23,POZICIE_INTERNE!$A$4:$D$60,3,0)*VLOOKUP(B23,MODULY_CBA!$B$3:$J$23,9,0)/SUM(MODULY_CBA!$J$3:$J$23),)</f>
        <v>156.74243197278912</v>
      </c>
      <c r="G23" s="505">
        <f>IFERROR(IF(ISTEXT(B23),VLOOKUP(C23,POZICIE_INTERNE!$A$4:$D$60,4,0),),)</f>
        <v>228.20362679576903</v>
      </c>
      <c r="H23" s="506">
        <f>IF(ISTEXT(B23),VLOOKUP(C23,EXTERNE_POZICIE!$A$4:$E$39,5,0),)</f>
        <v>442.06929133858267</v>
      </c>
      <c r="I23" s="500">
        <f t="shared" si="0"/>
        <v>35769.191448979582</v>
      </c>
      <c r="J23" s="500">
        <f t="shared" si="1"/>
        <v>13670.198914285715</v>
      </c>
      <c r="K23" s="500">
        <f t="shared" ref="K23:K65" si="3">J23+I23</f>
        <v>49439.390363265295</v>
      </c>
      <c r="L23" s="562"/>
    </row>
    <row r="24" spans="1:13" ht="96" x14ac:dyDescent="0.2">
      <c r="A24" s="1375" t="s">
        <v>277</v>
      </c>
      <c r="B24" s="561" t="s">
        <v>842</v>
      </c>
      <c r="C24" s="436" t="s">
        <v>261</v>
      </c>
      <c r="D24" s="813" t="s">
        <v>3776</v>
      </c>
      <c r="E24" s="642">
        <f>IFERROR(VLOOKUP(B24,MODULY_CBA!$B$3:$O$23,14,0)*VLOOKUP('Rozpocet - Vyvoj aplikacii'!C24,EXTERNE_POZICIE!$A$4:$C$39,3,0),0)</f>
        <v>99.26530612244899</v>
      </c>
      <c r="F24" s="499">
        <f>IFERROR(VLOOKUP(C24,POZICIE_INTERNE!$A$4:$D$60,3,0)*VLOOKUP(B24,MODULY_CBA!$B$3:$J$23,9,0)/SUM(MODULY_CBA!$J$3:$J$23),)</f>
        <v>1186.2074829931973</v>
      </c>
      <c r="G24" s="505">
        <f>IFERROR(IF(ISTEXT(B24),VLOOKUP(C24,POZICIE_INTERNE!$A$4:$D$60,4,0),),)</f>
        <v>226.64332988286563</v>
      </c>
      <c r="H24" s="506">
        <f>IF(ISTEXT(B24),VLOOKUP(C24,EXTERNE_POZICIE!$A$4:$E$39,5,0),)</f>
        <v>439.47500000000002</v>
      </c>
      <c r="I24" s="500">
        <f t="shared" si="0"/>
        <v>268846.01387755095</v>
      </c>
      <c r="J24" s="500">
        <f t="shared" si="1"/>
        <v>53658.283102040827</v>
      </c>
      <c r="K24" s="500">
        <f t="shared" si="3"/>
        <v>322504.29697959177</v>
      </c>
      <c r="L24" s="562"/>
      <c r="M24" s="772"/>
    </row>
    <row r="25" spans="1:13" ht="64" x14ac:dyDescent="0.2">
      <c r="A25" s="1375"/>
      <c r="B25" s="561" t="s">
        <v>842</v>
      </c>
      <c r="C25" s="436" t="s">
        <v>530</v>
      </c>
      <c r="D25" s="813" t="s">
        <v>3777</v>
      </c>
      <c r="E25" s="642">
        <f>IFERROR(VLOOKUP(B25,MODULY_CBA!$B$3:$O$23,14,0)*VLOOKUP('Rozpocet - Vyvoj aplikacii'!C25,EXTERNE_POZICIE!$A$4:$C$39,3,0),0)</f>
        <v>463.75510204081633</v>
      </c>
      <c r="F25" s="499">
        <f>IFERROR(VLOOKUP(C25,POZICIE_INTERNE!$A$4:$D$60,3,0)*VLOOKUP(B25,MODULY_CBA!$B$3:$J$23,9,0)/SUM(MODULY_CBA!$J$3:$J$23),)</f>
        <v>1228.0850340136055</v>
      </c>
      <c r="G25" s="505">
        <f>IFERROR(IF(ISTEXT(B25),VLOOKUP(C25,POZICIE_INTERNE!$A$4:$D$60,4,0),),)</f>
        <v>228.20362679576903</v>
      </c>
      <c r="H25" s="506">
        <f>IF(ISTEXT(B25),VLOOKUP(C25,EXTERNE_POZICIE!$A$4:$E$39,5,0),)</f>
        <v>424.51371237458193</v>
      </c>
      <c r="I25" s="500">
        <f t="shared" si="0"/>
        <v>280253.45877551014</v>
      </c>
      <c r="J25" s="500">
        <f t="shared" si="1"/>
        <v>242150.59199999998</v>
      </c>
      <c r="K25" s="500">
        <f t="shared" si="3"/>
        <v>522404.05077551014</v>
      </c>
      <c r="L25" s="562"/>
      <c r="M25" s="772"/>
    </row>
    <row r="26" spans="1:13" ht="64" x14ac:dyDescent="0.2">
      <c r="A26" s="1376"/>
      <c r="B26" s="561" t="s">
        <v>842</v>
      </c>
      <c r="C26" s="436" t="s">
        <v>262</v>
      </c>
      <c r="D26" s="813" t="s">
        <v>3778</v>
      </c>
      <c r="E26" s="642">
        <f>IFERROR(VLOOKUP(B26,MODULY_CBA!$B$3:$O$23,14,0)*VLOOKUP('Rozpocet - Vyvoj aplikacii'!C26,EXTERNE_POZICIE!$A$4:$C$39,3,0),0)</f>
        <v>196.9795918367347</v>
      </c>
      <c r="F26" s="499">
        <f>IFERROR(VLOOKUP(C26,POZICIE_INTERNE!$A$4:$D$60,3,0)*VLOOKUP(B26,MODULY_CBA!$B$3:$J$23,9,0)/SUM(MODULY_CBA!$J$3:$J$23),)</f>
        <v>1228.0850340136055</v>
      </c>
      <c r="G26" s="505">
        <f>IFERROR(IF(ISTEXT(B26),VLOOKUP(C26,POZICIE_INTERNE!$A$4:$D$60,4,0),),)</f>
        <v>228.20362679576903</v>
      </c>
      <c r="H26" s="506">
        <f>IF(ISTEXT(B26),VLOOKUP(C26,EXTERNE_POZICIE!$A$4:$E$39,5,0),)</f>
        <v>442.06929133858267</v>
      </c>
      <c r="I26" s="500">
        <f t="shared" si="0"/>
        <v>280253.45877551014</v>
      </c>
      <c r="J26" s="500">
        <f t="shared" si="1"/>
        <v>107106.71314285714</v>
      </c>
      <c r="K26" s="500">
        <f t="shared" si="3"/>
        <v>387360.17191836727</v>
      </c>
      <c r="L26" s="562"/>
      <c r="M26" s="772"/>
    </row>
    <row r="27" spans="1:13" x14ac:dyDescent="0.2">
      <c r="A27" s="1374" t="s">
        <v>278</v>
      </c>
      <c r="B27" s="561" t="s">
        <v>844</v>
      </c>
      <c r="C27" s="436" t="s">
        <v>261</v>
      </c>
      <c r="D27" s="813"/>
      <c r="E27" s="642">
        <f>IFERROR(VLOOKUP(B27,MODULY_CBA!$B$3:$O$23,14,0)*VLOOKUP('Rozpocet - Vyvoj aplikacii'!C27,EXTERNE_POZICIE!$A$4:$C$39,3,0),0)</f>
        <v>0</v>
      </c>
      <c r="F27" s="499">
        <f>IFERROR(VLOOKUP(C27,POZICIE_INTERNE!$A$4:$D$60,3,0)*VLOOKUP(B27,MODULY_CBA!$B$3:$J$23,9,0)/SUM(MODULY_CBA!$J$3:$J$23),)</f>
        <v>0</v>
      </c>
      <c r="G27" s="505">
        <f>IFERROR(IF(ISTEXT(B27),VLOOKUP(C27,POZICIE_INTERNE!$A$4:$D$60,4,0),),)</f>
        <v>226.64332988286563</v>
      </c>
      <c r="H27" s="506">
        <f>IF(ISTEXT(B27),VLOOKUP(C27,EXTERNE_POZICIE!$A$4:$E$39,5,0),)</f>
        <v>439.47500000000002</v>
      </c>
      <c r="I27" s="500">
        <f t="shared" si="0"/>
        <v>0</v>
      </c>
      <c r="J27" s="500">
        <f t="shared" si="1"/>
        <v>0</v>
      </c>
      <c r="K27" s="500">
        <f t="shared" si="3"/>
        <v>0</v>
      </c>
      <c r="L27" s="562"/>
    </row>
    <row r="28" spans="1:13" x14ac:dyDescent="0.2">
      <c r="A28" s="1375"/>
      <c r="B28" s="561" t="s">
        <v>844</v>
      </c>
      <c r="C28" s="436" t="s">
        <v>530</v>
      </c>
      <c r="D28" s="813"/>
      <c r="E28" s="642">
        <f>IFERROR(VLOOKUP(B28,MODULY_CBA!$B$3:$O$23,14,0)*VLOOKUP('Rozpocet - Vyvoj aplikacii'!C28,EXTERNE_POZICIE!$A$4:$C$39,3,0),0)</f>
        <v>0</v>
      </c>
      <c r="F28" s="499">
        <f>IFERROR(VLOOKUP(C28,POZICIE_INTERNE!$A$4:$D$60,3,0)*VLOOKUP(B28,MODULY_CBA!$B$3:$J$23,9,0)/SUM(MODULY_CBA!$J$3:$J$23),)</f>
        <v>0</v>
      </c>
      <c r="G28" s="505">
        <f>IFERROR(IF(ISTEXT(B28),VLOOKUP(C28,POZICIE_INTERNE!$A$4:$D$60,4,0),),)</f>
        <v>228.20362679576903</v>
      </c>
      <c r="H28" s="506">
        <f>IF(ISTEXT(B28),VLOOKUP(C28,EXTERNE_POZICIE!$A$4:$E$39,5,0),)</f>
        <v>424.51371237458193</v>
      </c>
      <c r="I28" s="500">
        <f t="shared" si="0"/>
        <v>0</v>
      </c>
      <c r="J28" s="500">
        <f t="shared" si="1"/>
        <v>0</v>
      </c>
      <c r="K28" s="500">
        <f t="shared" si="3"/>
        <v>0</v>
      </c>
      <c r="L28" s="562"/>
    </row>
    <row r="29" spans="1:13" x14ac:dyDescent="0.2">
      <c r="A29" s="1375"/>
      <c r="B29" s="561" t="s">
        <v>844</v>
      </c>
      <c r="C29" s="436" t="s">
        <v>262</v>
      </c>
      <c r="D29" s="813"/>
      <c r="E29" s="642">
        <f>IFERROR(VLOOKUP(B29,MODULY_CBA!$B$3:$O$23,14,0)*VLOOKUP('Rozpocet - Vyvoj aplikacii'!C29,EXTERNE_POZICIE!$A$4:$C$39,3,0),0)</f>
        <v>0</v>
      </c>
      <c r="F29" s="499">
        <f>IFERROR(VLOOKUP(C29,POZICIE_INTERNE!$A$4:$D$60,3,0)*VLOOKUP(B29,MODULY_CBA!$B$3:$J$23,9,0)/SUM(MODULY_CBA!$J$3:$J$23),)</f>
        <v>0</v>
      </c>
      <c r="G29" s="505">
        <f>IFERROR(IF(ISTEXT(B29),VLOOKUP(C29,POZICIE_INTERNE!$A$4:$D$60,4,0),),)</f>
        <v>228.20362679576903</v>
      </c>
      <c r="H29" s="506">
        <f>IF(ISTEXT(B29),VLOOKUP(C29,EXTERNE_POZICIE!$A$4:$E$39,5,0),)</f>
        <v>442.06929133858267</v>
      </c>
      <c r="I29" s="500">
        <f t="shared" si="0"/>
        <v>0</v>
      </c>
      <c r="J29" s="500">
        <f t="shared" si="1"/>
        <v>0</v>
      </c>
      <c r="K29" s="500">
        <f t="shared" si="3"/>
        <v>0</v>
      </c>
      <c r="L29" s="562"/>
    </row>
    <row r="30" spans="1:13" x14ac:dyDescent="0.2">
      <c r="A30" s="1375" t="s">
        <v>279</v>
      </c>
      <c r="B30" s="561" t="s">
        <v>850</v>
      </c>
      <c r="C30" s="436" t="s">
        <v>261</v>
      </c>
      <c r="D30" s="813"/>
      <c r="E30" s="642">
        <f>IFERROR(VLOOKUP(B30,MODULY_CBA!$B$3:$O$23,14,0)*VLOOKUP('Rozpocet - Vyvoj aplikacii'!C30,EXTERNE_POZICIE!$A$4:$C$39,3,0),0)</f>
        <v>0</v>
      </c>
      <c r="F30" s="499">
        <f>IFERROR(VLOOKUP(C30,POZICIE_INTERNE!$A$4:$D$60,3,0)*VLOOKUP(B30,MODULY_CBA!$B$3:$J$23,9,0)/SUM(MODULY_CBA!$J$3:$J$23),)</f>
        <v>0</v>
      </c>
      <c r="G30" s="505">
        <f>IFERROR(IF(ISTEXT(B30),VLOOKUP(C30,POZICIE_INTERNE!$A$4:$D$60,4,0),),)</f>
        <v>226.64332988286563</v>
      </c>
      <c r="H30" s="506">
        <f>IF(ISTEXT(B30),VLOOKUP(C30,EXTERNE_POZICIE!$A$4:$E$39,5,0),)</f>
        <v>439.47500000000002</v>
      </c>
      <c r="I30" s="500">
        <f t="shared" si="0"/>
        <v>0</v>
      </c>
      <c r="J30" s="500">
        <f t="shared" si="1"/>
        <v>0</v>
      </c>
      <c r="K30" s="500">
        <f t="shared" si="3"/>
        <v>0</v>
      </c>
      <c r="L30" s="562"/>
    </row>
    <row r="31" spans="1:13" x14ac:dyDescent="0.2">
      <c r="A31" s="1375"/>
      <c r="B31" s="561" t="s">
        <v>850</v>
      </c>
      <c r="C31" s="436" t="s">
        <v>530</v>
      </c>
      <c r="D31" s="813"/>
      <c r="E31" s="642">
        <f>IFERROR(VLOOKUP(B31,MODULY_CBA!$B$3:$O$23,14,0)*VLOOKUP('Rozpocet - Vyvoj aplikacii'!C31,EXTERNE_POZICIE!$A$4:$C$39,3,0),0)</f>
        <v>0</v>
      </c>
      <c r="F31" s="499">
        <f>IFERROR(VLOOKUP(C31,POZICIE_INTERNE!$A$4:$D$60,3,0)*VLOOKUP(B31,MODULY_CBA!$B$3:$J$23,9,0)/SUM(MODULY_CBA!$J$3:$J$23),)</f>
        <v>0</v>
      </c>
      <c r="G31" s="505">
        <f>IFERROR(IF(ISTEXT(B31),VLOOKUP(C31,POZICIE_INTERNE!$A$4:$D$60,4,0),),)</f>
        <v>228.20362679576903</v>
      </c>
      <c r="H31" s="506">
        <f>IF(ISTEXT(B31),VLOOKUP(C31,EXTERNE_POZICIE!$A$4:$E$39,5,0),)</f>
        <v>424.51371237458193</v>
      </c>
      <c r="I31" s="500">
        <f t="shared" si="0"/>
        <v>0</v>
      </c>
      <c r="J31" s="500">
        <f t="shared" si="1"/>
        <v>0</v>
      </c>
      <c r="K31" s="500">
        <f t="shared" si="3"/>
        <v>0</v>
      </c>
      <c r="L31" s="562"/>
    </row>
    <row r="32" spans="1:13" x14ac:dyDescent="0.2">
      <c r="A32" s="1375"/>
      <c r="B32" s="561" t="s">
        <v>850</v>
      </c>
      <c r="C32" s="436" t="s">
        <v>262</v>
      </c>
      <c r="D32" s="813"/>
      <c r="E32" s="642">
        <f>IFERROR(VLOOKUP(B32,MODULY_CBA!$B$3:$O$23,14,0)*VLOOKUP('Rozpocet - Vyvoj aplikacii'!C32,EXTERNE_POZICIE!$A$4:$C$39,3,0),0)</f>
        <v>0</v>
      </c>
      <c r="F32" s="499">
        <f>IFERROR(VLOOKUP(C32,POZICIE_INTERNE!$A$4:$D$60,3,0)*VLOOKUP(B32,MODULY_CBA!$B$3:$J$23,9,0)/SUM(MODULY_CBA!$J$3:$J$23),)</f>
        <v>0</v>
      </c>
      <c r="G32" s="505">
        <f>IFERROR(IF(ISTEXT(B32),VLOOKUP(C32,POZICIE_INTERNE!$A$4:$D$60,4,0),),)</f>
        <v>228.20362679576903</v>
      </c>
      <c r="H32" s="506">
        <f>IF(ISTEXT(B32),VLOOKUP(C32,EXTERNE_POZICIE!$A$4:$E$39,5,0),)</f>
        <v>442.06929133858267</v>
      </c>
      <c r="I32" s="500">
        <f t="shared" si="0"/>
        <v>0</v>
      </c>
      <c r="J32" s="500">
        <f t="shared" si="1"/>
        <v>0</v>
      </c>
      <c r="K32" s="500">
        <f t="shared" si="3"/>
        <v>0</v>
      </c>
      <c r="L32" s="562"/>
    </row>
    <row r="33" spans="1:12" ht="176" x14ac:dyDescent="0.2">
      <c r="A33" s="1375" t="s">
        <v>280</v>
      </c>
      <c r="B33" s="561" t="s">
        <v>1178</v>
      </c>
      <c r="C33" s="436" t="s">
        <v>261</v>
      </c>
      <c r="D33" s="813" t="s">
        <v>3779</v>
      </c>
      <c r="E33" s="642">
        <f>IFERROR(VLOOKUP(B33,MODULY_CBA!$B$3:$O$23,14,0)*VLOOKUP('Rozpocet - Vyvoj aplikacii'!C33,EXTERNE_POZICIE!$A$4:$C$39,3,0),0)</f>
        <v>97.567346938775515</v>
      </c>
      <c r="F33" s="499">
        <f>IFERROR(VLOOKUP(C33,POZICIE_INTERNE!$A$4:$D$60,3,0)*VLOOKUP(B33,MODULY_CBA!$B$3:$J$23,9,0)/SUM(MODULY_CBA!$J$3:$J$23),)</f>
        <v>1165.9170918367347</v>
      </c>
      <c r="G33" s="505">
        <f>IFERROR(IF(ISTEXT(B33),VLOOKUP(C33,POZICIE_INTERNE!$A$4:$D$60,4,0),),)</f>
        <v>226.64332988286563</v>
      </c>
      <c r="H33" s="506">
        <f>IF(ISTEXT(B33),VLOOKUP(C33,EXTERNE_POZICIE!$A$4:$E$39,5,0),)</f>
        <v>439.47500000000002</v>
      </c>
      <c r="I33" s="500">
        <f t="shared" si="0"/>
        <v>264247.33206122438</v>
      </c>
      <c r="J33" s="500">
        <f t="shared" si="1"/>
        <v>52740.444048979596</v>
      </c>
      <c r="K33" s="500">
        <f t="shared" si="3"/>
        <v>316987.77611020399</v>
      </c>
      <c r="L33" s="562"/>
    </row>
    <row r="34" spans="1:12" ht="96" x14ac:dyDescent="0.2">
      <c r="A34" s="1375"/>
      <c r="B34" s="561" t="s">
        <v>1178</v>
      </c>
      <c r="C34" s="436" t="s">
        <v>530</v>
      </c>
      <c r="D34" s="813" t="s">
        <v>3780</v>
      </c>
      <c r="E34" s="642">
        <f>IFERROR(VLOOKUP(B34,MODULY_CBA!$B$3:$O$23,14,0)*VLOOKUP('Rozpocet - Vyvoj aplikacii'!C34,EXTERNE_POZICIE!$A$4:$C$39,3,0),0)</f>
        <v>455.82244897959185</v>
      </c>
      <c r="F34" s="499">
        <f>IFERROR(VLOOKUP(C34,POZICIE_INTERNE!$A$4:$D$60,3,0)*VLOOKUP(B34,MODULY_CBA!$B$3:$J$23,9,0)/SUM(MODULY_CBA!$J$3:$J$23),)</f>
        <v>1207.0783163265305</v>
      </c>
      <c r="G34" s="505">
        <f>IFERROR(IF(ISTEXT(B34),VLOOKUP(C34,POZICIE_INTERNE!$A$4:$D$60,4,0),),)</f>
        <v>228.20362679576903</v>
      </c>
      <c r="H34" s="506">
        <f>IF(ISTEXT(B34),VLOOKUP(C34,EXTERNE_POZICIE!$A$4:$E$39,5,0),)</f>
        <v>424.51371237458193</v>
      </c>
      <c r="I34" s="500">
        <f t="shared" si="0"/>
        <v>275459.6496122448</v>
      </c>
      <c r="J34" s="500">
        <f t="shared" si="1"/>
        <v>238008.54240000001</v>
      </c>
      <c r="K34" s="500">
        <f t="shared" si="3"/>
        <v>513468.19201224484</v>
      </c>
      <c r="L34" s="562"/>
    </row>
    <row r="35" spans="1:12" ht="80" x14ac:dyDescent="0.2">
      <c r="A35" s="1375"/>
      <c r="B35" s="561" t="s">
        <v>1178</v>
      </c>
      <c r="C35" s="436" t="s">
        <v>262</v>
      </c>
      <c r="D35" s="813" t="s">
        <v>3781</v>
      </c>
      <c r="E35" s="642">
        <f>IFERROR(VLOOKUP(B35,MODULY_CBA!$B$3:$O$23,14,0)*VLOOKUP('Rozpocet - Vyvoj aplikacii'!C35,EXTERNE_POZICIE!$A$4:$C$39,3,0),0)</f>
        <v>193.61020408163265</v>
      </c>
      <c r="F35" s="499">
        <f>IFERROR(VLOOKUP(C35,POZICIE_INTERNE!$A$4:$D$60,3,0)*VLOOKUP(B35,MODULY_CBA!$B$3:$J$23,9,0)/SUM(MODULY_CBA!$J$3:$J$23),)</f>
        <v>1207.0783163265305</v>
      </c>
      <c r="G35" s="505">
        <f>IFERROR(IF(ISTEXT(B35),VLOOKUP(C35,POZICIE_INTERNE!$A$4:$D$60,4,0),),)</f>
        <v>228.20362679576903</v>
      </c>
      <c r="H35" s="506">
        <f>IF(ISTEXT(B35),VLOOKUP(C35,EXTERNE_POZICIE!$A$4:$E$39,5,0),)</f>
        <v>442.06929133858267</v>
      </c>
      <c r="I35" s="500">
        <f t="shared" si="0"/>
        <v>275459.6496122448</v>
      </c>
      <c r="J35" s="500">
        <f t="shared" si="1"/>
        <v>105274.62462857142</v>
      </c>
      <c r="K35" s="500">
        <f t="shared" si="3"/>
        <v>380734.27424081624</v>
      </c>
      <c r="L35" s="562"/>
    </row>
    <row r="36" spans="1:12" x14ac:dyDescent="0.2">
      <c r="A36" s="1375" t="s">
        <v>281</v>
      </c>
      <c r="B36" s="561"/>
      <c r="C36" s="436" t="s">
        <v>261</v>
      </c>
      <c r="D36" s="561"/>
      <c r="E36" s="642">
        <f>IFERROR(VLOOKUP(B36,MODULY_CBA!$B$3:$O$23,14,0)*VLOOKUP('Rozpocet - Vyvoj aplikacii'!C36,EXTERNE_POZICIE!$A$4:$C$39,3,0),0)</f>
        <v>0</v>
      </c>
      <c r="F36" s="499">
        <f>IFERROR(VLOOKUP(C36,POZICIE_INTERNE!$A$4:$D$60,3,0)*VLOOKUP(B36,MODULY_CBA!$B$3:$J$23,9,0)/SUM(MODULY_CBA!$J$3:$J$23),)</f>
        <v>0</v>
      </c>
      <c r="G36" s="505">
        <f>IFERROR(IF(ISTEXT(B36),VLOOKUP(C36,POZICIE_INTERNE!$A$4:$D$60,4,0),),)</f>
        <v>0</v>
      </c>
      <c r="H36" s="506">
        <f>IF(ISTEXT(B36),VLOOKUP(C36,EXTERNE_POZICIE!$A$4:$E$39,5,0),)</f>
        <v>0</v>
      </c>
      <c r="I36" s="500">
        <f t="shared" si="0"/>
        <v>0</v>
      </c>
      <c r="J36" s="500">
        <f t="shared" si="1"/>
        <v>0</v>
      </c>
      <c r="K36" s="500">
        <f t="shared" si="3"/>
        <v>0</v>
      </c>
      <c r="L36" s="562"/>
    </row>
    <row r="37" spans="1:12" x14ac:dyDescent="0.2">
      <c r="A37" s="1375"/>
      <c r="B37" s="561"/>
      <c r="C37" s="436" t="s">
        <v>530</v>
      </c>
      <c r="D37" s="561"/>
      <c r="E37" s="642">
        <f>IFERROR(VLOOKUP(B37,MODULY_CBA!$B$3:$O$23,14,0)*VLOOKUP('Rozpocet - Vyvoj aplikacii'!C37,EXTERNE_POZICIE!$A$4:$C$39,3,0),0)</f>
        <v>0</v>
      </c>
      <c r="F37" s="499">
        <f>IFERROR(VLOOKUP(C37,POZICIE_INTERNE!$A$4:$D$60,3,0)*VLOOKUP(B37,MODULY_CBA!$B$3:$J$23,9,0)/SUM(MODULY_CBA!$J$3:$J$23),)</f>
        <v>0</v>
      </c>
      <c r="G37" s="505">
        <f>IFERROR(IF(ISTEXT(B37),VLOOKUP(C37,POZICIE_INTERNE!$A$4:$D$60,4,0),),)</f>
        <v>0</v>
      </c>
      <c r="H37" s="506">
        <f>IF(ISTEXT(B37),VLOOKUP(C37,EXTERNE_POZICIE!$A$4:$E$39,5,0),)</f>
        <v>0</v>
      </c>
      <c r="I37" s="500">
        <f t="shared" si="0"/>
        <v>0</v>
      </c>
      <c r="J37" s="500">
        <f t="shared" si="1"/>
        <v>0</v>
      </c>
      <c r="K37" s="500">
        <f t="shared" si="3"/>
        <v>0</v>
      </c>
      <c r="L37" s="562"/>
    </row>
    <row r="38" spans="1:12" x14ac:dyDescent="0.2">
      <c r="A38" s="1376"/>
      <c r="B38" s="561"/>
      <c r="C38" s="436" t="s">
        <v>262</v>
      </c>
      <c r="D38" s="561"/>
      <c r="E38" s="642">
        <f>IFERROR(VLOOKUP(B38,MODULY_CBA!$B$3:$O$23,14,0)*VLOOKUP('Rozpocet - Vyvoj aplikacii'!C38,EXTERNE_POZICIE!$A$4:$C$39,3,0),0)</f>
        <v>0</v>
      </c>
      <c r="F38" s="499">
        <f>IFERROR(VLOOKUP(C38,POZICIE_INTERNE!$A$4:$D$60,3,0)*VLOOKUP(B38,MODULY_CBA!$B$3:$J$23,9,0)/SUM(MODULY_CBA!$J$3:$J$23),)</f>
        <v>0</v>
      </c>
      <c r="G38" s="505">
        <f>IFERROR(IF(ISTEXT(B38),VLOOKUP(C38,POZICIE_INTERNE!$A$4:$D$60,4,0),),)</f>
        <v>0</v>
      </c>
      <c r="H38" s="506">
        <f>IF(ISTEXT(B38),VLOOKUP(C38,EXTERNE_POZICIE!$A$4:$E$39,5,0),)</f>
        <v>0</v>
      </c>
      <c r="I38" s="500">
        <f t="shared" si="0"/>
        <v>0</v>
      </c>
      <c r="J38" s="500">
        <f t="shared" si="1"/>
        <v>0</v>
      </c>
      <c r="K38" s="500">
        <f t="shared" si="3"/>
        <v>0</v>
      </c>
      <c r="L38" s="562"/>
    </row>
    <row r="39" spans="1:12" x14ac:dyDescent="0.2">
      <c r="A39" s="1374" t="s">
        <v>282</v>
      </c>
      <c r="B39" s="561"/>
      <c r="C39" s="436" t="s">
        <v>261</v>
      </c>
      <c r="D39" s="561"/>
      <c r="E39" s="642">
        <f>IFERROR(VLOOKUP(B39,MODULY_CBA!$B$3:$O$23,14,0)*VLOOKUP('Rozpocet - Vyvoj aplikacii'!C39,EXTERNE_POZICIE!$A$4:$C$39,3,0),0)</f>
        <v>0</v>
      </c>
      <c r="F39" s="499">
        <f>IFERROR(VLOOKUP(C39,POZICIE_INTERNE!$A$4:$D$60,3,0)*VLOOKUP(B39,MODULY_CBA!$B$3:$J$23,9,0)/SUM(MODULY_CBA!$J$3:$J$23),)</f>
        <v>0</v>
      </c>
      <c r="G39" s="505">
        <f>IFERROR(IF(ISTEXT(B39),VLOOKUP(C39,POZICIE_INTERNE!$A$4:$D$60,4,0),),)</f>
        <v>0</v>
      </c>
      <c r="H39" s="506">
        <f>IF(ISTEXT(B39),VLOOKUP(C39,EXTERNE_POZICIE!$A$4:$E$39,5,0),)</f>
        <v>0</v>
      </c>
      <c r="I39" s="500">
        <f t="shared" si="0"/>
        <v>0</v>
      </c>
      <c r="J39" s="500">
        <f t="shared" si="1"/>
        <v>0</v>
      </c>
      <c r="K39" s="500">
        <f t="shared" si="3"/>
        <v>0</v>
      </c>
      <c r="L39" s="562"/>
    </row>
    <row r="40" spans="1:12" x14ac:dyDescent="0.2">
      <c r="A40" s="1375"/>
      <c r="B40" s="561"/>
      <c r="C40" s="436" t="s">
        <v>530</v>
      </c>
      <c r="D40" s="561"/>
      <c r="E40" s="642">
        <f>IFERROR(VLOOKUP(B40,MODULY_CBA!$B$3:$O$23,14,0)*VLOOKUP('Rozpocet - Vyvoj aplikacii'!C40,EXTERNE_POZICIE!$A$4:$C$39,3,0),0)</f>
        <v>0</v>
      </c>
      <c r="F40" s="499">
        <f>IFERROR(VLOOKUP(C40,POZICIE_INTERNE!$A$4:$D$60,3,0)*VLOOKUP(B40,MODULY_CBA!$B$3:$J$23,9,0)/SUM(MODULY_CBA!$J$3:$J$23),)</f>
        <v>0</v>
      </c>
      <c r="G40" s="505">
        <f>IFERROR(IF(ISTEXT(B40),VLOOKUP(C40,POZICIE_INTERNE!$A$4:$D$60,4,0),),)</f>
        <v>0</v>
      </c>
      <c r="H40" s="506">
        <f>IF(ISTEXT(B40),VLOOKUP(C40,EXTERNE_POZICIE!$A$4:$E$39,5,0),)</f>
        <v>0</v>
      </c>
      <c r="I40" s="500">
        <f t="shared" si="0"/>
        <v>0</v>
      </c>
      <c r="J40" s="500">
        <f t="shared" si="1"/>
        <v>0</v>
      </c>
      <c r="K40" s="500">
        <f t="shared" si="3"/>
        <v>0</v>
      </c>
      <c r="L40" s="562"/>
    </row>
    <row r="41" spans="1:12" x14ac:dyDescent="0.2">
      <c r="A41" s="1375"/>
      <c r="B41" s="561"/>
      <c r="C41" s="436" t="s">
        <v>262</v>
      </c>
      <c r="D41" s="561"/>
      <c r="E41" s="642">
        <f>IFERROR(VLOOKUP(B41,MODULY_CBA!$B$3:$O$23,14,0)*VLOOKUP('Rozpocet - Vyvoj aplikacii'!C41,EXTERNE_POZICIE!$A$4:$C$39,3,0),0)</f>
        <v>0</v>
      </c>
      <c r="F41" s="499">
        <f>IFERROR(VLOOKUP(C41,POZICIE_INTERNE!$A$4:$D$60,3,0)*VLOOKUP(B41,MODULY_CBA!$B$3:$J$23,9,0)/SUM(MODULY_CBA!$J$3:$J$23),)</f>
        <v>0</v>
      </c>
      <c r="G41" s="505">
        <f>IFERROR(IF(ISTEXT(B41),VLOOKUP(C41,POZICIE_INTERNE!$A$4:$D$60,4,0),),)</f>
        <v>0</v>
      </c>
      <c r="H41" s="506">
        <f>IF(ISTEXT(B41),VLOOKUP(C41,EXTERNE_POZICIE!$A$4:$E$39,5,0),)</f>
        <v>0</v>
      </c>
      <c r="I41" s="500">
        <f t="shared" si="0"/>
        <v>0</v>
      </c>
      <c r="J41" s="500">
        <f t="shared" si="1"/>
        <v>0</v>
      </c>
      <c r="K41" s="500">
        <f t="shared" si="3"/>
        <v>0</v>
      </c>
      <c r="L41" s="562"/>
    </row>
    <row r="42" spans="1:12" x14ac:dyDescent="0.2">
      <c r="A42" s="1375" t="s">
        <v>283</v>
      </c>
      <c r="B42" s="561"/>
      <c r="C42" s="436" t="s">
        <v>261</v>
      </c>
      <c r="D42" s="561"/>
      <c r="E42" s="642">
        <f>IFERROR(VLOOKUP(B42,MODULY_CBA!$B$3:$O$23,14,0)*VLOOKUP('Rozpocet - Vyvoj aplikacii'!C42,EXTERNE_POZICIE!$A$4:$C$39,3,0),0)</f>
        <v>0</v>
      </c>
      <c r="F42" s="499">
        <f>IFERROR(VLOOKUP(C42,POZICIE_INTERNE!$A$4:$D$60,3,0)*VLOOKUP(B42,MODULY_CBA!$B$3:$J$23,9,0)/SUM(MODULY_CBA!$J$3:$J$23),)</f>
        <v>0</v>
      </c>
      <c r="G42" s="505">
        <f>IFERROR(IF(ISTEXT(B42),VLOOKUP(C42,POZICIE_INTERNE!$A$4:$D$60,4,0),),)</f>
        <v>0</v>
      </c>
      <c r="H42" s="506">
        <f>IF(ISTEXT(B42),VLOOKUP(C42,EXTERNE_POZICIE!$A$4:$E$39,5,0),)</f>
        <v>0</v>
      </c>
      <c r="I42" s="500">
        <f t="shared" si="0"/>
        <v>0</v>
      </c>
      <c r="J42" s="500">
        <f t="shared" si="1"/>
        <v>0</v>
      </c>
      <c r="K42" s="500">
        <f t="shared" si="3"/>
        <v>0</v>
      </c>
      <c r="L42" s="562"/>
    </row>
    <row r="43" spans="1:12" x14ac:dyDescent="0.2">
      <c r="A43" s="1375"/>
      <c r="B43" s="561"/>
      <c r="C43" s="436" t="s">
        <v>530</v>
      </c>
      <c r="D43" s="561"/>
      <c r="E43" s="642">
        <f>IFERROR(VLOOKUP(B43,MODULY_CBA!$B$3:$O$23,14,0)*VLOOKUP('Rozpocet - Vyvoj aplikacii'!C43,EXTERNE_POZICIE!$A$4:$C$39,3,0),0)</f>
        <v>0</v>
      </c>
      <c r="F43" s="499">
        <f>IFERROR(VLOOKUP(C43,POZICIE_INTERNE!$A$4:$D$60,3,0)*VLOOKUP(B43,MODULY_CBA!$B$3:$J$23,9,0)/SUM(MODULY_CBA!$J$3:$J$23),)</f>
        <v>0</v>
      </c>
      <c r="G43" s="505">
        <f>IFERROR(IF(ISTEXT(B43),VLOOKUP(C43,POZICIE_INTERNE!$A$4:$D$60,4,0),),)</f>
        <v>0</v>
      </c>
      <c r="H43" s="506">
        <f>IF(ISTEXT(B43),VLOOKUP(C43,EXTERNE_POZICIE!$A$4:$E$39,5,0),)</f>
        <v>0</v>
      </c>
      <c r="I43" s="500">
        <f t="shared" si="0"/>
        <v>0</v>
      </c>
      <c r="J43" s="500">
        <f t="shared" si="1"/>
        <v>0</v>
      </c>
      <c r="K43" s="500">
        <f t="shared" si="3"/>
        <v>0</v>
      </c>
      <c r="L43" s="562"/>
    </row>
    <row r="44" spans="1:12" x14ac:dyDescent="0.2">
      <c r="A44" s="1375"/>
      <c r="B44" s="561"/>
      <c r="C44" s="436" t="s">
        <v>262</v>
      </c>
      <c r="D44" s="561"/>
      <c r="E44" s="642">
        <f>IFERROR(VLOOKUP(B44,MODULY_CBA!$B$3:$O$23,14,0)*VLOOKUP('Rozpocet - Vyvoj aplikacii'!C44,EXTERNE_POZICIE!$A$4:$C$39,3,0),0)</f>
        <v>0</v>
      </c>
      <c r="F44" s="499">
        <f>IFERROR(VLOOKUP(C44,POZICIE_INTERNE!$A$4:$D$60,3,0)*VLOOKUP(B44,MODULY_CBA!$B$3:$J$23,9,0)/SUM(MODULY_CBA!$J$3:$J$23),)</f>
        <v>0</v>
      </c>
      <c r="G44" s="505">
        <f>IFERROR(IF(ISTEXT(B44),VLOOKUP(C44,POZICIE_INTERNE!$A$4:$D$60,4,0),),)</f>
        <v>0</v>
      </c>
      <c r="H44" s="506">
        <f>IF(ISTEXT(B44),VLOOKUP(C44,EXTERNE_POZICIE!$A$4:$E$39,5,0),)</f>
        <v>0</v>
      </c>
      <c r="I44" s="500">
        <f t="shared" si="0"/>
        <v>0</v>
      </c>
      <c r="J44" s="500">
        <f t="shared" si="1"/>
        <v>0</v>
      </c>
      <c r="K44" s="500">
        <f t="shared" si="3"/>
        <v>0</v>
      </c>
      <c r="L44" s="562"/>
    </row>
    <row r="45" spans="1:12" x14ac:dyDescent="0.2">
      <c r="A45" s="1375" t="s">
        <v>284</v>
      </c>
      <c r="B45" s="561"/>
      <c r="C45" s="436" t="s">
        <v>261</v>
      </c>
      <c r="D45" s="561"/>
      <c r="E45" s="642">
        <f>IFERROR(VLOOKUP(B45,MODULY_CBA!$B$3:$O$23,14,0)*VLOOKUP('Rozpocet - Vyvoj aplikacii'!C45,EXTERNE_POZICIE!$A$4:$C$39,3,0),0)</f>
        <v>0</v>
      </c>
      <c r="F45" s="499">
        <f>IFERROR(VLOOKUP(C45,POZICIE_INTERNE!$A$4:$D$60,3,0)*VLOOKUP(B45,MODULY_CBA!$B$3:$J$23,9,0)/SUM(MODULY_CBA!$J$3:$J$23),)</f>
        <v>0</v>
      </c>
      <c r="G45" s="505">
        <f>IFERROR(IF(ISTEXT(B45),VLOOKUP(C45,POZICIE_INTERNE!$A$4:$D$60,4,0),),)</f>
        <v>0</v>
      </c>
      <c r="H45" s="506">
        <f>IF(ISTEXT(B45),VLOOKUP(C45,EXTERNE_POZICIE!$A$4:$E$39,5,0),)</f>
        <v>0</v>
      </c>
      <c r="I45" s="500">
        <f t="shared" si="0"/>
        <v>0</v>
      </c>
      <c r="J45" s="500">
        <f t="shared" si="1"/>
        <v>0</v>
      </c>
      <c r="K45" s="500">
        <f t="shared" si="3"/>
        <v>0</v>
      </c>
      <c r="L45" s="562"/>
    </row>
    <row r="46" spans="1:12" x14ac:dyDescent="0.2">
      <c r="A46" s="1375"/>
      <c r="B46" s="561"/>
      <c r="C46" s="436" t="s">
        <v>530</v>
      </c>
      <c r="D46" s="561"/>
      <c r="E46" s="642">
        <f>IFERROR(VLOOKUP(B46,MODULY_CBA!$B$3:$O$23,14,0)*VLOOKUP('Rozpocet - Vyvoj aplikacii'!C46,EXTERNE_POZICIE!$A$4:$C$39,3,0),0)</f>
        <v>0</v>
      </c>
      <c r="F46" s="499">
        <f>IFERROR(VLOOKUP(C46,POZICIE_INTERNE!$A$4:$D$60,3,0)*VLOOKUP(B46,MODULY_CBA!$B$3:$J$23,9,0)/SUM(MODULY_CBA!$J$3:$J$23),)</f>
        <v>0</v>
      </c>
      <c r="G46" s="505">
        <f>IFERROR(IF(ISTEXT(B46),VLOOKUP(C46,POZICIE_INTERNE!$A$4:$D$60,4,0),),)</f>
        <v>0</v>
      </c>
      <c r="H46" s="506">
        <f>IF(ISTEXT(B46),VLOOKUP(C46,EXTERNE_POZICIE!$A$4:$E$39,5,0),)</f>
        <v>0</v>
      </c>
      <c r="I46" s="500">
        <f t="shared" si="0"/>
        <v>0</v>
      </c>
      <c r="J46" s="500">
        <f t="shared" si="1"/>
        <v>0</v>
      </c>
      <c r="K46" s="500">
        <f t="shared" si="3"/>
        <v>0</v>
      </c>
      <c r="L46" s="562"/>
    </row>
    <row r="47" spans="1:12" x14ac:dyDescent="0.2">
      <c r="A47" s="1375"/>
      <c r="B47" s="561"/>
      <c r="C47" s="436" t="s">
        <v>262</v>
      </c>
      <c r="D47" s="561"/>
      <c r="E47" s="642">
        <f>IFERROR(VLOOKUP(B47,MODULY_CBA!$B$3:$O$23,14,0)*VLOOKUP('Rozpocet - Vyvoj aplikacii'!C47,EXTERNE_POZICIE!$A$4:$C$39,3,0),0)</f>
        <v>0</v>
      </c>
      <c r="F47" s="499">
        <f>IFERROR(VLOOKUP(C47,POZICIE_INTERNE!$A$4:$D$60,3,0)*VLOOKUP(B47,MODULY_CBA!$B$3:$J$23,9,0)/SUM(MODULY_CBA!$J$3:$J$23),)</f>
        <v>0</v>
      </c>
      <c r="G47" s="505">
        <f>IFERROR(IF(ISTEXT(B47),VLOOKUP(C47,POZICIE_INTERNE!$A$4:$D$60,4,0),),)</f>
        <v>0</v>
      </c>
      <c r="H47" s="506">
        <f>IF(ISTEXT(B47),VLOOKUP(C47,EXTERNE_POZICIE!$A$4:$E$39,5,0),)</f>
        <v>0</v>
      </c>
      <c r="I47" s="500">
        <f t="shared" si="0"/>
        <v>0</v>
      </c>
      <c r="J47" s="500">
        <f t="shared" si="1"/>
        <v>0</v>
      </c>
      <c r="K47" s="500">
        <f t="shared" si="3"/>
        <v>0</v>
      </c>
      <c r="L47" s="562"/>
    </row>
    <row r="48" spans="1:12" x14ac:dyDescent="0.2">
      <c r="A48" s="1375" t="s">
        <v>285</v>
      </c>
      <c r="B48" s="561"/>
      <c r="C48" s="436" t="s">
        <v>261</v>
      </c>
      <c r="D48" s="561"/>
      <c r="E48" s="642">
        <f>IFERROR(VLOOKUP(B48,MODULY_CBA!$B$3:$O$23,14,0)*VLOOKUP('Rozpocet - Vyvoj aplikacii'!C48,EXTERNE_POZICIE!$A$4:$C$39,3,0),0)</f>
        <v>0</v>
      </c>
      <c r="F48" s="499">
        <f>IFERROR(VLOOKUP(C48,POZICIE_INTERNE!$A$4:$D$60,3,0)*VLOOKUP(B48,MODULY_CBA!$B$3:$J$23,9,0)/SUM(MODULY_CBA!$J$3:$J$23),)</f>
        <v>0</v>
      </c>
      <c r="G48" s="505">
        <f>IFERROR(IF(ISTEXT(B48),VLOOKUP(C48,POZICIE_INTERNE!$A$4:$D$60,4,0),),)</f>
        <v>0</v>
      </c>
      <c r="H48" s="506">
        <f>IF(ISTEXT(B48),VLOOKUP(C48,EXTERNE_POZICIE!$A$4:$E$39,5,0),)</f>
        <v>0</v>
      </c>
      <c r="I48" s="500">
        <f t="shared" si="0"/>
        <v>0</v>
      </c>
      <c r="J48" s="500">
        <f t="shared" si="1"/>
        <v>0</v>
      </c>
      <c r="K48" s="500">
        <f t="shared" si="3"/>
        <v>0</v>
      </c>
      <c r="L48" s="562"/>
    </row>
    <row r="49" spans="1:12" x14ac:dyDescent="0.2">
      <c r="A49" s="1375"/>
      <c r="B49" s="561"/>
      <c r="C49" s="436" t="s">
        <v>530</v>
      </c>
      <c r="D49" s="561"/>
      <c r="E49" s="642">
        <f>IFERROR(VLOOKUP(B49,MODULY_CBA!$B$3:$O$23,14,0)*VLOOKUP('Rozpocet - Vyvoj aplikacii'!C49,EXTERNE_POZICIE!$A$4:$C$39,3,0),0)</f>
        <v>0</v>
      </c>
      <c r="F49" s="499">
        <f>IFERROR(VLOOKUP(C49,POZICIE_INTERNE!$A$4:$D$60,3,0)*VLOOKUP(B49,MODULY_CBA!$B$3:$J$23,9,0)/SUM(MODULY_CBA!$J$3:$J$23),)</f>
        <v>0</v>
      </c>
      <c r="G49" s="505">
        <f>IFERROR(IF(ISTEXT(B49),VLOOKUP(C49,POZICIE_INTERNE!$A$4:$D$60,4,0),),)</f>
        <v>0</v>
      </c>
      <c r="H49" s="506">
        <f>IF(ISTEXT(B49),VLOOKUP(C49,EXTERNE_POZICIE!$A$4:$E$39,5,0),)</f>
        <v>0</v>
      </c>
      <c r="I49" s="500">
        <f t="shared" si="0"/>
        <v>0</v>
      </c>
      <c r="J49" s="500">
        <f t="shared" si="1"/>
        <v>0</v>
      </c>
      <c r="K49" s="500">
        <f t="shared" si="3"/>
        <v>0</v>
      </c>
      <c r="L49" s="562"/>
    </row>
    <row r="50" spans="1:12" x14ac:dyDescent="0.2">
      <c r="A50" s="1376"/>
      <c r="B50" s="561"/>
      <c r="C50" s="436" t="s">
        <v>262</v>
      </c>
      <c r="D50" s="561"/>
      <c r="E50" s="642">
        <f>IFERROR(VLOOKUP(B50,MODULY_CBA!$B$3:$O$23,14,0)*VLOOKUP('Rozpocet - Vyvoj aplikacii'!C50,EXTERNE_POZICIE!$A$4:$C$39,3,0),0)</f>
        <v>0</v>
      </c>
      <c r="F50" s="499">
        <f>IFERROR(VLOOKUP(C50,POZICIE_INTERNE!$A$4:$D$60,3,0)*VLOOKUP(B50,MODULY_CBA!$B$3:$J$23,9,0)/SUM(MODULY_CBA!$J$3:$J$23),)</f>
        <v>0</v>
      </c>
      <c r="G50" s="505">
        <f>IFERROR(IF(ISTEXT(B50),VLOOKUP(C50,POZICIE_INTERNE!$A$4:$D$60,4,0),),)</f>
        <v>0</v>
      </c>
      <c r="H50" s="506">
        <f>IF(ISTEXT(B50),VLOOKUP(C50,EXTERNE_POZICIE!$A$4:$E$39,5,0),)</f>
        <v>0</v>
      </c>
      <c r="I50" s="500">
        <f t="shared" si="0"/>
        <v>0</v>
      </c>
      <c r="J50" s="500">
        <f t="shared" si="1"/>
        <v>0</v>
      </c>
      <c r="K50" s="500">
        <f t="shared" si="3"/>
        <v>0</v>
      </c>
      <c r="L50" s="562"/>
    </row>
    <row r="51" spans="1:12" x14ac:dyDescent="0.2">
      <c r="A51" s="1374" t="s">
        <v>286</v>
      </c>
      <c r="B51" s="561"/>
      <c r="C51" s="436" t="s">
        <v>261</v>
      </c>
      <c r="D51" s="561"/>
      <c r="E51" s="642">
        <f>IFERROR(VLOOKUP(B51,MODULY_CBA!$B$3:$O$23,14,0)*VLOOKUP('Rozpocet - Vyvoj aplikacii'!C51,EXTERNE_POZICIE!$A$4:$C$39,3,0),0)</f>
        <v>0</v>
      </c>
      <c r="F51" s="499">
        <f>IFERROR(VLOOKUP(C51,POZICIE_INTERNE!$A$4:$D$60,3,0)*VLOOKUP(B51,MODULY_CBA!$B$3:$J$23,9,0)/SUM(MODULY_CBA!$J$3:$J$23),)</f>
        <v>0</v>
      </c>
      <c r="G51" s="505">
        <f>IFERROR(IF(ISTEXT(B51),VLOOKUP(C51,POZICIE_INTERNE!$A$4:$D$60,4,0),),)</f>
        <v>0</v>
      </c>
      <c r="H51" s="506">
        <f>IF(ISTEXT(B51),VLOOKUP(C51,EXTERNE_POZICIE!$A$4:$E$39,5,0),)</f>
        <v>0</v>
      </c>
      <c r="I51" s="500">
        <f t="shared" si="0"/>
        <v>0</v>
      </c>
      <c r="J51" s="500">
        <f t="shared" si="1"/>
        <v>0</v>
      </c>
      <c r="K51" s="500">
        <f t="shared" si="3"/>
        <v>0</v>
      </c>
      <c r="L51" s="562"/>
    </row>
    <row r="52" spans="1:12" x14ac:dyDescent="0.2">
      <c r="A52" s="1375"/>
      <c r="B52" s="561"/>
      <c r="C52" s="436" t="s">
        <v>530</v>
      </c>
      <c r="D52" s="561"/>
      <c r="E52" s="642">
        <f>IFERROR(VLOOKUP(B52,MODULY_CBA!$B$3:$O$23,14,0)*VLOOKUP('Rozpocet - Vyvoj aplikacii'!C52,EXTERNE_POZICIE!$A$4:$C$39,3,0),0)</f>
        <v>0</v>
      </c>
      <c r="F52" s="499">
        <f>IFERROR(VLOOKUP(C52,POZICIE_INTERNE!$A$4:$D$60,3,0)*VLOOKUP(B52,MODULY_CBA!$B$3:$J$23,9,0)/SUM(MODULY_CBA!$J$3:$J$23),)</f>
        <v>0</v>
      </c>
      <c r="G52" s="505">
        <f>IFERROR(IF(ISTEXT(B52),VLOOKUP(C52,POZICIE_INTERNE!$A$4:$D$60,4,0),),)</f>
        <v>0</v>
      </c>
      <c r="H52" s="506">
        <f>IF(ISTEXT(B52),VLOOKUP(C52,EXTERNE_POZICIE!$A$4:$E$39,5,0),)</f>
        <v>0</v>
      </c>
      <c r="I52" s="500">
        <f t="shared" si="0"/>
        <v>0</v>
      </c>
      <c r="J52" s="500">
        <f t="shared" si="1"/>
        <v>0</v>
      </c>
      <c r="K52" s="500">
        <f t="shared" si="3"/>
        <v>0</v>
      </c>
      <c r="L52" s="562"/>
    </row>
    <row r="53" spans="1:12" x14ac:dyDescent="0.2">
      <c r="A53" s="1375"/>
      <c r="B53" s="561"/>
      <c r="C53" s="436" t="s">
        <v>262</v>
      </c>
      <c r="D53" s="561"/>
      <c r="E53" s="642">
        <f>IFERROR(VLOOKUP(B53,MODULY_CBA!$B$3:$O$23,14,0)*VLOOKUP('Rozpocet - Vyvoj aplikacii'!C53,EXTERNE_POZICIE!$A$4:$C$39,3,0),0)</f>
        <v>0</v>
      </c>
      <c r="F53" s="499">
        <f>IFERROR(VLOOKUP(C53,POZICIE_INTERNE!$A$4:$D$60,3,0)*VLOOKUP(B53,MODULY_CBA!$B$3:$J$23,9,0)/SUM(MODULY_CBA!$J$3:$J$23),)</f>
        <v>0</v>
      </c>
      <c r="G53" s="505">
        <f>IFERROR(IF(ISTEXT(B53),VLOOKUP(C53,POZICIE_INTERNE!$A$4:$D$60,4,0),),)</f>
        <v>0</v>
      </c>
      <c r="H53" s="506">
        <f>IF(ISTEXT(B53),VLOOKUP(C53,EXTERNE_POZICIE!$A$4:$E$39,5,0),)</f>
        <v>0</v>
      </c>
      <c r="I53" s="500">
        <f t="shared" si="0"/>
        <v>0</v>
      </c>
      <c r="J53" s="500">
        <f t="shared" si="1"/>
        <v>0</v>
      </c>
      <c r="K53" s="500">
        <f t="shared" si="3"/>
        <v>0</v>
      </c>
      <c r="L53" s="562"/>
    </row>
    <row r="54" spans="1:12" x14ac:dyDescent="0.2">
      <c r="A54" s="1375" t="s">
        <v>287</v>
      </c>
      <c r="B54" s="561"/>
      <c r="C54" s="436" t="s">
        <v>261</v>
      </c>
      <c r="D54" s="561"/>
      <c r="E54" s="642">
        <f>IFERROR(VLOOKUP(B54,MODULY_CBA!$B$3:$O$23,14,0)*VLOOKUP('Rozpocet - Vyvoj aplikacii'!C54,EXTERNE_POZICIE!$A$4:$C$39,3,0),0)</f>
        <v>0</v>
      </c>
      <c r="F54" s="499">
        <f>IFERROR(VLOOKUP(C54,POZICIE_INTERNE!$A$4:$D$60,3,0)*VLOOKUP(B54,MODULY_CBA!$B$3:$J$23,9,0)/SUM(MODULY_CBA!$J$3:$J$23),)</f>
        <v>0</v>
      </c>
      <c r="G54" s="505">
        <f>IFERROR(IF(ISTEXT(B54),VLOOKUP(C54,POZICIE_INTERNE!$A$4:$D$60,4,0),),)</f>
        <v>0</v>
      </c>
      <c r="H54" s="506">
        <f>IF(ISTEXT(B54),VLOOKUP(C54,EXTERNE_POZICIE!$A$4:$E$39,5,0),)</f>
        <v>0</v>
      </c>
      <c r="I54" s="500">
        <f t="shared" si="0"/>
        <v>0</v>
      </c>
      <c r="J54" s="500">
        <f t="shared" si="1"/>
        <v>0</v>
      </c>
      <c r="K54" s="500">
        <f t="shared" si="3"/>
        <v>0</v>
      </c>
      <c r="L54" s="562"/>
    </row>
    <row r="55" spans="1:12" x14ac:dyDescent="0.2">
      <c r="A55" s="1375"/>
      <c r="B55" s="561"/>
      <c r="C55" s="436" t="s">
        <v>530</v>
      </c>
      <c r="D55" s="561"/>
      <c r="E55" s="642">
        <f>IFERROR(VLOOKUP(B55,MODULY_CBA!$B$3:$O$23,14,0)*VLOOKUP('Rozpocet - Vyvoj aplikacii'!C55,EXTERNE_POZICIE!$A$4:$C$39,3,0),0)</f>
        <v>0</v>
      </c>
      <c r="F55" s="499">
        <f>IFERROR(VLOOKUP(C55,POZICIE_INTERNE!$A$4:$D$60,3,0)*VLOOKUP(B55,MODULY_CBA!$B$3:$J$23,9,0)/SUM(MODULY_CBA!$J$3:$J$23),)</f>
        <v>0</v>
      </c>
      <c r="G55" s="505">
        <f>IFERROR(IF(ISTEXT(B55),VLOOKUP(C55,POZICIE_INTERNE!$A$4:$D$60,4,0),),)</f>
        <v>0</v>
      </c>
      <c r="H55" s="506">
        <f>IF(ISTEXT(B55),VLOOKUP(C55,EXTERNE_POZICIE!$A$4:$E$39,5,0),)</f>
        <v>0</v>
      </c>
      <c r="I55" s="500">
        <f t="shared" si="0"/>
        <v>0</v>
      </c>
      <c r="J55" s="500">
        <f t="shared" si="1"/>
        <v>0</v>
      </c>
      <c r="K55" s="500">
        <f t="shared" si="3"/>
        <v>0</v>
      </c>
      <c r="L55" s="562"/>
    </row>
    <row r="56" spans="1:12" x14ac:dyDescent="0.2">
      <c r="A56" s="1375"/>
      <c r="B56" s="561"/>
      <c r="C56" s="436" t="s">
        <v>262</v>
      </c>
      <c r="D56" s="561"/>
      <c r="E56" s="642">
        <f>IFERROR(VLOOKUP(B56,MODULY_CBA!$B$3:$O$23,14,0)*VLOOKUP('Rozpocet - Vyvoj aplikacii'!C56,EXTERNE_POZICIE!$A$4:$C$39,3,0),0)</f>
        <v>0</v>
      </c>
      <c r="F56" s="499">
        <f>IFERROR(VLOOKUP(C56,POZICIE_INTERNE!$A$4:$D$60,3,0)*VLOOKUP(B56,MODULY_CBA!$B$3:$J$23,9,0)/SUM(MODULY_CBA!$J$3:$J$23),)</f>
        <v>0</v>
      </c>
      <c r="G56" s="505">
        <f>IFERROR(IF(ISTEXT(B56),VLOOKUP(C56,POZICIE_INTERNE!$A$4:$D$60,4,0),),)</f>
        <v>0</v>
      </c>
      <c r="H56" s="506">
        <f>IF(ISTEXT(B56),VLOOKUP(C56,EXTERNE_POZICIE!$A$4:$E$39,5,0),)</f>
        <v>0</v>
      </c>
      <c r="I56" s="500">
        <f t="shared" si="0"/>
        <v>0</v>
      </c>
      <c r="J56" s="500">
        <f t="shared" si="1"/>
        <v>0</v>
      </c>
      <c r="K56" s="500">
        <f t="shared" si="3"/>
        <v>0</v>
      </c>
      <c r="L56" s="562"/>
    </row>
    <row r="57" spans="1:12" x14ac:dyDescent="0.2">
      <c r="A57" s="1375" t="s">
        <v>288</v>
      </c>
      <c r="B57" s="561"/>
      <c r="C57" s="436" t="s">
        <v>261</v>
      </c>
      <c r="D57" s="561"/>
      <c r="E57" s="642">
        <f>IFERROR(VLOOKUP(B57,MODULY_CBA!$B$3:$O$23,14,0)*VLOOKUP('Rozpocet - Vyvoj aplikacii'!C57,EXTERNE_POZICIE!$A$4:$C$39,3,0),0)</f>
        <v>0</v>
      </c>
      <c r="F57" s="499">
        <f>IFERROR(VLOOKUP(C57,POZICIE_INTERNE!$A$4:$D$60,3,0)*VLOOKUP(B57,MODULY_CBA!$B$3:$J$23,9,0)/SUM(MODULY_CBA!$J$3:$J$23),)</f>
        <v>0</v>
      </c>
      <c r="G57" s="505">
        <f>IFERROR(IF(ISTEXT(B57),VLOOKUP(C57,POZICIE_INTERNE!$A$4:$D$60,4,0),),)</f>
        <v>0</v>
      </c>
      <c r="H57" s="506">
        <f>IF(ISTEXT(B57),VLOOKUP(C57,EXTERNE_POZICIE!$A$4:$E$39,5,0),)</f>
        <v>0</v>
      </c>
      <c r="I57" s="500">
        <f t="shared" si="0"/>
        <v>0</v>
      </c>
      <c r="J57" s="500">
        <f t="shared" si="1"/>
        <v>0</v>
      </c>
      <c r="K57" s="500">
        <f t="shared" si="3"/>
        <v>0</v>
      </c>
      <c r="L57" s="562"/>
    </row>
    <row r="58" spans="1:12" x14ac:dyDescent="0.2">
      <c r="A58" s="1375"/>
      <c r="B58" s="561"/>
      <c r="C58" s="436" t="s">
        <v>530</v>
      </c>
      <c r="D58" s="561"/>
      <c r="E58" s="642">
        <f>IFERROR(VLOOKUP(B58,MODULY_CBA!$B$3:$O$23,14,0)*VLOOKUP('Rozpocet - Vyvoj aplikacii'!C58,EXTERNE_POZICIE!$A$4:$C$39,3,0),0)</f>
        <v>0</v>
      </c>
      <c r="F58" s="499">
        <f>IFERROR(VLOOKUP(C58,POZICIE_INTERNE!$A$4:$D$60,3,0)*VLOOKUP(B58,MODULY_CBA!$B$3:$J$23,9,0)/SUM(MODULY_CBA!$J$3:$J$23),)</f>
        <v>0</v>
      </c>
      <c r="G58" s="505">
        <f>IFERROR(IF(ISTEXT(B58),VLOOKUP(C58,POZICIE_INTERNE!$A$4:$D$60,4,0),),)</f>
        <v>0</v>
      </c>
      <c r="H58" s="506">
        <f>IF(ISTEXT(B58),VLOOKUP(C58,EXTERNE_POZICIE!$A$4:$E$39,5,0),)</f>
        <v>0</v>
      </c>
      <c r="I58" s="500">
        <f t="shared" si="0"/>
        <v>0</v>
      </c>
      <c r="J58" s="500">
        <f t="shared" si="1"/>
        <v>0</v>
      </c>
      <c r="K58" s="500">
        <f t="shared" si="3"/>
        <v>0</v>
      </c>
      <c r="L58" s="562"/>
    </row>
    <row r="59" spans="1:12" x14ac:dyDescent="0.2">
      <c r="A59" s="1375"/>
      <c r="B59" s="561"/>
      <c r="C59" s="436" t="s">
        <v>262</v>
      </c>
      <c r="D59" s="561"/>
      <c r="E59" s="642">
        <f>IFERROR(VLOOKUP(B59,MODULY_CBA!$B$3:$O$23,14,0)*VLOOKUP('Rozpocet - Vyvoj aplikacii'!C59,EXTERNE_POZICIE!$A$4:$C$39,3,0),0)</f>
        <v>0</v>
      </c>
      <c r="F59" s="499">
        <f>IFERROR(VLOOKUP(C59,POZICIE_INTERNE!$A$4:$D$60,3,0)*VLOOKUP(B59,MODULY_CBA!$B$3:$J$23,9,0)/SUM(MODULY_CBA!$J$3:$J$23),)</f>
        <v>0</v>
      </c>
      <c r="G59" s="505">
        <f>IFERROR(IF(ISTEXT(B59),VLOOKUP(C59,POZICIE_INTERNE!$A$4:$D$60,4,0),),)</f>
        <v>0</v>
      </c>
      <c r="H59" s="506">
        <f>IF(ISTEXT(B59),VLOOKUP(C59,EXTERNE_POZICIE!$A$4:$E$39,5,0),)</f>
        <v>0</v>
      </c>
      <c r="I59" s="500">
        <f t="shared" si="0"/>
        <v>0</v>
      </c>
      <c r="J59" s="500">
        <f t="shared" si="1"/>
        <v>0</v>
      </c>
      <c r="K59" s="500">
        <f t="shared" si="3"/>
        <v>0</v>
      </c>
      <c r="L59" s="562"/>
    </row>
    <row r="60" spans="1:12" x14ac:dyDescent="0.2">
      <c r="A60" s="1375" t="s">
        <v>289</v>
      </c>
      <c r="B60" s="561"/>
      <c r="C60" s="436" t="s">
        <v>261</v>
      </c>
      <c r="D60" s="561"/>
      <c r="E60" s="642">
        <f>IFERROR(VLOOKUP(B60,MODULY_CBA!$B$3:$O$23,14,0)*VLOOKUP('Rozpocet - Vyvoj aplikacii'!C60,EXTERNE_POZICIE!$A$4:$C$39,3,0),0)</f>
        <v>0</v>
      </c>
      <c r="F60" s="499">
        <f>IFERROR(VLOOKUP(C60,POZICIE_INTERNE!$A$4:$D$60,3,0)*VLOOKUP(B60,MODULY_CBA!$B$3:$J$23,9,0)/SUM(MODULY_CBA!$J$3:$J$23),)</f>
        <v>0</v>
      </c>
      <c r="G60" s="505">
        <f>IFERROR(IF(ISTEXT(B60),VLOOKUP(C60,POZICIE_INTERNE!$A$4:$D$60,4,0),),)</f>
        <v>0</v>
      </c>
      <c r="H60" s="506">
        <f>IF(ISTEXT(B60),VLOOKUP(C60,EXTERNE_POZICIE!$A$4:$E$39,5,0),)</f>
        <v>0</v>
      </c>
      <c r="I60" s="500">
        <f t="shared" si="0"/>
        <v>0</v>
      </c>
      <c r="J60" s="500">
        <f t="shared" si="1"/>
        <v>0</v>
      </c>
      <c r="K60" s="500">
        <f t="shared" si="3"/>
        <v>0</v>
      </c>
      <c r="L60" s="562"/>
    </row>
    <row r="61" spans="1:12" x14ac:dyDescent="0.2">
      <c r="A61" s="1375"/>
      <c r="B61" s="561"/>
      <c r="C61" s="436" t="s">
        <v>530</v>
      </c>
      <c r="D61" s="561"/>
      <c r="E61" s="642">
        <f>IFERROR(VLOOKUP(B61,MODULY_CBA!$B$3:$O$23,14,0)*VLOOKUP('Rozpocet - Vyvoj aplikacii'!C61,EXTERNE_POZICIE!$A$4:$C$39,3,0),0)</f>
        <v>0</v>
      </c>
      <c r="F61" s="499">
        <f>IFERROR(VLOOKUP(C61,POZICIE_INTERNE!$A$4:$D$60,3,0)*VLOOKUP(B61,MODULY_CBA!$B$3:$J$23,9,0)/SUM(MODULY_CBA!$J$3:$J$23),)</f>
        <v>0</v>
      </c>
      <c r="G61" s="505">
        <f>IFERROR(IF(ISTEXT(B61),VLOOKUP(C61,POZICIE_INTERNE!$A$4:$D$60,4,0),),)</f>
        <v>0</v>
      </c>
      <c r="H61" s="506">
        <f>IF(ISTEXT(B61),VLOOKUP(C61,EXTERNE_POZICIE!$A$4:$E$39,5,0),)</f>
        <v>0</v>
      </c>
      <c r="I61" s="500">
        <f t="shared" si="0"/>
        <v>0</v>
      </c>
      <c r="J61" s="500">
        <f t="shared" si="1"/>
        <v>0</v>
      </c>
      <c r="K61" s="500">
        <f t="shared" si="3"/>
        <v>0</v>
      </c>
      <c r="L61" s="562"/>
    </row>
    <row r="62" spans="1:12" x14ac:dyDescent="0.2">
      <c r="A62" s="1376"/>
      <c r="B62" s="561"/>
      <c r="C62" s="436" t="s">
        <v>262</v>
      </c>
      <c r="D62" s="561"/>
      <c r="E62" s="642">
        <f>IFERROR(VLOOKUP(B62,MODULY_CBA!$B$3:$O$23,14,0)*VLOOKUP('Rozpocet - Vyvoj aplikacii'!C62,EXTERNE_POZICIE!$A$4:$C$39,3,0),0)</f>
        <v>0</v>
      </c>
      <c r="F62" s="499">
        <f>IFERROR(VLOOKUP(C62,POZICIE_INTERNE!$A$4:$D$60,3,0)*VLOOKUP(B62,MODULY_CBA!$B$3:$J$23,9,0)/SUM(MODULY_CBA!$J$3:$J$23),)</f>
        <v>0</v>
      </c>
      <c r="G62" s="505">
        <f>IFERROR(IF(ISTEXT(B62),VLOOKUP(C62,POZICIE_INTERNE!$A$4:$D$60,4,0),),)</f>
        <v>0</v>
      </c>
      <c r="H62" s="506">
        <f>IF(ISTEXT(B62),VLOOKUP(C62,EXTERNE_POZICIE!$A$4:$E$39,5,0),)</f>
        <v>0</v>
      </c>
      <c r="I62" s="500">
        <f t="shared" si="0"/>
        <v>0</v>
      </c>
      <c r="J62" s="500">
        <f t="shared" si="1"/>
        <v>0</v>
      </c>
      <c r="K62" s="500">
        <f t="shared" si="3"/>
        <v>0</v>
      </c>
      <c r="L62" s="562"/>
    </row>
    <row r="63" spans="1:12" x14ac:dyDescent="0.2">
      <c r="A63" s="1374" t="s">
        <v>290</v>
      </c>
      <c r="B63" s="561"/>
      <c r="C63" s="436" t="s">
        <v>261</v>
      </c>
      <c r="D63" s="561"/>
      <c r="E63" s="642">
        <f>IFERROR(VLOOKUP(B63,MODULY_CBA!$B$3:$O$23,14,0)*VLOOKUP('Rozpocet - Vyvoj aplikacii'!C63,EXTERNE_POZICIE!$A$4:$C$39,3,0),0)</f>
        <v>0</v>
      </c>
      <c r="F63" s="499">
        <f>IFERROR(VLOOKUP(C63,POZICIE_INTERNE!$A$4:$D$60,3,0)*VLOOKUP(B63,MODULY_CBA!$B$3:$J$23,9,0)/SUM(MODULY_CBA!$J$3:$J$23),)</f>
        <v>0</v>
      </c>
      <c r="G63" s="505">
        <f>IFERROR(IF(ISTEXT(B63),VLOOKUP(C63,POZICIE_INTERNE!$A$4:$D$60,4,0),),)</f>
        <v>0</v>
      </c>
      <c r="H63" s="506">
        <f>IF(ISTEXT(B63),VLOOKUP(C63,EXTERNE_POZICIE!$A$4:$E$39,5,0),)</f>
        <v>0</v>
      </c>
      <c r="I63" s="500">
        <f t="shared" si="0"/>
        <v>0</v>
      </c>
      <c r="J63" s="500">
        <f t="shared" si="1"/>
        <v>0</v>
      </c>
      <c r="K63" s="500">
        <f t="shared" si="3"/>
        <v>0</v>
      </c>
      <c r="L63" s="562"/>
    </row>
    <row r="64" spans="1:12" x14ac:dyDescent="0.2">
      <c r="A64" s="1375"/>
      <c r="B64" s="561"/>
      <c r="C64" s="436" t="s">
        <v>530</v>
      </c>
      <c r="D64" s="561"/>
      <c r="E64" s="642">
        <f>IFERROR(VLOOKUP(B64,MODULY_CBA!$B$3:$O$23,14,0)*VLOOKUP('Rozpocet - Vyvoj aplikacii'!C64,EXTERNE_POZICIE!$A$4:$C$39,3,0),0)</f>
        <v>0</v>
      </c>
      <c r="F64" s="499">
        <f>IFERROR(VLOOKUP(C64,POZICIE_INTERNE!$A$4:$D$60,3,0)*VLOOKUP(B64,MODULY_CBA!$B$3:$J$23,9,0)/SUM(MODULY_CBA!$J$3:$J$23),)</f>
        <v>0</v>
      </c>
      <c r="G64" s="505">
        <f>IFERROR(IF(ISTEXT(B64),VLOOKUP(C64,POZICIE_INTERNE!$A$4:$D$60,4,0),),)</f>
        <v>0</v>
      </c>
      <c r="H64" s="506">
        <f>IF(ISTEXT(B64),VLOOKUP(C64,EXTERNE_POZICIE!$A$4:$E$39,5,0),)</f>
        <v>0</v>
      </c>
      <c r="I64" s="500">
        <f t="shared" si="0"/>
        <v>0</v>
      </c>
      <c r="J64" s="500">
        <f t="shared" si="1"/>
        <v>0</v>
      </c>
      <c r="K64" s="500">
        <f t="shared" si="3"/>
        <v>0</v>
      </c>
      <c r="L64" s="562"/>
    </row>
    <row r="65" spans="1:12" x14ac:dyDescent="0.2">
      <c r="A65" s="1375"/>
      <c r="B65" s="561"/>
      <c r="C65" s="436" t="s">
        <v>262</v>
      </c>
      <c r="D65" s="561"/>
      <c r="E65" s="642">
        <f>IFERROR(VLOOKUP(B65,MODULY_CBA!$B$3:$O$23,14,0)*VLOOKUP('Rozpocet - Vyvoj aplikacii'!C65,EXTERNE_POZICIE!$A$4:$C$39,3,0),0)</f>
        <v>0</v>
      </c>
      <c r="F65" s="499">
        <f>IFERROR(VLOOKUP(C65,POZICIE_INTERNE!$A$4:$D$60,3,0)*VLOOKUP(B65,MODULY_CBA!$B$3:$J$23,9,0)/SUM(MODULY_CBA!$J$3:$J$23),)</f>
        <v>0</v>
      </c>
      <c r="G65" s="505">
        <f>IFERROR(IF(ISTEXT(B65),VLOOKUP(C65,POZICIE_INTERNE!$A$4:$D$60,4,0),),)</f>
        <v>0</v>
      </c>
      <c r="H65" s="506">
        <f>IF(ISTEXT(B65),VLOOKUP(C65,EXTERNE_POZICIE!$A$4:$E$39,5,0),)</f>
        <v>0</v>
      </c>
      <c r="I65" s="500">
        <f t="shared" si="0"/>
        <v>0</v>
      </c>
      <c r="J65" s="500">
        <f t="shared" si="1"/>
        <v>0</v>
      </c>
      <c r="K65" s="500">
        <f t="shared" si="3"/>
        <v>0</v>
      </c>
      <c r="L65" s="562"/>
    </row>
  </sheetData>
  <autoFilter ref="B2:L65" xr:uid="{00000000-0009-0000-0000-000011000000}"/>
  <mergeCells count="22">
    <mergeCell ref="A1:D1"/>
    <mergeCell ref="A33:A35"/>
    <mergeCell ref="A36:A38"/>
    <mergeCell ref="A39:A41"/>
    <mergeCell ref="A42:A44"/>
    <mergeCell ref="A45:A47"/>
    <mergeCell ref="A3:A5"/>
    <mergeCell ref="A6:A8"/>
    <mergeCell ref="A9:A11"/>
    <mergeCell ref="A12:A14"/>
    <mergeCell ref="A15:A17"/>
    <mergeCell ref="A18:A20"/>
    <mergeCell ref="A21:A23"/>
    <mergeCell ref="A24:A26"/>
    <mergeCell ref="A27:A29"/>
    <mergeCell ref="A30:A32"/>
    <mergeCell ref="A63:A65"/>
    <mergeCell ref="A48:A50"/>
    <mergeCell ref="A51:A53"/>
    <mergeCell ref="A54:A56"/>
    <mergeCell ref="A57:A59"/>
    <mergeCell ref="A60:A62"/>
  </mergeCells>
  <phoneticPr fontId="58" type="noConversion"/>
  <dataValidations disablePrompts="1" count="1">
    <dataValidation type="list" allowBlank="1" showInputMessage="1" showErrorMessage="1" sqref="B3:B65" xr:uid="{00000000-0002-0000-1100-000000000000}">
      <formula1>MODULY</formula1>
    </dataValidation>
  </dataValidations>
  <pageMargins left="0.7" right="0.7" top="0.75" bottom="0.75" header="0.3" footer="0.3"/>
  <pageSetup paperSize="9" scale="1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O31"/>
  <sheetViews>
    <sheetView topLeftCell="A22" workbookViewId="0">
      <selection activeCell="F10" sqref="F10:F31"/>
    </sheetView>
  </sheetViews>
  <sheetFormatPr baseColWidth="10" defaultColWidth="8.83203125" defaultRowHeight="15" x14ac:dyDescent="0.2"/>
  <cols>
    <col min="1" max="11" width="18.1640625" style="480" customWidth="1"/>
    <col min="12" max="12" width="26.1640625" style="480" customWidth="1"/>
    <col min="13" max="15" width="24.5" style="480" customWidth="1"/>
    <col min="16" max="16384" width="8.83203125" style="364"/>
  </cols>
  <sheetData>
    <row r="1" spans="1:12" ht="16" x14ac:dyDescent="0.2">
      <c r="A1" s="480" t="s">
        <v>695</v>
      </c>
      <c r="B1" s="480" t="s">
        <v>696</v>
      </c>
      <c r="C1" s="480" t="s">
        <v>697</v>
      </c>
      <c r="D1" s="480" t="s">
        <v>698</v>
      </c>
      <c r="E1" s="480" t="s">
        <v>699</v>
      </c>
      <c r="F1" s="480" t="s">
        <v>700</v>
      </c>
      <c r="G1" s="480" t="s">
        <v>701</v>
      </c>
      <c r="H1" s="480" t="s">
        <v>702</v>
      </c>
      <c r="I1" s="480" t="s">
        <v>703</v>
      </c>
      <c r="J1" s="480" t="s">
        <v>704</v>
      </c>
      <c r="K1" s="480" t="s">
        <v>705</v>
      </c>
      <c r="L1" s="480" t="s">
        <v>706</v>
      </c>
    </row>
    <row r="2" spans="1:12" ht="80" x14ac:dyDescent="0.2">
      <c r="A2" s="480" t="s">
        <v>674</v>
      </c>
      <c r="B2" s="480" t="s">
        <v>675</v>
      </c>
      <c r="C2" s="480" t="s">
        <v>677</v>
      </c>
      <c r="D2" s="480" t="s">
        <v>678</v>
      </c>
      <c r="E2" s="480" t="s">
        <v>680</v>
      </c>
      <c r="F2" s="480" t="s">
        <v>399</v>
      </c>
      <c r="G2" s="480" t="s">
        <v>681</v>
      </c>
      <c r="H2" s="480" t="s">
        <v>679</v>
      </c>
      <c r="I2" s="480" t="s">
        <v>672</v>
      </c>
      <c r="J2" s="480" t="s">
        <v>684</v>
      </c>
      <c r="L2" s="480" t="s">
        <v>687</v>
      </c>
    </row>
    <row r="3" spans="1:12" ht="64" x14ac:dyDescent="0.2">
      <c r="B3" s="480" t="s">
        <v>676</v>
      </c>
      <c r="D3" s="480" t="s">
        <v>679</v>
      </c>
      <c r="H3" s="480" t="s">
        <v>682</v>
      </c>
      <c r="J3" s="480" t="s">
        <v>683</v>
      </c>
      <c r="L3" s="480" t="s">
        <v>692</v>
      </c>
    </row>
    <row r="4" spans="1:12" ht="32" x14ac:dyDescent="0.2">
      <c r="L4" s="480" t="s">
        <v>688</v>
      </c>
    </row>
    <row r="5" spans="1:12" ht="32" x14ac:dyDescent="0.2">
      <c r="L5" s="480" t="s">
        <v>693</v>
      </c>
    </row>
    <row r="6" spans="1:12" ht="16" x14ac:dyDescent="0.2">
      <c r="L6" s="480" t="s">
        <v>689</v>
      </c>
    </row>
    <row r="7" spans="1:12" ht="16" x14ac:dyDescent="0.2">
      <c r="L7" s="480" t="s">
        <v>690</v>
      </c>
    </row>
    <row r="8" spans="1:12" ht="16" x14ac:dyDescent="0.2">
      <c r="L8" s="480" t="s">
        <v>691</v>
      </c>
    </row>
    <row r="9" spans="1:12" ht="16" x14ac:dyDescent="0.2">
      <c r="A9" s="480" t="s">
        <v>708</v>
      </c>
      <c r="B9" s="480" t="s">
        <v>709</v>
      </c>
      <c r="D9" s="364" t="s">
        <v>668</v>
      </c>
      <c r="E9" s="364" t="s">
        <v>710</v>
      </c>
      <c r="F9" s="480" t="s">
        <v>711</v>
      </c>
    </row>
    <row r="10" spans="1:12" ht="32" x14ac:dyDescent="0.2">
      <c r="A10" s="632" t="s">
        <v>401</v>
      </c>
      <c r="B10" s="480" t="s">
        <v>695</v>
      </c>
      <c r="D10" s="633" t="s">
        <v>422</v>
      </c>
      <c r="E10" s="480" t="s">
        <v>674</v>
      </c>
      <c r="F10" s="636">
        <v>1330001</v>
      </c>
    </row>
    <row r="11" spans="1:12" ht="32" x14ac:dyDescent="0.2">
      <c r="A11" s="632" t="s">
        <v>400</v>
      </c>
      <c r="B11" s="480" t="s">
        <v>696</v>
      </c>
      <c r="D11" s="634" t="s">
        <v>669</v>
      </c>
      <c r="E11" s="480" t="s">
        <v>675</v>
      </c>
      <c r="F11" s="637">
        <v>2512001</v>
      </c>
    </row>
    <row r="12" spans="1:12" ht="32" x14ac:dyDescent="0.2">
      <c r="A12" s="632" t="s">
        <v>402</v>
      </c>
      <c r="B12" s="480" t="s">
        <v>697</v>
      </c>
      <c r="D12" s="634" t="s">
        <v>669</v>
      </c>
      <c r="E12" s="480" t="s">
        <v>676</v>
      </c>
      <c r="F12" s="637">
        <v>2512002</v>
      </c>
    </row>
    <row r="13" spans="1:12" ht="16" x14ac:dyDescent="0.2">
      <c r="A13" s="632" t="s">
        <v>398</v>
      </c>
      <c r="B13" s="480" t="s">
        <v>698</v>
      </c>
      <c r="D13" s="634" t="s">
        <v>402</v>
      </c>
      <c r="E13" s="480" t="s">
        <v>677</v>
      </c>
      <c r="F13" s="637">
        <v>2511003</v>
      </c>
    </row>
    <row r="14" spans="1:12" ht="45" x14ac:dyDescent="0.2">
      <c r="A14" s="632" t="s">
        <v>403</v>
      </c>
      <c r="B14" s="480" t="s">
        <v>699</v>
      </c>
      <c r="D14" s="634" t="s">
        <v>398</v>
      </c>
      <c r="E14" s="480" t="s">
        <v>678</v>
      </c>
      <c r="F14" s="637">
        <v>2511002</v>
      </c>
    </row>
    <row r="15" spans="1:12" ht="16" x14ac:dyDescent="0.2">
      <c r="A15" s="632" t="s">
        <v>399</v>
      </c>
      <c r="B15" s="480" t="s">
        <v>700</v>
      </c>
      <c r="D15" s="634" t="s">
        <v>398</v>
      </c>
      <c r="E15" s="480" t="s">
        <v>679</v>
      </c>
      <c r="F15" s="637">
        <v>2521001</v>
      </c>
    </row>
    <row r="16" spans="1:12" ht="45" x14ac:dyDescent="0.2">
      <c r="A16" s="632" t="s">
        <v>405</v>
      </c>
      <c r="B16" s="480" t="s">
        <v>701</v>
      </c>
      <c r="D16" s="633" t="s">
        <v>403</v>
      </c>
      <c r="E16" s="480" t="s">
        <v>680</v>
      </c>
      <c r="F16" s="637">
        <v>2421002</v>
      </c>
    </row>
    <row r="17" spans="1:6" ht="16" x14ac:dyDescent="0.2">
      <c r="A17" s="632" t="s">
        <v>406</v>
      </c>
      <c r="B17" s="480" t="s">
        <v>702</v>
      </c>
      <c r="D17" s="633" t="s">
        <v>399</v>
      </c>
      <c r="E17" s="480" t="s">
        <v>399</v>
      </c>
      <c r="F17" s="637">
        <v>2519001</v>
      </c>
    </row>
    <row r="18" spans="1:6" ht="80" x14ac:dyDescent="0.2">
      <c r="A18" s="632" t="s">
        <v>408</v>
      </c>
      <c r="B18" s="480" t="s">
        <v>703</v>
      </c>
      <c r="D18" s="633" t="s">
        <v>670</v>
      </c>
      <c r="E18" s="480" t="s">
        <v>684</v>
      </c>
      <c r="F18" s="637">
        <v>1330004</v>
      </c>
    </row>
    <row r="19" spans="1:6" ht="32" x14ac:dyDescent="0.2">
      <c r="A19" s="632" t="s">
        <v>404</v>
      </c>
      <c r="B19" s="480" t="s">
        <v>704</v>
      </c>
      <c r="D19" s="634" t="s">
        <v>671</v>
      </c>
      <c r="E19" s="480" t="s">
        <v>681</v>
      </c>
      <c r="F19" s="637">
        <v>2523000</v>
      </c>
    </row>
    <row r="20" spans="1:6" ht="16" x14ac:dyDescent="0.2">
      <c r="A20" s="632" t="s">
        <v>407</v>
      </c>
      <c r="B20" s="480" t="s">
        <v>705</v>
      </c>
      <c r="D20" s="634" t="s">
        <v>406</v>
      </c>
      <c r="E20" s="480" t="s">
        <v>679</v>
      </c>
      <c r="F20" s="637">
        <v>2521001</v>
      </c>
    </row>
    <row r="21" spans="1:6" ht="16" x14ac:dyDescent="0.2">
      <c r="A21" s="632" t="s">
        <v>409</v>
      </c>
      <c r="B21" s="480" t="s">
        <v>706</v>
      </c>
      <c r="D21" s="634" t="s">
        <v>406</v>
      </c>
      <c r="E21" s="480" t="s">
        <v>682</v>
      </c>
      <c r="F21" s="637">
        <v>2521003</v>
      </c>
    </row>
    <row r="22" spans="1:6" ht="16" x14ac:dyDescent="0.2">
      <c r="D22" s="635" t="s">
        <v>672</v>
      </c>
      <c r="E22" s="480" t="s">
        <v>672</v>
      </c>
      <c r="F22" s="637">
        <v>2511001</v>
      </c>
    </row>
    <row r="23" spans="1:6" ht="64" x14ac:dyDescent="0.2">
      <c r="D23" s="634" t="s">
        <v>673</v>
      </c>
      <c r="E23" s="480" t="s">
        <v>683</v>
      </c>
      <c r="F23" s="637">
        <v>2529001</v>
      </c>
    </row>
    <row r="24" spans="1:6" x14ac:dyDescent="0.2">
      <c r="D24" s="635" t="s">
        <v>407</v>
      </c>
      <c r="F24" s="371"/>
    </row>
    <row r="25" spans="1:6" ht="32" x14ac:dyDescent="0.2">
      <c r="D25" s="634" t="s">
        <v>707</v>
      </c>
      <c r="E25" s="480" t="s">
        <v>687</v>
      </c>
      <c r="F25" s="637">
        <v>7422003</v>
      </c>
    </row>
    <row r="26" spans="1:6" ht="48" x14ac:dyDescent="0.2">
      <c r="D26" s="634" t="s">
        <v>707</v>
      </c>
      <c r="E26" s="480" t="s">
        <v>692</v>
      </c>
      <c r="F26" s="637">
        <v>2153003</v>
      </c>
    </row>
    <row r="27" spans="1:6" ht="64" x14ac:dyDescent="0.2">
      <c r="D27" s="634" t="s">
        <v>707</v>
      </c>
      <c r="E27" s="480" t="s">
        <v>688</v>
      </c>
      <c r="F27" s="637">
        <v>2513003</v>
      </c>
    </row>
    <row r="28" spans="1:6" ht="48" x14ac:dyDescent="0.2">
      <c r="D28" s="634" t="s">
        <v>707</v>
      </c>
      <c r="E28" s="480" t="s">
        <v>693</v>
      </c>
      <c r="F28" s="637">
        <v>4229</v>
      </c>
    </row>
    <row r="29" spans="1:6" ht="32" x14ac:dyDescent="0.2">
      <c r="D29" s="634" t="s">
        <v>707</v>
      </c>
      <c r="E29" s="480" t="s">
        <v>689</v>
      </c>
      <c r="F29" s="371">
        <v>3511002</v>
      </c>
    </row>
    <row r="30" spans="1:6" ht="32" x14ac:dyDescent="0.2">
      <c r="D30" s="634" t="s">
        <v>707</v>
      </c>
      <c r="E30" s="480" t="s">
        <v>690</v>
      </c>
      <c r="F30" s="371">
        <v>3512000</v>
      </c>
    </row>
    <row r="31" spans="1:6" ht="32" x14ac:dyDescent="0.2">
      <c r="D31" s="634" t="s">
        <v>707</v>
      </c>
      <c r="E31" s="480" t="s">
        <v>691</v>
      </c>
      <c r="F31" s="371">
        <v>2514000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tabColor theme="0" tint="-0.34998626667073579"/>
  </sheetPr>
  <dimension ref="A1:D30"/>
  <sheetViews>
    <sheetView workbookViewId="0">
      <selection activeCell="D2" sqref="D2"/>
    </sheetView>
  </sheetViews>
  <sheetFormatPr baseColWidth="10" defaultColWidth="8.83203125" defaultRowHeight="15" x14ac:dyDescent="0.2"/>
  <cols>
    <col min="1" max="1" width="25.5" customWidth="1"/>
    <col min="2" max="2" width="79" bestFit="1" customWidth="1"/>
    <col min="3" max="3" width="13.33203125" customWidth="1"/>
    <col min="4" max="4" width="70" bestFit="1" customWidth="1"/>
  </cols>
  <sheetData>
    <row r="1" spans="1:4" ht="20" thickBot="1" x14ac:dyDescent="0.3">
      <c r="A1" s="228" t="s">
        <v>211</v>
      </c>
      <c r="D1" s="645" t="s">
        <v>771</v>
      </c>
    </row>
    <row r="2" spans="1:4" ht="16" thickBot="1" x14ac:dyDescent="0.25">
      <c r="A2" s="229" t="s">
        <v>215</v>
      </c>
      <c r="B2" s="230" t="s">
        <v>216</v>
      </c>
      <c r="C2" s="525" t="s">
        <v>495</v>
      </c>
      <c r="D2" s="231" t="s">
        <v>221</v>
      </c>
    </row>
    <row r="3" spans="1:4" x14ac:dyDescent="0.2">
      <c r="A3" s="523" t="s">
        <v>493</v>
      </c>
      <c r="B3" s="232" t="s">
        <v>494</v>
      </c>
      <c r="C3" s="526"/>
      <c r="D3" s="196" t="s">
        <v>224</v>
      </c>
    </row>
    <row r="4" spans="1:4" x14ac:dyDescent="0.2">
      <c r="A4" s="523" t="s">
        <v>212</v>
      </c>
      <c r="B4" s="232" t="s">
        <v>218</v>
      </c>
      <c r="C4" s="527"/>
      <c r="D4" s="196" t="s">
        <v>217</v>
      </c>
    </row>
    <row r="5" spans="1:4" x14ac:dyDescent="0.2">
      <c r="A5" s="523" t="s">
        <v>465</v>
      </c>
      <c r="B5" s="232" t="s">
        <v>492</v>
      </c>
      <c r="C5" s="527"/>
      <c r="D5" s="194" t="s">
        <v>496</v>
      </c>
    </row>
    <row r="6" spans="1:4" x14ac:dyDescent="0.2">
      <c r="A6" s="524" t="s">
        <v>464</v>
      </c>
      <c r="B6" s="233" t="s">
        <v>219</v>
      </c>
      <c r="C6" s="528"/>
      <c r="D6" s="234" t="s">
        <v>220</v>
      </c>
    </row>
    <row r="7" spans="1:4" x14ac:dyDescent="0.2">
      <c r="A7" s="524" t="s">
        <v>466</v>
      </c>
      <c r="B7" s="233" t="s">
        <v>222</v>
      </c>
      <c r="C7" s="528"/>
      <c r="D7" s="234" t="s">
        <v>220</v>
      </c>
    </row>
    <row r="8" spans="1:4" x14ac:dyDescent="0.2">
      <c r="A8" s="524" t="s">
        <v>467</v>
      </c>
      <c r="B8" s="233" t="s">
        <v>223</v>
      </c>
      <c r="C8" s="529"/>
      <c r="D8" s="194" t="s">
        <v>224</v>
      </c>
    </row>
    <row r="9" spans="1:4" x14ac:dyDescent="0.2">
      <c r="A9" s="524" t="s">
        <v>468</v>
      </c>
      <c r="B9" s="233" t="s">
        <v>483</v>
      </c>
      <c r="C9" s="530"/>
      <c r="D9" s="194" t="s">
        <v>224</v>
      </c>
    </row>
    <row r="10" spans="1:4" x14ac:dyDescent="0.2">
      <c r="A10" s="524" t="s">
        <v>469</v>
      </c>
      <c r="B10" s="233" t="s">
        <v>484</v>
      </c>
      <c r="C10" s="530"/>
      <c r="D10" s="194" t="s">
        <v>224</v>
      </c>
    </row>
    <row r="11" spans="1:4" x14ac:dyDescent="0.2">
      <c r="A11" s="524" t="s">
        <v>470</v>
      </c>
      <c r="B11" s="233" t="s">
        <v>485</v>
      </c>
      <c r="C11" s="530"/>
      <c r="D11" s="522" t="s">
        <v>224</v>
      </c>
    </row>
    <row r="12" spans="1:4" x14ac:dyDescent="0.2">
      <c r="A12" s="524" t="s">
        <v>471</v>
      </c>
      <c r="B12" s="233" t="s">
        <v>486</v>
      </c>
      <c r="C12" s="530"/>
      <c r="D12" s="194" t="s">
        <v>224</v>
      </c>
    </row>
    <row r="13" spans="1:4" x14ac:dyDescent="0.2">
      <c r="A13" s="524" t="s">
        <v>472</v>
      </c>
      <c r="B13" s="233" t="s">
        <v>487</v>
      </c>
      <c r="C13" s="530"/>
      <c r="D13" s="194" t="s">
        <v>224</v>
      </c>
    </row>
    <row r="14" spans="1:4" x14ac:dyDescent="0.2">
      <c r="A14" s="524" t="s">
        <v>473</v>
      </c>
      <c r="B14" s="233" t="s">
        <v>488</v>
      </c>
      <c r="C14" s="530"/>
      <c r="D14" s="194" t="s">
        <v>224</v>
      </c>
    </row>
    <row r="15" spans="1:4" x14ac:dyDescent="0.2">
      <c r="A15" s="524" t="s">
        <v>474</v>
      </c>
      <c r="B15" s="233" t="s">
        <v>489</v>
      </c>
      <c r="C15" s="531"/>
      <c r="D15" s="194" t="s">
        <v>224</v>
      </c>
    </row>
    <row r="16" spans="1:4" x14ac:dyDescent="0.2">
      <c r="A16" s="524" t="s">
        <v>475</v>
      </c>
      <c r="B16" s="233" t="s">
        <v>490</v>
      </c>
      <c r="C16" s="531"/>
      <c r="D16" s="194" t="s">
        <v>224</v>
      </c>
    </row>
    <row r="17" spans="1:4" x14ac:dyDescent="0.2">
      <c r="A17" s="524" t="s">
        <v>476</v>
      </c>
      <c r="B17" s="233" t="s">
        <v>243</v>
      </c>
      <c r="C17" s="531"/>
      <c r="D17" s="194" t="s">
        <v>224</v>
      </c>
    </row>
    <row r="18" spans="1:4" x14ac:dyDescent="0.2">
      <c r="A18" s="524" t="s">
        <v>477</v>
      </c>
      <c r="B18" s="233" t="s">
        <v>244</v>
      </c>
      <c r="C18" s="531"/>
      <c r="D18" s="194" t="s">
        <v>224</v>
      </c>
    </row>
    <row r="19" spans="1:4" x14ac:dyDescent="0.2">
      <c r="A19" s="524" t="s">
        <v>478</v>
      </c>
      <c r="B19" s="233" t="s">
        <v>491</v>
      </c>
      <c r="C19" s="531"/>
      <c r="D19" s="194" t="s">
        <v>224</v>
      </c>
    </row>
    <row r="20" spans="1:4" x14ac:dyDescent="0.2">
      <c r="A20" s="524" t="s">
        <v>213</v>
      </c>
      <c r="B20" s="233" t="s">
        <v>225</v>
      </c>
      <c r="C20" s="528"/>
      <c r="D20" s="234" t="s">
        <v>220</v>
      </c>
    </row>
    <row r="21" spans="1:4" x14ac:dyDescent="0.2">
      <c r="A21" s="524" t="s">
        <v>479</v>
      </c>
      <c r="B21" s="233" t="s">
        <v>226</v>
      </c>
      <c r="C21" s="532"/>
      <c r="D21" s="194" t="s">
        <v>224</v>
      </c>
    </row>
    <row r="22" spans="1:4" x14ac:dyDescent="0.2">
      <c r="A22" s="524" t="s">
        <v>480</v>
      </c>
      <c r="B22" s="233" t="s">
        <v>227</v>
      </c>
      <c r="C22" s="532"/>
      <c r="D22" s="194" t="s">
        <v>224</v>
      </c>
    </row>
    <row r="23" spans="1:4" x14ac:dyDescent="0.2">
      <c r="A23" s="524" t="s">
        <v>481</v>
      </c>
      <c r="B23" s="233" t="s">
        <v>228</v>
      </c>
      <c r="C23" s="532"/>
      <c r="D23" s="194" t="s">
        <v>224</v>
      </c>
    </row>
    <row r="24" spans="1:4" x14ac:dyDescent="0.2">
      <c r="A24" s="524" t="s">
        <v>482</v>
      </c>
      <c r="B24" s="233" t="s">
        <v>229</v>
      </c>
      <c r="C24" s="532"/>
      <c r="D24" s="194" t="s">
        <v>224</v>
      </c>
    </row>
    <row r="25" spans="1:4" x14ac:dyDescent="0.2">
      <c r="A25" s="524" t="s">
        <v>214</v>
      </c>
      <c r="B25" s="233" t="s">
        <v>230</v>
      </c>
      <c r="C25" s="532"/>
      <c r="D25" s="194" t="s">
        <v>231</v>
      </c>
    </row>
    <row r="26" spans="1:4" x14ac:dyDescent="0.2">
      <c r="A26" s="524" t="s">
        <v>506</v>
      </c>
      <c r="B26" s="233" t="s">
        <v>507</v>
      </c>
      <c r="C26" s="598"/>
      <c r="D26" s="194" t="s">
        <v>508</v>
      </c>
    </row>
    <row r="27" spans="1:4" x14ac:dyDescent="0.2">
      <c r="A27" s="599" t="s">
        <v>510</v>
      </c>
      <c r="B27" s="233" t="s">
        <v>511</v>
      </c>
      <c r="C27" s="598"/>
      <c r="D27" s="194" t="s">
        <v>516</v>
      </c>
    </row>
    <row r="28" spans="1:4" x14ac:dyDescent="0.2">
      <c r="A28" s="599" t="s">
        <v>512</v>
      </c>
      <c r="B28" s="233" t="s">
        <v>513</v>
      </c>
      <c r="C28" s="598"/>
      <c r="D28" s="194" t="s">
        <v>517</v>
      </c>
    </row>
    <row r="29" spans="1:4" x14ac:dyDescent="0.2">
      <c r="A29" s="599" t="s">
        <v>514</v>
      </c>
      <c r="B29" s="233" t="s">
        <v>515</v>
      </c>
      <c r="C29" s="598"/>
      <c r="D29" s="194" t="s">
        <v>517</v>
      </c>
    </row>
    <row r="30" spans="1:4" x14ac:dyDescent="0.2">
      <c r="A30" s="524" t="s">
        <v>509</v>
      </c>
      <c r="B30" s="233" t="s">
        <v>222</v>
      </c>
      <c r="C30" s="598"/>
      <c r="D30" s="234" t="s">
        <v>220</v>
      </c>
    </row>
  </sheetData>
  <hyperlinks>
    <hyperlink ref="A4" location="Sumarizácia!R1C1" display="Sumarizácia" xr:uid="{00000000-0004-0000-0100-000000000000}"/>
    <hyperlink ref="A6" location="'CBA - Agendové IS'!R1C1" display="CBA" xr:uid="{00000000-0004-0000-0100-000001000000}"/>
    <hyperlink ref="A7" location="'Analyza citlivosti - AgendovéIS'!R1C1" display="Analyza citlivosti" xr:uid="{00000000-0004-0000-0100-000002000000}"/>
    <hyperlink ref="A3" location="Úvod!A10" display="Úvod" xr:uid="{00000000-0004-0000-0100-000003000000}"/>
    <hyperlink ref="A5" location="'Zdroje Financovania'!A1" display="Zdroje Financovania" xr:uid="{00000000-0004-0000-0100-000004000000}"/>
    <hyperlink ref="A8" location="'Parametre - Agendové IS'!A1" display="Parametre - Agendové IS" xr:uid="{00000000-0004-0000-0100-000005000000}"/>
    <hyperlink ref="A9" location="MODULY_CBA!A1" display="MODULY_CBA" xr:uid="{00000000-0004-0000-0100-000006000000}"/>
    <hyperlink ref="A10" location="INKREMENTY!A1" display="INKREMENTY" xr:uid="{00000000-0004-0000-0100-000007000000}"/>
    <hyperlink ref="A11" location="KATALOG_POZIADAVKY!A1" display="KATALOG_POZIADAVKY" xr:uid="{00000000-0004-0000-0100-000008000000}"/>
    <hyperlink ref="A12" location="TCF_v02!A1" display="TCF_v02" xr:uid="{00000000-0004-0000-0100-000009000000}"/>
    <hyperlink ref="A13" location="ECF_v02!A1" display="ECF_v02" xr:uid="{00000000-0004-0000-0100-00000A000000}"/>
    <hyperlink ref="A14" location="UAW_v02!A1" display="UAW_v02" xr:uid="{00000000-0004-0000-0100-00000B000000}"/>
    <hyperlink ref="A15" location="AKTIVITY_POZICIE!A1" display="AKTIVITY_POZICIE" xr:uid="{00000000-0004-0000-0100-00000C000000}"/>
    <hyperlink ref="A16" location="POZICIE_INTERNE!A1" display="POZICIE_INTERNE" xr:uid="{00000000-0004-0000-0100-00000D000000}"/>
    <hyperlink ref="A17" location="'Rozpocet - Vyvoj aplikacii'!A1" display="Rozpocet - Vyvoj aplikacii" xr:uid="{00000000-0004-0000-0100-00000E000000}"/>
    <hyperlink ref="A18" location="'Rozpočet - HW a licencie'!A1" display="Rozpocet - HW a licencie" xr:uid="{00000000-0004-0000-0100-00000F000000}"/>
    <hyperlink ref="A19" location="Harmonogram!A1" display="Harmonogram" xr:uid="{00000000-0004-0000-0100-000010000000}"/>
    <hyperlink ref="A20" location="TCO!A1" display="TCO" xr:uid="{00000000-0004-0000-0100-000011000000}"/>
    <hyperlink ref="A21" location="'TCO AS IS - SW'!A1" display="TCO AS IS - SW" xr:uid="{00000000-0004-0000-0100-000012000000}"/>
    <hyperlink ref="A22" location="'TCO AS IS - HW'!A1" display="TCO AS IS - HW" xr:uid="{00000000-0004-0000-0100-000013000000}"/>
    <hyperlink ref="A23" location="'TCO TO BE- SW'!A1" display="TCO TO BE - SW" xr:uid="{00000000-0004-0000-0100-000014000000}"/>
    <hyperlink ref="A24" location="'TCO TO BE - HW'!A1" display="TCO TO BE - HW" xr:uid="{00000000-0004-0000-0100-000015000000}"/>
    <hyperlink ref="A25" location="Faktory!A1" display="Faktory" xr:uid="{00000000-0004-0000-0100-000016000000}"/>
    <hyperlink ref="A27" location="'Procesné mapy'!R1C1" display="Procesné mapy" xr:uid="{00000000-0004-0000-0100-000017000000}"/>
    <hyperlink ref="A28" location="'Procesy - AS IS'!R1C1" display="Procesy AS IS" xr:uid="{00000000-0004-0000-0100-000018000000}"/>
    <hyperlink ref="A29" location="'Procesy - TO BE'!R1C1" display="Procesy TO BE" xr:uid="{00000000-0004-0000-0100-000019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tabColor rgb="FF00B050"/>
  </sheetPr>
  <dimension ref="A1:R185"/>
  <sheetViews>
    <sheetView zoomScale="137" zoomScaleNormal="100" workbookViewId="0">
      <pane ySplit="2" topLeftCell="A3" activePane="bottomLeft" state="frozen"/>
      <selection pane="bottomLeft" activeCell="I1" sqref="I1"/>
    </sheetView>
  </sheetViews>
  <sheetFormatPr baseColWidth="10" defaultColWidth="8.83203125" defaultRowHeight="15" x14ac:dyDescent="0.2"/>
  <cols>
    <col min="1" max="1" width="17.5" style="364" bestFit="1" customWidth="1"/>
    <col min="2" max="2" width="51.5" style="364" customWidth="1"/>
    <col min="3" max="3" width="12.5" style="364" customWidth="1"/>
    <col min="4" max="4" width="16.33203125" style="364" bestFit="1" customWidth="1"/>
    <col min="5" max="5" width="13.5" style="364" bestFit="1" customWidth="1"/>
    <col min="6" max="6" width="8.83203125" style="364"/>
    <col min="7" max="7" width="12.83203125" style="364" bestFit="1" customWidth="1"/>
    <col min="8" max="8" width="18.33203125" style="364" bestFit="1" customWidth="1"/>
    <col min="9" max="9" width="20.33203125" style="364" customWidth="1"/>
    <col min="10" max="10" width="56.83203125" style="364" customWidth="1"/>
    <col min="11" max="11" width="13" style="364" customWidth="1"/>
    <col min="12" max="16384" width="8.83203125" style="364"/>
  </cols>
  <sheetData>
    <row r="1" spans="1:13" ht="16" thickBot="1" x14ac:dyDescent="0.25">
      <c r="I1" s="444">
        <f>SUM(I3:I102)</f>
        <v>22663025.973295216</v>
      </c>
      <c r="L1" s="364">
        <f>SUM(L3:L15)</f>
        <v>1298872.6200000001</v>
      </c>
    </row>
    <row r="2" spans="1:13" ht="16" thickBot="1" x14ac:dyDescent="0.25">
      <c r="A2" s="437" t="s">
        <v>259</v>
      </c>
      <c r="B2" s="438" t="s">
        <v>240</v>
      </c>
      <c r="C2" s="438" t="s">
        <v>303</v>
      </c>
      <c r="D2" s="438" t="s">
        <v>306</v>
      </c>
      <c r="E2" s="438" t="s">
        <v>241</v>
      </c>
      <c r="F2" s="438" t="s">
        <v>242</v>
      </c>
      <c r="G2" s="438" t="s">
        <v>291</v>
      </c>
      <c r="H2" s="439" t="s">
        <v>304</v>
      </c>
      <c r="I2" s="439" t="s">
        <v>305</v>
      </c>
      <c r="J2" s="438" t="s">
        <v>308</v>
      </c>
      <c r="K2" s="364" t="s">
        <v>1740</v>
      </c>
      <c r="L2" s="364" t="s">
        <v>1739</v>
      </c>
      <c r="M2" s="771" t="s">
        <v>1738</v>
      </c>
    </row>
    <row r="3" spans="1:13" x14ac:dyDescent="0.2">
      <c r="A3" s="567" t="s">
        <v>799</v>
      </c>
      <c r="B3" s="564" t="str">
        <f>Rozpočet_FIN!B7</f>
        <v>NetAcad LAB A vybavenie (Networking a základy cybersec)</v>
      </c>
      <c r="C3" s="564" t="s">
        <v>64</v>
      </c>
      <c r="D3" s="564" t="s">
        <v>307</v>
      </c>
      <c r="E3" s="565" t="s">
        <v>730</v>
      </c>
      <c r="F3" s="565">
        <v>1</v>
      </c>
      <c r="G3" s="565">
        <v>2</v>
      </c>
      <c r="H3" s="566">
        <f>K3-L3</f>
        <v>7848432.7174082445</v>
      </c>
      <c r="I3" s="440">
        <f t="shared" ref="I3:I15" si="0">H3*F3</f>
        <v>7848432.7174082445</v>
      </c>
      <c r="J3" s="569" t="s">
        <v>1712</v>
      </c>
      <c r="K3" s="364">
        <v>7880241.8427959997</v>
      </c>
      <c r="L3" s="364">
        <f>'Rozpocet - Vyvoj aplikacii'!J3+'Rozpocet - Vyvoj aplikacii'!J4+'Rozpocet - Vyvoj aplikacii'!J5</f>
        <v>31809.125387755103</v>
      </c>
      <c r="M3" s="364" t="s">
        <v>1708</v>
      </c>
    </row>
    <row r="4" spans="1:13" x14ac:dyDescent="0.2">
      <c r="A4" s="567" t="s">
        <v>815</v>
      </c>
      <c r="B4" s="564" t="str">
        <f>Rozpočet_FIN!B10</f>
        <v>NetAcad LAB B vybavenie (Pokročilá cybersec)</v>
      </c>
      <c r="C4" s="564" t="s">
        <v>64</v>
      </c>
      <c r="D4" s="564" t="s">
        <v>307</v>
      </c>
      <c r="E4" s="565" t="s">
        <v>730</v>
      </c>
      <c r="F4" s="565">
        <v>1</v>
      </c>
      <c r="G4" s="565">
        <v>2</v>
      </c>
      <c r="H4" s="566">
        <f t="shared" ref="H4:H15" si="1">K4-L4</f>
        <v>1457269.8403526454</v>
      </c>
      <c r="I4" s="440">
        <f t="shared" si="0"/>
        <v>1457269.8403526454</v>
      </c>
      <c r="J4" s="569" t="s">
        <v>1712</v>
      </c>
      <c r="K4" s="364">
        <v>1489078.9657404004</v>
      </c>
      <c r="L4" s="364">
        <f>'Rozpocet - Vyvoj aplikacii'!J6+'Rozpocet - Vyvoj aplikacii'!J7+'Rozpocet - Vyvoj aplikacii'!J8</f>
        <v>31809.125387755103</v>
      </c>
    </row>
    <row r="5" spans="1:13" x14ac:dyDescent="0.2">
      <c r="A5" s="567" t="s">
        <v>821</v>
      </c>
      <c r="B5" s="564" t="str">
        <f>Rozpočet_FIN!B13</f>
        <v>NetAcad LAB spoločná komunikačná infraštruktúra</v>
      </c>
      <c r="C5" s="564" t="s">
        <v>64</v>
      </c>
      <c r="D5" s="564" t="s">
        <v>307</v>
      </c>
      <c r="E5" s="565" t="s">
        <v>730</v>
      </c>
      <c r="F5" s="565">
        <v>1</v>
      </c>
      <c r="G5" s="565">
        <v>2</v>
      </c>
      <c r="H5" s="566">
        <f t="shared" si="1"/>
        <v>171999.42116447724</v>
      </c>
      <c r="I5" s="440">
        <f t="shared" si="0"/>
        <v>171999.42116447724</v>
      </c>
      <c r="J5" s="569" t="s">
        <v>1712</v>
      </c>
      <c r="K5" s="364">
        <v>245160.409556314</v>
      </c>
      <c r="L5" s="364">
        <f>'Rozpocet - Vyvoj aplikacii'!J9+'Rozpocet - Vyvoj aplikacii'!J10+'Rozpocet - Vyvoj aplikacii'!J11</f>
        <v>73160.988391836756</v>
      </c>
    </row>
    <row r="6" spans="1:13" x14ac:dyDescent="0.2">
      <c r="A6" s="567" t="s">
        <v>824</v>
      </c>
      <c r="B6" s="564" t="str">
        <f>Rozpočet_FIN!B15</f>
        <v>NetAcad LAB vzdelávací obsah v  oblasti kybernetickej bezpečnosti (na Slovensku)</v>
      </c>
      <c r="C6" s="564" t="s">
        <v>65</v>
      </c>
      <c r="D6" s="564" t="s">
        <v>71</v>
      </c>
      <c r="E6" s="565" t="s">
        <v>730</v>
      </c>
      <c r="F6" s="565">
        <v>1</v>
      </c>
      <c r="G6" s="565">
        <v>2</v>
      </c>
      <c r="H6" s="566">
        <f t="shared" si="1"/>
        <v>369000</v>
      </c>
      <c r="I6" s="440">
        <f t="shared" si="0"/>
        <v>369000</v>
      </c>
      <c r="J6" s="569" t="s">
        <v>1712</v>
      </c>
      <c r="K6" s="364">
        <v>369000</v>
      </c>
    </row>
    <row r="7" spans="1:13" x14ac:dyDescent="0.2">
      <c r="A7" s="567" t="s">
        <v>830</v>
      </c>
      <c r="B7" s="564" t="str">
        <f>Rozpočet_FIN!B16</f>
        <v>LMS Cluster + Interoperabilita</v>
      </c>
      <c r="C7" s="564" t="s">
        <v>65</v>
      </c>
      <c r="D7" s="564" t="s">
        <v>71</v>
      </c>
      <c r="E7" s="565" t="s">
        <v>730</v>
      </c>
      <c r="F7" s="565">
        <v>1</v>
      </c>
      <c r="G7" s="565">
        <v>2</v>
      </c>
      <c r="H7" s="566">
        <f t="shared" si="1"/>
        <v>303270.57120000001</v>
      </c>
      <c r="I7" s="440">
        <f t="shared" si="0"/>
        <v>303270.57120000001</v>
      </c>
      <c r="J7" s="569" t="s">
        <v>1713</v>
      </c>
      <c r="K7" s="364">
        <v>615000</v>
      </c>
      <c r="L7" s="364">
        <f>'Rozpocet - Vyvoj aplikacii'!J15+'Rozpocet - Vyvoj aplikacii'!J16+'Rozpocet - Vyvoj aplikacii'!J17</f>
        <v>311729.42879999999</v>
      </c>
    </row>
    <row r="8" spans="1:13" x14ac:dyDescent="0.2">
      <c r="A8" s="567" t="s">
        <v>836</v>
      </c>
      <c r="B8" s="564" t="str">
        <f>Rozpočet_FIN!B18</f>
        <v>CSKI Centrálna serverová a komunikačná infraštruktúra</v>
      </c>
      <c r="C8" s="564" t="s">
        <v>64</v>
      </c>
      <c r="D8" s="564" t="s">
        <v>307</v>
      </c>
      <c r="E8" s="565" t="s">
        <v>730</v>
      </c>
      <c r="F8" s="565">
        <v>1</v>
      </c>
      <c r="G8" s="565">
        <v>2</v>
      </c>
      <c r="H8" s="566">
        <f t="shared" si="1"/>
        <v>6411733.15386</v>
      </c>
      <c r="I8" s="440">
        <f t="shared" si="0"/>
        <v>6411733.15386</v>
      </c>
      <c r="J8" s="569" t="s">
        <v>1714</v>
      </c>
      <c r="K8" s="364">
        <v>6411733.15386</v>
      </c>
    </row>
    <row r="9" spans="1:13" x14ac:dyDescent="0.2">
      <c r="A9" s="567" t="s">
        <v>840</v>
      </c>
      <c r="B9" s="564" t="str">
        <f>Rozpočet_FIN!B21</f>
        <v>AI Cluster</v>
      </c>
      <c r="C9" s="564" t="s">
        <v>64</v>
      </c>
      <c r="D9" s="564" t="s">
        <v>307</v>
      </c>
      <c r="E9" s="565" t="s">
        <v>730</v>
      </c>
      <c r="F9" s="565">
        <v>1</v>
      </c>
      <c r="G9" s="565">
        <v>2</v>
      </c>
      <c r="H9" s="566">
        <f t="shared" si="1"/>
        <v>3799941.407289796</v>
      </c>
      <c r="I9" s="440">
        <f t="shared" si="0"/>
        <v>3799941.407289796</v>
      </c>
      <c r="J9" s="569" t="s">
        <v>1715</v>
      </c>
      <c r="K9" s="364">
        <v>3851366.16</v>
      </c>
      <c r="L9" s="364">
        <f>'Rozpocet - Vyvoj aplikacii'!J21+'Rozpocet - Vyvoj aplikacii'!J22+'Rozpocet - Vyvoj aplikacii'!J23</f>
        <v>51424.752710204077</v>
      </c>
    </row>
    <row r="10" spans="1:13" x14ac:dyDescent="0.2">
      <c r="A10" s="567" t="s">
        <v>842</v>
      </c>
      <c r="B10" s="564" t="str">
        <f>Rozpočet_FIN!B22</f>
        <v>CSIRT-SOC Cluster</v>
      </c>
      <c r="C10" s="564" t="s">
        <v>65</v>
      </c>
      <c r="D10" s="564" t="s">
        <v>71</v>
      </c>
      <c r="E10" s="565" t="s">
        <v>730</v>
      </c>
      <c r="F10" s="565">
        <v>1</v>
      </c>
      <c r="G10" s="565">
        <v>2</v>
      </c>
      <c r="H10" s="566">
        <f t="shared" si="1"/>
        <v>827084.41175510199</v>
      </c>
      <c r="I10" s="440">
        <f t="shared" si="0"/>
        <v>827084.41175510199</v>
      </c>
      <c r="J10" s="569" t="s">
        <v>1713</v>
      </c>
      <c r="K10" s="364">
        <v>1230000</v>
      </c>
      <c r="L10" s="364">
        <f>'Rozpocet - Vyvoj aplikacii'!J24+'Rozpocet - Vyvoj aplikacii'!J25+'Rozpocet - Vyvoj aplikacii'!J26</f>
        <v>402915.58824489795</v>
      </c>
    </row>
    <row r="11" spans="1:13" x14ac:dyDescent="0.2">
      <c r="A11" s="567" t="s">
        <v>844</v>
      </c>
      <c r="B11" s="564" t="str">
        <f>Rozpočet_FIN!B24</f>
        <v>Kvantové počítače a príslušenstvo</v>
      </c>
      <c r="C11" s="564" t="s">
        <v>64</v>
      </c>
      <c r="D11" s="564" t="s">
        <v>307</v>
      </c>
      <c r="E11" s="565" t="s">
        <v>730</v>
      </c>
      <c r="F11" s="565">
        <v>1</v>
      </c>
      <c r="G11" s="565">
        <v>2</v>
      </c>
      <c r="H11" s="566">
        <f t="shared" si="1"/>
        <v>539355</v>
      </c>
      <c r="I11" s="440">
        <f t="shared" si="0"/>
        <v>539355</v>
      </c>
      <c r="J11" s="569" t="s">
        <v>1716</v>
      </c>
      <c r="K11" s="364">
        <v>539355</v>
      </c>
    </row>
    <row r="12" spans="1:13" x14ac:dyDescent="0.2">
      <c r="A12" s="567" t="s">
        <v>844</v>
      </c>
      <c r="B12" s="564" t="str">
        <f>Rozpočet_FIN!B25</f>
        <v>Kvantové počítače a príslušenstvo</v>
      </c>
      <c r="C12" s="564" t="s">
        <v>65</v>
      </c>
      <c r="D12" s="564" t="s">
        <v>71</v>
      </c>
      <c r="E12" s="565" t="s">
        <v>730</v>
      </c>
      <c r="F12" s="565">
        <v>1</v>
      </c>
      <c r="G12" s="565">
        <v>2</v>
      </c>
      <c r="H12" s="566">
        <f t="shared" si="1"/>
        <v>73185</v>
      </c>
      <c r="I12" s="440">
        <f t="shared" si="0"/>
        <v>73185</v>
      </c>
      <c r="J12" s="569" t="s">
        <v>1716</v>
      </c>
      <c r="K12" s="364">
        <v>73185</v>
      </c>
    </row>
    <row r="13" spans="1:13" x14ac:dyDescent="0.2">
      <c r="A13" s="567" t="s">
        <v>850</v>
      </c>
      <c r="B13" s="564" t="str">
        <f>Rozpočet_FIN!B28</f>
        <v>Rozširujúce laboratórne vybavenie UI</v>
      </c>
      <c r="C13" s="564" t="s">
        <v>64</v>
      </c>
      <c r="D13" s="564" t="s">
        <v>307</v>
      </c>
      <c r="E13" s="565" t="s">
        <v>730</v>
      </c>
      <c r="F13" s="565">
        <v>1</v>
      </c>
      <c r="G13" s="565">
        <v>2</v>
      </c>
      <c r="H13" s="566">
        <f t="shared" si="1"/>
        <v>324719.38134249998</v>
      </c>
      <c r="I13" s="440">
        <f t="shared" si="0"/>
        <v>324719.38134249998</v>
      </c>
      <c r="J13" s="569" t="s">
        <v>1728</v>
      </c>
      <c r="K13" s="789">
        <f>Rozpočet_FIN!S28</f>
        <v>324719.38134249998</v>
      </c>
    </row>
    <row r="14" spans="1:13" ht="32" x14ac:dyDescent="0.2">
      <c r="A14" s="567" t="s">
        <v>1178</v>
      </c>
      <c r="B14" s="564" t="s">
        <v>1178</v>
      </c>
      <c r="C14" s="564" t="s">
        <v>65</v>
      </c>
      <c r="D14" s="564" t="s">
        <v>71</v>
      </c>
      <c r="E14" s="565" t="s">
        <v>730</v>
      </c>
      <c r="F14" s="565">
        <v>1</v>
      </c>
      <c r="G14" s="565">
        <v>2</v>
      </c>
      <c r="H14" s="566">
        <f t="shared" si="1"/>
        <v>491525.0689224489</v>
      </c>
      <c r="I14" s="440">
        <f t="shared" si="0"/>
        <v>491525.0689224489</v>
      </c>
      <c r="J14" s="770" t="s">
        <v>1732</v>
      </c>
      <c r="K14" s="364">
        <v>887548.67999999993</v>
      </c>
      <c r="L14" s="364">
        <f>'Rozpocet - Vyvoj aplikacii'!J33+'Rozpocet - Vyvoj aplikacii'!J34+'Rozpocet - Vyvoj aplikacii'!J35</f>
        <v>396023.61107755103</v>
      </c>
    </row>
    <row r="15" spans="1:13" ht="32" x14ac:dyDescent="0.2">
      <c r="A15" s="567" t="s">
        <v>1178</v>
      </c>
      <c r="B15" s="564" t="s">
        <v>1178</v>
      </c>
      <c r="C15" s="564" t="s">
        <v>64</v>
      </c>
      <c r="D15" s="564" t="s">
        <v>111</v>
      </c>
      <c r="E15" s="734" t="s">
        <v>730</v>
      </c>
      <c r="F15" s="735">
        <v>1</v>
      </c>
      <c r="G15" s="735">
        <v>2</v>
      </c>
      <c r="H15" s="566">
        <f t="shared" si="1"/>
        <v>45510</v>
      </c>
      <c r="I15" s="440">
        <f t="shared" si="0"/>
        <v>45510</v>
      </c>
      <c r="J15" s="770" t="s">
        <v>1733</v>
      </c>
      <c r="K15" s="364">
        <v>45510</v>
      </c>
    </row>
    <row r="16" spans="1:13" x14ac:dyDescent="0.2">
      <c r="A16" s="567"/>
      <c r="B16" s="564"/>
      <c r="C16" s="564"/>
      <c r="D16" s="564"/>
      <c r="E16" s="565"/>
      <c r="F16" s="565"/>
      <c r="G16" s="565"/>
      <c r="H16" s="566"/>
      <c r="I16" s="440">
        <f t="shared" ref="I16:I29" si="2">H16*F16</f>
        <v>0</v>
      </c>
      <c r="J16" s="569"/>
      <c r="M16" s="364" t="s">
        <v>1709</v>
      </c>
    </row>
    <row r="17" spans="1:13" x14ac:dyDescent="0.2">
      <c r="A17" s="567"/>
      <c r="B17" s="564"/>
      <c r="C17" s="564"/>
      <c r="D17" s="564"/>
      <c r="E17" s="565"/>
      <c r="F17" s="565"/>
      <c r="G17" s="565"/>
      <c r="H17" s="566"/>
      <c r="I17" s="440">
        <f t="shared" si="2"/>
        <v>0</v>
      </c>
      <c r="J17" s="569"/>
    </row>
    <row r="18" spans="1:13" x14ac:dyDescent="0.2">
      <c r="A18" s="567"/>
      <c r="B18" s="564"/>
      <c r="C18" s="564"/>
      <c r="D18" s="564"/>
      <c r="E18" s="565"/>
      <c r="F18" s="565"/>
      <c r="G18" s="565"/>
      <c r="H18" s="566"/>
      <c r="I18" s="440">
        <f t="shared" si="2"/>
        <v>0</v>
      </c>
      <c r="J18" s="569"/>
    </row>
    <row r="19" spans="1:13" x14ac:dyDescent="0.2">
      <c r="A19" s="567"/>
      <c r="B19" s="564"/>
      <c r="C19" s="564"/>
      <c r="D19" s="564"/>
      <c r="E19" s="565"/>
      <c r="F19" s="565"/>
      <c r="G19" s="565"/>
      <c r="H19" s="566"/>
      <c r="I19" s="440">
        <f t="shared" si="2"/>
        <v>0</v>
      </c>
      <c r="J19" s="569"/>
    </row>
    <row r="20" spans="1:13" x14ac:dyDescent="0.2">
      <c r="A20" s="567"/>
      <c r="B20" s="564"/>
      <c r="C20" s="564"/>
      <c r="D20" s="564"/>
      <c r="E20" s="565"/>
      <c r="F20" s="565"/>
      <c r="G20" s="565"/>
      <c r="H20" s="566"/>
      <c r="I20" s="440">
        <f t="shared" si="2"/>
        <v>0</v>
      </c>
      <c r="J20" s="569"/>
    </row>
    <row r="21" spans="1:13" x14ac:dyDescent="0.2">
      <c r="A21" s="567"/>
      <c r="B21" s="564"/>
      <c r="C21" s="564"/>
      <c r="D21" s="564"/>
      <c r="E21" s="565"/>
      <c r="F21" s="565"/>
      <c r="G21" s="565"/>
      <c r="H21" s="566"/>
      <c r="I21" s="440">
        <f t="shared" si="2"/>
        <v>0</v>
      </c>
      <c r="J21" s="569"/>
    </row>
    <row r="22" spans="1:13" x14ac:dyDescent="0.2">
      <c r="A22" s="567"/>
      <c r="B22" s="564"/>
      <c r="C22" s="564"/>
      <c r="D22" s="564"/>
      <c r="E22" s="565"/>
      <c r="F22" s="565"/>
      <c r="G22" s="565"/>
      <c r="H22" s="566"/>
      <c r="I22" s="440">
        <f t="shared" si="2"/>
        <v>0</v>
      </c>
      <c r="J22" s="569"/>
    </row>
    <row r="23" spans="1:13" x14ac:dyDescent="0.2">
      <c r="A23" s="567"/>
      <c r="B23" s="564"/>
      <c r="C23" s="564"/>
      <c r="D23" s="564"/>
      <c r="E23" s="565"/>
      <c r="F23" s="565"/>
      <c r="G23" s="565"/>
      <c r="H23" s="566"/>
      <c r="I23" s="440">
        <f t="shared" si="2"/>
        <v>0</v>
      </c>
      <c r="J23" s="569"/>
    </row>
    <row r="24" spans="1:13" x14ac:dyDescent="0.2">
      <c r="A24" s="567"/>
      <c r="B24" s="564"/>
      <c r="C24" s="564"/>
      <c r="D24" s="564"/>
      <c r="E24" s="565"/>
      <c r="F24" s="565"/>
      <c r="G24" s="565"/>
      <c r="H24" s="566"/>
      <c r="I24" s="440">
        <f t="shared" si="2"/>
        <v>0</v>
      </c>
      <c r="J24" s="569"/>
    </row>
    <row r="25" spans="1:13" x14ac:dyDescent="0.2">
      <c r="A25" s="567"/>
      <c r="B25" s="564"/>
      <c r="C25" s="564"/>
      <c r="D25" s="564"/>
      <c r="E25" s="565"/>
      <c r="F25" s="565"/>
      <c r="G25" s="565"/>
      <c r="H25" s="566"/>
      <c r="I25" s="440">
        <f t="shared" si="2"/>
        <v>0</v>
      </c>
      <c r="J25" s="569"/>
    </row>
    <row r="26" spans="1:13" x14ac:dyDescent="0.2">
      <c r="A26" s="567"/>
      <c r="B26" s="564"/>
      <c r="C26" s="564"/>
      <c r="D26" s="564"/>
      <c r="E26" s="565"/>
      <c r="F26" s="565"/>
      <c r="G26" s="565"/>
      <c r="H26" s="566"/>
      <c r="I26" s="440">
        <f t="shared" si="2"/>
        <v>0</v>
      </c>
      <c r="J26" s="569"/>
    </row>
    <row r="27" spans="1:13" x14ac:dyDescent="0.2">
      <c r="A27" s="563"/>
      <c r="B27" s="564"/>
      <c r="C27" s="564"/>
      <c r="D27" s="564"/>
      <c r="E27" s="565"/>
      <c r="F27" s="565"/>
      <c r="G27" s="565"/>
      <c r="H27" s="566"/>
      <c r="I27" s="440">
        <f t="shared" si="2"/>
        <v>0</v>
      </c>
      <c r="J27" s="569"/>
    </row>
    <row r="28" spans="1:13" x14ac:dyDescent="0.2">
      <c r="A28" s="563"/>
      <c r="B28" s="564"/>
      <c r="C28" s="564"/>
      <c r="D28" s="564"/>
      <c r="E28" s="565"/>
      <c r="F28" s="565"/>
      <c r="G28" s="565"/>
      <c r="H28" s="566"/>
      <c r="I28" s="440">
        <f t="shared" si="2"/>
        <v>0</v>
      </c>
      <c r="J28" s="569"/>
      <c r="M28" s="364" t="s">
        <v>1710</v>
      </c>
    </row>
    <row r="29" spans="1:13" x14ac:dyDescent="0.2">
      <c r="A29" s="567"/>
      <c r="B29" s="564"/>
      <c r="C29" s="564"/>
      <c r="D29" s="564"/>
      <c r="E29" s="565"/>
      <c r="F29" s="565"/>
      <c r="G29" s="565"/>
      <c r="H29" s="566"/>
      <c r="I29" s="440">
        <f t="shared" si="2"/>
        <v>0</v>
      </c>
      <c r="J29" s="569"/>
    </row>
    <row r="30" spans="1:13" x14ac:dyDescent="0.2">
      <c r="A30" s="567"/>
      <c r="B30" s="564"/>
      <c r="C30" s="564"/>
      <c r="D30" s="564"/>
      <c r="E30" s="565"/>
      <c r="F30" s="565"/>
      <c r="G30" s="565"/>
      <c r="H30" s="568"/>
      <c r="I30" s="440">
        <f t="shared" ref="I30:I93" si="3">H30*F30</f>
        <v>0</v>
      </c>
      <c r="J30" s="569"/>
    </row>
    <row r="31" spans="1:13" x14ac:dyDescent="0.2">
      <c r="A31" s="567"/>
      <c r="B31" s="564"/>
      <c r="C31" s="564"/>
      <c r="D31" s="564"/>
      <c r="E31" s="565"/>
      <c r="F31" s="565"/>
      <c r="G31" s="565"/>
      <c r="H31" s="568"/>
      <c r="I31" s="440">
        <f t="shared" si="3"/>
        <v>0</v>
      </c>
      <c r="J31" s="569"/>
    </row>
    <row r="32" spans="1:13" x14ac:dyDescent="0.2">
      <c r="A32" s="567"/>
      <c r="B32" s="564"/>
      <c r="C32" s="564"/>
      <c r="D32" s="564"/>
      <c r="E32" s="565"/>
      <c r="F32" s="565"/>
      <c r="G32" s="565"/>
      <c r="H32" s="568"/>
      <c r="I32" s="440">
        <f t="shared" si="3"/>
        <v>0</v>
      </c>
      <c r="J32" s="569"/>
    </row>
    <row r="33" spans="1:13" x14ac:dyDescent="0.2">
      <c r="A33" s="567"/>
      <c r="B33" s="564"/>
      <c r="C33" s="564"/>
      <c r="D33" s="564"/>
      <c r="E33" s="565"/>
      <c r="F33" s="565"/>
      <c r="G33" s="565"/>
      <c r="H33" s="568"/>
      <c r="I33" s="440">
        <f t="shared" si="3"/>
        <v>0</v>
      </c>
      <c r="J33" s="569"/>
    </row>
    <row r="34" spans="1:13" x14ac:dyDescent="0.2">
      <c r="A34" s="567"/>
      <c r="B34" s="564"/>
      <c r="C34" s="564"/>
      <c r="D34" s="564"/>
      <c r="E34" s="565"/>
      <c r="F34" s="565"/>
      <c r="G34" s="565"/>
      <c r="H34" s="568"/>
      <c r="I34" s="440">
        <f t="shared" si="3"/>
        <v>0</v>
      </c>
      <c r="J34" s="569"/>
    </row>
    <row r="35" spans="1:13" x14ac:dyDescent="0.2">
      <c r="A35" s="567"/>
      <c r="B35" s="564"/>
      <c r="C35" s="564"/>
      <c r="D35" s="564"/>
      <c r="E35" s="565"/>
      <c r="F35" s="565"/>
      <c r="G35" s="565"/>
      <c r="H35" s="568"/>
      <c r="I35" s="440">
        <f t="shared" si="3"/>
        <v>0</v>
      </c>
      <c r="J35" s="569"/>
    </row>
    <row r="36" spans="1:13" x14ac:dyDescent="0.2">
      <c r="A36" s="567"/>
      <c r="B36" s="564"/>
      <c r="C36" s="564"/>
      <c r="D36" s="564"/>
      <c r="E36" s="565"/>
      <c r="F36" s="565"/>
      <c r="G36" s="565"/>
      <c r="H36" s="568"/>
      <c r="I36" s="440">
        <f t="shared" si="3"/>
        <v>0</v>
      </c>
      <c r="J36" s="569"/>
    </row>
    <row r="37" spans="1:13" x14ac:dyDescent="0.2">
      <c r="A37" s="567"/>
      <c r="B37" s="564"/>
      <c r="C37" s="564"/>
      <c r="D37" s="564"/>
      <c r="E37" s="565"/>
      <c r="F37" s="565"/>
      <c r="G37" s="565"/>
      <c r="H37" s="568"/>
      <c r="I37" s="440">
        <f t="shared" si="3"/>
        <v>0</v>
      </c>
      <c r="J37" s="569"/>
    </row>
    <row r="38" spans="1:13" x14ac:dyDescent="0.2">
      <c r="A38" s="567"/>
      <c r="B38" s="564"/>
      <c r="C38" s="564"/>
      <c r="D38" s="564"/>
      <c r="E38" s="565"/>
      <c r="F38" s="565"/>
      <c r="G38" s="565"/>
      <c r="H38" s="568"/>
      <c r="I38" s="440">
        <f t="shared" si="3"/>
        <v>0</v>
      </c>
      <c r="J38" s="569"/>
    </row>
    <row r="39" spans="1:13" x14ac:dyDescent="0.2">
      <c r="A39" s="567"/>
      <c r="B39" s="564"/>
      <c r="C39" s="564"/>
      <c r="D39" s="564"/>
      <c r="E39" s="565"/>
      <c r="F39" s="565"/>
      <c r="G39" s="565"/>
      <c r="H39" s="568"/>
      <c r="I39" s="440">
        <f t="shared" si="3"/>
        <v>0</v>
      </c>
      <c r="J39" s="569"/>
      <c r="M39" s="364" t="s">
        <v>1711</v>
      </c>
    </row>
    <row r="40" spans="1:13" x14ac:dyDescent="0.2">
      <c r="A40" s="567"/>
      <c r="B40" s="564"/>
      <c r="C40" s="564"/>
      <c r="D40" s="564"/>
      <c r="E40" s="565"/>
      <c r="F40" s="565"/>
      <c r="G40" s="565"/>
      <c r="H40" s="568"/>
      <c r="I40" s="440">
        <f t="shared" si="3"/>
        <v>0</v>
      </c>
      <c r="J40" s="569"/>
    </row>
    <row r="41" spans="1:13" x14ac:dyDescent="0.2">
      <c r="A41" s="567"/>
      <c r="B41" s="564"/>
      <c r="C41" s="564"/>
      <c r="D41" s="564"/>
      <c r="E41" s="565"/>
      <c r="F41" s="565"/>
      <c r="G41" s="565"/>
      <c r="H41" s="568"/>
      <c r="I41" s="440">
        <f t="shared" si="3"/>
        <v>0</v>
      </c>
      <c r="J41" s="569"/>
    </row>
    <row r="42" spans="1:13" x14ac:dyDescent="0.2">
      <c r="A42" s="567"/>
      <c r="B42" s="564"/>
      <c r="C42" s="564"/>
      <c r="D42" s="564"/>
      <c r="E42" s="565"/>
      <c r="F42" s="565"/>
      <c r="G42" s="565"/>
      <c r="H42" s="568"/>
      <c r="I42" s="440">
        <f t="shared" si="3"/>
        <v>0</v>
      </c>
      <c r="J42" s="569"/>
    </row>
    <row r="43" spans="1:13" x14ac:dyDescent="0.2">
      <c r="A43" s="567"/>
      <c r="B43" s="564"/>
      <c r="C43" s="564"/>
      <c r="D43" s="564"/>
      <c r="E43" s="565"/>
      <c r="F43" s="565"/>
      <c r="G43" s="565"/>
      <c r="H43" s="568"/>
      <c r="I43" s="440">
        <f t="shared" si="3"/>
        <v>0</v>
      </c>
      <c r="J43" s="569"/>
    </row>
    <row r="44" spans="1:13" x14ac:dyDescent="0.2">
      <c r="A44" s="567"/>
      <c r="B44" s="564"/>
      <c r="C44" s="564"/>
      <c r="D44" s="564"/>
      <c r="E44" s="565"/>
      <c r="F44" s="565"/>
      <c r="G44" s="565"/>
      <c r="H44" s="568"/>
      <c r="I44" s="440">
        <f t="shared" si="3"/>
        <v>0</v>
      </c>
      <c r="J44" s="569"/>
    </row>
    <row r="45" spans="1:13" x14ac:dyDescent="0.2">
      <c r="A45" s="567"/>
      <c r="B45" s="564"/>
      <c r="C45" s="564"/>
      <c r="D45" s="564"/>
      <c r="E45" s="565"/>
      <c r="F45" s="565"/>
      <c r="G45" s="565"/>
      <c r="H45" s="566"/>
      <c r="I45" s="440">
        <f t="shared" si="3"/>
        <v>0</v>
      </c>
      <c r="J45" s="569"/>
    </row>
    <row r="46" spans="1:13" x14ac:dyDescent="0.2">
      <c r="A46" s="567"/>
      <c r="B46" s="564"/>
      <c r="C46" s="564"/>
      <c r="D46" s="564"/>
      <c r="E46" s="565"/>
      <c r="F46" s="565"/>
      <c r="G46" s="565"/>
      <c r="H46" s="566"/>
      <c r="I46" s="440">
        <f t="shared" si="3"/>
        <v>0</v>
      </c>
      <c r="J46" s="569"/>
    </row>
    <row r="47" spans="1:13" x14ac:dyDescent="0.2">
      <c r="A47" s="567"/>
      <c r="B47" s="564"/>
      <c r="C47" s="564"/>
      <c r="D47" s="564"/>
      <c r="E47" s="565"/>
      <c r="F47" s="565"/>
      <c r="G47" s="565"/>
      <c r="H47" s="566"/>
      <c r="I47" s="440">
        <f t="shared" si="3"/>
        <v>0</v>
      </c>
      <c r="J47" s="569"/>
    </row>
    <row r="48" spans="1:13" x14ac:dyDescent="0.2">
      <c r="A48" s="567"/>
      <c r="B48" s="564"/>
      <c r="C48" s="564"/>
      <c r="D48" s="564"/>
      <c r="E48" s="565"/>
      <c r="F48" s="565"/>
      <c r="G48" s="565"/>
      <c r="H48" s="566"/>
      <c r="I48" s="440">
        <f t="shared" si="3"/>
        <v>0</v>
      </c>
      <c r="J48" s="569"/>
    </row>
    <row r="49" spans="1:18" x14ac:dyDescent="0.2">
      <c r="A49" s="567"/>
      <c r="B49" s="564"/>
      <c r="C49" s="564"/>
      <c r="D49" s="564"/>
      <c r="E49" s="565"/>
      <c r="F49" s="565"/>
      <c r="G49" s="565"/>
      <c r="H49" s="566"/>
      <c r="I49" s="440">
        <f t="shared" si="3"/>
        <v>0</v>
      </c>
      <c r="J49" s="569"/>
    </row>
    <row r="50" spans="1:18" x14ac:dyDescent="0.2">
      <c r="A50" s="567"/>
      <c r="B50" s="564"/>
      <c r="C50" s="564"/>
      <c r="D50" s="564"/>
      <c r="E50" s="565"/>
      <c r="F50" s="565"/>
      <c r="G50" s="565"/>
      <c r="H50" s="566"/>
      <c r="I50" s="440">
        <f t="shared" si="3"/>
        <v>0</v>
      </c>
      <c r="J50" s="569"/>
      <c r="M50" s="364" t="s">
        <v>1717</v>
      </c>
      <c r="O50" s="364" t="s">
        <v>1718</v>
      </c>
      <c r="R50" s="769" t="s">
        <v>1719</v>
      </c>
    </row>
    <row r="51" spans="1:18" x14ac:dyDescent="0.2">
      <c r="A51" s="567"/>
      <c r="B51" s="564"/>
      <c r="C51" s="564"/>
      <c r="D51" s="564"/>
      <c r="E51" s="565"/>
      <c r="F51" s="565"/>
      <c r="G51" s="565"/>
      <c r="H51" s="566"/>
      <c r="I51" s="440">
        <f t="shared" si="3"/>
        <v>0</v>
      </c>
      <c r="J51" s="569"/>
      <c r="O51" s="364" t="s">
        <v>1721</v>
      </c>
      <c r="R51" s="769" t="s">
        <v>1720</v>
      </c>
    </row>
    <row r="52" spans="1:18" x14ac:dyDescent="0.2">
      <c r="A52" s="567"/>
      <c r="B52" s="564"/>
      <c r="C52" s="564"/>
      <c r="D52" s="564"/>
      <c r="E52" s="565"/>
      <c r="F52" s="565"/>
      <c r="G52" s="565"/>
      <c r="H52" s="566"/>
      <c r="I52" s="440">
        <f t="shared" si="3"/>
        <v>0</v>
      </c>
      <c r="J52" s="569"/>
      <c r="O52" s="364" t="s">
        <v>1723</v>
      </c>
      <c r="R52" s="769" t="s">
        <v>1722</v>
      </c>
    </row>
    <row r="53" spans="1:18" x14ac:dyDescent="0.2">
      <c r="A53" s="567"/>
      <c r="B53" s="564"/>
      <c r="C53" s="564"/>
      <c r="D53" s="564"/>
      <c r="E53" s="565"/>
      <c r="F53" s="565"/>
      <c r="G53" s="565"/>
      <c r="H53" s="566"/>
      <c r="I53" s="440">
        <f t="shared" si="3"/>
        <v>0</v>
      </c>
      <c r="J53" s="569"/>
      <c r="O53" s="364" t="s">
        <v>1725</v>
      </c>
      <c r="R53" s="769" t="s">
        <v>1724</v>
      </c>
    </row>
    <row r="54" spans="1:18" x14ac:dyDescent="0.2">
      <c r="A54" s="567"/>
      <c r="B54" s="564"/>
      <c r="C54" s="564"/>
      <c r="D54" s="564"/>
      <c r="E54" s="565"/>
      <c r="F54" s="565"/>
      <c r="G54" s="565"/>
      <c r="H54" s="566"/>
      <c r="I54" s="440">
        <f t="shared" si="3"/>
        <v>0</v>
      </c>
      <c r="J54" s="569"/>
      <c r="O54" s="364" t="s">
        <v>1726</v>
      </c>
      <c r="R54" s="769" t="s">
        <v>1727</v>
      </c>
    </row>
    <row r="55" spans="1:18" x14ac:dyDescent="0.2">
      <c r="A55" s="567"/>
      <c r="B55" s="564"/>
      <c r="C55" s="564"/>
      <c r="D55" s="564"/>
      <c r="E55" s="565"/>
      <c r="F55" s="565"/>
      <c r="G55" s="565"/>
      <c r="H55" s="566"/>
      <c r="I55" s="440">
        <f t="shared" si="3"/>
        <v>0</v>
      </c>
      <c r="J55" s="569"/>
    </row>
    <row r="56" spans="1:18" x14ac:dyDescent="0.2">
      <c r="A56" s="567"/>
      <c r="B56" s="564"/>
      <c r="C56" s="564"/>
      <c r="D56" s="564"/>
      <c r="E56" s="565"/>
      <c r="F56" s="565"/>
      <c r="G56" s="565"/>
      <c r="H56" s="566"/>
      <c r="I56" s="440">
        <f t="shared" si="3"/>
        <v>0</v>
      </c>
      <c r="J56" s="569"/>
    </row>
    <row r="57" spans="1:18" x14ac:dyDescent="0.2">
      <c r="A57" s="567"/>
      <c r="B57" s="564"/>
      <c r="C57" s="564"/>
      <c r="D57" s="564"/>
      <c r="E57" s="565"/>
      <c r="F57" s="565"/>
      <c r="G57" s="565"/>
      <c r="H57" s="566"/>
      <c r="I57" s="440">
        <f t="shared" si="3"/>
        <v>0</v>
      </c>
      <c r="J57" s="569"/>
    </row>
    <row r="58" spans="1:18" x14ac:dyDescent="0.2">
      <c r="A58" s="567"/>
      <c r="B58" s="564"/>
      <c r="C58" s="564"/>
      <c r="D58" s="564"/>
      <c r="E58" s="565"/>
      <c r="F58" s="565"/>
      <c r="G58" s="565"/>
      <c r="H58" s="566"/>
      <c r="I58" s="440">
        <f t="shared" si="3"/>
        <v>0</v>
      </c>
      <c r="J58" s="569"/>
    </row>
    <row r="59" spans="1:18" x14ac:dyDescent="0.2">
      <c r="A59" s="567"/>
      <c r="B59" s="564"/>
      <c r="C59" s="564"/>
      <c r="D59" s="564"/>
      <c r="E59" s="565"/>
      <c r="F59" s="565"/>
      <c r="G59" s="565"/>
      <c r="H59" s="566"/>
      <c r="I59" s="440">
        <f t="shared" si="3"/>
        <v>0</v>
      </c>
      <c r="J59" s="569"/>
    </row>
    <row r="60" spans="1:18" x14ac:dyDescent="0.2">
      <c r="A60" s="567"/>
      <c r="B60" s="564"/>
      <c r="C60" s="564"/>
      <c r="D60" s="564"/>
      <c r="E60" s="565"/>
      <c r="F60" s="565"/>
      <c r="G60" s="565"/>
      <c r="H60" s="566"/>
      <c r="I60" s="440">
        <f t="shared" si="3"/>
        <v>0</v>
      </c>
      <c r="J60" s="569"/>
    </row>
    <row r="61" spans="1:18" x14ac:dyDescent="0.2">
      <c r="A61" s="567"/>
      <c r="B61" s="564"/>
      <c r="C61" s="564"/>
      <c r="D61" s="564"/>
      <c r="E61" s="565"/>
      <c r="F61" s="565"/>
      <c r="G61" s="565"/>
      <c r="H61" s="566"/>
      <c r="I61" s="440">
        <f t="shared" si="3"/>
        <v>0</v>
      </c>
      <c r="J61" s="569"/>
    </row>
    <row r="62" spans="1:18" x14ac:dyDescent="0.2">
      <c r="A62" s="567"/>
      <c r="B62" s="564"/>
      <c r="C62" s="564"/>
      <c r="D62" s="564"/>
      <c r="E62" s="565"/>
      <c r="F62" s="565"/>
      <c r="G62" s="565"/>
      <c r="H62" s="566"/>
      <c r="I62" s="440">
        <f t="shared" si="3"/>
        <v>0</v>
      </c>
      <c r="J62" s="569"/>
    </row>
    <row r="63" spans="1:18" x14ac:dyDescent="0.2">
      <c r="A63" s="567"/>
      <c r="B63" s="564"/>
      <c r="C63" s="564"/>
      <c r="D63" s="564"/>
      <c r="E63" s="565"/>
      <c r="F63" s="565"/>
      <c r="G63" s="565"/>
      <c r="H63" s="566"/>
      <c r="I63" s="440">
        <f t="shared" si="3"/>
        <v>0</v>
      </c>
      <c r="J63" s="569"/>
    </row>
    <row r="64" spans="1:18" x14ac:dyDescent="0.2">
      <c r="A64" s="567"/>
      <c r="B64" s="564"/>
      <c r="C64" s="564"/>
      <c r="D64" s="564"/>
      <c r="E64" s="565"/>
      <c r="F64" s="565"/>
      <c r="G64" s="565"/>
      <c r="H64" s="566"/>
      <c r="I64" s="440">
        <f t="shared" si="3"/>
        <v>0</v>
      </c>
      <c r="J64" s="569"/>
    </row>
    <row r="65" spans="1:13" x14ac:dyDescent="0.2">
      <c r="A65" s="567"/>
      <c r="B65" s="564"/>
      <c r="C65" s="564"/>
      <c r="D65" s="564"/>
      <c r="E65" s="565"/>
      <c r="F65" s="565"/>
      <c r="G65" s="565"/>
      <c r="H65" s="566"/>
      <c r="I65" s="440">
        <f t="shared" si="3"/>
        <v>0</v>
      </c>
      <c r="J65" s="569"/>
    </row>
    <row r="66" spans="1:13" x14ac:dyDescent="0.2">
      <c r="A66" s="567"/>
      <c r="B66" s="564"/>
      <c r="C66" s="564"/>
      <c r="D66" s="564"/>
      <c r="E66" s="565"/>
      <c r="F66" s="565"/>
      <c r="G66" s="565"/>
      <c r="H66" s="566"/>
      <c r="I66" s="440">
        <f t="shared" si="3"/>
        <v>0</v>
      </c>
      <c r="J66" s="569"/>
    </row>
    <row r="67" spans="1:13" x14ac:dyDescent="0.2">
      <c r="A67" s="567"/>
      <c r="B67" s="564"/>
      <c r="C67" s="564"/>
      <c r="D67" s="564"/>
      <c r="E67" s="565"/>
      <c r="F67" s="565"/>
      <c r="G67" s="565"/>
      <c r="H67" s="566"/>
      <c r="I67" s="440">
        <f t="shared" si="3"/>
        <v>0</v>
      </c>
      <c r="J67" s="569"/>
    </row>
    <row r="68" spans="1:13" x14ac:dyDescent="0.2">
      <c r="A68" s="567"/>
      <c r="B68" s="564"/>
      <c r="C68" s="564"/>
      <c r="D68" s="564"/>
      <c r="E68" s="565"/>
      <c r="F68" s="565"/>
      <c r="G68" s="565"/>
      <c r="H68" s="566"/>
      <c r="I68" s="440">
        <f t="shared" si="3"/>
        <v>0</v>
      </c>
      <c r="J68" s="569"/>
    </row>
    <row r="69" spans="1:13" x14ac:dyDescent="0.2">
      <c r="A69" s="567"/>
      <c r="B69" s="564"/>
      <c r="C69" s="564"/>
      <c r="D69" s="564"/>
      <c r="E69" s="565"/>
      <c r="F69" s="565"/>
      <c r="G69" s="565"/>
      <c r="H69" s="566"/>
      <c r="I69" s="440">
        <f t="shared" si="3"/>
        <v>0</v>
      </c>
      <c r="J69" s="569"/>
    </row>
    <row r="70" spans="1:13" x14ac:dyDescent="0.2">
      <c r="A70" s="567"/>
      <c r="B70" s="564"/>
      <c r="C70" s="564"/>
      <c r="D70" s="564"/>
      <c r="E70" s="565"/>
      <c r="F70" s="565"/>
      <c r="G70" s="565"/>
      <c r="H70" s="566"/>
      <c r="I70" s="440">
        <f t="shared" si="3"/>
        <v>0</v>
      </c>
      <c r="J70" s="569"/>
    </row>
    <row r="71" spans="1:13" x14ac:dyDescent="0.2">
      <c r="A71" s="567"/>
      <c r="B71" s="564"/>
      <c r="C71" s="564"/>
      <c r="D71" s="564"/>
      <c r="E71" s="565"/>
      <c r="F71" s="565"/>
      <c r="G71" s="565"/>
      <c r="H71" s="566"/>
      <c r="I71" s="440">
        <f t="shared" si="3"/>
        <v>0</v>
      </c>
      <c r="J71" s="569"/>
    </row>
    <row r="72" spans="1:13" x14ac:dyDescent="0.2">
      <c r="A72" s="567"/>
      <c r="B72" s="564"/>
      <c r="C72" s="564"/>
      <c r="D72" s="564"/>
      <c r="E72" s="565"/>
      <c r="F72" s="565"/>
      <c r="G72" s="565"/>
      <c r="H72" s="566"/>
      <c r="I72" s="440">
        <f t="shared" si="3"/>
        <v>0</v>
      </c>
      <c r="J72" s="569"/>
    </row>
    <row r="73" spans="1:13" x14ac:dyDescent="0.2">
      <c r="A73" s="567"/>
      <c r="B73" s="564"/>
      <c r="C73" s="564"/>
      <c r="D73" s="564"/>
      <c r="E73" s="565"/>
      <c r="F73" s="565"/>
      <c r="G73" s="565"/>
      <c r="H73" s="566"/>
      <c r="I73" s="440">
        <f t="shared" si="3"/>
        <v>0</v>
      </c>
      <c r="J73" s="569"/>
    </row>
    <row r="74" spans="1:13" x14ac:dyDescent="0.2">
      <c r="A74" s="567"/>
      <c r="B74" s="564"/>
      <c r="C74" s="564"/>
      <c r="D74" s="564"/>
      <c r="E74" s="565"/>
      <c r="F74" s="565"/>
      <c r="G74" s="565"/>
      <c r="H74" s="566"/>
      <c r="I74" s="440">
        <f t="shared" si="3"/>
        <v>0</v>
      </c>
      <c r="J74" s="569"/>
    </row>
    <row r="75" spans="1:13" x14ac:dyDescent="0.2">
      <c r="A75" s="567"/>
      <c r="B75" s="564"/>
      <c r="C75" s="564"/>
      <c r="D75" s="564"/>
      <c r="E75" s="565"/>
      <c r="F75" s="565"/>
      <c r="G75" s="565"/>
      <c r="H75" s="566"/>
      <c r="I75" s="440">
        <f t="shared" si="3"/>
        <v>0</v>
      </c>
      <c r="J75" s="569"/>
      <c r="M75" s="364" t="s">
        <v>1729</v>
      </c>
    </row>
    <row r="76" spans="1:13" x14ac:dyDescent="0.2">
      <c r="A76" s="567"/>
      <c r="B76" s="564"/>
      <c r="C76" s="564"/>
      <c r="D76" s="564"/>
      <c r="E76" s="565"/>
      <c r="F76" s="565"/>
      <c r="G76" s="565"/>
      <c r="H76" s="566"/>
      <c r="I76" s="440">
        <f t="shared" si="3"/>
        <v>0</v>
      </c>
      <c r="J76" s="569"/>
    </row>
    <row r="77" spans="1:13" x14ac:dyDescent="0.2">
      <c r="A77" s="567"/>
      <c r="B77" s="564"/>
      <c r="C77" s="564"/>
      <c r="D77" s="564"/>
      <c r="E77" s="565"/>
      <c r="F77" s="565"/>
      <c r="G77" s="565"/>
      <c r="H77" s="566"/>
      <c r="I77" s="440">
        <f t="shared" si="3"/>
        <v>0</v>
      </c>
      <c r="J77" s="569"/>
    </row>
    <row r="78" spans="1:13" x14ac:dyDescent="0.2">
      <c r="A78" s="567"/>
      <c r="B78" s="564"/>
      <c r="C78" s="564"/>
      <c r="D78" s="564"/>
      <c r="E78" s="565"/>
      <c r="F78" s="565"/>
      <c r="G78" s="565"/>
      <c r="H78" s="566"/>
      <c r="I78" s="440">
        <f t="shared" si="3"/>
        <v>0</v>
      </c>
      <c r="J78" s="569"/>
    </row>
    <row r="79" spans="1:13" x14ac:dyDescent="0.2">
      <c r="A79" s="567"/>
      <c r="B79" s="564"/>
      <c r="C79" s="564"/>
      <c r="D79" s="564"/>
      <c r="E79" s="565"/>
      <c r="F79" s="565"/>
      <c r="G79" s="565"/>
      <c r="H79" s="566"/>
      <c r="I79" s="440">
        <f t="shared" si="3"/>
        <v>0</v>
      </c>
      <c r="J79" s="569"/>
    </row>
    <row r="80" spans="1:13" x14ac:dyDescent="0.2">
      <c r="A80" s="567"/>
      <c r="B80" s="564"/>
      <c r="C80" s="564"/>
      <c r="D80" s="564"/>
      <c r="E80" s="565"/>
      <c r="F80" s="565"/>
      <c r="G80" s="565"/>
      <c r="H80" s="566"/>
      <c r="I80" s="440">
        <f t="shared" si="3"/>
        <v>0</v>
      </c>
      <c r="J80" s="569"/>
    </row>
    <row r="81" spans="1:10" x14ac:dyDescent="0.2">
      <c r="A81" s="567"/>
      <c r="B81" s="564"/>
      <c r="C81" s="564"/>
      <c r="D81" s="564"/>
      <c r="E81" s="565"/>
      <c r="F81" s="565"/>
      <c r="G81" s="565"/>
      <c r="H81" s="566"/>
      <c r="I81" s="440">
        <f t="shared" si="3"/>
        <v>0</v>
      </c>
      <c r="J81" s="569"/>
    </row>
    <row r="82" spans="1:10" x14ac:dyDescent="0.2">
      <c r="A82" s="567"/>
      <c r="B82" s="564"/>
      <c r="C82" s="564"/>
      <c r="D82" s="564"/>
      <c r="E82" s="565"/>
      <c r="F82" s="565"/>
      <c r="G82" s="565"/>
      <c r="H82" s="566"/>
      <c r="I82" s="440">
        <f t="shared" si="3"/>
        <v>0</v>
      </c>
      <c r="J82" s="569"/>
    </row>
    <row r="83" spans="1:10" x14ac:dyDescent="0.2">
      <c r="A83" s="567"/>
      <c r="B83" s="564"/>
      <c r="C83" s="564"/>
      <c r="D83" s="564"/>
      <c r="E83" s="565"/>
      <c r="F83" s="565"/>
      <c r="G83" s="565"/>
      <c r="H83" s="566"/>
      <c r="I83" s="440">
        <f t="shared" si="3"/>
        <v>0</v>
      </c>
      <c r="J83" s="569"/>
    </row>
    <row r="84" spans="1:10" x14ac:dyDescent="0.2">
      <c r="A84" s="567"/>
      <c r="B84" s="564"/>
      <c r="C84" s="564"/>
      <c r="D84" s="564"/>
      <c r="E84" s="565"/>
      <c r="F84" s="565"/>
      <c r="G84" s="565"/>
      <c r="H84" s="566"/>
      <c r="I84" s="440">
        <f t="shared" si="3"/>
        <v>0</v>
      </c>
      <c r="J84" s="569"/>
    </row>
    <row r="85" spans="1:10" x14ac:dyDescent="0.2">
      <c r="A85" s="567"/>
      <c r="B85" s="564"/>
      <c r="C85" s="564"/>
      <c r="D85" s="564"/>
      <c r="E85" s="565"/>
      <c r="F85" s="565"/>
      <c r="G85" s="565"/>
      <c r="H85" s="566"/>
      <c r="I85" s="440">
        <f t="shared" si="3"/>
        <v>0</v>
      </c>
      <c r="J85" s="569"/>
    </row>
    <row r="86" spans="1:10" x14ac:dyDescent="0.2">
      <c r="A86" s="567"/>
      <c r="B86" s="564"/>
      <c r="C86" s="564"/>
      <c r="D86" s="564"/>
      <c r="E86" s="565"/>
      <c r="F86" s="565"/>
      <c r="G86" s="565"/>
      <c r="H86" s="566"/>
      <c r="I86" s="440">
        <f t="shared" si="3"/>
        <v>0</v>
      </c>
      <c r="J86" s="569"/>
    </row>
    <row r="87" spans="1:10" x14ac:dyDescent="0.2">
      <c r="A87" s="567"/>
      <c r="B87" s="564"/>
      <c r="C87" s="564"/>
      <c r="D87" s="564"/>
      <c r="E87" s="565"/>
      <c r="F87" s="565"/>
      <c r="G87" s="565"/>
      <c r="H87" s="566"/>
      <c r="I87" s="440">
        <f t="shared" si="3"/>
        <v>0</v>
      </c>
      <c r="J87" s="569"/>
    </row>
    <row r="88" spans="1:10" x14ac:dyDescent="0.2">
      <c r="A88" s="567"/>
      <c r="B88" s="564"/>
      <c r="C88" s="564"/>
      <c r="D88" s="564"/>
      <c r="E88" s="565"/>
      <c r="F88" s="565"/>
      <c r="G88" s="565"/>
      <c r="H88" s="566"/>
      <c r="I88" s="440">
        <f t="shared" si="3"/>
        <v>0</v>
      </c>
      <c r="J88" s="569"/>
    </row>
    <row r="89" spans="1:10" x14ac:dyDescent="0.2">
      <c r="A89" s="567"/>
      <c r="B89" s="564"/>
      <c r="C89" s="564"/>
      <c r="D89" s="564"/>
      <c r="E89" s="565"/>
      <c r="F89" s="565"/>
      <c r="G89" s="565"/>
      <c r="H89" s="566"/>
      <c r="I89" s="440">
        <f t="shared" si="3"/>
        <v>0</v>
      </c>
      <c r="J89" s="569"/>
    </row>
    <row r="90" spans="1:10" x14ac:dyDescent="0.2">
      <c r="A90" s="567"/>
      <c r="B90" s="564"/>
      <c r="C90" s="564"/>
      <c r="D90" s="564"/>
      <c r="E90" s="565"/>
      <c r="F90" s="565"/>
      <c r="G90" s="565"/>
      <c r="H90" s="566"/>
      <c r="I90" s="440">
        <f t="shared" si="3"/>
        <v>0</v>
      </c>
      <c r="J90" s="569"/>
    </row>
    <row r="91" spans="1:10" x14ac:dyDescent="0.2">
      <c r="A91" s="567"/>
      <c r="B91" s="564"/>
      <c r="C91" s="564"/>
      <c r="D91" s="564"/>
      <c r="E91" s="565"/>
      <c r="F91" s="565"/>
      <c r="G91" s="565"/>
      <c r="H91" s="566"/>
      <c r="I91" s="440">
        <f t="shared" si="3"/>
        <v>0</v>
      </c>
      <c r="J91" s="569"/>
    </row>
    <row r="92" spans="1:10" x14ac:dyDescent="0.2">
      <c r="A92" s="567"/>
      <c r="B92" s="564"/>
      <c r="C92" s="564"/>
      <c r="D92" s="564"/>
      <c r="E92" s="565"/>
      <c r="F92" s="565"/>
      <c r="G92" s="565"/>
      <c r="H92" s="566"/>
      <c r="I92" s="440">
        <f t="shared" si="3"/>
        <v>0</v>
      </c>
      <c r="J92" s="569"/>
    </row>
    <row r="93" spans="1:10" x14ac:dyDescent="0.2">
      <c r="A93" s="567"/>
      <c r="B93" s="564"/>
      <c r="C93" s="564"/>
      <c r="D93" s="564"/>
      <c r="E93" s="565"/>
      <c r="F93" s="565"/>
      <c r="G93" s="565"/>
      <c r="H93" s="566"/>
      <c r="I93" s="440">
        <f t="shared" si="3"/>
        <v>0</v>
      </c>
      <c r="J93" s="569"/>
    </row>
    <row r="94" spans="1:10" x14ac:dyDescent="0.2">
      <c r="A94" s="567"/>
      <c r="B94" s="564"/>
      <c r="C94" s="564"/>
      <c r="D94" s="564"/>
      <c r="E94" s="565"/>
      <c r="F94" s="565"/>
      <c r="G94" s="565"/>
      <c r="H94" s="566"/>
      <c r="I94" s="440">
        <f t="shared" ref="I94:I102" si="4">H94*F94</f>
        <v>0</v>
      </c>
      <c r="J94" s="569"/>
    </row>
    <row r="95" spans="1:10" x14ac:dyDescent="0.2">
      <c r="A95" s="567"/>
      <c r="B95" s="564"/>
      <c r="C95" s="564"/>
      <c r="D95" s="564"/>
      <c r="E95" s="565"/>
      <c r="F95" s="565"/>
      <c r="G95" s="565"/>
      <c r="H95" s="566"/>
      <c r="I95" s="440">
        <f t="shared" si="4"/>
        <v>0</v>
      </c>
      <c r="J95" s="569"/>
    </row>
    <row r="96" spans="1:10" x14ac:dyDescent="0.2">
      <c r="A96" s="567"/>
      <c r="B96" s="564"/>
      <c r="C96" s="564"/>
      <c r="D96" s="564"/>
      <c r="E96" s="565"/>
      <c r="F96" s="565"/>
      <c r="G96" s="565"/>
      <c r="H96" s="566"/>
      <c r="I96" s="440">
        <f t="shared" si="4"/>
        <v>0</v>
      </c>
      <c r="J96" s="569"/>
    </row>
    <row r="97" spans="1:13" x14ac:dyDescent="0.2">
      <c r="A97" s="567"/>
      <c r="B97" s="564"/>
      <c r="C97" s="564"/>
      <c r="D97" s="564"/>
      <c r="E97" s="565"/>
      <c r="F97" s="565"/>
      <c r="G97" s="565"/>
      <c r="H97" s="566"/>
      <c r="I97" s="440">
        <f t="shared" si="4"/>
        <v>0</v>
      </c>
      <c r="J97" s="569"/>
    </row>
    <row r="98" spans="1:13" x14ac:dyDescent="0.2">
      <c r="A98" s="567"/>
      <c r="B98" s="564"/>
      <c r="C98" s="564"/>
      <c r="D98" s="564"/>
      <c r="E98" s="565"/>
      <c r="F98" s="565"/>
      <c r="G98" s="565"/>
      <c r="H98" s="566"/>
      <c r="I98" s="440">
        <f t="shared" si="4"/>
        <v>0</v>
      </c>
      <c r="J98" s="569"/>
    </row>
    <row r="99" spans="1:13" x14ac:dyDescent="0.2">
      <c r="A99" s="567"/>
      <c r="B99" s="564"/>
      <c r="C99" s="564"/>
      <c r="D99" s="564"/>
      <c r="E99" s="565"/>
      <c r="F99" s="565"/>
      <c r="G99" s="565"/>
      <c r="H99" s="566"/>
      <c r="I99" s="440">
        <f t="shared" si="4"/>
        <v>0</v>
      </c>
      <c r="J99" s="569"/>
    </row>
    <row r="100" spans="1:13" x14ac:dyDescent="0.2">
      <c r="A100" s="567"/>
      <c r="B100" s="564"/>
      <c r="C100" s="564"/>
      <c r="D100" s="564"/>
      <c r="E100" s="565"/>
      <c r="F100" s="565"/>
      <c r="G100" s="565"/>
      <c r="H100" s="566"/>
      <c r="I100" s="440">
        <f t="shared" si="4"/>
        <v>0</v>
      </c>
      <c r="J100" s="569"/>
    </row>
    <row r="101" spans="1:13" x14ac:dyDescent="0.2">
      <c r="A101" s="567"/>
      <c r="B101" s="564"/>
      <c r="C101" s="564"/>
      <c r="D101" s="564"/>
      <c r="E101" s="565"/>
      <c r="F101" s="565"/>
      <c r="G101" s="565"/>
      <c r="H101" s="566"/>
      <c r="I101" s="440">
        <f t="shared" si="4"/>
        <v>0</v>
      </c>
      <c r="J101" s="569"/>
    </row>
    <row r="102" spans="1:13" x14ac:dyDescent="0.2">
      <c r="A102" s="567"/>
      <c r="B102" s="564"/>
      <c r="C102" s="564"/>
      <c r="D102" s="564"/>
      <c r="E102" s="565"/>
      <c r="F102" s="565"/>
      <c r="G102" s="565"/>
      <c r="H102" s="566"/>
      <c r="I102" s="440">
        <f t="shared" si="4"/>
        <v>0</v>
      </c>
      <c r="J102" s="569"/>
    </row>
    <row r="110" spans="1:13" x14ac:dyDescent="0.2">
      <c r="M110" s="364" t="s">
        <v>1730</v>
      </c>
    </row>
    <row r="140" spans="13:13" x14ac:dyDescent="0.2">
      <c r="M140" s="364" t="s">
        <v>1731</v>
      </c>
    </row>
    <row r="182" spans="15:15" x14ac:dyDescent="0.2">
      <c r="O182" s="364" t="s">
        <v>1734</v>
      </c>
    </row>
    <row r="183" spans="15:15" x14ac:dyDescent="0.2">
      <c r="O183" s="769" t="s">
        <v>1735</v>
      </c>
    </row>
    <row r="184" spans="15:15" x14ac:dyDescent="0.2">
      <c r="O184" s="769" t="s">
        <v>1736</v>
      </c>
    </row>
    <row r="185" spans="15:15" x14ac:dyDescent="0.2">
      <c r="O185" s="769" t="s">
        <v>1737</v>
      </c>
    </row>
  </sheetData>
  <autoFilter ref="A2:J44" xr:uid="{00000000-0009-0000-0000-000013000000}"/>
  <sortState xmlns:xlrd2="http://schemas.microsoft.com/office/spreadsheetml/2017/richdata2" ref="A3:J29">
    <sortCondition ref="A2:A29"/>
  </sortState>
  <dataValidations count="3">
    <dataValidation type="list" allowBlank="1" showInputMessage="1" showErrorMessage="1" sqref="A3:A102" xr:uid="{00000000-0002-0000-1300-000000000000}">
      <formula1>MODULY</formula1>
    </dataValidation>
    <dataValidation type="list" allowBlank="1" showInputMessage="1" showErrorMessage="1" sqref="C3:C102" xr:uid="{00000000-0002-0000-1300-000001000000}">
      <formula1>"HW,SW, SW pre HW"</formula1>
    </dataValidation>
    <dataValidation type="list" allowBlank="1" showInputMessage="1" showErrorMessage="1" sqref="D3:D102" xr:uid="{00000000-0002-0000-1300-000002000000}">
      <formula1>"013 Softvér,022 Samostatné hnuteľné veci a súbory hnuteľných vecí,112 Zásoby"</formula1>
    </dataValidation>
  </dataValidations>
  <hyperlinks>
    <hyperlink ref="R50" r:id="rId1" location="prehlad/" display="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prehlad/" xr:uid="{5986C78C-6102-47FD-8CA8-3504ED9CE9D9}"/>
    <hyperlink ref="R51" r:id="rId2" xr:uid="{A92FAD5C-DAE5-4C7B-80FC-4ECE2D6FF5D0}"/>
    <hyperlink ref="R52" r:id="rId3" display="https://www.tme.eu/sk/katalog/raspberry-pi-minipocitace_118304/?params=2390:2019966_vyrobna-seria:raspberry-pi-5&amp;utm_source=google&amp;utm_medium=cpc&amp;utm_campaign=S%C5%81OWACJA%20[HP]&amp;gad_source=1&amp;gad_campaignid=664939422&amp;gbraid=0AAAAADyylhJVtYw5ShQ27DK5EG3SrA-Ve&amp;gclid=Cj0KCQjwovPGBhDxARIsAFhgkwQrxg0WHzIwW9rlCRrTTS66gV7g2AAQQihzN98-W6POVFPmR2TNN3EaAgCiEALw_wcB" xr:uid="{B5BB6D9C-3848-45DC-B879-4A44B6A8F1A6}"/>
    <hyperlink ref="R53" r:id="rId4" xr:uid="{92171EF8-5C5C-420C-B2FF-23AF2D314D43}"/>
    <hyperlink ref="R54" r:id="rId5" xr:uid="{2E5F9298-23D6-4648-9D1A-5351013946A2}"/>
    <hyperlink ref="O183" r:id="rId6" xr:uid="{415DF464-5D24-478C-9EA7-4627C0488087}"/>
    <hyperlink ref="O184" r:id="rId7" xr:uid="{47E869C4-3212-47F9-B36A-77059D9239A6}"/>
    <hyperlink ref="O185" r:id="rId8" xr:uid="{6B1037C0-4A3E-437D-A084-12D8B04E954D}"/>
  </hyperlinks>
  <pageMargins left="0.7" right="0.7" top="0.75" bottom="0.75" header="0.3" footer="0.3"/>
  <pageSetup paperSize="9" scale="55" orientation="portrait" r:id="rId9"/>
  <drawing r:id="rId10"/>
  <legacy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6">
    <tabColor rgb="FF00B050"/>
  </sheetPr>
  <dimension ref="A1:J107"/>
  <sheetViews>
    <sheetView zoomScale="70" zoomScaleNormal="70" workbookViewId="0">
      <pane ySplit="2" topLeftCell="A18" activePane="bottomLeft" state="frozen"/>
      <selection activeCell="J3" sqref="J3:J11"/>
      <selection pane="bottomLeft" activeCell="H40" sqref="H40"/>
    </sheetView>
  </sheetViews>
  <sheetFormatPr baseColWidth="10" defaultColWidth="8.83203125" defaultRowHeight="15" x14ac:dyDescent="0.2"/>
  <cols>
    <col min="1" max="1" width="3" style="364" customWidth="1"/>
    <col min="2" max="2" width="24.1640625" style="364" customWidth="1"/>
    <col min="3" max="3" width="28.6640625" style="364" customWidth="1"/>
    <col min="4" max="6" width="13.83203125" style="364" customWidth="1"/>
    <col min="7" max="10" width="12.1640625" style="364" customWidth="1"/>
    <col min="11" max="16384" width="8.83203125" style="364"/>
  </cols>
  <sheetData>
    <row r="1" spans="1:10" x14ac:dyDescent="0.2">
      <c r="B1" s="366"/>
      <c r="C1" s="366"/>
      <c r="D1" s="366"/>
      <c r="E1" s="366"/>
      <c r="F1" s="366"/>
      <c r="G1" s="1380" t="s">
        <v>300</v>
      </c>
      <c r="H1" s="1380"/>
      <c r="I1" s="1380"/>
      <c r="J1" s="1380"/>
    </row>
    <row r="2" spans="1:10" s="368" customFormat="1" ht="32" x14ac:dyDescent="0.2">
      <c r="A2" s="367" t="s">
        <v>269</v>
      </c>
      <c r="B2" s="367" t="s">
        <v>259</v>
      </c>
      <c r="C2" s="367" t="s">
        <v>260</v>
      </c>
      <c r="D2" s="533" t="s">
        <v>265</v>
      </c>
      <c r="E2" s="533" t="s">
        <v>297</v>
      </c>
      <c r="F2" s="533" t="s">
        <v>298</v>
      </c>
      <c r="G2" s="533" t="s">
        <v>266</v>
      </c>
      <c r="H2" s="478" t="s">
        <v>748</v>
      </c>
      <c r="I2" s="533" t="s">
        <v>268</v>
      </c>
      <c r="J2" s="533" t="s">
        <v>267</v>
      </c>
    </row>
    <row r="3" spans="1:10" x14ac:dyDescent="0.2">
      <c r="A3" s="1383">
        <v>1</v>
      </c>
      <c r="B3" s="1381" t="s">
        <v>799</v>
      </c>
      <c r="C3" s="369"/>
      <c r="D3" s="369" t="str">
        <f>IFERROR(VLOOKUP(B3,MODULY_CBA!$B$3:$I$23,6,0),"")</f>
        <v>Inkrement 1</v>
      </c>
      <c r="E3" s="370">
        <f>IFERROR(VLOOKUP(D3,INKREMENTY!$A$2:$F$21,2,0),"")</f>
        <v>46113</v>
      </c>
      <c r="F3" s="370">
        <f>IFERROR(VLOOKUP(D3,INKREMENTY!$A$2:$F$21,4,0),"")</f>
        <v>46752</v>
      </c>
      <c r="G3" s="369">
        <f>IFERROR(ROUND(((E3-$E$3)+1)/30,0)+1,)</f>
        <v>1</v>
      </c>
      <c r="H3" s="369">
        <f>G3-1</f>
        <v>0</v>
      </c>
      <c r="I3" s="554"/>
      <c r="J3" s="369">
        <f>H3+I3</f>
        <v>0</v>
      </c>
    </row>
    <row r="4" spans="1:10" x14ac:dyDescent="0.2">
      <c r="A4" s="1383"/>
      <c r="B4" s="1382"/>
      <c r="C4" s="369" t="str">
        <f>IFERROR(IF(ISTEXT(B3),"Analýza a dizajn",""),)</f>
        <v>Analýza a dizajn</v>
      </c>
      <c r="D4" s="366"/>
      <c r="E4" s="736">
        <v>46113</v>
      </c>
      <c r="F4" s="736">
        <v>46752</v>
      </c>
      <c r="G4" s="554">
        <v>1</v>
      </c>
      <c r="H4" s="369">
        <f t="shared" ref="H4:H27" si="0">G4-1</f>
        <v>0</v>
      </c>
      <c r="I4" s="554">
        <v>21</v>
      </c>
      <c r="J4" s="369">
        <f>H4+I4</f>
        <v>21</v>
      </c>
    </row>
    <row r="5" spans="1:10" x14ac:dyDescent="0.2">
      <c r="A5" s="1383"/>
      <c r="B5" s="1382"/>
      <c r="C5" s="369" t="s">
        <v>1669</v>
      </c>
      <c r="D5" s="366"/>
      <c r="E5" s="736"/>
      <c r="F5" s="736"/>
      <c r="G5" s="554"/>
      <c r="H5" s="369">
        <f t="shared" si="0"/>
        <v>-1</v>
      </c>
      <c r="I5" s="554"/>
      <c r="J5" s="369">
        <f>H5+I5</f>
        <v>-1</v>
      </c>
    </row>
    <row r="6" spans="1:10" x14ac:dyDescent="0.2">
      <c r="A6" s="1383"/>
      <c r="B6" s="1382"/>
      <c r="C6" s="369" t="str">
        <f>IFERROR(IF(ISTEXT(B3),"Implementácia a testovanie",""),)</f>
        <v>Implementácia a testovanie</v>
      </c>
      <c r="D6" s="366"/>
      <c r="E6" s="736">
        <v>46388</v>
      </c>
      <c r="F6" s="736">
        <v>47118</v>
      </c>
      <c r="G6" s="554">
        <v>13</v>
      </c>
      <c r="H6" s="369">
        <f t="shared" si="0"/>
        <v>12</v>
      </c>
      <c r="I6" s="554">
        <v>24</v>
      </c>
      <c r="J6" s="369">
        <f>H6+I6</f>
        <v>36</v>
      </c>
    </row>
    <row r="7" spans="1:10" x14ac:dyDescent="0.2">
      <c r="A7" s="1383"/>
      <c r="B7" s="1382"/>
      <c r="C7" s="369" t="str">
        <f>IFERROR(IF(ISTEXT(B3),"Nasadenie",""),)</f>
        <v>Nasadenie</v>
      </c>
      <c r="D7" s="366"/>
      <c r="E7" s="736">
        <v>46753</v>
      </c>
      <c r="F7" s="736">
        <v>47483</v>
      </c>
      <c r="G7" s="554">
        <v>25</v>
      </c>
      <c r="H7" s="369">
        <f t="shared" si="0"/>
        <v>24</v>
      </c>
      <c r="I7" s="369">
        <f>J7-H7</f>
        <v>-3</v>
      </c>
      <c r="J7" s="369">
        <f>IFERROR(ROUND((F3-$E$3+1)/30,0),)</f>
        <v>21</v>
      </c>
    </row>
    <row r="8" spans="1:10" x14ac:dyDescent="0.2">
      <c r="A8" s="1383">
        <v>2</v>
      </c>
      <c r="B8" s="1381" t="s">
        <v>815</v>
      </c>
      <c r="C8" s="369"/>
      <c r="D8" s="369" t="str">
        <f>IFERROR(VLOOKUP(B8,MODULY_CBA!$B$3:$I$23,6,0),"")</f>
        <v>Inkrement 1</v>
      </c>
      <c r="E8" s="370">
        <f>IFERROR(VLOOKUP(D8,INKREMENTY!$A$2:$F$21,2,0),"")</f>
        <v>46113</v>
      </c>
      <c r="F8" s="370">
        <f>IFERROR(VLOOKUP(D8,INKREMENTY!$A$2:$F$21,4,0),"")</f>
        <v>46752</v>
      </c>
      <c r="G8" s="369">
        <f>IFERROR(ROUND(((E8-$E$3)+1)/30,0)+1,)</f>
        <v>1</v>
      </c>
      <c r="H8" s="369">
        <f t="shared" si="0"/>
        <v>0</v>
      </c>
      <c r="I8" s="554"/>
      <c r="J8" s="369">
        <f t="shared" ref="J8:J11" si="1">H8+I8</f>
        <v>0</v>
      </c>
    </row>
    <row r="9" spans="1:10" x14ac:dyDescent="0.2">
      <c r="A9" s="1383"/>
      <c r="B9" s="1382"/>
      <c r="C9" s="369" t="str">
        <f>IFERROR(IF(ISTEXT(B8),"Analýza a dizajn",""),)</f>
        <v>Analýza a dizajn</v>
      </c>
      <c r="D9" s="366"/>
      <c r="E9" s="736">
        <v>46113</v>
      </c>
      <c r="F9" s="736">
        <v>46752</v>
      </c>
      <c r="G9" s="554">
        <v>1</v>
      </c>
      <c r="H9" s="369">
        <f t="shared" ref="H9" si="2">G9-1</f>
        <v>0</v>
      </c>
      <c r="I9" s="554">
        <v>21</v>
      </c>
      <c r="J9" s="369">
        <f t="shared" si="1"/>
        <v>21</v>
      </c>
    </row>
    <row r="10" spans="1:10" x14ac:dyDescent="0.2">
      <c r="A10" s="1383"/>
      <c r="B10" s="1382"/>
      <c r="C10" s="369" t="s">
        <v>1669</v>
      </c>
      <c r="D10" s="366"/>
      <c r="E10" s="736"/>
      <c r="F10" s="736"/>
      <c r="G10" s="554"/>
      <c r="H10" s="369">
        <f t="shared" si="0"/>
        <v>-1</v>
      </c>
      <c r="I10" s="554"/>
      <c r="J10" s="369">
        <f t="shared" si="1"/>
        <v>-1</v>
      </c>
    </row>
    <row r="11" spans="1:10" x14ac:dyDescent="0.2">
      <c r="A11" s="1383"/>
      <c r="B11" s="1382"/>
      <c r="C11" s="369" t="str">
        <f>IFERROR(IF(ISTEXT(B8),"Implementácia a testovanie",""),)</f>
        <v>Implementácia a testovanie</v>
      </c>
      <c r="D11" s="366"/>
      <c r="E11" s="736">
        <v>46388</v>
      </c>
      <c r="F11" s="736">
        <v>47118</v>
      </c>
      <c r="G11" s="554">
        <v>13</v>
      </c>
      <c r="H11" s="369">
        <f t="shared" si="0"/>
        <v>12</v>
      </c>
      <c r="I11" s="554">
        <v>24</v>
      </c>
      <c r="J11" s="369">
        <f t="shared" si="1"/>
        <v>36</v>
      </c>
    </row>
    <row r="12" spans="1:10" x14ac:dyDescent="0.2">
      <c r="A12" s="1383"/>
      <c r="B12" s="1382"/>
      <c r="C12" s="369" t="str">
        <f>IFERROR(IF(ISTEXT(B8),"Nasadenie",""),)</f>
        <v>Nasadenie</v>
      </c>
      <c r="D12" s="366"/>
      <c r="E12" s="736">
        <v>46753</v>
      </c>
      <c r="F12" s="736">
        <v>47483</v>
      </c>
      <c r="G12" s="554">
        <v>25</v>
      </c>
      <c r="H12" s="369">
        <f t="shared" si="0"/>
        <v>24</v>
      </c>
      <c r="I12" s="369">
        <f>J12-H12</f>
        <v>-3</v>
      </c>
      <c r="J12" s="369">
        <f>IFERROR(ROUND((F8-$E$3+1)/30,0),)</f>
        <v>21</v>
      </c>
    </row>
    <row r="13" spans="1:10" x14ac:dyDescent="0.2">
      <c r="A13" s="1383">
        <v>3</v>
      </c>
      <c r="B13" s="1381" t="s">
        <v>821</v>
      </c>
      <c r="C13" s="369"/>
      <c r="D13" s="369" t="str">
        <f>IFERROR(VLOOKUP(B13,MODULY_CBA!$B$3:$I$23,6,0),"")</f>
        <v>Inkrement 1</v>
      </c>
      <c r="E13" s="370">
        <f>IFERROR(VLOOKUP(D13,INKREMENTY!$A$2:$F$21,2,0),"")</f>
        <v>46113</v>
      </c>
      <c r="F13" s="370">
        <f>IFERROR(VLOOKUP(D13,INKREMENTY!$A$2:$F$21,4,0),"")</f>
        <v>46752</v>
      </c>
      <c r="G13" s="369">
        <f>IFERROR(ROUND(((E13-$E$3)+1)/30,0)+1,)</f>
        <v>1</v>
      </c>
      <c r="H13" s="369">
        <f t="shared" si="0"/>
        <v>0</v>
      </c>
      <c r="I13" s="554"/>
      <c r="J13" s="369">
        <f t="shared" ref="J13:J16" si="3">H13+I13</f>
        <v>0</v>
      </c>
    </row>
    <row r="14" spans="1:10" x14ac:dyDescent="0.2">
      <c r="A14" s="1383"/>
      <c r="B14" s="1382"/>
      <c r="C14" s="369" t="str">
        <f>IFERROR(IF(ISTEXT(B13),"Analýza a dizajn",""),)</f>
        <v>Analýza a dizajn</v>
      </c>
      <c r="D14" s="366"/>
      <c r="E14" s="736">
        <v>46113</v>
      </c>
      <c r="F14" s="736">
        <v>46752</v>
      </c>
      <c r="G14" s="554">
        <v>1</v>
      </c>
      <c r="H14" s="369">
        <f t="shared" ref="H14" si="4">G14-1</f>
        <v>0</v>
      </c>
      <c r="I14" s="554">
        <v>21</v>
      </c>
      <c r="J14" s="369">
        <f t="shared" si="3"/>
        <v>21</v>
      </c>
    </row>
    <row r="15" spans="1:10" x14ac:dyDescent="0.2">
      <c r="A15" s="1383"/>
      <c r="B15" s="1382"/>
      <c r="C15" s="369" t="s">
        <v>1669</v>
      </c>
      <c r="D15" s="366"/>
      <c r="E15" s="736"/>
      <c r="F15" s="736"/>
      <c r="G15" s="554"/>
      <c r="H15" s="369">
        <f t="shared" si="0"/>
        <v>-1</v>
      </c>
      <c r="I15" s="554"/>
      <c r="J15" s="369">
        <f t="shared" si="3"/>
        <v>-1</v>
      </c>
    </row>
    <row r="16" spans="1:10" x14ac:dyDescent="0.2">
      <c r="A16" s="1383"/>
      <c r="B16" s="1382"/>
      <c r="C16" s="369" t="str">
        <f>IFERROR(IF(ISTEXT(B13),"Implementácia a testovanie",""),)</f>
        <v>Implementácia a testovanie</v>
      </c>
      <c r="D16" s="366"/>
      <c r="E16" s="736">
        <v>46388</v>
      </c>
      <c r="F16" s="736">
        <v>47118</v>
      </c>
      <c r="G16" s="554">
        <v>13</v>
      </c>
      <c r="H16" s="369">
        <f t="shared" si="0"/>
        <v>12</v>
      </c>
      <c r="I16" s="554">
        <v>24</v>
      </c>
      <c r="J16" s="369">
        <f t="shared" si="3"/>
        <v>36</v>
      </c>
    </row>
    <row r="17" spans="1:10" x14ac:dyDescent="0.2">
      <c r="A17" s="1383"/>
      <c r="B17" s="1382"/>
      <c r="C17" s="369" t="str">
        <f>IFERROR(IF(ISTEXT(B13),"Nasadenie",""),)</f>
        <v>Nasadenie</v>
      </c>
      <c r="D17" s="366"/>
      <c r="E17" s="736">
        <v>46753</v>
      </c>
      <c r="F17" s="736">
        <v>47483</v>
      </c>
      <c r="G17" s="554">
        <v>25</v>
      </c>
      <c r="H17" s="369">
        <f t="shared" si="0"/>
        <v>24</v>
      </c>
      <c r="I17" s="369">
        <f>J17-H17</f>
        <v>-3</v>
      </c>
      <c r="J17" s="369">
        <f>IFERROR(ROUND((F13-$E$3+1)/30,0),)</f>
        <v>21</v>
      </c>
    </row>
    <row r="18" spans="1:10" x14ac:dyDescent="0.2">
      <c r="A18" s="1383">
        <v>4</v>
      </c>
      <c r="B18" s="1381" t="s">
        <v>824</v>
      </c>
      <c r="C18" s="369"/>
      <c r="D18" s="369" t="str">
        <f>IFERROR(VLOOKUP(B18,MODULY_CBA!$B$3:$I$23,6,0),"")</f>
        <v>Inkrement 2</v>
      </c>
      <c r="E18" s="370">
        <f>IFERROR(VLOOKUP(D18,INKREMENTY!$A$2:$F$21,2,0),"")</f>
        <v>46753</v>
      </c>
      <c r="F18" s="370">
        <f>IFERROR(VLOOKUP(D18,INKREMENTY!$A$2:$F$21,4,0),"")</f>
        <v>47483</v>
      </c>
      <c r="G18" s="369">
        <f>IFERROR(ROUND(((E18-$E$3)+1)/30,0)+1,)</f>
        <v>22</v>
      </c>
      <c r="H18" s="369">
        <f t="shared" si="0"/>
        <v>21</v>
      </c>
      <c r="I18" s="554"/>
      <c r="J18" s="369">
        <f t="shared" ref="J18:J21" si="5">H18+I18</f>
        <v>21</v>
      </c>
    </row>
    <row r="19" spans="1:10" x14ac:dyDescent="0.2">
      <c r="A19" s="1383"/>
      <c r="B19" s="1382"/>
      <c r="C19" s="369" t="str">
        <f>IFERROR(IF(ISTEXT(B18),"Analýza a dizajn",""),)</f>
        <v>Analýza a dizajn</v>
      </c>
      <c r="D19" s="366"/>
      <c r="E19" s="736">
        <v>46753</v>
      </c>
      <c r="F19" s="736">
        <v>47118</v>
      </c>
      <c r="G19" s="554">
        <v>21</v>
      </c>
      <c r="H19" s="369">
        <f t="shared" ref="H19" si="6">G19-1</f>
        <v>20</v>
      </c>
      <c r="I19" s="554">
        <v>12</v>
      </c>
      <c r="J19" s="369">
        <f t="shared" si="5"/>
        <v>32</v>
      </c>
    </row>
    <row r="20" spans="1:10" x14ac:dyDescent="0.2">
      <c r="A20" s="1383"/>
      <c r="B20" s="1382"/>
      <c r="C20" s="369" t="s">
        <v>1669</v>
      </c>
      <c r="D20" s="366"/>
      <c r="E20" s="736"/>
      <c r="F20" s="736"/>
      <c r="G20" s="554"/>
      <c r="H20" s="369">
        <f t="shared" si="0"/>
        <v>-1</v>
      </c>
      <c r="I20" s="554"/>
      <c r="J20" s="369">
        <f t="shared" si="5"/>
        <v>-1</v>
      </c>
    </row>
    <row r="21" spans="1:10" x14ac:dyDescent="0.2">
      <c r="A21" s="1383"/>
      <c r="B21" s="1382"/>
      <c r="C21" s="369" t="str">
        <f>IFERROR(IF(ISTEXT(B18),"Implementácia a testovanie",""),)</f>
        <v>Implementácia a testovanie</v>
      </c>
      <c r="D21" s="366"/>
      <c r="E21" s="736">
        <v>46753</v>
      </c>
      <c r="F21" s="736">
        <v>47483</v>
      </c>
      <c r="G21" s="554">
        <v>21</v>
      </c>
      <c r="H21" s="369">
        <f t="shared" si="0"/>
        <v>20</v>
      </c>
      <c r="I21" s="554">
        <v>24</v>
      </c>
      <c r="J21" s="369">
        <f t="shared" si="5"/>
        <v>44</v>
      </c>
    </row>
    <row r="22" spans="1:10" x14ac:dyDescent="0.2">
      <c r="A22" s="1383"/>
      <c r="B22" s="1382"/>
      <c r="C22" s="369" t="str">
        <f>IFERROR(IF(ISTEXT(B18),"Nasadenie",""),)</f>
        <v>Nasadenie</v>
      </c>
      <c r="D22" s="366"/>
      <c r="E22" s="736">
        <v>47119</v>
      </c>
      <c r="F22" s="736">
        <v>47483</v>
      </c>
      <c r="G22" s="554">
        <v>33</v>
      </c>
      <c r="H22" s="369">
        <f t="shared" si="0"/>
        <v>32</v>
      </c>
      <c r="I22" s="369">
        <f>J22-H22</f>
        <v>14</v>
      </c>
      <c r="J22" s="369">
        <f>IFERROR(ROUND((F18-$E$3+1)/30,0),)</f>
        <v>46</v>
      </c>
    </row>
    <row r="23" spans="1:10" x14ac:dyDescent="0.2">
      <c r="A23" s="1383">
        <v>5</v>
      </c>
      <c r="B23" s="1381" t="s">
        <v>830</v>
      </c>
      <c r="C23" s="369"/>
      <c r="D23" s="369" t="str">
        <f>IFERROR(VLOOKUP(B23,MODULY_CBA!$B$3:$I$23,6,0),"")</f>
        <v>Inkrement 1</v>
      </c>
      <c r="E23" s="370">
        <f>IFERROR(VLOOKUP(D23,INKREMENTY!$A$2:$F$21,2,0),"")</f>
        <v>46113</v>
      </c>
      <c r="F23" s="370">
        <f>IFERROR(VLOOKUP(D23,INKREMENTY!$A$2:$F$21,4,0),"")</f>
        <v>46752</v>
      </c>
      <c r="G23" s="369">
        <f>IFERROR(ROUND(((E23-$E$3)+1)/30,0)+1,)</f>
        <v>1</v>
      </c>
      <c r="H23" s="369">
        <f t="shared" si="0"/>
        <v>0</v>
      </c>
      <c r="I23" s="554"/>
      <c r="J23" s="369">
        <f t="shared" ref="J23:J26" si="7">H23+I23</f>
        <v>0</v>
      </c>
    </row>
    <row r="24" spans="1:10" x14ac:dyDescent="0.2">
      <c r="A24" s="1383"/>
      <c r="B24" s="1382"/>
      <c r="C24" s="369" t="str">
        <f>IFERROR(IF(ISTEXT(B23),"Analýza a dizajn",""),)</f>
        <v>Analýza a dizajn</v>
      </c>
      <c r="D24" s="366"/>
      <c r="E24" s="736">
        <v>46113</v>
      </c>
      <c r="F24" s="736">
        <v>46752</v>
      </c>
      <c r="G24" s="554">
        <v>1</v>
      </c>
      <c r="H24" s="369">
        <f t="shared" ref="H24" si="8">G24-1</f>
        <v>0</v>
      </c>
      <c r="I24" s="554">
        <v>21</v>
      </c>
      <c r="J24" s="369">
        <f t="shared" si="7"/>
        <v>21</v>
      </c>
    </row>
    <row r="25" spans="1:10" x14ac:dyDescent="0.2">
      <c r="A25" s="1383"/>
      <c r="B25" s="1382"/>
      <c r="C25" s="369" t="s">
        <v>1669</v>
      </c>
      <c r="D25" s="366"/>
      <c r="E25" s="736"/>
      <c r="F25" s="736"/>
      <c r="G25" s="554"/>
      <c r="H25" s="369">
        <f t="shared" si="0"/>
        <v>-1</v>
      </c>
      <c r="I25" s="554"/>
      <c r="J25" s="369">
        <f t="shared" si="7"/>
        <v>-1</v>
      </c>
    </row>
    <row r="26" spans="1:10" x14ac:dyDescent="0.2">
      <c r="A26" s="1383"/>
      <c r="B26" s="1382"/>
      <c r="C26" s="369" t="str">
        <f>IFERROR(IF(ISTEXT(B23),"Implementácia a testovanie",""),)</f>
        <v>Implementácia a testovanie</v>
      </c>
      <c r="D26" s="366"/>
      <c r="E26" s="736">
        <v>46388</v>
      </c>
      <c r="F26" s="736">
        <v>47118</v>
      </c>
      <c r="G26" s="554">
        <v>13</v>
      </c>
      <c r="H26" s="369">
        <f t="shared" si="0"/>
        <v>12</v>
      </c>
      <c r="I26" s="554">
        <v>24</v>
      </c>
      <c r="J26" s="369">
        <f t="shared" si="7"/>
        <v>36</v>
      </c>
    </row>
    <row r="27" spans="1:10" x14ac:dyDescent="0.2">
      <c r="A27" s="1383"/>
      <c r="B27" s="1382"/>
      <c r="C27" s="369" t="str">
        <f>IFERROR(IF(ISTEXT(B23),"Nasadenie",""),)</f>
        <v>Nasadenie</v>
      </c>
      <c r="D27" s="366"/>
      <c r="E27" s="736">
        <v>46753</v>
      </c>
      <c r="F27" s="736">
        <v>47483</v>
      </c>
      <c r="G27" s="554">
        <v>25</v>
      </c>
      <c r="H27" s="369">
        <f t="shared" si="0"/>
        <v>24</v>
      </c>
      <c r="I27" s="369">
        <f>J27-H27</f>
        <v>-3</v>
      </c>
      <c r="J27" s="369">
        <f>IFERROR(ROUND((F23-$E$3+1)/30,0),)</f>
        <v>21</v>
      </c>
    </row>
    <row r="28" spans="1:10" x14ac:dyDescent="0.2">
      <c r="A28" s="1383">
        <v>6</v>
      </c>
      <c r="B28" s="1381" t="s">
        <v>836</v>
      </c>
      <c r="C28" s="369"/>
      <c r="D28" s="369" t="str">
        <f>IFERROR(VLOOKUP(B28,MODULY_CBA!$B$3:$I$23,6,0),"")</f>
        <v>Inkrement 2</v>
      </c>
      <c r="E28" s="370">
        <f>IFERROR(VLOOKUP(D28,INKREMENTY!$A$2:$F$21,2,0),"")</f>
        <v>46753</v>
      </c>
      <c r="F28" s="370">
        <f>IFERROR(VLOOKUP(D28,INKREMENTY!$A$2:$F$21,4,0),"")</f>
        <v>47483</v>
      </c>
      <c r="G28" s="369">
        <f>IFERROR(ROUND(((E28-$E$3)+1)/30,0)+1,)</f>
        <v>22</v>
      </c>
      <c r="H28" s="369">
        <f t="shared" ref="H28:H91" si="9">G28-1</f>
        <v>21</v>
      </c>
      <c r="I28" s="554"/>
      <c r="J28" s="369">
        <f t="shared" ref="J28:J31" si="10">H28+I28</f>
        <v>21</v>
      </c>
    </row>
    <row r="29" spans="1:10" x14ac:dyDescent="0.2">
      <c r="A29" s="1383"/>
      <c r="B29" s="1382"/>
      <c r="C29" s="369" t="str">
        <f>IFERROR(IF(ISTEXT(B28),"Analýza a dizajn",""),)</f>
        <v>Analýza a dizajn</v>
      </c>
      <c r="D29" s="366"/>
      <c r="E29" s="736">
        <v>46753</v>
      </c>
      <c r="F29" s="736">
        <v>47118</v>
      </c>
      <c r="G29" s="554">
        <v>21</v>
      </c>
      <c r="H29" s="369">
        <f t="shared" si="9"/>
        <v>20</v>
      </c>
      <c r="I29" s="554">
        <v>21</v>
      </c>
      <c r="J29" s="369">
        <f t="shared" si="10"/>
        <v>41</v>
      </c>
    </row>
    <row r="30" spans="1:10" x14ac:dyDescent="0.2">
      <c r="A30" s="1383"/>
      <c r="B30" s="1382"/>
      <c r="C30" s="369" t="s">
        <v>1669</v>
      </c>
      <c r="D30" s="366"/>
      <c r="E30" s="736"/>
      <c r="F30" s="736"/>
      <c r="G30" s="554"/>
      <c r="H30" s="369">
        <f t="shared" si="9"/>
        <v>-1</v>
      </c>
      <c r="I30" s="554"/>
      <c r="J30" s="369">
        <f t="shared" si="10"/>
        <v>-1</v>
      </c>
    </row>
    <row r="31" spans="1:10" x14ac:dyDescent="0.2">
      <c r="A31" s="1383"/>
      <c r="B31" s="1382"/>
      <c r="C31" s="369" t="str">
        <f>IFERROR(IF(ISTEXT(B28),"Implementácia a testovanie",""),)</f>
        <v>Implementácia a testovanie</v>
      </c>
      <c r="D31" s="366"/>
      <c r="E31" s="736">
        <v>46753</v>
      </c>
      <c r="F31" s="736">
        <v>47483</v>
      </c>
      <c r="G31" s="554">
        <v>21</v>
      </c>
      <c r="H31" s="369">
        <f t="shared" si="9"/>
        <v>20</v>
      </c>
      <c r="I31" s="554">
        <v>24</v>
      </c>
      <c r="J31" s="369">
        <f t="shared" si="10"/>
        <v>44</v>
      </c>
    </row>
    <row r="32" spans="1:10" x14ac:dyDescent="0.2">
      <c r="A32" s="1383"/>
      <c r="B32" s="1382"/>
      <c r="C32" s="369" t="str">
        <f>IFERROR(IF(ISTEXT(B28),"Nasadenie",""),)</f>
        <v>Nasadenie</v>
      </c>
      <c r="D32" s="366"/>
      <c r="E32" s="736">
        <v>47119</v>
      </c>
      <c r="F32" s="736">
        <v>47483</v>
      </c>
      <c r="G32" s="554">
        <v>33</v>
      </c>
      <c r="H32" s="369">
        <f t="shared" si="9"/>
        <v>32</v>
      </c>
      <c r="I32" s="369">
        <f>J32-H32</f>
        <v>14</v>
      </c>
      <c r="J32" s="369">
        <f>IFERROR(ROUND((F28-$E$3+1)/30,0),)</f>
        <v>46</v>
      </c>
    </row>
    <row r="33" spans="1:10" x14ac:dyDescent="0.2">
      <c r="A33" s="1383">
        <v>7</v>
      </c>
      <c r="B33" s="1382" t="s">
        <v>840</v>
      </c>
      <c r="C33" s="369"/>
      <c r="D33" s="369" t="str">
        <f>IFERROR(VLOOKUP(B33,MODULY_CBA!$B$3:$I$23,6,0),"")</f>
        <v>Inkrement 1</v>
      </c>
      <c r="E33" s="370">
        <f>IFERROR(VLOOKUP(D33,INKREMENTY!$A$2:$F$21,2,0),"")</f>
        <v>46113</v>
      </c>
      <c r="F33" s="370">
        <f>IFERROR(VLOOKUP(D33,INKREMENTY!$A$2:$F$21,4,0),"")</f>
        <v>46752</v>
      </c>
      <c r="G33" s="369">
        <f>IFERROR(ROUND(((E33-$E$3)+1)/30,0)+1,)</f>
        <v>1</v>
      </c>
      <c r="H33" s="369">
        <f t="shared" si="9"/>
        <v>0</v>
      </c>
      <c r="I33" s="554"/>
      <c r="J33" s="369">
        <f t="shared" ref="J33:J36" si="11">H33+I33</f>
        <v>0</v>
      </c>
    </row>
    <row r="34" spans="1:10" x14ac:dyDescent="0.2">
      <c r="A34" s="1383"/>
      <c r="B34" s="1382"/>
      <c r="C34" s="369" t="str">
        <f>IFERROR(IF(ISTEXT(B33),"Analýza a dizajn",""),)</f>
        <v>Analýza a dizajn</v>
      </c>
      <c r="D34" s="366"/>
      <c r="E34" s="736">
        <v>46113</v>
      </c>
      <c r="F34" s="736">
        <v>46752</v>
      </c>
      <c r="G34" s="554">
        <v>1</v>
      </c>
      <c r="H34" s="369">
        <f t="shared" si="9"/>
        <v>0</v>
      </c>
      <c r="I34" s="554">
        <v>21</v>
      </c>
      <c r="J34" s="369">
        <f t="shared" si="11"/>
        <v>21</v>
      </c>
    </row>
    <row r="35" spans="1:10" x14ac:dyDescent="0.2">
      <c r="A35" s="1383"/>
      <c r="B35" s="1382"/>
      <c r="C35" s="369" t="s">
        <v>1669</v>
      </c>
      <c r="D35" s="366"/>
      <c r="E35" s="736"/>
      <c r="F35" s="736"/>
      <c r="G35" s="554"/>
      <c r="H35" s="369">
        <f t="shared" si="9"/>
        <v>-1</v>
      </c>
      <c r="I35" s="554"/>
      <c r="J35" s="369">
        <f t="shared" si="11"/>
        <v>-1</v>
      </c>
    </row>
    <row r="36" spans="1:10" x14ac:dyDescent="0.2">
      <c r="A36" s="1383"/>
      <c r="B36" s="1382"/>
      <c r="C36" s="369" t="str">
        <f>IFERROR(IF(ISTEXT(B33),"Implementácia a testovanie",""),)</f>
        <v>Implementácia a testovanie</v>
      </c>
      <c r="D36" s="366"/>
      <c r="E36" s="736">
        <v>46388</v>
      </c>
      <c r="F36" s="736">
        <v>47118</v>
      </c>
      <c r="G36" s="554">
        <v>13</v>
      </c>
      <c r="H36" s="369">
        <f t="shared" si="9"/>
        <v>12</v>
      </c>
      <c r="I36" s="554">
        <v>24</v>
      </c>
      <c r="J36" s="369">
        <f t="shared" si="11"/>
        <v>36</v>
      </c>
    </row>
    <row r="37" spans="1:10" x14ac:dyDescent="0.2">
      <c r="A37" s="1383"/>
      <c r="B37" s="1382"/>
      <c r="C37" s="369" t="str">
        <f>IFERROR(IF(ISTEXT(B33),"Nasadenie",""),)</f>
        <v>Nasadenie</v>
      </c>
      <c r="D37" s="366"/>
      <c r="E37" s="736">
        <v>46753</v>
      </c>
      <c r="F37" s="736">
        <v>47483</v>
      </c>
      <c r="G37" s="554">
        <v>25</v>
      </c>
      <c r="H37" s="369">
        <f t="shared" si="9"/>
        <v>24</v>
      </c>
      <c r="I37" s="369">
        <f>J37-H37</f>
        <v>-3</v>
      </c>
      <c r="J37" s="369">
        <f>IFERROR(ROUND((F33-$E$3+1)/30,0),)</f>
        <v>21</v>
      </c>
    </row>
    <row r="38" spans="1:10" x14ac:dyDescent="0.2">
      <c r="A38" s="1383">
        <v>8</v>
      </c>
      <c r="B38" s="1382" t="s">
        <v>842</v>
      </c>
      <c r="C38" s="369"/>
      <c r="D38" s="369" t="str">
        <f>IFERROR(VLOOKUP(B38,MODULY_CBA!$B$3:$I$23,6,0),"")</f>
        <v>Inkrement 1</v>
      </c>
      <c r="E38" s="370">
        <f>IFERROR(VLOOKUP(D38,INKREMENTY!$A$2:$F$21,2,0),"")</f>
        <v>46113</v>
      </c>
      <c r="F38" s="370">
        <f>IFERROR(VLOOKUP(D38,INKREMENTY!$A$2:$F$21,4,0),"")</f>
        <v>46752</v>
      </c>
      <c r="G38" s="369">
        <f>IFERROR(ROUND(((E38-$E$3)+1)/30,0)+1,)</f>
        <v>1</v>
      </c>
      <c r="H38" s="369">
        <f t="shared" si="9"/>
        <v>0</v>
      </c>
      <c r="I38" s="554"/>
      <c r="J38" s="369">
        <f t="shared" ref="J38:J41" si="12">H38+I38</f>
        <v>0</v>
      </c>
    </row>
    <row r="39" spans="1:10" x14ac:dyDescent="0.2">
      <c r="A39" s="1383"/>
      <c r="B39" s="1382"/>
      <c r="C39" s="369" t="str">
        <f>IFERROR(IF(ISTEXT(B38),"Analýza a dizajn",""),)</f>
        <v>Analýza a dizajn</v>
      </c>
      <c r="D39" s="366"/>
      <c r="E39" s="736">
        <v>46113</v>
      </c>
      <c r="F39" s="736">
        <v>46752</v>
      </c>
      <c r="G39" s="554">
        <v>1</v>
      </c>
      <c r="H39" s="369">
        <f t="shared" si="9"/>
        <v>0</v>
      </c>
      <c r="I39" s="554">
        <v>21</v>
      </c>
      <c r="J39" s="369">
        <f t="shared" si="12"/>
        <v>21</v>
      </c>
    </row>
    <row r="40" spans="1:10" x14ac:dyDescent="0.2">
      <c r="A40" s="1383"/>
      <c r="B40" s="1382"/>
      <c r="C40" s="369" t="s">
        <v>1669</v>
      </c>
      <c r="D40" s="366"/>
      <c r="E40" s="736"/>
      <c r="F40" s="736"/>
      <c r="G40" s="554"/>
      <c r="H40" s="369">
        <f t="shared" si="9"/>
        <v>-1</v>
      </c>
      <c r="I40" s="554"/>
      <c r="J40" s="369">
        <f t="shared" si="12"/>
        <v>-1</v>
      </c>
    </row>
    <row r="41" spans="1:10" x14ac:dyDescent="0.2">
      <c r="A41" s="1383"/>
      <c r="B41" s="1382"/>
      <c r="C41" s="369" t="str">
        <f>IFERROR(IF(ISTEXT(B38),"Implementácia a testovanie",""),)</f>
        <v>Implementácia a testovanie</v>
      </c>
      <c r="D41" s="366"/>
      <c r="E41" s="736">
        <v>46388</v>
      </c>
      <c r="F41" s="736">
        <v>47118</v>
      </c>
      <c r="G41" s="554">
        <v>13</v>
      </c>
      <c r="H41" s="369">
        <f t="shared" si="9"/>
        <v>12</v>
      </c>
      <c r="I41" s="554">
        <v>24</v>
      </c>
      <c r="J41" s="369">
        <f t="shared" si="12"/>
        <v>36</v>
      </c>
    </row>
    <row r="42" spans="1:10" x14ac:dyDescent="0.2">
      <c r="A42" s="1383"/>
      <c r="B42" s="1382"/>
      <c r="C42" s="369" t="str">
        <f>IFERROR(IF(ISTEXT(B38),"Nasadenie",""),)</f>
        <v>Nasadenie</v>
      </c>
      <c r="D42" s="366"/>
      <c r="E42" s="736">
        <v>46753</v>
      </c>
      <c r="F42" s="736">
        <v>47483</v>
      </c>
      <c r="G42" s="554">
        <v>25</v>
      </c>
      <c r="H42" s="369">
        <f t="shared" si="9"/>
        <v>24</v>
      </c>
      <c r="I42" s="369">
        <f>J42-H42</f>
        <v>-3</v>
      </c>
      <c r="J42" s="369">
        <f>IFERROR(ROUND((F38-$E$3+1)/30,0),)</f>
        <v>21</v>
      </c>
    </row>
    <row r="43" spans="1:10" x14ac:dyDescent="0.2">
      <c r="A43" s="1383">
        <v>9</v>
      </c>
      <c r="B43" s="1381" t="s">
        <v>844</v>
      </c>
      <c r="C43" s="369"/>
      <c r="D43" s="369" t="str">
        <f>IFERROR(VLOOKUP(B43,MODULY_CBA!$B$3:$I$23,6,0),"")</f>
        <v>Inkrement 2</v>
      </c>
      <c r="E43" s="370">
        <f>IFERROR(VLOOKUP(D43,INKREMENTY!$A$2:$F$21,2,0),"")</f>
        <v>46753</v>
      </c>
      <c r="F43" s="370">
        <f>IFERROR(VLOOKUP(D43,INKREMENTY!$A$2:$F$21,4,0),"")</f>
        <v>47483</v>
      </c>
      <c r="G43" s="369">
        <f>IFERROR(ROUND(((E43-$E$3)+1)/30,0)+1,)</f>
        <v>22</v>
      </c>
      <c r="H43" s="369">
        <f t="shared" si="9"/>
        <v>21</v>
      </c>
      <c r="I43" s="554"/>
      <c r="J43" s="369">
        <f t="shared" ref="J43:J46" si="13">H43+I43</f>
        <v>21</v>
      </c>
    </row>
    <row r="44" spans="1:10" x14ac:dyDescent="0.2">
      <c r="A44" s="1383"/>
      <c r="B44" s="1382"/>
      <c r="C44" s="369" t="str">
        <f>IFERROR(IF(ISTEXT(B43),"Analýza a dizajn",""),)</f>
        <v>Analýza a dizajn</v>
      </c>
      <c r="D44" s="366"/>
      <c r="E44" s="736">
        <v>46753</v>
      </c>
      <c r="F44" s="736">
        <v>47118</v>
      </c>
      <c r="G44" s="554">
        <v>21</v>
      </c>
      <c r="H44" s="369">
        <f t="shared" si="9"/>
        <v>20</v>
      </c>
      <c r="I44" s="554">
        <v>21</v>
      </c>
      <c r="J44" s="369">
        <f t="shared" si="13"/>
        <v>41</v>
      </c>
    </row>
    <row r="45" spans="1:10" x14ac:dyDescent="0.2">
      <c r="A45" s="1383"/>
      <c r="B45" s="1382"/>
      <c r="C45" s="369" t="s">
        <v>1669</v>
      </c>
      <c r="D45" s="366"/>
      <c r="E45" s="736"/>
      <c r="F45" s="736"/>
      <c r="G45" s="554"/>
      <c r="H45" s="369">
        <f t="shared" si="9"/>
        <v>-1</v>
      </c>
      <c r="I45" s="554"/>
      <c r="J45" s="369">
        <f t="shared" si="13"/>
        <v>-1</v>
      </c>
    </row>
    <row r="46" spans="1:10" x14ac:dyDescent="0.2">
      <c r="A46" s="1383"/>
      <c r="B46" s="1382"/>
      <c r="C46" s="369" t="str">
        <f>IFERROR(IF(ISTEXT(B43),"Implementácia a testovanie",""),)</f>
        <v>Implementácia a testovanie</v>
      </c>
      <c r="D46" s="366"/>
      <c r="E46" s="736">
        <v>46753</v>
      </c>
      <c r="F46" s="736">
        <v>47483</v>
      </c>
      <c r="G46" s="554">
        <v>21</v>
      </c>
      <c r="H46" s="369">
        <f t="shared" si="9"/>
        <v>20</v>
      </c>
      <c r="I46" s="554">
        <v>24</v>
      </c>
      <c r="J46" s="369">
        <f t="shared" si="13"/>
        <v>44</v>
      </c>
    </row>
    <row r="47" spans="1:10" x14ac:dyDescent="0.2">
      <c r="A47" s="1383"/>
      <c r="B47" s="1382"/>
      <c r="C47" s="369" t="str">
        <f>IFERROR(IF(ISTEXT(B43),"Nasadenie",""),)</f>
        <v>Nasadenie</v>
      </c>
      <c r="D47" s="366"/>
      <c r="E47" s="736">
        <v>47119</v>
      </c>
      <c r="F47" s="736">
        <v>47483</v>
      </c>
      <c r="G47" s="554">
        <v>33</v>
      </c>
      <c r="H47" s="369">
        <f t="shared" si="9"/>
        <v>32</v>
      </c>
      <c r="I47" s="369">
        <f>J47-H47</f>
        <v>14</v>
      </c>
      <c r="J47" s="369">
        <f>IFERROR(ROUND((F43-$E$3+1)/30,0),)</f>
        <v>46</v>
      </c>
    </row>
    <row r="48" spans="1:10" x14ac:dyDescent="0.2">
      <c r="A48" s="1383">
        <v>10</v>
      </c>
      <c r="B48" s="1381" t="s">
        <v>850</v>
      </c>
      <c r="C48" s="369"/>
      <c r="D48" s="369" t="str">
        <f>IFERROR(VLOOKUP(B48,MODULY_CBA!$B$3:$I$23,6,0),"")</f>
        <v>Inkrement 2</v>
      </c>
      <c r="E48" s="370">
        <f>IFERROR(VLOOKUP(D48,INKREMENTY!$A$2:$F$21,2,0),"")</f>
        <v>46753</v>
      </c>
      <c r="F48" s="370">
        <f>IFERROR(VLOOKUP(D48,INKREMENTY!$A$2:$F$21,4,0),"")</f>
        <v>47483</v>
      </c>
      <c r="G48" s="369">
        <f>IFERROR(ROUND(((E48-$E$3)+1)/30,0)+1,)</f>
        <v>22</v>
      </c>
      <c r="H48" s="369">
        <f t="shared" si="9"/>
        <v>21</v>
      </c>
      <c r="I48" s="554"/>
      <c r="J48" s="369">
        <f t="shared" ref="J48:J51" si="14">H48+I48</f>
        <v>21</v>
      </c>
    </row>
    <row r="49" spans="1:10" x14ac:dyDescent="0.2">
      <c r="A49" s="1383"/>
      <c r="B49" s="1382"/>
      <c r="C49" s="369" t="str">
        <f>IFERROR(IF(ISTEXT(B48),"Analýza a dizajn",""),)</f>
        <v>Analýza a dizajn</v>
      </c>
      <c r="D49" s="366"/>
      <c r="E49" s="736">
        <v>46753</v>
      </c>
      <c r="F49" s="736">
        <v>47118</v>
      </c>
      <c r="G49" s="554">
        <v>21</v>
      </c>
      <c r="H49" s="369">
        <f t="shared" si="9"/>
        <v>20</v>
      </c>
      <c r="I49" s="554">
        <v>21</v>
      </c>
      <c r="J49" s="369">
        <f t="shared" si="14"/>
        <v>41</v>
      </c>
    </row>
    <row r="50" spans="1:10" x14ac:dyDescent="0.2">
      <c r="A50" s="1383"/>
      <c r="B50" s="1382"/>
      <c r="C50" s="369" t="s">
        <v>1669</v>
      </c>
      <c r="D50" s="366"/>
      <c r="E50" s="736"/>
      <c r="F50" s="736"/>
      <c r="G50" s="554"/>
      <c r="H50" s="369">
        <f t="shared" si="9"/>
        <v>-1</v>
      </c>
      <c r="I50" s="554"/>
      <c r="J50" s="369">
        <f t="shared" si="14"/>
        <v>-1</v>
      </c>
    </row>
    <row r="51" spans="1:10" x14ac:dyDescent="0.2">
      <c r="A51" s="1383"/>
      <c r="B51" s="1382"/>
      <c r="C51" s="369" t="str">
        <f>IFERROR(IF(ISTEXT(B48),"Implementácia a testovanie",""),)</f>
        <v>Implementácia a testovanie</v>
      </c>
      <c r="D51" s="366"/>
      <c r="E51" s="736">
        <v>46753</v>
      </c>
      <c r="F51" s="736">
        <v>47483</v>
      </c>
      <c r="G51" s="554">
        <v>21</v>
      </c>
      <c r="H51" s="369">
        <f t="shared" si="9"/>
        <v>20</v>
      </c>
      <c r="I51" s="554">
        <v>24</v>
      </c>
      <c r="J51" s="369">
        <f t="shared" si="14"/>
        <v>44</v>
      </c>
    </row>
    <row r="52" spans="1:10" x14ac:dyDescent="0.2">
      <c r="A52" s="1383"/>
      <c r="B52" s="1382"/>
      <c r="C52" s="369" t="str">
        <f>IFERROR(IF(ISTEXT(B48),"Nasadenie",""),)</f>
        <v>Nasadenie</v>
      </c>
      <c r="D52" s="366"/>
      <c r="E52" s="736">
        <v>47119</v>
      </c>
      <c r="F52" s="736">
        <v>47483</v>
      </c>
      <c r="G52" s="554">
        <v>33</v>
      </c>
      <c r="H52" s="369">
        <f t="shared" si="9"/>
        <v>32</v>
      </c>
      <c r="I52" s="369">
        <f>J52-H52</f>
        <v>14</v>
      </c>
      <c r="J52" s="369">
        <f>IFERROR(ROUND((F48-$E$3+1)/30,0),)</f>
        <v>46</v>
      </c>
    </row>
    <row r="53" spans="1:10" x14ac:dyDescent="0.2">
      <c r="A53" s="1383">
        <v>11</v>
      </c>
      <c r="B53" s="1382"/>
      <c r="C53" s="369" t="str">
        <f>IFERROR(IF(ISTEXT(B53),"Analýza a dizajn",""),)</f>
        <v/>
      </c>
      <c r="D53" s="369" t="str">
        <f>IFERROR(VLOOKUP(B53,MODULY_CBA!$B$3:$I$23,6,0),"")</f>
        <v/>
      </c>
      <c r="E53" s="370" t="str">
        <f>IFERROR(VLOOKUP(D53,INKREMENTY!$A$2:$F$21,2,0),"")</f>
        <v/>
      </c>
      <c r="F53" s="370" t="str">
        <f>IFERROR(VLOOKUP(D53,INKREMENTY!$A$2:$F$21,4,0),"")</f>
        <v/>
      </c>
      <c r="G53" s="369">
        <f>IFERROR(ROUND(((E53-$E$3)+1)/30,0)+1,)</f>
        <v>0</v>
      </c>
      <c r="H53" s="369">
        <f t="shared" si="9"/>
        <v>-1</v>
      </c>
      <c r="I53" s="554"/>
      <c r="J53" s="369">
        <f t="shared" ref="J53:J56" si="15">H53+I53</f>
        <v>-1</v>
      </c>
    </row>
    <row r="54" spans="1:10" x14ac:dyDescent="0.2">
      <c r="A54" s="1383"/>
      <c r="B54" s="1382"/>
      <c r="C54" s="369" t="str">
        <f>IFERROR(IF(ISTEXT(B53),"Nákupo HW a krabicový SW",""),)</f>
        <v/>
      </c>
      <c r="D54" s="366"/>
      <c r="E54" s="366"/>
      <c r="F54" s="366"/>
      <c r="G54" s="554"/>
      <c r="H54" s="369">
        <f t="shared" si="9"/>
        <v>-1</v>
      </c>
      <c r="I54" s="554"/>
      <c r="J54" s="369">
        <f t="shared" si="15"/>
        <v>-1</v>
      </c>
    </row>
    <row r="55" spans="1:10" x14ac:dyDescent="0.2">
      <c r="A55" s="1383"/>
      <c r="B55" s="1382"/>
      <c r="C55" s="369" t="str">
        <f>IFERROR(IF(ISTEXT(B53),"Implementácia",""),)</f>
        <v/>
      </c>
      <c r="D55" s="366"/>
      <c r="E55" s="366"/>
      <c r="F55" s="366"/>
      <c r="G55" s="554"/>
      <c r="H55" s="369">
        <f t="shared" si="9"/>
        <v>-1</v>
      </c>
      <c r="I55" s="554"/>
      <c r="J55" s="369">
        <f t="shared" si="15"/>
        <v>-1</v>
      </c>
    </row>
    <row r="56" spans="1:10" x14ac:dyDescent="0.2">
      <c r="A56" s="1383"/>
      <c r="B56" s="1382"/>
      <c r="C56" s="369" t="str">
        <f>IFERROR(IF(ISTEXT(B53),"Testovanie",""),)</f>
        <v/>
      </c>
      <c r="D56" s="366"/>
      <c r="E56" s="366"/>
      <c r="F56" s="366"/>
      <c r="G56" s="554"/>
      <c r="H56" s="369">
        <f t="shared" si="9"/>
        <v>-1</v>
      </c>
      <c r="I56" s="554"/>
      <c r="J56" s="369">
        <f t="shared" si="15"/>
        <v>-1</v>
      </c>
    </row>
    <row r="57" spans="1:10" x14ac:dyDescent="0.2">
      <c r="A57" s="1383"/>
      <c r="B57" s="1382"/>
      <c r="C57" s="369" t="str">
        <f>IFERROR(IF(ISTEXT(B53),"Nasadenie",""),)</f>
        <v/>
      </c>
      <c r="D57" s="366"/>
      <c r="E57" s="366"/>
      <c r="F57" s="366"/>
      <c r="G57" s="554"/>
      <c r="H57" s="369">
        <f t="shared" si="9"/>
        <v>-1</v>
      </c>
      <c r="I57" s="369">
        <f>J57-H57</f>
        <v>1</v>
      </c>
      <c r="J57" s="369">
        <f>IFERROR(ROUND((F53-$E$3+1)/30,0),)</f>
        <v>0</v>
      </c>
    </row>
    <row r="58" spans="1:10" x14ac:dyDescent="0.2">
      <c r="A58" s="1383">
        <v>12</v>
      </c>
      <c r="B58" s="1382"/>
      <c r="C58" s="369" t="str">
        <f>IFERROR(IF(ISTEXT(B58),"Analýza a dizajn",""),)</f>
        <v/>
      </c>
      <c r="D58" s="369" t="str">
        <f>IFERROR(VLOOKUP(B58,MODULY_CBA!$B$3:$I$23,6,0),"")</f>
        <v/>
      </c>
      <c r="E58" s="370" t="str">
        <f>IFERROR(VLOOKUP(D58,INKREMENTY!$A$2:$F$21,2,0),"")</f>
        <v/>
      </c>
      <c r="F58" s="370" t="str">
        <f>IFERROR(VLOOKUP(D58,INKREMENTY!$A$2:$F$21,4,0),"")</f>
        <v/>
      </c>
      <c r="G58" s="369">
        <f>IFERROR(ROUND(((E58-$E$3)+1)/30,0)+1,)</f>
        <v>0</v>
      </c>
      <c r="H58" s="369">
        <f t="shared" si="9"/>
        <v>-1</v>
      </c>
      <c r="I58" s="554"/>
      <c r="J58" s="369">
        <f t="shared" ref="J58:J61" si="16">H58+I58</f>
        <v>-1</v>
      </c>
    </row>
    <row r="59" spans="1:10" x14ac:dyDescent="0.2">
      <c r="A59" s="1383"/>
      <c r="B59" s="1382"/>
      <c r="C59" s="369" t="str">
        <f>IFERROR(IF(ISTEXT(B58),"Nákupo HW a krabicový SW",""),)</f>
        <v/>
      </c>
      <c r="D59" s="366"/>
      <c r="E59" s="366"/>
      <c r="F59" s="366"/>
      <c r="G59" s="554"/>
      <c r="H59" s="369">
        <f t="shared" si="9"/>
        <v>-1</v>
      </c>
      <c r="I59" s="554"/>
      <c r="J59" s="369">
        <f t="shared" si="16"/>
        <v>-1</v>
      </c>
    </row>
    <row r="60" spans="1:10" x14ac:dyDescent="0.2">
      <c r="A60" s="1383"/>
      <c r="B60" s="1382"/>
      <c r="C60" s="369" t="str">
        <f>IFERROR(IF(ISTEXT(B58),"Implementácia",""),)</f>
        <v/>
      </c>
      <c r="D60" s="366"/>
      <c r="E60" s="366"/>
      <c r="F60" s="366"/>
      <c r="G60" s="554"/>
      <c r="H60" s="369">
        <f t="shared" si="9"/>
        <v>-1</v>
      </c>
      <c r="I60" s="554"/>
      <c r="J60" s="369">
        <f t="shared" si="16"/>
        <v>-1</v>
      </c>
    </row>
    <row r="61" spans="1:10" x14ac:dyDescent="0.2">
      <c r="A61" s="1383"/>
      <c r="B61" s="1382"/>
      <c r="C61" s="369" t="str">
        <f>IFERROR(IF(ISTEXT(B58),"Testovanie",""),)</f>
        <v/>
      </c>
      <c r="D61" s="366"/>
      <c r="E61" s="366"/>
      <c r="F61" s="366"/>
      <c r="G61" s="554"/>
      <c r="H61" s="369">
        <f t="shared" si="9"/>
        <v>-1</v>
      </c>
      <c r="I61" s="554"/>
      <c r="J61" s="369">
        <f t="shared" si="16"/>
        <v>-1</v>
      </c>
    </row>
    <row r="62" spans="1:10" x14ac:dyDescent="0.2">
      <c r="A62" s="1383"/>
      <c r="B62" s="1382"/>
      <c r="C62" s="369" t="str">
        <f>IFERROR(IF(ISTEXT(B58),"Nasadenie",""),)</f>
        <v/>
      </c>
      <c r="D62" s="366"/>
      <c r="E62" s="366"/>
      <c r="F62" s="366"/>
      <c r="G62" s="554"/>
      <c r="H62" s="369">
        <f t="shared" si="9"/>
        <v>-1</v>
      </c>
      <c r="I62" s="369">
        <f>J62-H62</f>
        <v>1</v>
      </c>
      <c r="J62" s="369">
        <f>IFERROR(ROUND((F58-$E$3+1)/30,0),)</f>
        <v>0</v>
      </c>
    </row>
    <row r="63" spans="1:10" x14ac:dyDescent="0.2">
      <c r="A63" s="1383">
        <v>13</v>
      </c>
      <c r="B63" s="1382"/>
      <c r="C63" s="369" t="str">
        <f>IFERROR(IF(ISTEXT(B63),"Analýza a dizajn",""),)</f>
        <v/>
      </c>
      <c r="D63" s="369" t="str">
        <f>IFERROR(VLOOKUP(B63,MODULY_CBA!$B$3:$I$23,6,0),"")</f>
        <v/>
      </c>
      <c r="E63" s="370" t="str">
        <f>IFERROR(VLOOKUP(D63,INKREMENTY!$A$2:$F$21,2,0),"")</f>
        <v/>
      </c>
      <c r="F63" s="370" t="str">
        <f>IFERROR(VLOOKUP(D63,INKREMENTY!$A$2:$F$21,4,0),"")</f>
        <v/>
      </c>
      <c r="G63" s="369">
        <f>IFERROR(ROUND(((E63-$E$3)+1)/30,0)+1,)</f>
        <v>0</v>
      </c>
      <c r="H63" s="369">
        <f t="shared" si="9"/>
        <v>-1</v>
      </c>
      <c r="I63" s="554"/>
      <c r="J63" s="369">
        <f t="shared" ref="J63:J66" si="17">H63+I63</f>
        <v>-1</v>
      </c>
    </row>
    <row r="64" spans="1:10" x14ac:dyDescent="0.2">
      <c r="A64" s="1383"/>
      <c r="B64" s="1382"/>
      <c r="C64" s="369" t="str">
        <f>IFERROR(IF(ISTEXT(B63),"Nákupo HW a krabicový SW",""),)</f>
        <v/>
      </c>
      <c r="D64" s="366"/>
      <c r="E64" s="366"/>
      <c r="F64" s="366"/>
      <c r="G64" s="554"/>
      <c r="H64" s="369">
        <f t="shared" si="9"/>
        <v>-1</v>
      </c>
      <c r="I64" s="554"/>
      <c r="J64" s="369">
        <f t="shared" si="17"/>
        <v>-1</v>
      </c>
    </row>
    <row r="65" spans="1:10" x14ac:dyDescent="0.2">
      <c r="A65" s="1383"/>
      <c r="B65" s="1382"/>
      <c r="C65" s="369" t="str">
        <f>IFERROR(IF(ISTEXT(B63),"Implementácia",""),)</f>
        <v/>
      </c>
      <c r="D65" s="366"/>
      <c r="E65" s="366"/>
      <c r="F65" s="366"/>
      <c r="G65" s="554"/>
      <c r="H65" s="369">
        <f t="shared" si="9"/>
        <v>-1</v>
      </c>
      <c r="I65" s="554"/>
      <c r="J65" s="369">
        <f t="shared" si="17"/>
        <v>-1</v>
      </c>
    </row>
    <row r="66" spans="1:10" x14ac:dyDescent="0.2">
      <c r="A66" s="1383"/>
      <c r="B66" s="1382"/>
      <c r="C66" s="369" t="str">
        <f>IFERROR(IF(ISTEXT(B63),"Testovanie",""),)</f>
        <v/>
      </c>
      <c r="D66" s="366"/>
      <c r="E66" s="366"/>
      <c r="F66" s="366"/>
      <c r="G66" s="554"/>
      <c r="H66" s="369">
        <f t="shared" si="9"/>
        <v>-1</v>
      </c>
      <c r="I66" s="554"/>
      <c r="J66" s="369">
        <f t="shared" si="17"/>
        <v>-1</v>
      </c>
    </row>
    <row r="67" spans="1:10" x14ac:dyDescent="0.2">
      <c r="A67" s="1383"/>
      <c r="B67" s="1382"/>
      <c r="C67" s="369" t="str">
        <f>IFERROR(IF(ISTEXT(B63),"Nasadenie",""),)</f>
        <v/>
      </c>
      <c r="D67" s="366"/>
      <c r="E67" s="366"/>
      <c r="F67" s="366"/>
      <c r="G67" s="554"/>
      <c r="H67" s="369">
        <f t="shared" si="9"/>
        <v>-1</v>
      </c>
      <c r="I67" s="369">
        <f>J67-H67</f>
        <v>1</v>
      </c>
      <c r="J67" s="369">
        <f>IFERROR(ROUND((F63-$E$3+1)/30,0),)</f>
        <v>0</v>
      </c>
    </row>
    <row r="68" spans="1:10" x14ac:dyDescent="0.2">
      <c r="A68" s="1383">
        <v>14</v>
      </c>
      <c r="B68" s="1382"/>
      <c r="C68" s="369" t="str">
        <f>IFERROR(IF(ISTEXT(B68),"Analýza a dizajn",""),)</f>
        <v/>
      </c>
      <c r="D68" s="369" t="str">
        <f>IFERROR(VLOOKUP(B68,MODULY_CBA!$B$3:$I$23,6,0),"")</f>
        <v/>
      </c>
      <c r="E68" s="370" t="str">
        <f>IFERROR(VLOOKUP(D68,INKREMENTY!$A$2:$F$21,2,0),"")</f>
        <v/>
      </c>
      <c r="F68" s="370" t="str">
        <f>IFERROR(VLOOKUP(D68,INKREMENTY!$A$2:$F$21,4,0),"")</f>
        <v/>
      </c>
      <c r="G68" s="369">
        <f>IFERROR(ROUND(((E68-$E$3)+1)/30,0)+1,)</f>
        <v>0</v>
      </c>
      <c r="H68" s="369">
        <f t="shared" si="9"/>
        <v>-1</v>
      </c>
      <c r="I68" s="554"/>
      <c r="J68" s="369">
        <f t="shared" ref="J68:J71" si="18">H68+I68</f>
        <v>-1</v>
      </c>
    </row>
    <row r="69" spans="1:10" x14ac:dyDescent="0.2">
      <c r="A69" s="1383"/>
      <c r="B69" s="1382"/>
      <c r="C69" s="369" t="str">
        <f>IFERROR(IF(ISTEXT(B68),"Nákupo HW a krabicový SW",""),)</f>
        <v/>
      </c>
      <c r="D69" s="366"/>
      <c r="E69" s="366"/>
      <c r="F69" s="366"/>
      <c r="G69" s="554"/>
      <c r="H69" s="369">
        <f t="shared" si="9"/>
        <v>-1</v>
      </c>
      <c r="I69" s="554"/>
      <c r="J69" s="369">
        <f t="shared" si="18"/>
        <v>-1</v>
      </c>
    </row>
    <row r="70" spans="1:10" x14ac:dyDescent="0.2">
      <c r="A70" s="1383"/>
      <c r="B70" s="1382"/>
      <c r="C70" s="369" t="str">
        <f>IFERROR(IF(ISTEXT(B68),"Implementácia",""),)</f>
        <v/>
      </c>
      <c r="D70" s="366"/>
      <c r="E70" s="366"/>
      <c r="F70" s="366"/>
      <c r="G70" s="554"/>
      <c r="H70" s="369">
        <f t="shared" si="9"/>
        <v>-1</v>
      </c>
      <c r="I70" s="554"/>
      <c r="J70" s="369">
        <f t="shared" si="18"/>
        <v>-1</v>
      </c>
    </row>
    <row r="71" spans="1:10" x14ac:dyDescent="0.2">
      <c r="A71" s="1383"/>
      <c r="B71" s="1382"/>
      <c r="C71" s="369" t="str">
        <f>IFERROR(IF(ISTEXT(B68),"Testovanie",""),)</f>
        <v/>
      </c>
      <c r="D71" s="366"/>
      <c r="E71" s="366"/>
      <c r="F71" s="366"/>
      <c r="G71" s="554"/>
      <c r="H71" s="369">
        <f t="shared" si="9"/>
        <v>-1</v>
      </c>
      <c r="I71" s="554"/>
      <c r="J71" s="369">
        <f t="shared" si="18"/>
        <v>-1</v>
      </c>
    </row>
    <row r="72" spans="1:10" x14ac:dyDescent="0.2">
      <c r="A72" s="1383"/>
      <c r="B72" s="1382"/>
      <c r="C72" s="369" t="str">
        <f>IFERROR(IF(ISTEXT(B68),"Nasadenie",""),)</f>
        <v/>
      </c>
      <c r="D72" s="366"/>
      <c r="E72" s="366"/>
      <c r="F72" s="366"/>
      <c r="G72" s="554"/>
      <c r="H72" s="369">
        <f t="shared" si="9"/>
        <v>-1</v>
      </c>
      <c r="I72" s="369">
        <f>J72-H72</f>
        <v>1</v>
      </c>
      <c r="J72" s="369">
        <f>IFERROR(ROUND((F68-$E$3+1)/30,0),)</f>
        <v>0</v>
      </c>
    </row>
    <row r="73" spans="1:10" x14ac:dyDescent="0.2">
      <c r="A73" s="1383">
        <v>15</v>
      </c>
      <c r="B73" s="1382"/>
      <c r="C73" s="369" t="str">
        <f>IFERROR(IF(ISTEXT(B73),"Analýza a dizajn",""),)</f>
        <v/>
      </c>
      <c r="D73" s="369" t="str">
        <f>IFERROR(VLOOKUP(B73,MODULY_CBA!$B$3:$I$23,6,0),"")</f>
        <v/>
      </c>
      <c r="E73" s="370" t="str">
        <f>IFERROR(VLOOKUP(D73,INKREMENTY!$A$2:$F$21,2,0),"")</f>
        <v/>
      </c>
      <c r="F73" s="370" t="str">
        <f>IFERROR(VLOOKUP(D73,INKREMENTY!$A$2:$F$21,4,0),"")</f>
        <v/>
      </c>
      <c r="G73" s="369">
        <f>IFERROR(ROUND(((E73-$E$3)+1)/30,0)+1,)</f>
        <v>0</v>
      </c>
      <c r="H73" s="369">
        <f t="shared" si="9"/>
        <v>-1</v>
      </c>
      <c r="I73" s="554"/>
      <c r="J73" s="369">
        <f t="shared" ref="J73:J76" si="19">H73+I73</f>
        <v>-1</v>
      </c>
    </row>
    <row r="74" spans="1:10" x14ac:dyDescent="0.2">
      <c r="A74" s="1383"/>
      <c r="B74" s="1382"/>
      <c r="C74" s="369" t="str">
        <f>IFERROR(IF(ISTEXT(B73),"Nákupo HW a krabicový SW",""),)</f>
        <v/>
      </c>
      <c r="D74" s="366"/>
      <c r="E74" s="366"/>
      <c r="F74" s="366"/>
      <c r="G74" s="554"/>
      <c r="H74" s="369">
        <f t="shared" si="9"/>
        <v>-1</v>
      </c>
      <c r="I74" s="554"/>
      <c r="J74" s="369">
        <f t="shared" si="19"/>
        <v>-1</v>
      </c>
    </row>
    <row r="75" spans="1:10" x14ac:dyDescent="0.2">
      <c r="A75" s="1383"/>
      <c r="B75" s="1382"/>
      <c r="C75" s="369" t="str">
        <f>IFERROR(IF(ISTEXT(B73),"Implementácia",""),)</f>
        <v/>
      </c>
      <c r="D75" s="366"/>
      <c r="E75" s="366"/>
      <c r="F75" s="366"/>
      <c r="G75" s="554"/>
      <c r="H75" s="369">
        <f t="shared" si="9"/>
        <v>-1</v>
      </c>
      <c r="I75" s="554"/>
      <c r="J75" s="369">
        <f t="shared" si="19"/>
        <v>-1</v>
      </c>
    </row>
    <row r="76" spans="1:10" x14ac:dyDescent="0.2">
      <c r="A76" s="1383"/>
      <c r="B76" s="1382"/>
      <c r="C76" s="369" t="str">
        <f>IFERROR(IF(ISTEXT(B73),"Testovanie",""),)</f>
        <v/>
      </c>
      <c r="D76" s="366"/>
      <c r="E76" s="366"/>
      <c r="F76" s="366"/>
      <c r="G76" s="554"/>
      <c r="H76" s="369">
        <f t="shared" si="9"/>
        <v>-1</v>
      </c>
      <c r="I76" s="554"/>
      <c r="J76" s="369">
        <f t="shared" si="19"/>
        <v>-1</v>
      </c>
    </row>
    <row r="77" spans="1:10" x14ac:dyDescent="0.2">
      <c r="A77" s="1383"/>
      <c r="B77" s="1382"/>
      <c r="C77" s="369" t="str">
        <f>IFERROR(IF(ISTEXT(B73),"Nasadenie",""),)</f>
        <v/>
      </c>
      <c r="D77" s="366"/>
      <c r="E77" s="366"/>
      <c r="F77" s="366"/>
      <c r="G77" s="554"/>
      <c r="H77" s="369">
        <f t="shared" si="9"/>
        <v>-1</v>
      </c>
      <c r="I77" s="369">
        <f>J77-H77</f>
        <v>1</v>
      </c>
      <c r="J77" s="369">
        <f>IFERROR(ROUND((F73-$E$3+1)/30,0),)</f>
        <v>0</v>
      </c>
    </row>
    <row r="78" spans="1:10" x14ac:dyDescent="0.2">
      <c r="A78" s="1383">
        <v>16</v>
      </c>
      <c r="B78" s="1382"/>
      <c r="C78" s="369" t="str">
        <f>IFERROR(IF(ISTEXT(B78),"Analýza a dizajn",""),)</f>
        <v/>
      </c>
      <c r="D78" s="369" t="str">
        <f>IFERROR(VLOOKUP(B78,MODULY_CBA!$B$3:$I$23,6,0),"")</f>
        <v/>
      </c>
      <c r="E78" s="370" t="str">
        <f>IFERROR(VLOOKUP(D78,INKREMENTY!$A$2:$F$21,2,0),"")</f>
        <v/>
      </c>
      <c r="F78" s="370" t="str">
        <f>IFERROR(VLOOKUP(D78,INKREMENTY!$A$2:$F$21,4,0),"")</f>
        <v/>
      </c>
      <c r="G78" s="369">
        <f>IFERROR(ROUND(((E78-$E$3)+1)/30,0)+1,)</f>
        <v>0</v>
      </c>
      <c r="H78" s="369">
        <f t="shared" si="9"/>
        <v>-1</v>
      </c>
      <c r="I78" s="554"/>
      <c r="J78" s="369">
        <f t="shared" ref="J78:J81" si="20">H78+I78</f>
        <v>-1</v>
      </c>
    </row>
    <row r="79" spans="1:10" x14ac:dyDescent="0.2">
      <c r="A79" s="1383"/>
      <c r="B79" s="1382"/>
      <c r="C79" s="369" t="str">
        <f>IFERROR(IF(ISTEXT(B78),"Nákupo HW a krabicový SW",""),)</f>
        <v/>
      </c>
      <c r="D79" s="366"/>
      <c r="E79" s="366"/>
      <c r="F79" s="366"/>
      <c r="G79" s="554"/>
      <c r="H79" s="369">
        <f t="shared" si="9"/>
        <v>-1</v>
      </c>
      <c r="I79" s="554"/>
      <c r="J79" s="369">
        <f t="shared" si="20"/>
        <v>-1</v>
      </c>
    </row>
    <row r="80" spans="1:10" x14ac:dyDescent="0.2">
      <c r="A80" s="1383"/>
      <c r="B80" s="1382"/>
      <c r="C80" s="369" t="str">
        <f>IFERROR(IF(ISTEXT(B78),"Implementácia",""),)</f>
        <v/>
      </c>
      <c r="D80" s="366"/>
      <c r="E80" s="366"/>
      <c r="F80" s="366"/>
      <c r="G80" s="554"/>
      <c r="H80" s="369">
        <f t="shared" si="9"/>
        <v>-1</v>
      </c>
      <c r="I80" s="554"/>
      <c r="J80" s="369">
        <f t="shared" si="20"/>
        <v>-1</v>
      </c>
    </row>
    <row r="81" spans="1:10" x14ac:dyDescent="0.2">
      <c r="A81" s="1383"/>
      <c r="B81" s="1382"/>
      <c r="C81" s="369" t="str">
        <f>IFERROR(IF(ISTEXT(B78),"Testovanie",""),)</f>
        <v/>
      </c>
      <c r="D81" s="366"/>
      <c r="E81" s="366"/>
      <c r="F81" s="366"/>
      <c r="G81" s="554"/>
      <c r="H81" s="369">
        <f t="shared" si="9"/>
        <v>-1</v>
      </c>
      <c r="I81" s="554"/>
      <c r="J81" s="369">
        <f t="shared" si="20"/>
        <v>-1</v>
      </c>
    </row>
    <row r="82" spans="1:10" x14ac:dyDescent="0.2">
      <c r="A82" s="1383"/>
      <c r="B82" s="1382"/>
      <c r="C82" s="369" t="str">
        <f>IFERROR(IF(ISTEXT(B78),"Nasadenie",""),)</f>
        <v/>
      </c>
      <c r="D82" s="366"/>
      <c r="E82" s="366"/>
      <c r="F82" s="366"/>
      <c r="G82" s="554"/>
      <c r="H82" s="369">
        <f t="shared" si="9"/>
        <v>-1</v>
      </c>
      <c r="I82" s="369">
        <f>J82-H82</f>
        <v>1</v>
      </c>
      <c r="J82" s="369">
        <f>IFERROR(ROUND((F78-$E$3+1)/30,0),)</f>
        <v>0</v>
      </c>
    </row>
    <row r="83" spans="1:10" x14ac:dyDescent="0.2">
      <c r="A83" s="1383">
        <v>17</v>
      </c>
      <c r="B83" s="1382"/>
      <c r="C83" s="369" t="str">
        <f>IFERROR(IF(ISTEXT(B83),"Analýza a dizajn",""),)</f>
        <v/>
      </c>
      <c r="D83" s="369" t="str">
        <f>IFERROR(VLOOKUP(B83,MODULY_CBA!$B$3:$I$23,6,0),"")</f>
        <v/>
      </c>
      <c r="E83" s="370" t="str">
        <f>IFERROR(VLOOKUP(D83,INKREMENTY!$A$2:$F$21,2,0),"")</f>
        <v/>
      </c>
      <c r="F83" s="370" t="str">
        <f>IFERROR(VLOOKUP(D83,INKREMENTY!$A$2:$F$21,4,0),"")</f>
        <v/>
      </c>
      <c r="G83" s="369">
        <f>IFERROR(ROUND(((E83-$E$3)+1)/30,0)+1,)</f>
        <v>0</v>
      </c>
      <c r="H83" s="369">
        <f t="shared" si="9"/>
        <v>-1</v>
      </c>
      <c r="I83" s="554"/>
      <c r="J83" s="369">
        <f t="shared" ref="J83:J86" si="21">H83+I83</f>
        <v>-1</v>
      </c>
    </row>
    <row r="84" spans="1:10" x14ac:dyDescent="0.2">
      <c r="A84" s="1383"/>
      <c r="B84" s="1382"/>
      <c r="C84" s="369" t="str">
        <f>IFERROR(IF(ISTEXT(B83),"Nákupo HW a krabicový SW",""),)</f>
        <v/>
      </c>
      <c r="D84" s="366"/>
      <c r="E84" s="366"/>
      <c r="F84" s="366"/>
      <c r="G84" s="554"/>
      <c r="H84" s="369">
        <f t="shared" si="9"/>
        <v>-1</v>
      </c>
      <c r="I84" s="554"/>
      <c r="J84" s="369">
        <f t="shared" si="21"/>
        <v>-1</v>
      </c>
    </row>
    <row r="85" spans="1:10" x14ac:dyDescent="0.2">
      <c r="A85" s="1383"/>
      <c r="B85" s="1382"/>
      <c r="C85" s="369" t="str">
        <f>IFERROR(IF(ISTEXT(B83),"Implementácia",""),)</f>
        <v/>
      </c>
      <c r="D85" s="366"/>
      <c r="E85" s="366"/>
      <c r="F85" s="366"/>
      <c r="G85" s="554"/>
      <c r="H85" s="369">
        <f t="shared" si="9"/>
        <v>-1</v>
      </c>
      <c r="I85" s="554"/>
      <c r="J85" s="369">
        <f t="shared" si="21"/>
        <v>-1</v>
      </c>
    </row>
    <row r="86" spans="1:10" x14ac:dyDescent="0.2">
      <c r="A86" s="1383"/>
      <c r="B86" s="1382"/>
      <c r="C86" s="369" t="str">
        <f>IFERROR(IF(ISTEXT(B83),"Testovanie",""),)</f>
        <v/>
      </c>
      <c r="D86" s="366"/>
      <c r="E86" s="366"/>
      <c r="F86" s="366"/>
      <c r="G86" s="554"/>
      <c r="H86" s="369">
        <f t="shared" si="9"/>
        <v>-1</v>
      </c>
      <c r="I86" s="554"/>
      <c r="J86" s="369">
        <f t="shared" si="21"/>
        <v>-1</v>
      </c>
    </row>
    <row r="87" spans="1:10" x14ac:dyDescent="0.2">
      <c r="A87" s="1383"/>
      <c r="B87" s="1382"/>
      <c r="C87" s="369" t="str">
        <f>IFERROR(IF(ISTEXT(B83),"Nasadenie",""),)</f>
        <v/>
      </c>
      <c r="D87" s="366"/>
      <c r="E87" s="366"/>
      <c r="F87" s="366"/>
      <c r="G87" s="554"/>
      <c r="H87" s="369">
        <f t="shared" si="9"/>
        <v>-1</v>
      </c>
      <c r="I87" s="369">
        <f>J87-H87</f>
        <v>1</v>
      </c>
      <c r="J87" s="369">
        <f>IFERROR(ROUND((F83-$E$3+1)/30,0),)</f>
        <v>0</v>
      </c>
    </row>
    <row r="88" spans="1:10" x14ac:dyDescent="0.2">
      <c r="A88" s="1383">
        <v>18</v>
      </c>
      <c r="B88" s="1382"/>
      <c r="C88" s="369" t="str">
        <f>IFERROR(IF(ISTEXT(B88),"Analýza a dizajn",""),)</f>
        <v/>
      </c>
      <c r="D88" s="369" t="str">
        <f>IFERROR(VLOOKUP(B88,MODULY_CBA!$B$3:$I$23,6,0),"")</f>
        <v/>
      </c>
      <c r="E88" s="370" t="str">
        <f>IFERROR(VLOOKUP(D88,INKREMENTY!$A$2:$F$21,2,0),"")</f>
        <v/>
      </c>
      <c r="F88" s="370" t="str">
        <f>IFERROR(VLOOKUP(D88,INKREMENTY!$A$2:$F$21,4,0),"")</f>
        <v/>
      </c>
      <c r="G88" s="369">
        <f>IFERROR(ROUND(((E88-$E$3)+1)/30,0)+1,)</f>
        <v>0</v>
      </c>
      <c r="H88" s="369">
        <f t="shared" si="9"/>
        <v>-1</v>
      </c>
      <c r="I88" s="554"/>
      <c r="J88" s="369">
        <f t="shared" ref="J88:J91" si="22">H88+I88</f>
        <v>-1</v>
      </c>
    </row>
    <row r="89" spans="1:10" x14ac:dyDescent="0.2">
      <c r="A89" s="1383"/>
      <c r="B89" s="1382"/>
      <c r="C89" s="369" t="str">
        <f>IFERROR(IF(ISTEXT(B88),"Nákupo HW a krabicový SW",""),)</f>
        <v/>
      </c>
      <c r="D89" s="366"/>
      <c r="E89" s="366"/>
      <c r="F89" s="366"/>
      <c r="G89" s="554"/>
      <c r="H89" s="369">
        <f t="shared" si="9"/>
        <v>-1</v>
      </c>
      <c r="I89" s="554"/>
      <c r="J89" s="369">
        <f t="shared" si="22"/>
        <v>-1</v>
      </c>
    </row>
    <row r="90" spans="1:10" x14ac:dyDescent="0.2">
      <c r="A90" s="1383"/>
      <c r="B90" s="1382"/>
      <c r="C90" s="369" t="str">
        <f>IFERROR(IF(ISTEXT(B88),"Implementácia",""),)</f>
        <v/>
      </c>
      <c r="D90" s="366"/>
      <c r="E90" s="366"/>
      <c r="F90" s="366"/>
      <c r="G90" s="554"/>
      <c r="H90" s="369">
        <f t="shared" si="9"/>
        <v>-1</v>
      </c>
      <c r="I90" s="554"/>
      <c r="J90" s="369">
        <f t="shared" si="22"/>
        <v>-1</v>
      </c>
    </row>
    <row r="91" spans="1:10" x14ac:dyDescent="0.2">
      <c r="A91" s="1383"/>
      <c r="B91" s="1382"/>
      <c r="C91" s="369" t="str">
        <f>IFERROR(IF(ISTEXT(B88),"Testovanie",""),)</f>
        <v/>
      </c>
      <c r="D91" s="366"/>
      <c r="E91" s="366"/>
      <c r="F91" s="366"/>
      <c r="G91" s="554"/>
      <c r="H91" s="369">
        <f t="shared" si="9"/>
        <v>-1</v>
      </c>
      <c r="I91" s="554"/>
      <c r="J91" s="369">
        <f t="shared" si="22"/>
        <v>-1</v>
      </c>
    </row>
    <row r="92" spans="1:10" x14ac:dyDescent="0.2">
      <c r="A92" s="1383"/>
      <c r="B92" s="1382"/>
      <c r="C92" s="369" t="str">
        <f>IFERROR(IF(ISTEXT(B88),"Nasadenie",""),)</f>
        <v/>
      </c>
      <c r="D92" s="366"/>
      <c r="E92" s="366"/>
      <c r="F92" s="366"/>
      <c r="G92" s="554"/>
      <c r="H92" s="369">
        <f t="shared" ref="H92:H107" si="23">G92-1</f>
        <v>-1</v>
      </c>
      <c r="I92" s="369">
        <f>J92-H92</f>
        <v>1</v>
      </c>
      <c r="J92" s="369">
        <f>IFERROR(ROUND((F88-$E$3+1)/30,0),)</f>
        <v>0</v>
      </c>
    </row>
    <row r="93" spans="1:10" x14ac:dyDescent="0.2">
      <c r="A93" s="1383">
        <v>19</v>
      </c>
      <c r="B93" s="1382"/>
      <c r="C93" s="369" t="str">
        <f>IFERROR(IF(ISTEXT(B93),"Analýza a dizajn",""),)</f>
        <v/>
      </c>
      <c r="D93" s="369" t="str">
        <f>IFERROR(VLOOKUP(B93,MODULY_CBA!$B$3:$I$23,6,0),"")</f>
        <v/>
      </c>
      <c r="E93" s="370" t="str">
        <f>IFERROR(VLOOKUP(D93,INKREMENTY!$A$2:$F$21,2,0),"")</f>
        <v/>
      </c>
      <c r="F93" s="370" t="str">
        <f>IFERROR(VLOOKUP(D93,INKREMENTY!$A$2:$F$21,4,0),"")</f>
        <v/>
      </c>
      <c r="G93" s="369">
        <f>IFERROR(ROUND(((E93-$E$3)+1)/30,0)+1,)</f>
        <v>0</v>
      </c>
      <c r="H93" s="369">
        <f t="shared" si="23"/>
        <v>-1</v>
      </c>
      <c r="I93" s="554"/>
      <c r="J93" s="369">
        <f t="shared" ref="J93:J96" si="24">H93+I93</f>
        <v>-1</v>
      </c>
    </row>
    <row r="94" spans="1:10" x14ac:dyDescent="0.2">
      <c r="A94" s="1383"/>
      <c r="B94" s="1382"/>
      <c r="C94" s="369" t="str">
        <f>IFERROR(IF(ISTEXT(B93),"Nákupo HW a krabicový SW",""),)</f>
        <v/>
      </c>
      <c r="D94" s="366"/>
      <c r="E94" s="366"/>
      <c r="F94" s="366"/>
      <c r="G94" s="554"/>
      <c r="H94" s="369">
        <f t="shared" si="23"/>
        <v>-1</v>
      </c>
      <c r="I94" s="554"/>
      <c r="J94" s="369">
        <f t="shared" si="24"/>
        <v>-1</v>
      </c>
    </row>
    <row r="95" spans="1:10" x14ac:dyDescent="0.2">
      <c r="A95" s="1383"/>
      <c r="B95" s="1382"/>
      <c r="C95" s="369" t="str">
        <f>IFERROR(IF(ISTEXT(B93),"Implementácia",""),)</f>
        <v/>
      </c>
      <c r="D95" s="366"/>
      <c r="E95" s="366"/>
      <c r="F95" s="366"/>
      <c r="G95" s="554"/>
      <c r="H95" s="369">
        <f t="shared" si="23"/>
        <v>-1</v>
      </c>
      <c r="I95" s="554"/>
      <c r="J95" s="369">
        <f t="shared" si="24"/>
        <v>-1</v>
      </c>
    </row>
    <row r="96" spans="1:10" x14ac:dyDescent="0.2">
      <c r="A96" s="1383"/>
      <c r="B96" s="1382"/>
      <c r="C96" s="369" t="str">
        <f>IFERROR(IF(ISTEXT(B93),"Testovanie",""),)</f>
        <v/>
      </c>
      <c r="D96" s="366"/>
      <c r="E96" s="366"/>
      <c r="F96" s="366"/>
      <c r="G96" s="554"/>
      <c r="H96" s="369">
        <f t="shared" si="23"/>
        <v>-1</v>
      </c>
      <c r="I96" s="554"/>
      <c r="J96" s="369">
        <f t="shared" si="24"/>
        <v>-1</v>
      </c>
    </row>
    <row r="97" spans="1:10" x14ac:dyDescent="0.2">
      <c r="A97" s="1383"/>
      <c r="B97" s="1382"/>
      <c r="C97" s="369" t="str">
        <f>IFERROR(IF(ISTEXT(B93),"Nasadenie",""),)</f>
        <v/>
      </c>
      <c r="D97" s="366"/>
      <c r="E97" s="366"/>
      <c r="F97" s="366"/>
      <c r="G97" s="554"/>
      <c r="H97" s="369">
        <f t="shared" si="23"/>
        <v>-1</v>
      </c>
      <c r="I97" s="369">
        <f>J97-H97</f>
        <v>1</v>
      </c>
      <c r="J97" s="369">
        <f>IFERROR(ROUND((F93-$E$3+1)/30,0),)</f>
        <v>0</v>
      </c>
    </row>
    <row r="98" spans="1:10" x14ac:dyDescent="0.2">
      <c r="A98" s="1383">
        <v>20</v>
      </c>
      <c r="B98" s="1382"/>
      <c r="C98" s="369" t="str">
        <f>IFERROR(IF(ISTEXT(B98),"Analýza a dizajn",""),)</f>
        <v/>
      </c>
      <c r="D98" s="369" t="str">
        <f>IFERROR(VLOOKUP(B98,MODULY_CBA!$B$3:$I$23,6,0),"")</f>
        <v/>
      </c>
      <c r="E98" s="370" t="str">
        <f>IFERROR(VLOOKUP(D98,INKREMENTY!$A$2:$F$21,2,0),"")</f>
        <v/>
      </c>
      <c r="F98" s="370" t="str">
        <f>IFERROR(VLOOKUP(D98,INKREMENTY!$A$2:$F$21,4,0),"")</f>
        <v/>
      </c>
      <c r="G98" s="369">
        <f>IFERROR(ROUND(((E98-$E$3)+1)/30,0)+1,)</f>
        <v>0</v>
      </c>
      <c r="H98" s="369">
        <f t="shared" si="23"/>
        <v>-1</v>
      </c>
      <c r="I98" s="554"/>
      <c r="J98" s="369">
        <f t="shared" ref="J98:J101" si="25">H98+I98</f>
        <v>-1</v>
      </c>
    </row>
    <row r="99" spans="1:10" x14ac:dyDescent="0.2">
      <c r="A99" s="1383"/>
      <c r="B99" s="1382"/>
      <c r="C99" s="369" t="str">
        <f>IFERROR(IF(ISTEXT(B98),"Nákupo HW a krabicový SW",""),)</f>
        <v/>
      </c>
      <c r="D99" s="366"/>
      <c r="E99" s="366"/>
      <c r="F99" s="366"/>
      <c r="G99" s="554"/>
      <c r="H99" s="369">
        <f t="shared" si="23"/>
        <v>-1</v>
      </c>
      <c r="I99" s="554"/>
      <c r="J99" s="369">
        <f t="shared" si="25"/>
        <v>-1</v>
      </c>
    </row>
    <row r="100" spans="1:10" x14ac:dyDescent="0.2">
      <c r="A100" s="1383"/>
      <c r="B100" s="1382"/>
      <c r="C100" s="369" t="str">
        <f>IFERROR(IF(ISTEXT(B98),"Implementácia",""),)</f>
        <v/>
      </c>
      <c r="D100" s="366"/>
      <c r="E100" s="366"/>
      <c r="F100" s="366"/>
      <c r="G100" s="554"/>
      <c r="H100" s="369">
        <f t="shared" si="23"/>
        <v>-1</v>
      </c>
      <c r="I100" s="554"/>
      <c r="J100" s="369">
        <f t="shared" si="25"/>
        <v>-1</v>
      </c>
    </row>
    <row r="101" spans="1:10" x14ac:dyDescent="0.2">
      <c r="A101" s="1383"/>
      <c r="B101" s="1382"/>
      <c r="C101" s="369" t="str">
        <f>IFERROR(IF(ISTEXT(B98),"Testovanie",""),)</f>
        <v/>
      </c>
      <c r="D101" s="366"/>
      <c r="E101" s="366"/>
      <c r="F101" s="366"/>
      <c r="G101" s="554"/>
      <c r="H101" s="369">
        <f t="shared" si="23"/>
        <v>-1</v>
      </c>
      <c r="I101" s="554"/>
      <c r="J101" s="369">
        <f t="shared" si="25"/>
        <v>-1</v>
      </c>
    </row>
    <row r="102" spans="1:10" x14ac:dyDescent="0.2">
      <c r="A102" s="1383"/>
      <c r="B102" s="1382"/>
      <c r="C102" s="369" t="str">
        <f>IFERROR(IF(ISTEXT(B98),"Nasadenie",""),)</f>
        <v/>
      </c>
      <c r="D102" s="366"/>
      <c r="E102" s="366"/>
      <c r="F102" s="366"/>
      <c r="G102" s="554"/>
      <c r="H102" s="369">
        <f t="shared" si="23"/>
        <v>-1</v>
      </c>
      <c r="I102" s="369">
        <f>J102-H102</f>
        <v>1</v>
      </c>
      <c r="J102" s="369">
        <f>IFERROR(ROUND((F98-$E$3+1)/30,0),)</f>
        <v>0</v>
      </c>
    </row>
    <row r="103" spans="1:10" x14ac:dyDescent="0.2">
      <c r="A103" s="1383">
        <v>21</v>
      </c>
      <c r="B103" s="1382"/>
      <c r="C103" s="369" t="str">
        <f>IFERROR(IF(ISTEXT(B103),"Analýza a dizajn",""),)</f>
        <v/>
      </c>
      <c r="D103" s="369" t="str">
        <f>IFERROR(VLOOKUP(B103,MODULY_CBA!$B$3:$I$23,6,0),"")</f>
        <v/>
      </c>
      <c r="E103" s="370" t="str">
        <f>IFERROR(VLOOKUP(D103,INKREMENTY!$A$2:$F$21,2,0),"")</f>
        <v/>
      </c>
      <c r="F103" s="370" t="str">
        <f>IFERROR(VLOOKUP(D103,INKREMENTY!$A$2:$F$21,4,0),"")</f>
        <v/>
      </c>
      <c r="G103" s="369">
        <f>IFERROR(ROUND(((E103-$E$3)+1)/30,0)+1,)</f>
        <v>0</v>
      </c>
      <c r="H103" s="369">
        <f t="shared" si="23"/>
        <v>-1</v>
      </c>
      <c r="I103" s="554"/>
      <c r="J103" s="369">
        <f t="shared" ref="J103:J106" si="26">H103+I103</f>
        <v>-1</v>
      </c>
    </row>
    <row r="104" spans="1:10" x14ac:dyDescent="0.2">
      <c r="A104" s="1383"/>
      <c r="B104" s="1382"/>
      <c r="C104" s="369" t="str">
        <f>IFERROR(IF(ISTEXT(B103),"Nákupo HW a krabicový SW",""),)</f>
        <v/>
      </c>
      <c r="D104" s="366"/>
      <c r="E104" s="366"/>
      <c r="F104" s="366"/>
      <c r="G104" s="554"/>
      <c r="H104" s="369">
        <f t="shared" si="23"/>
        <v>-1</v>
      </c>
      <c r="I104" s="554"/>
      <c r="J104" s="369">
        <f t="shared" si="26"/>
        <v>-1</v>
      </c>
    </row>
    <row r="105" spans="1:10" x14ac:dyDescent="0.2">
      <c r="A105" s="1383"/>
      <c r="B105" s="1382"/>
      <c r="C105" s="369" t="str">
        <f>IFERROR(IF(ISTEXT(B103),"Implementácia",""),)</f>
        <v/>
      </c>
      <c r="D105" s="366"/>
      <c r="E105" s="366"/>
      <c r="F105" s="366"/>
      <c r="G105" s="554"/>
      <c r="H105" s="369">
        <f t="shared" si="23"/>
        <v>-1</v>
      </c>
      <c r="I105" s="554"/>
      <c r="J105" s="369">
        <f t="shared" si="26"/>
        <v>-1</v>
      </c>
    </row>
    <row r="106" spans="1:10" x14ac:dyDescent="0.2">
      <c r="A106" s="1383"/>
      <c r="B106" s="1382"/>
      <c r="C106" s="369" t="str">
        <f>IFERROR(IF(ISTEXT(B103),"Testovanie",""),)</f>
        <v/>
      </c>
      <c r="D106" s="366"/>
      <c r="E106" s="366"/>
      <c r="F106" s="366"/>
      <c r="G106" s="554"/>
      <c r="H106" s="369">
        <f t="shared" si="23"/>
        <v>-1</v>
      </c>
      <c r="I106" s="554"/>
      <c r="J106" s="369">
        <f t="shared" si="26"/>
        <v>-1</v>
      </c>
    </row>
    <row r="107" spans="1:10" x14ac:dyDescent="0.2">
      <c r="A107" s="1383"/>
      <c r="B107" s="1382"/>
      <c r="C107" s="369" t="str">
        <f>IFERROR(IF(ISTEXT(B103),"Nasadenie",""),)</f>
        <v/>
      </c>
      <c r="D107" s="366"/>
      <c r="E107" s="366"/>
      <c r="F107" s="366"/>
      <c r="G107" s="554"/>
      <c r="H107" s="369">
        <f t="shared" si="23"/>
        <v>-1</v>
      </c>
      <c r="I107" s="369">
        <f>J107-H107</f>
        <v>1</v>
      </c>
      <c r="J107" s="369">
        <f>IFERROR(ROUND((F103-$E$3+1)/30,0),)</f>
        <v>0</v>
      </c>
    </row>
  </sheetData>
  <mergeCells count="43">
    <mergeCell ref="A98:A102"/>
    <mergeCell ref="A103:A107"/>
    <mergeCell ref="A73:A77"/>
    <mergeCell ref="A78:A82"/>
    <mergeCell ref="A83:A87"/>
    <mergeCell ref="A88:A92"/>
    <mergeCell ref="A93:A97"/>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B83:B87"/>
    <mergeCell ref="B88:B92"/>
    <mergeCell ref="B93:B97"/>
    <mergeCell ref="B98:B102"/>
    <mergeCell ref="B103:B107"/>
    <mergeCell ref="B58:B62"/>
    <mergeCell ref="B63:B67"/>
    <mergeCell ref="B68:B72"/>
    <mergeCell ref="B73:B77"/>
    <mergeCell ref="B78:B82"/>
    <mergeCell ref="B33:B37"/>
    <mergeCell ref="B38:B42"/>
    <mergeCell ref="B43:B47"/>
    <mergeCell ref="B48:B52"/>
    <mergeCell ref="B53:B57"/>
    <mergeCell ref="G1:J1"/>
    <mergeCell ref="B28:B32"/>
    <mergeCell ref="B3:B7"/>
    <mergeCell ref="B8:B12"/>
    <mergeCell ref="B13:B17"/>
    <mergeCell ref="B18:B22"/>
    <mergeCell ref="B23:B27"/>
  </mergeCells>
  <conditionalFormatting sqref="C3:C52">
    <cfRule type="expression" dxfId="2" priority="1">
      <formula>ISTEXT($B$28)</formula>
    </cfRule>
  </conditionalFormatting>
  <dataValidations count="1">
    <dataValidation type="list" allowBlank="1" showInputMessage="1" showErrorMessage="1" sqref="B3:B107" xr:uid="{00000000-0002-0000-1400-000000000000}">
      <formula1>MODULY</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9">
    <tabColor theme="0" tint="-0.34998626667073579"/>
    <outlinePr summaryBelow="0" summaryRight="0"/>
  </sheetPr>
  <dimension ref="A1:M44"/>
  <sheetViews>
    <sheetView view="pageBreakPreview" zoomScaleNormal="85" zoomScaleSheetLayoutView="100" workbookViewId="0">
      <selection activeCell="J15" sqref="J15:L15"/>
    </sheetView>
  </sheetViews>
  <sheetFormatPr baseColWidth="10" defaultColWidth="8.83203125" defaultRowHeight="15" outlineLevelCol="1" x14ac:dyDescent="0.2"/>
  <cols>
    <col min="2" max="2" width="54.1640625" customWidth="1"/>
    <col min="3" max="3" width="18.83203125" customWidth="1"/>
    <col min="4" max="13" width="16" customWidth="1" outlineLevel="1"/>
  </cols>
  <sheetData>
    <row r="1" spans="1:13" ht="21" x14ac:dyDescent="0.25">
      <c r="A1" s="94" t="s">
        <v>97</v>
      </c>
      <c r="B1" s="95"/>
      <c r="E1" s="84"/>
      <c r="F1" s="84"/>
      <c r="G1" s="84"/>
      <c r="H1" s="84"/>
      <c r="I1" s="84"/>
      <c r="J1" s="84"/>
      <c r="K1" s="84"/>
      <c r="L1" s="84"/>
      <c r="M1" s="80"/>
    </row>
    <row r="2" spans="1:13" ht="16" x14ac:dyDescent="0.2">
      <c r="A2" s="96"/>
      <c r="B2" s="82"/>
      <c r="D2" s="82"/>
      <c r="E2" s="82"/>
      <c r="F2" s="82"/>
      <c r="G2" s="82"/>
      <c r="H2" s="82"/>
      <c r="I2" s="82"/>
      <c r="J2" s="82"/>
      <c r="K2" s="82"/>
      <c r="L2" s="82"/>
      <c r="M2" s="76"/>
    </row>
    <row r="3" spans="1:13" ht="16" x14ac:dyDescent="0.2">
      <c r="A3" s="160" t="s">
        <v>149</v>
      </c>
      <c r="B3" s="82"/>
      <c r="D3" s="76"/>
      <c r="E3" s="76"/>
      <c r="F3" s="76"/>
      <c r="G3" s="76"/>
      <c r="H3" s="76"/>
      <c r="I3" s="76"/>
      <c r="J3" s="76"/>
      <c r="K3" s="76"/>
      <c r="L3" s="76"/>
      <c r="M3" s="76"/>
    </row>
    <row r="4" spans="1:13" x14ac:dyDescent="0.2">
      <c r="D4" s="77"/>
      <c r="E4" s="77"/>
      <c r="F4" s="77"/>
      <c r="G4" s="77"/>
      <c r="H4" s="77"/>
      <c r="I4" s="77"/>
      <c r="J4" s="77"/>
      <c r="K4" s="77"/>
      <c r="L4" s="77"/>
      <c r="M4" s="77"/>
    </row>
    <row r="5" spans="1:13" ht="16" thickBot="1" x14ac:dyDescent="0.25">
      <c r="B5" s="77"/>
      <c r="C5" s="81"/>
      <c r="D5" s="1384" t="s">
        <v>98</v>
      </c>
      <c r="E5" s="1384"/>
      <c r="F5" s="1384"/>
      <c r="G5" s="1384"/>
      <c r="H5" s="1384"/>
      <c r="I5" s="1384"/>
      <c r="J5" s="1384"/>
      <c r="K5" s="1384"/>
      <c r="L5" s="1384"/>
      <c r="M5" s="1384"/>
    </row>
    <row r="6" spans="1:13" ht="16" x14ac:dyDescent="0.2">
      <c r="A6" s="130"/>
      <c r="B6" s="155" t="s">
        <v>124</v>
      </c>
      <c r="C6" s="88" t="s">
        <v>102</v>
      </c>
      <c r="D6" s="100" t="s">
        <v>25</v>
      </c>
      <c r="E6" s="101" t="s">
        <v>26</v>
      </c>
      <c r="F6" s="101" t="s">
        <v>27</v>
      </c>
      <c r="G6" s="101" t="s">
        <v>28</v>
      </c>
      <c r="H6" s="101" t="s">
        <v>29</v>
      </c>
      <c r="I6" s="101" t="s">
        <v>30</v>
      </c>
      <c r="J6" s="101" t="s">
        <v>31</v>
      </c>
      <c r="K6" s="101" t="s">
        <v>32</v>
      </c>
      <c r="L6" s="101" t="s">
        <v>33</v>
      </c>
      <c r="M6" s="102" t="s">
        <v>34</v>
      </c>
    </row>
    <row r="7" spans="1:13" x14ac:dyDescent="0.2">
      <c r="A7" s="158"/>
      <c r="B7" s="156" t="s">
        <v>105</v>
      </c>
      <c r="C7" s="89">
        <f t="shared" ref="C7:C14" si="0">SUM(D7:M7)</f>
        <v>2064065.0518775508</v>
      </c>
      <c r="D7" s="103">
        <f>'TCO TO BE- SW'!$E6+'TCO TO BE- SW'!$E26+'TCO TO BE- SW'!$E16</f>
        <v>0</v>
      </c>
      <c r="E7" s="86">
        <f>'TCO TO BE- SW'!$E7+'TCO TO BE- SW'!$E27+'TCO TO BE- SW'!$E17</f>
        <v>2064065.0518775508</v>
      </c>
      <c r="F7" s="86">
        <f>'TCO TO BE- SW'!$E8+'TCO TO BE- SW'!$E28+'TCO TO BE- SW'!$E18</f>
        <v>0</v>
      </c>
      <c r="G7" s="86">
        <f>'TCO TO BE- SW'!$E9+'TCO TO BE- SW'!$E29+'TCO TO BE- SW'!$E19</f>
        <v>0</v>
      </c>
      <c r="H7" s="86">
        <f>'TCO TO BE- SW'!$E10+'TCO TO BE- SW'!$E30+'TCO TO BE- SW'!$E20</f>
        <v>0</v>
      </c>
      <c r="I7" s="86">
        <f>'TCO TO BE- SW'!$E11+'TCO TO BE- SW'!$E31+'TCO TO BE- SW'!$E21</f>
        <v>0</v>
      </c>
      <c r="J7" s="86">
        <f>'TCO TO BE- SW'!$E12+'TCO TO BE- SW'!$E32+'TCO TO BE- SW'!$E22</f>
        <v>0</v>
      </c>
      <c r="K7" s="86">
        <f>'TCO TO BE- SW'!$E13+'TCO TO BE- SW'!$E33+'TCO TO BE- SW'!$E23</f>
        <v>0</v>
      </c>
      <c r="L7" s="86">
        <f>'TCO TO BE- SW'!$E14+'TCO TO BE- SW'!$E34+'TCO TO BE- SW'!$E24</f>
        <v>0</v>
      </c>
      <c r="M7" s="104">
        <f>'TCO TO BE- SW'!$E15+'TCO TO BE- SW'!$E35+'TCO TO BE- SW'!$E25</f>
        <v>0</v>
      </c>
    </row>
    <row r="8" spans="1:13" x14ac:dyDescent="0.2">
      <c r="A8" s="158"/>
      <c r="B8" s="156" t="s">
        <v>106</v>
      </c>
      <c r="C8" s="89">
        <f t="shared" si="0"/>
        <v>247687.80622530609</v>
      </c>
      <c r="D8" s="103">
        <f>'TCO TO BE- SW'!$E79+'TCO TO BE- SW'!$E89</f>
        <v>0</v>
      </c>
      <c r="E8" s="86">
        <f>'TCO TO BE- SW'!$E80+'TCO TO BE- SW'!$E90</f>
        <v>0</v>
      </c>
      <c r="F8" s="86">
        <f>'TCO TO BE- SW'!$E81+'TCO TO BE- SW'!$E91</f>
        <v>0</v>
      </c>
      <c r="G8" s="86">
        <f>'TCO TO BE- SW'!$E82+'TCO TO BE- SW'!$E92</f>
        <v>0</v>
      </c>
      <c r="H8" s="86">
        <f>'TCO TO BE- SW'!$E83+'TCO TO BE- SW'!$E93</f>
        <v>0</v>
      </c>
      <c r="I8" s="86">
        <f>'TCO TO BE- SW'!$E84+'TCO TO BE- SW'!$E94</f>
        <v>0</v>
      </c>
      <c r="J8" s="86">
        <f>'TCO TO BE- SW'!$E85+'TCO TO BE- SW'!$E95</f>
        <v>61921.951556326523</v>
      </c>
      <c r="K8" s="86">
        <f>'TCO TO BE- SW'!$E86+'TCO TO BE- SW'!$E96</f>
        <v>61921.951556326523</v>
      </c>
      <c r="L8" s="86">
        <f>'TCO TO BE- SW'!$E87+'TCO TO BE- SW'!$E97</f>
        <v>61921.951556326523</v>
      </c>
      <c r="M8" s="104">
        <f>'TCO TO BE- SW'!$E88+'TCO TO BE- SW'!$E98</f>
        <v>61921.951556326523</v>
      </c>
    </row>
    <row r="9" spans="1:13" x14ac:dyDescent="0.2">
      <c r="A9" s="158"/>
      <c r="B9" s="156" t="s">
        <v>107</v>
      </c>
      <c r="C9" s="89">
        <f t="shared" si="0"/>
        <v>3972444.5699999994</v>
      </c>
      <c r="D9" s="103">
        <f>'TCO TO BE- SW'!$E37+'TCO TO BE- SW'!$E47+'TCO TO BE- SW'!$E67+'TCO TO BE- SW'!E57</f>
        <v>0</v>
      </c>
      <c r="E9" s="86">
        <f>'TCO TO BE- SW'!$E38+'TCO TO BE- SW'!$E48+'TCO TO BE- SW'!$E68+'TCO TO BE- SW'!E58</f>
        <v>3972444.5699999994</v>
      </c>
      <c r="F9" s="86">
        <f>'TCO TO BE- SW'!$E39+'TCO TO BE- SW'!$E49+'TCO TO BE- SW'!$E69+'TCO TO BE- SW'!E59</f>
        <v>0</v>
      </c>
      <c r="G9" s="86">
        <f>'TCO TO BE- SW'!$E40+'TCO TO BE- SW'!$E50+'TCO TO BE- SW'!$E70+'TCO TO BE- SW'!E60</f>
        <v>0</v>
      </c>
      <c r="H9" s="86">
        <f>'TCO TO BE- SW'!$E41+'TCO TO BE- SW'!$E51+'TCO TO BE- SW'!$E71+'TCO TO BE- SW'!E61</f>
        <v>0</v>
      </c>
      <c r="I9" s="86">
        <f>'TCO TO BE- SW'!$E42+'TCO TO BE- SW'!$E52+'TCO TO BE- SW'!$E72+'TCO TO BE- SW'!E62</f>
        <v>0</v>
      </c>
      <c r="J9" s="86">
        <f>'TCO TO BE- SW'!$E43+'TCO TO BE- SW'!$E53+'TCO TO BE- SW'!$E73+'TCO TO BE- SW'!E63</f>
        <v>0</v>
      </c>
      <c r="K9" s="86">
        <f>'TCO TO BE- SW'!$E44+'TCO TO BE- SW'!$E54+'TCO TO BE- SW'!$E74+'TCO TO BE- SW'!E64</f>
        <v>0</v>
      </c>
      <c r="L9" s="86">
        <f>'TCO TO BE- SW'!$E45+'TCO TO BE- SW'!$E55+'TCO TO BE- SW'!$E75+'TCO TO BE- SW'!E65</f>
        <v>0</v>
      </c>
      <c r="M9" s="104">
        <f>'TCO TO BE- SW'!$E46+'TCO TO BE- SW'!$E56+'TCO TO BE- SW'!$E76+'TCO TO BE- SW'!E66</f>
        <v>0</v>
      </c>
    </row>
    <row r="10" spans="1:13" x14ac:dyDescent="0.2">
      <c r="A10" s="158"/>
      <c r="B10" s="156" t="s">
        <v>108</v>
      </c>
      <c r="C10" s="89">
        <f t="shared" si="0"/>
        <v>103909.80960000001</v>
      </c>
      <c r="D10" s="103">
        <f>'TCO TO BE- SW'!$E100+'TCO TO BE- SW'!$E110+'TCO TO BE- SW'!$E120+'TCO TO BE- SW'!$E130+'TCO TO BE- SW'!$E140</f>
        <v>0</v>
      </c>
      <c r="E10" s="86">
        <f>'TCO TO BE- SW'!$E101+'TCO TO BE- SW'!$E111+'TCO TO BE- SW'!$E121+'TCO TO BE- SW'!$E131+'TCO TO BE- SW'!$E141</f>
        <v>0</v>
      </c>
      <c r="F10" s="86">
        <f>'TCO TO BE- SW'!$E102+'TCO TO BE- SW'!$E112+'TCO TO BE- SW'!$E122+'TCO TO BE- SW'!$E132+'TCO TO BE- SW'!$E142</f>
        <v>0</v>
      </c>
      <c r="G10" s="86">
        <f>'TCO TO BE- SW'!$E103+'TCO TO BE- SW'!$E113+'TCO TO BE- SW'!$E123+'TCO TO BE- SW'!$E133+'TCO TO BE- SW'!$E143</f>
        <v>0</v>
      </c>
      <c r="H10" s="86">
        <f>'TCO TO BE- SW'!$E104+'TCO TO BE- SW'!$E114+'TCO TO BE- SW'!$E124+'TCO TO BE- SW'!$E134+'TCO TO BE- SW'!$E144</f>
        <v>0</v>
      </c>
      <c r="I10" s="86">
        <f>'TCO TO BE- SW'!$E105+'TCO TO BE- SW'!$E115+'TCO TO BE- SW'!$E125+'TCO TO BE- SW'!$E135+'TCO TO BE- SW'!$E145</f>
        <v>0</v>
      </c>
      <c r="J10" s="86">
        <f>'TCO TO BE- SW'!$E106+'TCO TO BE- SW'!$E116+'TCO TO BE- SW'!$E126+'TCO TO BE- SW'!$E136+'TCO TO BE- SW'!$E146</f>
        <v>25977.452400000002</v>
      </c>
      <c r="K10" s="86">
        <f>'TCO TO BE- SW'!$E107+'TCO TO BE- SW'!$E117+'TCO TO BE- SW'!$E127+'TCO TO BE- SW'!$E137+'TCO TO BE- SW'!$E147</f>
        <v>25977.452400000002</v>
      </c>
      <c r="L10" s="86">
        <f>'TCO TO BE- SW'!$E108+'TCO TO BE- SW'!$E118+'TCO TO BE- SW'!$E128+'TCO TO BE- SW'!$E138+'TCO TO BE- SW'!$E148</f>
        <v>25977.452400000002</v>
      </c>
      <c r="M10" s="104">
        <f>'TCO TO BE- SW'!$E109+'TCO TO BE- SW'!$E119+'TCO TO BE- SW'!$E129+'TCO TO BE- SW'!$E139+'TCO TO BE- SW'!$E149</f>
        <v>25977.452400000002</v>
      </c>
    </row>
    <row r="11" spans="1:13" x14ac:dyDescent="0.2">
      <c r="A11" s="158"/>
      <c r="B11" s="156" t="s">
        <v>247</v>
      </c>
      <c r="C11" s="89">
        <f t="shared" si="0"/>
        <v>0</v>
      </c>
      <c r="D11" s="103">
        <f>'TCO TO BE- SW'!E172+'TCO TO BE- SW'!E182</f>
        <v>0</v>
      </c>
      <c r="E11" s="86">
        <f>'TCO TO BE- SW'!E173+'TCO TO BE- SW'!E183</f>
        <v>0</v>
      </c>
      <c r="F11" s="86">
        <f>'TCO TO BE- SW'!E174+'TCO TO BE- SW'!E184</f>
        <v>0</v>
      </c>
      <c r="G11" s="86">
        <f>'TCO TO BE- SW'!E175+'TCO TO BE- SW'!E185</f>
        <v>0</v>
      </c>
      <c r="H11" s="86">
        <f>'TCO TO BE- SW'!E176+'TCO TO BE- SW'!E186</f>
        <v>0</v>
      </c>
      <c r="I11" s="86">
        <f>'TCO TO BE- SW'!E177+'TCO TO BE- SW'!E187</f>
        <v>0</v>
      </c>
      <c r="J11" s="86">
        <f>'TCO TO BE- SW'!E178+'TCO TO BE- SW'!E188</f>
        <v>0</v>
      </c>
      <c r="K11" s="86">
        <f>'TCO TO BE- SW'!E179+'TCO TO BE- SW'!E189</f>
        <v>0</v>
      </c>
      <c r="L11" s="86">
        <f>'TCO TO BE- SW'!E180+'TCO TO BE- SW'!E190</f>
        <v>0</v>
      </c>
      <c r="M11" s="104">
        <f>'TCO TO BE- SW'!E181+'TCO TO BE- SW'!E191</f>
        <v>0</v>
      </c>
    </row>
    <row r="12" spans="1:13" x14ac:dyDescent="0.2">
      <c r="A12" s="158"/>
      <c r="B12" s="156" t="s">
        <v>99</v>
      </c>
      <c r="C12" s="89">
        <f t="shared" si="0"/>
        <v>20598960.921417665</v>
      </c>
      <c r="D12" s="103">
        <f>'TCO TO BE - HW'!$E5+'TCO TO BE - HW'!$E15+'TCO TO BE - HW'!$E45+'TCO TO BE - HW'!$E25+'TCO TO BE - HW'!$E35</f>
        <v>0</v>
      </c>
      <c r="E12" s="86">
        <f>'TCO TO BE - HW'!$E6+'TCO TO BE - HW'!$E16+'TCO TO BE - HW'!$E46+'TCO TO BE - HW'!$E26+'TCO TO BE - HW'!$E36</f>
        <v>20598960.921417665</v>
      </c>
      <c r="F12" s="86">
        <f>'TCO TO BE - HW'!$E7+'TCO TO BE - HW'!$E17+'TCO TO BE - HW'!$E47+'TCO TO BE - HW'!$E27+'TCO TO BE - HW'!$E37</f>
        <v>0</v>
      </c>
      <c r="G12" s="86">
        <f>'TCO TO BE - HW'!$E8+'TCO TO BE - HW'!$E18+'TCO TO BE - HW'!$E48+'TCO TO BE - HW'!$E28+'TCO TO BE - HW'!$E38</f>
        <v>0</v>
      </c>
      <c r="H12" s="86">
        <f>'TCO TO BE - HW'!$E9+'TCO TO BE - HW'!$E19+'TCO TO BE - HW'!$E49+'TCO TO BE - HW'!$E29+'TCO TO BE - HW'!$E39</f>
        <v>0</v>
      </c>
      <c r="I12" s="86">
        <f>'TCO TO BE - HW'!$E10+'TCO TO BE - HW'!$E20+'TCO TO BE - HW'!$E50+'TCO TO BE - HW'!$E30+'TCO TO BE - HW'!$E40</f>
        <v>0</v>
      </c>
      <c r="J12" s="86">
        <f>'TCO TO BE - HW'!$E11+'TCO TO BE - HW'!$E21+'TCO TO BE - HW'!$E51+'TCO TO BE - HW'!$E31+'TCO TO BE - HW'!$E41</f>
        <v>0</v>
      </c>
      <c r="K12" s="86">
        <f>'TCO TO BE - HW'!$E12+'TCO TO BE - HW'!$E22+'TCO TO BE - HW'!$E52+'TCO TO BE - HW'!$E32+'TCO TO BE - HW'!$E42</f>
        <v>0</v>
      </c>
      <c r="L12" s="86">
        <f>'TCO TO BE - HW'!$E13+'TCO TO BE - HW'!$E23+'TCO TO BE - HW'!$E53+'TCO TO BE - HW'!$E33+'TCO TO BE - HW'!$E43</f>
        <v>0</v>
      </c>
      <c r="M12" s="104">
        <f>'TCO TO BE - HW'!$E14+'TCO TO BE - HW'!$E24+'TCO TO BE - HW'!$E54+'TCO TO BE - HW'!$E34+'TCO TO BE - HW'!$E44</f>
        <v>0</v>
      </c>
    </row>
    <row r="13" spans="1:13" x14ac:dyDescent="0.2">
      <c r="A13" s="158"/>
      <c r="B13" s="156" t="s">
        <v>100</v>
      </c>
      <c r="C13" s="89">
        <f t="shared" si="0"/>
        <v>2466414.1105701192</v>
      </c>
      <c r="D13" s="103">
        <f>'TCO TO BE - HW'!$E56+'TCO TO BE - HW'!$E66+'TCO TO BE - HW'!$E76+'TCO TO BE - HW'!$E86+'TCO TO BE - HW'!$E96</f>
        <v>0</v>
      </c>
      <c r="E13" s="86">
        <f>'TCO TO BE - HW'!$E57+'TCO TO BE - HW'!$E67+'TCO TO BE - HW'!$E77+'TCO TO BE - HW'!$E87+'TCO TO BE - HW'!$E97</f>
        <v>0</v>
      </c>
      <c r="F13" s="86">
        <f>'TCO TO BE - HW'!$E58+'TCO TO BE - HW'!$E68+'TCO TO BE - HW'!$E78+'TCO TO BE - HW'!$E88+'TCO TO BE - HW'!$E98</f>
        <v>0</v>
      </c>
      <c r="G13" s="86">
        <f>'TCO TO BE - HW'!$E59+'TCO TO BE - HW'!$E69+'TCO TO BE - HW'!$E79+'TCO TO BE - HW'!$E89+'TCO TO BE - HW'!$E99</f>
        <v>0</v>
      </c>
      <c r="H13" s="86">
        <f>'TCO TO BE - HW'!$E60+'TCO TO BE - HW'!$E70+'TCO TO BE - HW'!$E80+'TCO TO BE - HW'!$E90+'TCO TO BE - HW'!$E100</f>
        <v>0</v>
      </c>
      <c r="I13" s="86">
        <f>'TCO TO BE - HW'!$E61+'TCO TO BE - HW'!$E71+'TCO TO BE - HW'!$E81+'TCO TO BE - HW'!$E91+'TCO TO BE - HW'!$E101</f>
        <v>0</v>
      </c>
      <c r="J13" s="86">
        <f>'TCO TO BE - HW'!$E62+'TCO TO BE - HW'!$E72+'TCO TO BE - HW'!$E82+'TCO TO BE - HW'!$E92+'TCO TO BE - HW'!$E102</f>
        <v>616603.52764252981</v>
      </c>
      <c r="K13" s="86">
        <f>'TCO TO BE - HW'!$E63+'TCO TO BE - HW'!$E73+'TCO TO BE - HW'!$E83+'TCO TO BE - HW'!$E93+'TCO TO BE - HW'!$E103</f>
        <v>616603.52764252981</v>
      </c>
      <c r="L13" s="86">
        <f>'TCO TO BE - HW'!$E64+'TCO TO BE - HW'!$E74+'TCO TO BE - HW'!$E84+'TCO TO BE - HW'!$E94+'TCO TO BE - HW'!$E104</f>
        <v>616603.52764252981</v>
      </c>
      <c r="M13" s="104">
        <f>'TCO TO BE - HW'!$E65+'TCO TO BE - HW'!$E75+'TCO TO BE - HW'!$E85+'TCO TO BE - HW'!$E95+'TCO TO BE - HW'!$E105</f>
        <v>616603.52764252981</v>
      </c>
    </row>
    <row r="14" spans="1:13" ht="16" thickBot="1" x14ac:dyDescent="0.25">
      <c r="A14" s="158"/>
      <c r="B14" s="319" t="s">
        <v>770</v>
      </c>
      <c r="C14" s="320">
        <f t="shared" si="0"/>
        <v>1864482.9380306648</v>
      </c>
      <c r="D14" s="925">
        <f>'TCO TO BE- SW'!E151+'TCO TO BE- SW'!E161</f>
        <v>1864482.9380306648</v>
      </c>
      <c r="E14" s="321">
        <f>'TCO TO BE- SW'!E152+'TCO TO BE- SW'!E162</f>
        <v>0</v>
      </c>
      <c r="F14" s="321">
        <f>'TCO TO BE- SW'!E153+'TCO TO BE- SW'!E163</f>
        <v>0</v>
      </c>
      <c r="G14" s="321">
        <f>'TCO TO BE- SW'!E154+'TCO TO BE- SW'!E164</f>
        <v>0</v>
      </c>
      <c r="H14" s="321">
        <f>'TCO TO BE- SW'!E155+'TCO TO BE- SW'!E165</f>
        <v>0</v>
      </c>
      <c r="I14" s="321">
        <f>'TCO TO BE- SW'!E156+'TCO TO BE- SW'!E166</f>
        <v>0</v>
      </c>
      <c r="J14" s="321">
        <f>'TCO TO BE- SW'!E157+'TCO TO BE- SW'!E167</f>
        <v>0</v>
      </c>
      <c r="K14" s="321">
        <f>'TCO TO BE- SW'!E158+'TCO TO BE- SW'!E168</f>
        <v>0</v>
      </c>
      <c r="L14" s="321">
        <f>'TCO TO BE- SW'!E159+'TCO TO BE- SW'!E169</f>
        <v>0</v>
      </c>
      <c r="M14" s="322">
        <f>'TCO TO BE- SW'!E160+'TCO TO BE- SW'!E170</f>
        <v>0</v>
      </c>
    </row>
    <row r="15" spans="1:13" ht="16" thickBot="1" x14ac:dyDescent="0.25">
      <c r="A15" s="159"/>
      <c r="B15" s="157" t="s">
        <v>101</v>
      </c>
      <c r="C15" s="91">
        <f>SUM(C7:C14)</f>
        <v>31317965.207721304</v>
      </c>
      <c r="D15" s="774">
        <f>SUM(D7:D14)</f>
        <v>1864482.9380306648</v>
      </c>
      <c r="E15" s="774">
        <f t="shared" ref="E15:M15" si="1">SUM(E7:E14)</f>
        <v>26635470.543295216</v>
      </c>
      <c r="F15" s="87">
        <f t="shared" si="1"/>
        <v>0</v>
      </c>
      <c r="G15" s="87">
        <f t="shared" si="1"/>
        <v>0</v>
      </c>
      <c r="H15" s="87">
        <f t="shared" si="1"/>
        <v>0</v>
      </c>
      <c r="I15" s="87">
        <f t="shared" si="1"/>
        <v>0</v>
      </c>
      <c r="J15" s="87">
        <f t="shared" si="1"/>
        <v>704502.93159885635</v>
      </c>
      <c r="K15" s="87">
        <f t="shared" si="1"/>
        <v>704502.93159885635</v>
      </c>
      <c r="L15" s="87">
        <f t="shared" si="1"/>
        <v>704502.93159885635</v>
      </c>
      <c r="M15" s="87">
        <f t="shared" si="1"/>
        <v>704502.93159885635</v>
      </c>
    </row>
    <row r="16" spans="1:13" x14ac:dyDescent="0.2">
      <c r="A16" s="77"/>
      <c r="B16" s="77"/>
      <c r="C16" s="77"/>
      <c r="D16" s="77"/>
      <c r="E16" s="811">
        <f>D15+E15</f>
        <v>28499953.48132588</v>
      </c>
      <c r="F16" s="77"/>
      <c r="G16" s="77"/>
      <c r="H16" s="77"/>
      <c r="I16" s="77"/>
      <c r="J16" s="77"/>
      <c r="K16" s="77"/>
      <c r="L16" s="77"/>
      <c r="M16" s="77"/>
    </row>
    <row r="17" spans="1:13" x14ac:dyDescent="0.2">
      <c r="A17" s="77"/>
      <c r="B17" s="77"/>
      <c r="C17" s="77"/>
      <c r="D17" s="77"/>
      <c r="E17" s="810"/>
      <c r="F17" s="77"/>
      <c r="G17" s="77"/>
      <c r="H17" s="77"/>
      <c r="I17" s="77"/>
      <c r="J17" s="77"/>
      <c r="K17" s="77"/>
      <c r="L17" s="77"/>
      <c r="M17" s="77"/>
    </row>
    <row r="18" spans="1:13" ht="32.25" customHeight="1" x14ac:dyDescent="0.2">
      <c r="A18" s="1385" t="s">
        <v>769</v>
      </c>
      <c r="B18" s="1385"/>
      <c r="C18" s="1385"/>
      <c r="D18" s="83"/>
      <c r="E18" s="82"/>
      <c r="F18" s="82"/>
      <c r="G18" s="82"/>
      <c r="H18" s="82"/>
      <c r="I18" s="82"/>
      <c r="J18" s="82"/>
      <c r="K18" s="82"/>
      <c r="L18" s="82"/>
      <c r="M18" s="76"/>
    </row>
    <row r="19" spans="1:13" x14ac:dyDescent="0.2">
      <c r="A19" s="77"/>
      <c r="B19" s="77"/>
      <c r="C19" s="77"/>
      <c r="D19" s="77"/>
      <c r="E19" s="77"/>
      <c r="F19" s="77"/>
      <c r="G19" s="77"/>
      <c r="H19" s="77"/>
      <c r="I19" s="77"/>
      <c r="J19" s="77"/>
      <c r="K19" s="77"/>
      <c r="L19" s="77"/>
      <c r="M19" s="77"/>
    </row>
    <row r="20" spans="1:13" ht="16" thickBot="1" x14ac:dyDescent="0.25">
      <c r="B20" s="77"/>
      <c r="C20" s="81"/>
      <c r="D20" s="1384" t="s">
        <v>98</v>
      </c>
      <c r="E20" s="1384"/>
      <c r="F20" s="1384"/>
      <c r="G20" s="1384"/>
      <c r="H20" s="1384"/>
      <c r="I20" s="1384"/>
      <c r="J20" s="1384"/>
      <c r="K20" s="1384"/>
      <c r="L20" s="1384"/>
      <c r="M20" s="1384"/>
    </row>
    <row r="21" spans="1:13" ht="17" customHeight="1" x14ac:dyDescent="0.2">
      <c r="A21" s="130"/>
      <c r="B21" s="154" t="s">
        <v>171</v>
      </c>
      <c r="C21" s="88" t="s">
        <v>102</v>
      </c>
      <c r="D21" s="100" t="s">
        <v>25</v>
      </c>
      <c r="E21" s="101" t="s">
        <v>26</v>
      </c>
      <c r="F21" s="101" t="s">
        <v>27</v>
      </c>
      <c r="G21" s="101" t="s">
        <v>28</v>
      </c>
      <c r="H21" s="101" t="s">
        <v>29</v>
      </c>
      <c r="I21" s="101" t="s">
        <v>30</v>
      </c>
      <c r="J21" s="101" t="s">
        <v>31</v>
      </c>
      <c r="K21" s="101" t="s">
        <v>32</v>
      </c>
      <c r="L21" s="101" t="s">
        <v>33</v>
      </c>
      <c r="M21" s="102" t="s">
        <v>34</v>
      </c>
    </row>
    <row r="22" spans="1:13" ht="15" customHeight="1" x14ac:dyDescent="0.2">
      <c r="A22" s="158"/>
      <c r="B22" s="98" t="s">
        <v>105</v>
      </c>
      <c r="C22" s="89">
        <v>0</v>
      </c>
      <c r="D22" s="103">
        <v>0</v>
      </c>
      <c r="E22" s="86">
        <v>0</v>
      </c>
      <c r="F22" s="86">
        <v>0</v>
      </c>
      <c r="G22" s="86">
        <v>0</v>
      </c>
      <c r="H22" s="86">
        <v>0</v>
      </c>
      <c r="I22" s="86">
        <v>0</v>
      </c>
      <c r="J22" s="86">
        <v>0</v>
      </c>
      <c r="K22" s="86">
        <v>0</v>
      </c>
      <c r="L22" s="86">
        <v>0</v>
      </c>
      <c r="M22" s="104">
        <v>0</v>
      </c>
    </row>
    <row r="23" spans="1:13" ht="17.25" customHeight="1" x14ac:dyDescent="0.2">
      <c r="A23" s="158"/>
      <c r="B23" s="98" t="s">
        <v>106</v>
      </c>
      <c r="C23" s="89">
        <f>SUM(D23:M23)</f>
        <v>0</v>
      </c>
      <c r="D23" s="103">
        <f>'TCO AS IS - SW'!E5+'TCO AS IS - SW'!E15</f>
        <v>0</v>
      </c>
      <c r="E23" s="86">
        <f>'TCO AS IS - SW'!E6+'TCO AS IS - SW'!E16</f>
        <v>0</v>
      </c>
      <c r="F23" s="86">
        <f>'TCO AS IS - SW'!E7+'TCO AS IS - SW'!E17</f>
        <v>0</v>
      </c>
      <c r="G23" s="86">
        <f>'TCO AS IS - SW'!E8+'TCO AS IS - SW'!E18</f>
        <v>0</v>
      </c>
      <c r="H23" s="86">
        <f>'TCO AS IS - SW'!E9+'TCO AS IS - SW'!E19</f>
        <v>0</v>
      </c>
      <c r="I23" s="86">
        <f>'TCO AS IS - SW'!E10+'TCO AS IS - SW'!E20</f>
        <v>0</v>
      </c>
      <c r="J23" s="86">
        <f>'TCO AS IS - SW'!E11+'TCO AS IS - SW'!E21</f>
        <v>0</v>
      </c>
      <c r="K23" s="86">
        <f>'TCO AS IS - SW'!E12+'TCO AS IS - SW'!E22</f>
        <v>0</v>
      </c>
      <c r="L23" s="86">
        <f>'TCO AS IS - SW'!E13+'TCO AS IS - SW'!E23</f>
        <v>0</v>
      </c>
      <c r="M23" s="104">
        <f>'TCO AS IS - SW'!E14+'TCO AS IS - SW'!E24</f>
        <v>0</v>
      </c>
    </row>
    <row r="24" spans="1:13" x14ac:dyDescent="0.2">
      <c r="A24" s="158"/>
      <c r="B24" s="98" t="s">
        <v>107</v>
      </c>
      <c r="C24" s="89">
        <v>0</v>
      </c>
      <c r="D24" s="103">
        <v>0</v>
      </c>
      <c r="E24" s="86">
        <v>0</v>
      </c>
      <c r="F24" s="86">
        <v>0</v>
      </c>
      <c r="G24" s="86">
        <v>0</v>
      </c>
      <c r="H24" s="86">
        <v>0</v>
      </c>
      <c r="I24" s="86">
        <v>0</v>
      </c>
      <c r="J24" s="86">
        <v>0</v>
      </c>
      <c r="K24" s="86">
        <v>0</v>
      </c>
      <c r="L24" s="86">
        <v>0</v>
      </c>
      <c r="M24" s="104">
        <v>0</v>
      </c>
    </row>
    <row r="25" spans="1:13" x14ac:dyDescent="0.2">
      <c r="A25" s="158"/>
      <c r="B25" s="98" t="s">
        <v>108</v>
      </c>
      <c r="C25" s="89">
        <f>SUM(D25:M25)</f>
        <v>0</v>
      </c>
      <c r="D25" s="103">
        <f>'TCO AS IS - SW'!E26+'TCO AS IS - SW'!E36+'TCO AS IS - SW'!E46+'TCO AS IS - SW'!E56+'TCO AS IS - SW'!E66</f>
        <v>0</v>
      </c>
      <c r="E25" s="86">
        <f>'TCO AS IS - SW'!E27+'TCO AS IS - SW'!E37+'TCO AS IS - SW'!E47+'TCO AS IS - SW'!E57+'TCO AS IS - SW'!E67</f>
        <v>0</v>
      </c>
      <c r="F25" s="86">
        <f>'TCO AS IS - SW'!E28+'TCO AS IS - SW'!E38+'TCO AS IS - SW'!E48+'TCO AS IS - SW'!E58+'TCO AS IS - SW'!E68</f>
        <v>0</v>
      </c>
      <c r="G25" s="86">
        <f>'TCO AS IS - SW'!E29+'TCO AS IS - SW'!E39+'TCO AS IS - SW'!E49+'TCO AS IS - SW'!E59+'TCO AS IS - SW'!E69</f>
        <v>0</v>
      </c>
      <c r="H25" s="86">
        <f>'TCO AS IS - SW'!E30+'TCO AS IS - SW'!E40+'TCO AS IS - SW'!E50+'TCO AS IS - SW'!E60+'TCO AS IS - SW'!E70</f>
        <v>0</v>
      </c>
      <c r="I25" s="86">
        <f>'TCO AS IS - SW'!E31+'TCO AS IS - SW'!E41+'TCO AS IS - SW'!E51+'TCO AS IS - SW'!E61+'TCO AS IS - SW'!E71</f>
        <v>0</v>
      </c>
      <c r="J25" s="86">
        <f>'TCO AS IS - SW'!E32+'TCO AS IS - SW'!E42+'TCO AS IS - SW'!E52+'TCO AS IS - SW'!E62+'TCO AS IS - SW'!E72</f>
        <v>0</v>
      </c>
      <c r="K25" s="86">
        <f>'TCO AS IS - SW'!E33+'TCO AS IS - SW'!E43+'TCO AS IS - SW'!E53+'TCO AS IS - SW'!E63+'TCO AS IS - SW'!E73</f>
        <v>0</v>
      </c>
      <c r="L25" s="86">
        <f>'TCO AS IS - SW'!E34+'TCO AS IS - SW'!E44+'TCO AS IS - SW'!E54+'TCO AS IS - SW'!E64+'TCO AS IS - SW'!E74</f>
        <v>0</v>
      </c>
      <c r="M25" s="104">
        <f>'TCO AS IS - SW'!E35+'TCO AS IS - SW'!E45+'TCO AS IS - SW'!E55+'TCO AS IS - SW'!E65+'TCO AS IS - SW'!E75</f>
        <v>0</v>
      </c>
    </row>
    <row r="26" spans="1:13" x14ac:dyDescent="0.2">
      <c r="A26" s="158"/>
      <c r="B26" s="98" t="s">
        <v>99</v>
      </c>
      <c r="C26" s="89">
        <v>0</v>
      </c>
      <c r="D26" s="103">
        <v>0</v>
      </c>
      <c r="E26" s="86">
        <v>0</v>
      </c>
      <c r="F26" s="86">
        <v>0</v>
      </c>
      <c r="G26" s="86">
        <v>0</v>
      </c>
      <c r="H26" s="86">
        <v>0</v>
      </c>
      <c r="I26" s="86">
        <v>0</v>
      </c>
      <c r="J26" s="86">
        <v>0</v>
      </c>
      <c r="K26" s="86">
        <v>0</v>
      </c>
      <c r="L26" s="86">
        <v>0</v>
      </c>
      <c r="M26" s="104">
        <v>0</v>
      </c>
    </row>
    <row r="27" spans="1:13" ht="16" thickBot="1" x14ac:dyDescent="0.25">
      <c r="A27" s="158"/>
      <c r="B27" s="99" t="s">
        <v>100</v>
      </c>
      <c r="C27" s="90">
        <f>SUM(D27:M27)</f>
        <v>0</v>
      </c>
      <c r="D27" s="105">
        <f>'TCO AS IS - HW'!E4+'TCO AS IS - HW'!E14+'TCO AS IS - HW'!E24+'TCO AS IS - HW'!E34+'TCO AS IS - HW'!E44</f>
        <v>0</v>
      </c>
      <c r="E27" s="106">
        <f>'TCO AS IS - HW'!E5+'TCO AS IS - HW'!E15+'TCO AS IS - HW'!E25+'TCO AS IS - HW'!E35+'TCO AS IS - HW'!E45</f>
        <v>0</v>
      </c>
      <c r="F27" s="106">
        <f>'TCO AS IS - HW'!E6+'TCO AS IS - HW'!E16+'TCO AS IS - HW'!E26+'TCO AS IS - HW'!E36+'TCO AS IS - HW'!E46</f>
        <v>0</v>
      </c>
      <c r="G27" s="106">
        <f>'TCO AS IS - HW'!E7+'TCO AS IS - HW'!E17+'TCO AS IS - HW'!E27+'TCO AS IS - HW'!E37+'TCO AS IS - HW'!E47</f>
        <v>0</v>
      </c>
      <c r="H27" s="106">
        <f>'TCO AS IS - HW'!E8+'TCO AS IS - HW'!E18+'TCO AS IS - HW'!E28+'TCO AS IS - HW'!E38+'TCO AS IS - HW'!E48</f>
        <v>0</v>
      </c>
      <c r="I27" s="106">
        <f>'TCO AS IS - HW'!E9+'TCO AS IS - HW'!E19+'TCO AS IS - HW'!E29+'TCO AS IS - HW'!E39+'TCO AS IS - HW'!E49</f>
        <v>0</v>
      </c>
      <c r="J27" s="106">
        <f>'TCO AS IS - HW'!E10+'TCO AS IS - HW'!E20+'TCO AS IS - HW'!E30+'TCO AS IS - HW'!E40+'TCO AS IS - HW'!E50</f>
        <v>0</v>
      </c>
      <c r="K27" s="106">
        <f>'TCO AS IS - HW'!E11+'TCO AS IS - HW'!E21+'TCO AS IS - HW'!E31+'TCO AS IS - HW'!E41+'TCO AS IS - HW'!E51</f>
        <v>0</v>
      </c>
      <c r="L27" s="106">
        <f>'TCO AS IS - HW'!E12+'TCO AS IS - HW'!E22+'TCO AS IS - HW'!E32+'TCO AS IS - HW'!E42+'TCO AS IS - HW'!E52</f>
        <v>0</v>
      </c>
      <c r="M27" s="107">
        <f>'TCO AS IS - HW'!E13+'TCO AS IS - HW'!E23+'TCO AS IS - HW'!E33+'TCO AS IS - HW'!E43+'TCO AS IS - HW'!E53</f>
        <v>0</v>
      </c>
    </row>
    <row r="28" spans="1:13" ht="16" thickBot="1" x14ac:dyDescent="0.25">
      <c r="A28" s="159"/>
      <c r="B28" s="85" t="s">
        <v>101</v>
      </c>
      <c r="C28" s="91">
        <f t="shared" ref="C28:M28" si="2">SUM(C22:C27)</f>
        <v>0</v>
      </c>
      <c r="D28" s="87">
        <f t="shared" si="2"/>
        <v>0</v>
      </c>
      <c r="E28" s="79">
        <f t="shared" si="2"/>
        <v>0</v>
      </c>
      <c r="F28" s="79">
        <f t="shared" si="2"/>
        <v>0</v>
      </c>
      <c r="G28" s="79">
        <f t="shared" si="2"/>
        <v>0</v>
      </c>
      <c r="H28" s="79">
        <f t="shared" si="2"/>
        <v>0</v>
      </c>
      <c r="I28" s="79">
        <f t="shared" si="2"/>
        <v>0</v>
      </c>
      <c r="J28" s="79">
        <f t="shared" si="2"/>
        <v>0</v>
      </c>
      <c r="K28" s="79">
        <f t="shared" si="2"/>
        <v>0</v>
      </c>
      <c r="L28" s="93">
        <f t="shared" si="2"/>
        <v>0</v>
      </c>
      <c r="M28" s="92">
        <f t="shared" si="2"/>
        <v>0</v>
      </c>
    </row>
    <row r="29" spans="1:13" x14ac:dyDescent="0.2">
      <c r="A29" s="151"/>
      <c r="B29" s="152"/>
      <c r="C29" s="153"/>
      <c r="D29" s="153"/>
      <c r="E29" s="153"/>
      <c r="F29" s="153"/>
      <c r="G29" s="153"/>
      <c r="H29" s="153"/>
      <c r="I29" s="153"/>
      <c r="J29" s="153"/>
      <c r="K29" s="153"/>
      <c r="L29" s="153"/>
      <c r="M29" s="153"/>
    </row>
    <row r="32" spans="1:13" ht="15.75" customHeight="1" x14ac:dyDescent="0.2">
      <c r="A32" s="1385" t="s">
        <v>158</v>
      </c>
      <c r="B32" s="1385"/>
      <c r="C32" s="1385"/>
    </row>
    <row r="34" spans="1:13" ht="16" thickBot="1" x14ac:dyDescent="0.25"/>
    <row r="35" spans="1:13" ht="16" x14ac:dyDescent="0.2">
      <c r="A35" s="130"/>
      <c r="B35" s="154" t="s">
        <v>117</v>
      </c>
      <c r="C35" s="117" t="s">
        <v>102</v>
      </c>
      <c r="D35" s="118" t="s">
        <v>25</v>
      </c>
      <c r="E35" s="119" t="s">
        <v>26</v>
      </c>
      <c r="F35" s="119" t="s">
        <v>27</v>
      </c>
      <c r="G35" s="119" t="s">
        <v>28</v>
      </c>
      <c r="H35" s="119" t="s">
        <v>29</v>
      </c>
      <c r="I35" s="119" t="s">
        <v>30</v>
      </c>
      <c r="J35" s="119" t="s">
        <v>31</v>
      </c>
      <c r="K35" s="119" t="s">
        <v>32</v>
      </c>
      <c r="L35" s="119" t="s">
        <v>33</v>
      </c>
      <c r="M35" s="120" t="s">
        <v>34</v>
      </c>
    </row>
    <row r="36" spans="1:13" x14ac:dyDescent="0.2">
      <c r="A36" s="158"/>
      <c r="B36" s="121" t="s">
        <v>105</v>
      </c>
      <c r="C36" s="89">
        <f>SUM(D36:M36)</f>
        <v>2064065.0518775508</v>
      </c>
      <c r="D36" s="103">
        <f t="shared" ref="D36:M36" si="3">D7-D22</f>
        <v>0</v>
      </c>
      <c r="E36" s="86">
        <f t="shared" si="3"/>
        <v>2064065.0518775508</v>
      </c>
      <c r="F36" s="86">
        <f t="shared" si="3"/>
        <v>0</v>
      </c>
      <c r="G36" s="86">
        <f t="shared" si="3"/>
        <v>0</v>
      </c>
      <c r="H36" s="86">
        <f t="shared" si="3"/>
        <v>0</v>
      </c>
      <c r="I36" s="86">
        <f t="shared" si="3"/>
        <v>0</v>
      </c>
      <c r="J36" s="86">
        <f t="shared" si="3"/>
        <v>0</v>
      </c>
      <c r="K36" s="86">
        <f t="shared" si="3"/>
        <v>0</v>
      </c>
      <c r="L36" s="86">
        <f t="shared" si="3"/>
        <v>0</v>
      </c>
      <c r="M36" s="122">
        <f t="shared" si="3"/>
        <v>0</v>
      </c>
    </row>
    <row r="37" spans="1:13" x14ac:dyDescent="0.2">
      <c r="A37" s="158"/>
      <c r="B37" s="98" t="s">
        <v>106</v>
      </c>
      <c r="C37" s="89">
        <f t="shared" ref="C37:C43" si="4">SUM(D37:M37)</f>
        <v>247687.80622530609</v>
      </c>
      <c r="D37" s="103">
        <f t="shared" ref="D37:M37" si="5">D8-D23</f>
        <v>0</v>
      </c>
      <c r="E37" s="86">
        <f t="shared" si="5"/>
        <v>0</v>
      </c>
      <c r="F37" s="86">
        <f t="shared" si="5"/>
        <v>0</v>
      </c>
      <c r="G37" s="86">
        <f t="shared" si="5"/>
        <v>0</v>
      </c>
      <c r="H37" s="86">
        <f t="shared" si="5"/>
        <v>0</v>
      </c>
      <c r="I37" s="86">
        <f t="shared" si="5"/>
        <v>0</v>
      </c>
      <c r="J37" s="86">
        <f t="shared" si="5"/>
        <v>61921.951556326523</v>
      </c>
      <c r="K37" s="86">
        <f t="shared" si="5"/>
        <v>61921.951556326523</v>
      </c>
      <c r="L37" s="123">
        <f t="shared" si="5"/>
        <v>61921.951556326523</v>
      </c>
      <c r="M37" s="104">
        <f t="shared" si="5"/>
        <v>61921.951556326523</v>
      </c>
    </row>
    <row r="38" spans="1:13" x14ac:dyDescent="0.2">
      <c r="A38" s="158"/>
      <c r="B38" s="121" t="s">
        <v>107</v>
      </c>
      <c r="C38" s="89">
        <f t="shared" si="4"/>
        <v>3972444.5699999994</v>
      </c>
      <c r="D38" s="103">
        <f t="shared" ref="D38:M38" si="6">D9-D24</f>
        <v>0</v>
      </c>
      <c r="E38" s="86">
        <f t="shared" si="6"/>
        <v>3972444.5699999994</v>
      </c>
      <c r="F38" s="86">
        <f t="shared" si="6"/>
        <v>0</v>
      </c>
      <c r="G38" s="86">
        <f t="shared" si="6"/>
        <v>0</v>
      </c>
      <c r="H38" s="86">
        <f t="shared" si="6"/>
        <v>0</v>
      </c>
      <c r="I38" s="86">
        <f t="shared" si="6"/>
        <v>0</v>
      </c>
      <c r="J38" s="86">
        <f t="shared" si="6"/>
        <v>0</v>
      </c>
      <c r="K38" s="86">
        <f t="shared" si="6"/>
        <v>0</v>
      </c>
      <c r="L38" s="123">
        <f t="shared" si="6"/>
        <v>0</v>
      </c>
      <c r="M38" s="104">
        <f t="shared" si="6"/>
        <v>0</v>
      </c>
    </row>
    <row r="39" spans="1:13" x14ac:dyDescent="0.2">
      <c r="A39" s="158"/>
      <c r="B39" s="98" t="s">
        <v>108</v>
      </c>
      <c r="C39" s="89">
        <f t="shared" si="4"/>
        <v>103909.80960000001</v>
      </c>
      <c r="D39" s="103">
        <f t="shared" ref="D39:M39" si="7">D10-D25</f>
        <v>0</v>
      </c>
      <c r="E39" s="86">
        <f t="shared" si="7"/>
        <v>0</v>
      </c>
      <c r="F39" s="86">
        <f t="shared" si="7"/>
        <v>0</v>
      </c>
      <c r="G39" s="86">
        <f t="shared" si="7"/>
        <v>0</v>
      </c>
      <c r="H39" s="86">
        <f t="shared" si="7"/>
        <v>0</v>
      </c>
      <c r="I39" s="86">
        <f t="shared" si="7"/>
        <v>0</v>
      </c>
      <c r="J39" s="86">
        <f t="shared" si="7"/>
        <v>25977.452400000002</v>
      </c>
      <c r="K39" s="86">
        <f t="shared" si="7"/>
        <v>25977.452400000002</v>
      </c>
      <c r="L39" s="123">
        <f t="shared" si="7"/>
        <v>25977.452400000002</v>
      </c>
      <c r="M39" s="104">
        <f t="shared" si="7"/>
        <v>25977.452400000002</v>
      </c>
    </row>
    <row r="40" spans="1:13" x14ac:dyDescent="0.2">
      <c r="A40" s="158"/>
      <c r="B40" s="98" t="s">
        <v>247</v>
      </c>
      <c r="C40" s="89">
        <f t="shared" si="4"/>
        <v>0</v>
      </c>
      <c r="D40" s="103">
        <f t="shared" ref="D40:M40" si="8">D11</f>
        <v>0</v>
      </c>
      <c r="E40" s="86">
        <f t="shared" si="8"/>
        <v>0</v>
      </c>
      <c r="F40" s="86">
        <f t="shared" si="8"/>
        <v>0</v>
      </c>
      <c r="G40" s="86">
        <f t="shared" si="8"/>
        <v>0</v>
      </c>
      <c r="H40" s="86">
        <f t="shared" si="8"/>
        <v>0</v>
      </c>
      <c r="I40" s="86">
        <f t="shared" si="8"/>
        <v>0</v>
      </c>
      <c r="J40" s="86">
        <f t="shared" si="8"/>
        <v>0</v>
      </c>
      <c r="K40" s="86">
        <f t="shared" si="8"/>
        <v>0</v>
      </c>
      <c r="L40" s="123">
        <f t="shared" si="8"/>
        <v>0</v>
      </c>
      <c r="M40" s="104">
        <f t="shared" si="8"/>
        <v>0</v>
      </c>
    </row>
    <row r="41" spans="1:13" x14ac:dyDescent="0.2">
      <c r="A41" s="158"/>
      <c r="B41" s="98" t="s">
        <v>119</v>
      </c>
      <c r="C41" s="89">
        <f t="shared" si="4"/>
        <v>20598960.921417665</v>
      </c>
      <c r="D41" s="103">
        <f t="shared" ref="D41:M41" si="9">D12-D26</f>
        <v>0</v>
      </c>
      <c r="E41" s="86">
        <f t="shared" si="9"/>
        <v>20598960.921417665</v>
      </c>
      <c r="F41" s="86">
        <f t="shared" si="9"/>
        <v>0</v>
      </c>
      <c r="G41" s="86">
        <f t="shared" si="9"/>
        <v>0</v>
      </c>
      <c r="H41" s="86">
        <f t="shared" si="9"/>
        <v>0</v>
      </c>
      <c r="I41" s="86">
        <f t="shared" si="9"/>
        <v>0</v>
      </c>
      <c r="J41" s="86">
        <f t="shared" si="9"/>
        <v>0</v>
      </c>
      <c r="K41" s="86">
        <f t="shared" si="9"/>
        <v>0</v>
      </c>
      <c r="L41" s="123">
        <f t="shared" si="9"/>
        <v>0</v>
      </c>
      <c r="M41" s="104">
        <f t="shared" si="9"/>
        <v>0</v>
      </c>
    </row>
    <row r="42" spans="1:13" x14ac:dyDescent="0.2">
      <c r="A42" s="158"/>
      <c r="B42" s="99" t="s">
        <v>120</v>
      </c>
      <c r="C42" s="90">
        <f t="shared" si="4"/>
        <v>2466414.1105701192</v>
      </c>
      <c r="D42" s="103">
        <f t="shared" ref="D42:M42" si="10">D13-D27</f>
        <v>0</v>
      </c>
      <c r="E42" s="86">
        <f t="shared" si="10"/>
        <v>0</v>
      </c>
      <c r="F42" s="86">
        <f t="shared" si="10"/>
        <v>0</v>
      </c>
      <c r="G42" s="86">
        <f t="shared" si="10"/>
        <v>0</v>
      </c>
      <c r="H42" s="86">
        <f t="shared" si="10"/>
        <v>0</v>
      </c>
      <c r="I42" s="86">
        <f t="shared" si="10"/>
        <v>0</v>
      </c>
      <c r="J42" s="86">
        <f t="shared" si="10"/>
        <v>616603.52764252981</v>
      </c>
      <c r="K42" s="86">
        <f t="shared" si="10"/>
        <v>616603.52764252981</v>
      </c>
      <c r="L42" s="123">
        <f t="shared" si="10"/>
        <v>616603.52764252981</v>
      </c>
      <c r="M42" s="104">
        <f t="shared" si="10"/>
        <v>616603.52764252981</v>
      </c>
    </row>
    <row r="43" spans="1:13" ht="16" thickBot="1" x14ac:dyDescent="0.25">
      <c r="A43" s="158"/>
      <c r="B43" s="98" t="s">
        <v>770</v>
      </c>
      <c r="C43" s="89">
        <f t="shared" si="4"/>
        <v>1864482.9380306648</v>
      </c>
      <c r="D43" s="103">
        <f t="shared" ref="D43:M43" si="11">D14</f>
        <v>1864482.9380306648</v>
      </c>
      <c r="E43" s="86">
        <f t="shared" si="11"/>
        <v>0</v>
      </c>
      <c r="F43" s="86">
        <f t="shared" si="11"/>
        <v>0</v>
      </c>
      <c r="G43" s="86">
        <f t="shared" si="11"/>
        <v>0</v>
      </c>
      <c r="H43" s="86">
        <f t="shared" si="11"/>
        <v>0</v>
      </c>
      <c r="I43" s="86">
        <f t="shared" si="11"/>
        <v>0</v>
      </c>
      <c r="J43" s="86">
        <f t="shared" si="11"/>
        <v>0</v>
      </c>
      <c r="K43" s="86">
        <f t="shared" si="11"/>
        <v>0</v>
      </c>
      <c r="L43" s="123">
        <f t="shared" si="11"/>
        <v>0</v>
      </c>
      <c r="M43" s="104">
        <f t="shared" si="11"/>
        <v>0</v>
      </c>
    </row>
    <row r="44" spans="1:13" ht="16" thickBot="1" x14ac:dyDescent="0.25">
      <c r="A44" s="159"/>
      <c r="B44" s="85" t="s">
        <v>101</v>
      </c>
      <c r="C44" s="91">
        <f>SUM(D44:M44)</f>
        <v>31317965.207721308</v>
      </c>
      <c r="D44" s="87">
        <f>SUM(D36:D43)</f>
        <v>1864482.9380306648</v>
      </c>
      <c r="E44" s="87">
        <f t="shared" ref="E44:M44" si="12">SUM(E36:E43)</f>
        <v>26635470.543295216</v>
      </c>
      <c r="F44" s="87">
        <f t="shared" si="12"/>
        <v>0</v>
      </c>
      <c r="G44" s="87">
        <f t="shared" si="12"/>
        <v>0</v>
      </c>
      <c r="H44" s="87">
        <f t="shared" si="12"/>
        <v>0</v>
      </c>
      <c r="I44" s="87">
        <f t="shared" si="12"/>
        <v>0</v>
      </c>
      <c r="J44" s="87">
        <f t="shared" si="12"/>
        <v>704502.93159885635</v>
      </c>
      <c r="K44" s="87">
        <f t="shared" si="12"/>
        <v>704502.93159885635</v>
      </c>
      <c r="L44" s="87">
        <f t="shared" si="12"/>
        <v>704502.93159885635</v>
      </c>
      <c r="M44" s="87">
        <f t="shared" si="12"/>
        <v>704502.93159885635</v>
      </c>
    </row>
  </sheetData>
  <mergeCells count="4">
    <mergeCell ref="D5:M5"/>
    <mergeCell ref="A18:C18"/>
    <mergeCell ref="D20:M20"/>
    <mergeCell ref="A32:C32"/>
  </mergeCells>
  <pageMargins left="0.7" right="0.7" top="0.75" bottom="0.75" header="0.3" footer="0.3"/>
  <pageSetup paperSize="9" scale="3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0">
    <tabColor rgb="FFFFFF00"/>
    <outlinePr summaryBelow="0" summaryRight="0"/>
  </sheetPr>
  <dimension ref="A1:E75"/>
  <sheetViews>
    <sheetView zoomScale="80" zoomScaleNormal="80" workbookViewId="0">
      <pane xSplit="3" ySplit="4" topLeftCell="D5" activePane="bottomRight" state="frozen"/>
      <selection activeCell="G18" sqref="G18"/>
      <selection pane="topRight" activeCell="G18" sqref="G18"/>
      <selection pane="bottomLeft" activeCell="G18" sqref="G18"/>
      <selection pane="bottomRight" activeCell="K20" sqref="K20"/>
    </sheetView>
  </sheetViews>
  <sheetFormatPr baseColWidth="10" defaultColWidth="8.83203125" defaultRowHeight="15" outlineLevelRow="2" x14ac:dyDescent="0.2"/>
  <cols>
    <col min="1" max="1" width="22.5" customWidth="1"/>
    <col min="2" max="2" width="24.6640625" customWidth="1"/>
    <col min="3" max="3" width="22.5" customWidth="1"/>
    <col min="4" max="4" width="11" customWidth="1"/>
    <col min="5" max="5" width="17.83203125" customWidth="1"/>
  </cols>
  <sheetData>
    <row r="1" spans="1:5" ht="25.25" customHeight="1" thickBot="1" x14ac:dyDescent="0.3">
      <c r="A1" s="1386" t="s">
        <v>96</v>
      </c>
      <c r="B1" s="1386"/>
      <c r="C1" s="1386"/>
      <c r="D1" s="1387"/>
      <c r="E1" s="66" t="s">
        <v>35</v>
      </c>
    </row>
    <row r="2" spans="1:5" ht="16" collapsed="1" thickBot="1" x14ac:dyDescent="0.25">
      <c r="A2" s="36" t="s">
        <v>0</v>
      </c>
      <c r="B2" s="70" t="s">
        <v>73</v>
      </c>
      <c r="C2" s="70" t="s">
        <v>72</v>
      </c>
      <c r="D2" s="70" t="s">
        <v>23</v>
      </c>
      <c r="E2" s="17"/>
    </row>
    <row r="3" spans="1:5" ht="16" thickBot="1" x14ac:dyDescent="0.25">
      <c r="A3" s="1388" t="s">
        <v>77</v>
      </c>
      <c r="B3" s="1389"/>
      <c r="C3" s="1389"/>
      <c r="D3" s="75"/>
      <c r="E3" s="72">
        <f>E4+E25</f>
        <v>0</v>
      </c>
    </row>
    <row r="4" spans="1:5" ht="16" outlineLevel="1" thickBot="1" x14ac:dyDescent="0.25">
      <c r="A4" s="17" t="s">
        <v>103</v>
      </c>
      <c r="B4" s="17"/>
      <c r="C4" s="17"/>
      <c r="D4" s="27"/>
      <c r="E4" s="108">
        <f>SUM(E5:E24)</f>
        <v>0</v>
      </c>
    </row>
    <row r="5" spans="1:5" ht="16" outlineLevel="2" x14ac:dyDescent="0.2">
      <c r="A5" s="1390" t="s">
        <v>78</v>
      </c>
      <c r="B5" s="1391" t="s">
        <v>79</v>
      </c>
      <c r="C5" s="1391">
        <v>635009</v>
      </c>
      <c r="D5" s="63" t="s">
        <v>25</v>
      </c>
      <c r="E5" s="573">
        <v>0</v>
      </c>
    </row>
    <row r="6" spans="1:5" ht="16" outlineLevel="2" x14ac:dyDescent="0.2">
      <c r="A6" s="1390"/>
      <c r="B6" s="1391"/>
      <c r="C6" s="1391"/>
      <c r="D6" s="64" t="s">
        <v>26</v>
      </c>
      <c r="E6" s="573">
        <v>0</v>
      </c>
    </row>
    <row r="7" spans="1:5" ht="16" outlineLevel="2" x14ac:dyDescent="0.2">
      <c r="A7" s="1390"/>
      <c r="B7" s="1391"/>
      <c r="C7" s="1391"/>
      <c r="D7" s="64" t="s">
        <v>27</v>
      </c>
      <c r="E7" s="573">
        <v>0</v>
      </c>
    </row>
    <row r="8" spans="1:5" ht="16" outlineLevel="2" x14ac:dyDescent="0.2">
      <c r="A8" s="1390"/>
      <c r="B8" s="1391"/>
      <c r="C8" s="1391"/>
      <c r="D8" s="64" t="s">
        <v>28</v>
      </c>
      <c r="E8" s="573">
        <v>0</v>
      </c>
    </row>
    <row r="9" spans="1:5" ht="16" outlineLevel="2" x14ac:dyDescent="0.2">
      <c r="A9" s="1390"/>
      <c r="B9" s="1391"/>
      <c r="C9" s="1391"/>
      <c r="D9" s="64" t="s">
        <v>29</v>
      </c>
      <c r="E9" s="573">
        <v>0</v>
      </c>
    </row>
    <row r="10" spans="1:5" ht="16" outlineLevel="2" x14ac:dyDescent="0.2">
      <c r="A10" s="1390"/>
      <c r="B10" s="1391"/>
      <c r="C10" s="1391"/>
      <c r="D10" s="64" t="s">
        <v>30</v>
      </c>
      <c r="E10" s="573">
        <v>0</v>
      </c>
    </row>
    <row r="11" spans="1:5" ht="16" outlineLevel="2" x14ac:dyDescent="0.2">
      <c r="A11" s="1390"/>
      <c r="B11" s="1391"/>
      <c r="C11" s="1391"/>
      <c r="D11" s="64" t="s">
        <v>31</v>
      </c>
      <c r="E11" s="573">
        <v>0</v>
      </c>
    </row>
    <row r="12" spans="1:5" ht="16" outlineLevel="2" x14ac:dyDescent="0.2">
      <c r="A12" s="1390"/>
      <c r="B12" s="1391"/>
      <c r="C12" s="1391"/>
      <c r="D12" s="64" t="s">
        <v>32</v>
      </c>
      <c r="E12" s="573">
        <v>0</v>
      </c>
    </row>
    <row r="13" spans="1:5" ht="16" outlineLevel="2" x14ac:dyDescent="0.2">
      <c r="A13" s="1390"/>
      <c r="B13" s="1391"/>
      <c r="C13" s="1391"/>
      <c r="D13" s="64" t="s">
        <v>33</v>
      </c>
      <c r="E13" s="573">
        <v>0</v>
      </c>
    </row>
    <row r="14" spans="1:5" ht="17" outlineLevel="2" thickBot="1" x14ac:dyDescent="0.25">
      <c r="A14" s="1390"/>
      <c r="B14" s="1391"/>
      <c r="C14" s="1391"/>
      <c r="D14" s="65" t="s">
        <v>34</v>
      </c>
      <c r="E14" s="574">
        <v>0</v>
      </c>
    </row>
    <row r="15" spans="1:5" ht="16" outlineLevel="2" x14ac:dyDescent="0.2">
      <c r="A15" s="1390" t="s">
        <v>80</v>
      </c>
      <c r="B15" s="1391" t="s">
        <v>71</v>
      </c>
      <c r="C15" s="1391">
        <v>718006</v>
      </c>
      <c r="D15" s="63" t="s">
        <v>25</v>
      </c>
      <c r="E15" s="570">
        <v>0</v>
      </c>
    </row>
    <row r="16" spans="1:5" ht="16" outlineLevel="2" x14ac:dyDescent="0.2">
      <c r="A16" s="1390"/>
      <c r="B16" s="1391"/>
      <c r="C16" s="1391"/>
      <c r="D16" s="64" t="s">
        <v>26</v>
      </c>
      <c r="E16" s="570">
        <v>0</v>
      </c>
    </row>
    <row r="17" spans="1:5" ht="16" outlineLevel="2" x14ac:dyDescent="0.2">
      <c r="A17" s="1390"/>
      <c r="B17" s="1391"/>
      <c r="C17" s="1391"/>
      <c r="D17" s="64" t="s">
        <v>27</v>
      </c>
      <c r="E17" s="570">
        <v>0</v>
      </c>
    </row>
    <row r="18" spans="1:5" ht="16" outlineLevel="2" x14ac:dyDescent="0.2">
      <c r="A18" s="1390"/>
      <c r="B18" s="1391"/>
      <c r="C18" s="1391"/>
      <c r="D18" s="64" t="s">
        <v>28</v>
      </c>
      <c r="E18" s="570">
        <v>0</v>
      </c>
    </row>
    <row r="19" spans="1:5" ht="16" outlineLevel="2" x14ac:dyDescent="0.2">
      <c r="A19" s="1390"/>
      <c r="B19" s="1391"/>
      <c r="C19" s="1391"/>
      <c r="D19" s="64" t="s">
        <v>29</v>
      </c>
      <c r="E19" s="570">
        <v>0</v>
      </c>
    </row>
    <row r="20" spans="1:5" ht="16" outlineLevel="2" x14ac:dyDescent="0.2">
      <c r="A20" s="1390"/>
      <c r="B20" s="1391"/>
      <c r="C20" s="1391"/>
      <c r="D20" s="64" t="s">
        <v>30</v>
      </c>
      <c r="E20" s="570">
        <v>0</v>
      </c>
    </row>
    <row r="21" spans="1:5" ht="16" outlineLevel="2" x14ac:dyDescent="0.2">
      <c r="A21" s="1390"/>
      <c r="B21" s="1391"/>
      <c r="C21" s="1391"/>
      <c r="D21" s="64" t="s">
        <v>31</v>
      </c>
      <c r="E21" s="570">
        <v>0</v>
      </c>
    </row>
    <row r="22" spans="1:5" ht="16" outlineLevel="2" x14ac:dyDescent="0.2">
      <c r="A22" s="1390"/>
      <c r="B22" s="1391"/>
      <c r="C22" s="1391"/>
      <c r="D22" s="64" t="s">
        <v>32</v>
      </c>
      <c r="E22" s="570">
        <v>0</v>
      </c>
    </row>
    <row r="23" spans="1:5" ht="16" outlineLevel="2" x14ac:dyDescent="0.2">
      <c r="A23" s="1390"/>
      <c r="B23" s="1391"/>
      <c r="C23" s="1391"/>
      <c r="D23" s="64" t="s">
        <v>33</v>
      </c>
      <c r="E23" s="570">
        <v>0</v>
      </c>
    </row>
    <row r="24" spans="1:5" ht="17" outlineLevel="2" thickBot="1" x14ac:dyDescent="0.25">
      <c r="A24" s="1390"/>
      <c r="B24" s="1391"/>
      <c r="C24" s="1391"/>
      <c r="D24" s="65" t="s">
        <v>34</v>
      </c>
      <c r="E24" s="571">
        <v>0</v>
      </c>
    </row>
    <row r="25" spans="1:5" ht="16" outlineLevel="1" thickBot="1" x14ac:dyDescent="0.25">
      <c r="A25" s="17" t="s">
        <v>104</v>
      </c>
      <c r="B25" s="17"/>
      <c r="C25" s="17"/>
      <c r="D25" s="27"/>
      <c r="E25" s="110">
        <f>SUM(E26:E75)</f>
        <v>0</v>
      </c>
    </row>
    <row r="26" spans="1:5" ht="16" outlineLevel="2" x14ac:dyDescent="0.2">
      <c r="A26" s="1390" t="s">
        <v>81</v>
      </c>
      <c r="B26" s="1391" t="s">
        <v>79</v>
      </c>
      <c r="C26" s="1391">
        <v>635009</v>
      </c>
      <c r="D26" s="63" t="s">
        <v>25</v>
      </c>
      <c r="E26" s="573">
        <v>0</v>
      </c>
    </row>
    <row r="27" spans="1:5" ht="16" outlineLevel="2" x14ac:dyDescent="0.2">
      <c r="A27" s="1390"/>
      <c r="B27" s="1391"/>
      <c r="C27" s="1391"/>
      <c r="D27" s="64" t="s">
        <v>26</v>
      </c>
      <c r="E27" s="573">
        <v>0</v>
      </c>
    </row>
    <row r="28" spans="1:5" ht="16" outlineLevel="2" x14ac:dyDescent="0.2">
      <c r="A28" s="1390"/>
      <c r="B28" s="1391"/>
      <c r="C28" s="1391"/>
      <c r="D28" s="64" t="s">
        <v>27</v>
      </c>
      <c r="E28" s="573">
        <v>0</v>
      </c>
    </row>
    <row r="29" spans="1:5" ht="16" outlineLevel="2" x14ac:dyDescent="0.2">
      <c r="A29" s="1390"/>
      <c r="B29" s="1391"/>
      <c r="C29" s="1391"/>
      <c r="D29" s="64" t="s">
        <v>28</v>
      </c>
      <c r="E29" s="573">
        <v>0</v>
      </c>
    </row>
    <row r="30" spans="1:5" ht="16" outlineLevel="2" x14ac:dyDescent="0.2">
      <c r="A30" s="1390"/>
      <c r="B30" s="1391"/>
      <c r="C30" s="1391"/>
      <c r="D30" s="64" t="s">
        <v>29</v>
      </c>
      <c r="E30" s="573">
        <v>0</v>
      </c>
    </row>
    <row r="31" spans="1:5" ht="16" outlineLevel="2" x14ac:dyDescent="0.2">
      <c r="A31" s="1390"/>
      <c r="B31" s="1391"/>
      <c r="C31" s="1391"/>
      <c r="D31" s="64" t="s">
        <v>30</v>
      </c>
      <c r="E31" s="573">
        <v>0</v>
      </c>
    </row>
    <row r="32" spans="1:5" ht="16" outlineLevel="2" x14ac:dyDescent="0.2">
      <c r="A32" s="1390"/>
      <c r="B32" s="1391"/>
      <c r="C32" s="1391"/>
      <c r="D32" s="64" t="s">
        <v>31</v>
      </c>
      <c r="E32" s="573">
        <v>0</v>
      </c>
    </row>
    <row r="33" spans="1:5" ht="16" outlineLevel="2" x14ac:dyDescent="0.2">
      <c r="A33" s="1390"/>
      <c r="B33" s="1391"/>
      <c r="C33" s="1391"/>
      <c r="D33" s="64" t="s">
        <v>32</v>
      </c>
      <c r="E33" s="573">
        <v>0</v>
      </c>
    </row>
    <row r="34" spans="1:5" ht="16" outlineLevel="2" x14ac:dyDescent="0.2">
      <c r="A34" s="1390"/>
      <c r="B34" s="1391"/>
      <c r="C34" s="1391"/>
      <c r="D34" s="64" t="s">
        <v>33</v>
      </c>
      <c r="E34" s="573">
        <v>0</v>
      </c>
    </row>
    <row r="35" spans="1:5" ht="17" outlineLevel="2" thickBot="1" x14ac:dyDescent="0.25">
      <c r="A35" s="1390"/>
      <c r="B35" s="1391"/>
      <c r="C35" s="1391"/>
      <c r="D35" s="65" t="s">
        <v>34</v>
      </c>
      <c r="E35" s="574">
        <v>0</v>
      </c>
    </row>
    <row r="36" spans="1:5" ht="16" outlineLevel="2" x14ac:dyDescent="0.2">
      <c r="A36" s="1390" t="s">
        <v>82</v>
      </c>
      <c r="B36" s="1391" t="s">
        <v>79</v>
      </c>
      <c r="C36" s="1391">
        <v>635009</v>
      </c>
      <c r="D36" s="63" t="s">
        <v>25</v>
      </c>
      <c r="E36" s="572">
        <v>0</v>
      </c>
    </row>
    <row r="37" spans="1:5" ht="16" outlineLevel="2" x14ac:dyDescent="0.2">
      <c r="A37" s="1390"/>
      <c r="B37" s="1391"/>
      <c r="C37" s="1391"/>
      <c r="D37" s="64" t="s">
        <v>26</v>
      </c>
      <c r="E37" s="573">
        <v>0</v>
      </c>
    </row>
    <row r="38" spans="1:5" ht="16" outlineLevel="2" x14ac:dyDescent="0.2">
      <c r="A38" s="1390"/>
      <c r="B38" s="1391"/>
      <c r="C38" s="1391"/>
      <c r="D38" s="64" t="s">
        <v>27</v>
      </c>
      <c r="E38" s="573">
        <v>0</v>
      </c>
    </row>
    <row r="39" spans="1:5" ht="16" outlineLevel="2" x14ac:dyDescent="0.2">
      <c r="A39" s="1390"/>
      <c r="B39" s="1391"/>
      <c r="C39" s="1391"/>
      <c r="D39" s="64" t="s">
        <v>28</v>
      </c>
      <c r="E39" s="573">
        <v>0</v>
      </c>
    </row>
    <row r="40" spans="1:5" ht="16" outlineLevel="2" x14ac:dyDescent="0.2">
      <c r="A40" s="1390"/>
      <c r="B40" s="1391"/>
      <c r="C40" s="1391"/>
      <c r="D40" s="64" t="s">
        <v>29</v>
      </c>
      <c r="E40" s="573">
        <v>0</v>
      </c>
    </row>
    <row r="41" spans="1:5" ht="16" outlineLevel="2" x14ac:dyDescent="0.2">
      <c r="A41" s="1390"/>
      <c r="B41" s="1391"/>
      <c r="C41" s="1391"/>
      <c r="D41" s="64" t="s">
        <v>30</v>
      </c>
      <c r="E41" s="573">
        <v>0</v>
      </c>
    </row>
    <row r="42" spans="1:5" ht="16" outlineLevel="2" x14ac:dyDescent="0.2">
      <c r="A42" s="1390"/>
      <c r="B42" s="1391"/>
      <c r="C42" s="1391"/>
      <c r="D42" s="64" t="s">
        <v>31</v>
      </c>
      <c r="E42" s="573">
        <v>0</v>
      </c>
    </row>
    <row r="43" spans="1:5" ht="16" outlineLevel="2" x14ac:dyDescent="0.2">
      <c r="A43" s="1390"/>
      <c r="B43" s="1391"/>
      <c r="C43" s="1391"/>
      <c r="D43" s="64" t="s">
        <v>32</v>
      </c>
      <c r="E43" s="573">
        <v>0</v>
      </c>
    </row>
    <row r="44" spans="1:5" ht="16" outlineLevel="2" x14ac:dyDescent="0.2">
      <c r="A44" s="1390"/>
      <c r="B44" s="1391"/>
      <c r="C44" s="1391"/>
      <c r="D44" s="64" t="s">
        <v>33</v>
      </c>
      <c r="E44" s="573">
        <v>0</v>
      </c>
    </row>
    <row r="45" spans="1:5" ht="17" outlineLevel="2" thickBot="1" x14ac:dyDescent="0.25">
      <c r="A45" s="1390"/>
      <c r="B45" s="1391"/>
      <c r="C45" s="1391"/>
      <c r="D45" s="65" t="s">
        <v>34</v>
      </c>
      <c r="E45" s="574">
        <v>0</v>
      </c>
    </row>
    <row r="46" spans="1:5" ht="16" outlineLevel="2" x14ac:dyDescent="0.2">
      <c r="A46" s="1390" t="s">
        <v>83</v>
      </c>
      <c r="B46" s="1391" t="s">
        <v>71</v>
      </c>
      <c r="C46" s="1391">
        <v>718006</v>
      </c>
      <c r="D46" s="63" t="s">
        <v>25</v>
      </c>
      <c r="E46" s="573">
        <v>0</v>
      </c>
    </row>
    <row r="47" spans="1:5" ht="16" outlineLevel="2" x14ac:dyDescent="0.2">
      <c r="A47" s="1390"/>
      <c r="B47" s="1391"/>
      <c r="C47" s="1391"/>
      <c r="D47" s="64" t="s">
        <v>26</v>
      </c>
      <c r="E47" s="573">
        <v>0</v>
      </c>
    </row>
    <row r="48" spans="1:5" ht="16" outlineLevel="2" x14ac:dyDescent="0.2">
      <c r="A48" s="1390"/>
      <c r="B48" s="1391"/>
      <c r="C48" s="1391"/>
      <c r="D48" s="64" t="s">
        <v>27</v>
      </c>
      <c r="E48" s="573">
        <v>0</v>
      </c>
    </row>
    <row r="49" spans="1:5" ht="16" outlineLevel="2" x14ac:dyDescent="0.2">
      <c r="A49" s="1390"/>
      <c r="B49" s="1391"/>
      <c r="C49" s="1391"/>
      <c r="D49" s="64" t="s">
        <v>28</v>
      </c>
      <c r="E49" s="573">
        <v>0</v>
      </c>
    </row>
    <row r="50" spans="1:5" ht="16" outlineLevel="2" x14ac:dyDescent="0.2">
      <c r="A50" s="1390"/>
      <c r="B50" s="1391"/>
      <c r="C50" s="1391"/>
      <c r="D50" s="64" t="s">
        <v>29</v>
      </c>
      <c r="E50" s="573">
        <v>0</v>
      </c>
    </row>
    <row r="51" spans="1:5" ht="16" outlineLevel="2" x14ac:dyDescent="0.2">
      <c r="A51" s="1390"/>
      <c r="B51" s="1391"/>
      <c r="C51" s="1391"/>
      <c r="D51" s="64" t="s">
        <v>30</v>
      </c>
      <c r="E51" s="573">
        <v>0</v>
      </c>
    </row>
    <row r="52" spans="1:5" ht="16" outlineLevel="2" x14ac:dyDescent="0.2">
      <c r="A52" s="1390"/>
      <c r="B52" s="1391"/>
      <c r="C52" s="1391"/>
      <c r="D52" s="64" t="s">
        <v>31</v>
      </c>
      <c r="E52" s="573">
        <v>0</v>
      </c>
    </row>
    <row r="53" spans="1:5" ht="16" outlineLevel="2" x14ac:dyDescent="0.2">
      <c r="A53" s="1390"/>
      <c r="B53" s="1391"/>
      <c r="C53" s="1391"/>
      <c r="D53" s="64" t="s">
        <v>32</v>
      </c>
      <c r="E53" s="573">
        <v>0</v>
      </c>
    </row>
    <row r="54" spans="1:5" ht="16" outlineLevel="2" x14ac:dyDescent="0.2">
      <c r="A54" s="1390"/>
      <c r="B54" s="1391"/>
      <c r="C54" s="1391"/>
      <c r="D54" s="64" t="s">
        <v>33</v>
      </c>
      <c r="E54" s="573">
        <v>0</v>
      </c>
    </row>
    <row r="55" spans="1:5" ht="17" outlineLevel="2" thickBot="1" x14ac:dyDescent="0.25">
      <c r="A55" s="1390"/>
      <c r="B55" s="1391"/>
      <c r="C55" s="1391"/>
      <c r="D55" s="65" t="s">
        <v>34</v>
      </c>
      <c r="E55" s="573">
        <v>0</v>
      </c>
    </row>
    <row r="56" spans="1:5" ht="16" outlineLevel="2" x14ac:dyDescent="0.2">
      <c r="A56" s="1390" t="s">
        <v>84</v>
      </c>
      <c r="B56" s="1391" t="s">
        <v>519</v>
      </c>
      <c r="C56" s="1391">
        <v>610</v>
      </c>
      <c r="D56" s="63" t="s">
        <v>25</v>
      </c>
      <c r="E56" s="572">
        <v>0</v>
      </c>
    </row>
    <row r="57" spans="1:5" ht="16" outlineLevel="2" x14ac:dyDescent="0.2">
      <c r="A57" s="1390"/>
      <c r="B57" s="1391"/>
      <c r="C57" s="1391"/>
      <c r="D57" s="64" t="s">
        <v>26</v>
      </c>
      <c r="E57" s="573">
        <v>0</v>
      </c>
    </row>
    <row r="58" spans="1:5" ht="16" outlineLevel="2" x14ac:dyDescent="0.2">
      <c r="A58" s="1390"/>
      <c r="B58" s="1391"/>
      <c r="C58" s="1391"/>
      <c r="D58" s="64" t="s">
        <v>27</v>
      </c>
      <c r="E58" s="573">
        <v>0</v>
      </c>
    </row>
    <row r="59" spans="1:5" ht="16" outlineLevel="2" x14ac:dyDescent="0.2">
      <c r="A59" s="1390"/>
      <c r="B59" s="1391"/>
      <c r="C59" s="1391"/>
      <c r="D59" s="64" t="s">
        <v>28</v>
      </c>
      <c r="E59" s="573">
        <v>0</v>
      </c>
    </row>
    <row r="60" spans="1:5" ht="16" outlineLevel="2" x14ac:dyDescent="0.2">
      <c r="A60" s="1390"/>
      <c r="B60" s="1391"/>
      <c r="C60" s="1391"/>
      <c r="D60" s="64" t="s">
        <v>29</v>
      </c>
      <c r="E60" s="573">
        <v>0</v>
      </c>
    </row>
    <row r="61" spans="1:5" ht="16" outlineLevel="2" x14ac:dyDescent="0.2">
      <c r="A61" s="1390"/>
      <c r="B61" s="1391"/>
      <c r="C61" s="1391"/>
      <c r="D61" s="64" t="s">
        <v>30</v>
      </c>
      <c r="E61" s="573">
        <v>0</v>
      </c>
    </row>
    <row r="62" spans="1:5" ht="16" outlineLevel="2" x14ac:dyDescent="0.2">
      <c r="A62" s="1390"/>
      <c r="B62" s="1391"/>
      <c r="C62" s="1391"/>
      <c r="D62" s="64" t="s">
        <v>31</v>
      </c>
      <c r="E62" s="573">
        <v>0</v>
      </c>
    </row>
    <row r="63" spans="1:5" ht="16" outlineLevel="2" x14ac:dyDescent="0.2">
      <c r="A63" s="1390"/>
      <c r="B63" s="1391"/>
      <c r="C63" s="1391"/>
      <c r="D63" s="64" t="s">
        <v>32</v>
      </c>
      <c r="E63" s="573">
        <v>0</v>
      </c>
    </row>
    <row r="64" spans="1:5" ht="16" outlineLevel="2" x14ac:dyDescent="0.2">
      <c r="A64" s="1390"/>
      <c r="B64" s="1391"/>
      <c r="C64" s="1391"/>
      <c r="D64" s="64" t="s">
        <v>33</v>
      </c>
      <c r="E64" s="573">
        <v>0</v>
      </c>
    </row>
    <row r="65" spans="1:5" ht="17" outlineLevel="2" thickBot="1" x14ac:dyDescent="0.25">
      <c r="A65" s="1390"/>
      <c r="B65" s="1391"/>
      <c r="C65" s="1391"/>
      <c r="D65" s="65" t="s">
        <v>34</v>
      </c>
      <c r="E65" s="574">
        <v>0</v>
      </c>
    </row>
    <row r="66" spans="1:5" ht="16" outlineLevel="2" x14ac:dyDescent="0.2">
      <c r="A66" s="1390" t="s">
        <v>75</v>
      </c>
      <c r="B66" s="1391" t="s">
        <v>76</v>
      </c>
      <c r="C66" s="1391">
        <v>637040</v>
      </c>
      <c r="D66" s="63" t="s">
        <v>25</v>
      </c>
      <c r="E66" s="573">
        <v>0</v>
      </c>
    </row>
    <row r="67" spans="1:5" ht="16" outlineLevel="2" x14ac:dyDescent="0.2">
      <c r="A67" s="1390"/>
      <c r="B67" s="1391"/>
      <c r="C67" s="1391"/>
      <c r="D67" s="64" t="s">
        <v>26</v>
      </c>
      <c r="E67" s="573">
        <v>0</v>
      </c>
    </row>
    <row r="68" spans="1:5" ht="16" outlineLevel="2" x14ac:dyDescent="0.2">
      <c r="A68" s="1390"/>
      <c r="B68" s="1391"/>
      <c r="C68" s="1391"/>
      <c r="D68" s="64" t="s">
        <v>27</v>
      </c>
      <c r="E68" s="573">
        <v>0</v>
      </c>
    </row>
    <row r="69" spans="1:5" ht="16" outlineLevel="2" x14ac:dyDescent="0.2">
      <c r="A69" s="1390"/>
      <c r="B69" s="1391"/>
      <c r="C69" s="1391"/>
      <c r="D69" s="64" t="s">
        <v>28</v>
      </c>
      <c r="E69" s="573">
        <v>0</v>
      </c>
    </row>
    <row r="70" spans="1:5" ht="16" outlineLevel="2" x14ac:dyDescent="0.2">
      <c r="A70" s="1390"/>
      <c r="B70" s="1391"/>
      <c r="C70" s="1391"/>
      <c r="D70" s="64" t="s">
        <v>29</v>
      </c>
      <c r="E70" s="573">
        <v>0</v>
      </c>
    </row>
    <row r="71" spans="1:5" ht="16" outlineLevel="2" x14ac:dyDescent="0.2">
      <c r="A71" s="1390"/>
      <c r="B71" s="1391"/>
      <c r="C71" s="1391"/>
      <c r="D71" s="64" t="s">
        <v>30</v>
      </c>
      <c r="E71" s="573">
        <v>0</v>
      </c>
    </row>
    <row r="72" spans="1:5" ht="16" outlineLevel="2" x14ac:dyDescent="0.2">
      <c r="A72" s="1390"/>
      <c r="B72" s="1391"/>
      <c r="C72" s="1391"/>
      <c r="D72" s="64" t="s">
        <v>31</v>
      </c>
      <c r="E72" s="573">
        <v>0</v>
      </c>
    </row>
    <row r="73" spans="1:5" ht="16" outlineLevel="2" x14ac:dyDescent="0.2">
      <c r="A73" s="1390"/>
      <c r="B73" s="1391"/>
      <c r="C73" s="1391"/>
      <c r="D73" s="64" t="s">
        <v>32</v>
      </c>
      <c r="E73" s="573">
        <v>0</v>
      </c>
    </row>
    <row r="74" spans="1:5" ht="16" outlineLevel="2" x14ac:dyDescent="0.2">
      <c r="A74" s="1390"/>
      <c r="B74" s="1391"/>
      <c r="C74" s="1391"/>
      <c r="D74" s="64" t="s">
        <v>33</v>
      </c>
      <c r="E74" s="573">
        <v>0</v>
      </c>
    </row>
    <row r="75" spans="1:5" ht="17" outlineLevel="2" thickBot="1" x14ac:dyDescent="0.25">
      <c r="A75" s="1390"/>
      <c r="B75" s="1391"/>
      <c r="C75" s="1391"/>
      <c r="D75" s="65" t="s">
        <v>34</v>
      </c>
      <c r="E75" s="574">
        <v>0</v>
      </c>
    </row>
  </sheetData>
  <mergeCells count="23">
    <mergeCell ref="A56:A65"/>
    <mergeCell ref="B56:B65"/>
    <mergeCell ref="C56:C65"/>
    <mergeCell ref="A66:A75"/>
    <mergeCell ref="B66:B75"/>
    <mergeCell ref="C66:C75"/>
    <mergeCell ref="A36:A45"/>
    <mergeCell ref="B36:B45"/>
    <mergeCell ref="C36:C45"/>
    <mergeCell ref="A46:A55"/>
    <mergeCell ref="B46:B55"/>
    <mergeCell ref="C46:C55"/>
    <mergeCell ref="A15:A24"/>
    <mergeCell ref="B15:B24"/>
    <mergeCell ref="C15:C24"/>
    <mergeCell ref="A26:A35"/>
    <mergeCell ref="B26:B35"/>
    <mergeCell ref="C26:C35"/>
    <mergeCell ref="A1:D1"/>
    <mergeCell ref="A3:C3"/>
    <mergeCell ref="A5:A14"/>
    <mergeCell ref="B5:B14"/>
    <mergeCell ref="C5:C14"/>
  </mergeCells>
  <pageMargins left="0.7" right="0.7" top="0.75" bottom="0.75" header="0.3" footer="0.3"/>
  <pageSetup paperSize="9" scale="6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1">
    <tabColor rgb="FFFFFF00"/>
    <outlinePr summaryBelow="0" summaryRight="0"/>
  </sheetPr>
  <dimension ref="A1:E53"/>
  <sheetViews>
    <sheetView view="pageBreakPreview" zoomScale="70" zoomScaleNormal="85" zoomScaleSheetLayoutView="70" workbookViewId="0">
      <selection activeCell="I21" sqref="I21"/>
    </sheetView>
  </sheetViews>
  <sheetFormatPr baseColWidth="10" defaultColWidth="8.83203125" defaultRowHeight="15" outlineLevelRow="1" x14ac:dyDescent="0.2"/>
  <cols>
    <col min="1" max="1" width="22.5" customWidth="1"/>
    <col min="2" max="2" width="23.33203125" customWidth="1"/>
    <col min="3" max="3" width="22.5" customWidth="1"/>
    <col min="5" max="5" width="17.83203125" customWidth="1"/>
  </cols>
  <sheetData>
    <row r="1" spans="1:5" ht="25.25" customHeight="1" thickBot="1" x14ac:dyDescent="0.3">
      <c r="A1" s="1386" t="s">
        <v>95</v>
      </c>
      <c r="B1" s="1386"/>
      <c r="C1" s="1386"/>
      <c r="D1" s="1387"/>
      <c r="E1" s="66" t="s">
        <v>35</v>
      </c>
    </row>
    <row r="2" spans="1:5" ht="16" thickBot="1" x14ac:dyDescent="0.25">
      <c r="A2" s="36" t="s">
        <v>0</v>
      </c>
      <c r="B2" s="70" t="s">
        <v>73</v>
      </c>
      <c r="C2" s="70" t="s">
        <v>72</v>
      </c>
      <c r="D2" s="70" t="s">
        <v>23</v>
      </c>
      <c r="E2" s="17"/>
    </row>
    <row r="3" spans="1:5" ht="16" thickBot="1" x14ac:dyDescent="0.25">
      <c r="A3" s="1392" t="s">
        <v>86</v>
      </c>
      <c r="B3" s="1392"/>
      <c r="C3" s="1392"/>
      <c r="D3" s="71"/>
      <c r="E3" s="72">
        <f>SUM(E4:E53)</f>
        <v>0</v>
      </c>
    </row>
    <row r="4" spans="1:5" ht="16" outlineLevel="1" x14ac:dyDescent="0.2">
      <c r="A4" s="1390" t="s">
        <v>91</v>
      </c>
      <c r="B4" s="1391" t="s">
        <v>79</v>
      </c>
      <c r="C4" s="1391">
        <v>635002</v>
      </c>
      <c r="D4" s="63" t="s">
        <v>25</v>
      </c>
      <c r="E4" s="573">
        <v>0</v>
      </c>
    </row>
    <row r="5" spans="1:5" ht="16" outlineLevel="1" x14ac:dyDescent="0.2">
      <c r="A5" s="1390"/>
      <c r="B5" s="1391"/>
      <c r="C5" s="1391"/>
      <c r="D5" s="64" t="s">
        <v>26</v>
      </c>
      <c r="E5" s="573">
        <v>0</v>
      </c>
    </row>
    <row r="6" spans="1:5" ht="16" outlineLevel="1" x14ac:dyDescent="0.2">
      <c r="A6" s="1390"/>
      <c r="B6" s="1391"/>
      <c r="C6" s="1391"/>
      <c r="D6" s="64" t="s">
        <v>27</v>
      </c>
      <c r="E6" s="573">
        <v>0</v>
      </c>
    </row>
    <row r="7" spans="1:5" ht="16" outlineLevel="1" x14ac:dyDescent="0.2">
      <c r="A7" s="1390"/>
      <c r="B7" s="1391"/>
      <c r="C7" s="1391"/>
      <c r="D7" s="64" t="s">
        <v>28</v>
      </c>
      <c r="E7" s="573">
        <v>0</v>
      </c>
    </row>
    <row r="8" spans="1:5" ht="16" outlineLevel="1" x14ac:dyDescent="0.2">
      <c r="A8" s="1390"/>
      <c r="B8" s="1391"/>
      <c r="C8" s="1391"/>
      <c r="D8" s="64" t="s">
        <v>29</v>
      </c>
      <c r="E8" s="573">
        <v>0</v>
      </c>
    </row>
    <row r="9" spans="1:5" ht="16" outlineLevel="1" x14ac:dyDescent="0.2">
      <c r="A9" s="1390"/>
      <c r="B9" s="1391"/>
      <c r="C9" s="1391"/>
      <c r="D9" s="64" t="s">
        <v>30</v>
      </c>
      <c r="E9" s="573">
        <v>0</v>
      </c>
    </row>
    <row r="10" spans="1:5" ht="16" outlineLevel="1" x14ac:dyDescent="0.2">
      <c r="A10" s="1390"/>
      <c r="B10" s="1391"/>
      <c r="C10" s="1391"/>
      <c r="D10" s="64" t="s">
        <v>31</v>
      </c>
      <c r="E10" s="573">
        <v>0</v>
      </c>
    </row>
    <row r="11" spans="1:5" ht="16" outlineLevel="1" x14ac:dyDescent="0.2">
      <c r="A11" s="1390"/>
      <c r="B11" s="1391"/>
      <c r="C11" s="1391"/>
      <c r="D11" s="64" t="s">
        <v>32</v>
      </c>
      <c r="E11" s="573">
        <v>0</v>
      </c>
    </row>
    <row r="12" spans="1:5" ht="16" outlineLevel="1" x14ac:dyDescent="0.2">
      <c r="A12" s="1390"/>
      <c r="B12" s="1391"/>
      <c r="C12" s="1391"/>
      <c r="D12" s="64" t="s">
        <v>33</v>
      </c>
      <c r="E12" s="573">
        <v>0</v>
      </c>
    </row>
    <row r="13" spans="1:5" ht="17" outlineLevel="1" thickBot="1" x14ac:dyDescent="0.25">
      <c r="A13" s="1390"/>
      <c r="B13" s="1391"/>
      <c r="C13" s="1391"/>
      <c r="D13" s="65" t="s">
        <v>34</v>
      </c>
      <c r="E13" s="574">
        <v>0</v>
      </c>
    </row>
    <row r="14" spans="1:5" ht="16" outlineLevel="1" x14ac:dyDescent="0.2">
      <c r="A14" s="1390" t="s">
        <v>92</v>
      </c>
      <c r="B14" s="1390" t="s">
        <v>90</v>
      </c>
      <c r="C14" s="1391">
        <v>718002</v>
      </c>
      <c r="D14" s="63" t="s">
        <v>25</v>
      </c>
      <c r="E14" s="573">
        <v>0</v>
      </c>
    </row>
    <row r="15" spans="1:5" ht="16" outlineLevel="1" x14ac:dyDescent="0.2">
      <c r="A15" s="1390"/>
      <c r="B15" s="1391"/>
      <c r="C15" s="1391"/>
      <c r="D15" s="64" t="s">
        <v>26</v>
      </c>
      <c r="E15" s="573">
        <v>0</v>
      </c>
    </row>
    <row r="16" spans="1:5" ht="16" outlineLevel="1" x14ac:dyDescent="0.2">
      <c r="A16" s="1390"/>
      <c r="B16" s="1391"/>
      <c r="C16" s="1391"/>
      <c r="D16" s="64" t="s">
        <v>27</v>
      </c>
      <c r="E16" s="573">
        <v>0</v>
      </c>
    </row>
    <row r="17" spans="1:5" ht="16" outlineLevel="1" x14ac:dyDescent="0.2">
      <c r="A17" s="1390"/>
      <c r="B17" s="1391"/>
      <c r="C17" s="1391"/>
      <c r="D17" s="64" t="s">
        <v>28</v>
      </c>
      <c r="E17" s="573">
        <v>0</v>
      </c>
    </row>
    <row r="18" spans="1:5" ht="16" outlineLevel="1" x14ac:dyDescent="0.2">
      <c r="A18" s="1390"/>
      <c r="B18" s="1391"/>
      <c r="C18" s="1391"/>
      <c r="D18" s="64" t="s">
        <v>29</v>
      </c>
      <c r="E18" s="573">
        <v>0</v>
      </c>
    </row>
    <row r="19" spans="1:5" ht="16" outlineLevel="1" x14ac:dyDescent="0.2">
      <c r="A19" s="1390"/>
      <c r="B19" s="1391"/>
      <c r="C19" s="1391"/>
      <c r="D19" s="64" t="s">
        <v>30</v>
      </c>
      <c r="E19" s="573">
        <v>0</v>
      </c>
    </row>
    <row r="20" spans="1:5" ht="16" outlineLevel="1" x14ac:dyDescent="0.2">
      <c r="A20" s="1390"/>
      <c r="B20" s="1391"/>
      <c r="C20" s="1391"/>
      <c r="D20" s="64" t="s">
        <v>31</v>
      </c>
      <c r="E20" s="573">
        <v>0</v>
      </c>
    </row>
    <row r="21" spans="1:5" ht="16" outlineLevel="1" x14ac:dyDescent="0.2">
      <c r="A21" s="1390"/>
      <c r="B21" s="1391"/>
      <c r="C21" s="1391"/>
      <c r="D21" s="64" t="s">
        <v>32</v>
      </c>
      <c r="E21" s="573">
        <v>0</v>
      </c>
    </row>
    <row r="22" spans="1:5" ht="16" outlineLevel="1" x14ac:dyDescent="0.2">
      <c r="A22" s="1390"/>
      <c r="B22" s="1391"/>
      <c r="C22" s="1391"/>
      <c r="D22" s="64" t="s">
        <v>33</v>
      </c>
      <c r="E22" s="573">
        <v>0</v>
      </c>
    </row>
    <row r="23" spans="1:5" ht="17" outlineLevel="1" thickBot="1" x14ac:dyDescent="0.25">
      <c r="A23" s="1390"/>
      <c r="B23" s="1391"/>
      <c r="C23" s="1391"/>
      <c r="D23" s="65" t="s">
        <v>34</v>
      </c>
      <c r="E23" s="574">
        <v>0</v>
      </c>
    </row>
    <row r="24" spans="1:5" ht="16" outlineLevel="1" x14ac:dyDescent="0.2">
      <c r="A24" s="1390" t="s">
        <v>93</v>
      </c>
      <c r="B24" s="1391"/>
      <c r="C24" s="1391"/>
      <c r="D24" s="63" t="s">
        <v>25</v>
      </c>
      <c r="E24" s="573">
        <v>0</v>
      </c>
    </row>
    <row r="25" spans="1:5" ht="16" outlineLevel="1" x14ac:dyDescent="0.2">
      <c r="A25" s="1390"/>
      <c r="B25" s="1391"/>
      <c r="C25" s="1391"/>
      <c r="D25" s="64" t="s">
        <v>26</v>
      </c>
      <c r="E25" s="573">
        <v>0</v>
      </c>
    </row>
    <row r="26" spans="1:5" ht="16" outlineLevel="1" x14ac:dyDescent="0.2">
      <c r="A26" s="1390"/>
      <c r="B26" s="1391"/>
      <c r="C26" s="1391"/>
      <c r="D26" s="64" t="s">
        <v>27</v>
      </c>
      <c r="E26" s="573">
        <v>0</v>
      </c>
    </row>
    <row r="27" spans="1:5" ht="16" outlineLevel="1" x14ac:dyDescent="0.2">
      <c r="A27" s="1390"/>
      <c r="B27" s="1391"/>
      <c r="C27" s="1391"/>
      <c r="D27" s="64" t="s">
        <v>28</v>
      </c>
      <c r="E27" s="573">
        <v>0</v>
      </c>
    </row>
    <row r="28" spans="1:5" ht="16" outlineLevel="1" x14ac:dyDescent="0.2">
      <c r="A28" s="1390"/>
      <c r="B28" s="1391"/>
      <c r="C28" s="1391"/>
      <c r="D28" s="64" t="s">
        <v>29</v>
      </c>
      <c r="E28" s="573">
        <v>0</v>
      </c>
    </row>
    <row r="29" spans="1:5" ht="16" outlineLevel="1" x14ac:dyDescent="0.2">
      <c r="A29" s="1390"/>
      <c r="B29" s="1391"/>
      <c r="C29" s="1391"/>
      <c r="D29" s="64" t="s">
        <v>30</v>
      </c>
      <c r="E29" s="573">
        <v>0</v>
      </c>
    </row>
    <row r="30" spans="1:5" ht="16" outlineLevel="1" x14ac:dyDescent="0.2">
      <c r="A30" s="1390"/>
      <c r="B30" s="1391"/>
      <c r="C30" s="1391"/>
      <c r="D30" s="64" t="s">
        <v>31</v>
      </c>
      <c r="E30" s="573">
        <v>0</v>
      </c>
    </row>
    <row r="31" spans="1:5" ht="16" outlineLevel="1" x14ac:dyDescent="0.2">
      <c r="A31" s="1390"/>
      <c r="B31" s="1391"/>
      <c r="C31" s="1391"/>
      <c r="D31" s="64" t="s">
        <v>32</v>
      </c>
      <c r="E31" s="573">
        <v>0</v>
      </c>
    </row>
    <row r="32" spans="1:5" ht="16" outlineLevel="1" x14ac:dyDescent="0.2">
      <c r="A32" s="1390"/>
      <c r="B32" s="1391"/>
      <c r="C32" s="1391"/>
      <c r="D32" s="64" t="s">
        <v>33</v>
      </c>
      <c r="E32" s="573">
        <v>0</v>
      </c>
    </row>
    <row r="33" spans="1:5" ht="17" outlineLevel="1" thickBot="1" x14ac:dyDescent="0.25">
      <c r="A33" s="1390"/>
      <c r="B33" s="1391"/>
      <c r="C33" s="1391"/>
      <c r="D33" s="65" t="s">
        <v>34</v>
      </c>
      <c r="E33" s="574">
        <v>0</v>
      </c>
    </row>
    <row r="34" spans="1:5" ht="16" outlineLevel="1" x14ac:dyDescent="0.2">
      <c r="A34" s="1390" t="s">
        <v>94</v>
      </c>
      <c r="B34" s="1391" t="s">
        <v>519</v>
      </c>
      <c r="C34" s="1391">
        <v>610</v>
      </c>
      <c r="D34" s="63" t="s">
        <v>25</v>
      </c>
      <c r="E34" s="573">
        <v>0</v>
      </c>
    </row>
    <row r="35" spans="1:5" ht="16" outlineLevel="1" x14ac:dyDescent="0.2">
      <c r="A35" s="1390"/>
      <c r="B35" s="1391"/>
      <c r="C35" s="1391"/>
      <c r="D35" s="64" t="s">
        <v>26</v>
      </c>
      <c r="E35" s="573">
        <v>0</v>
      </c>
    </row>
    <row r="36" spans="1:5" ht="16" outlineLevel="1" x14ac:dyDescent="0.2">
      <c r="A36" s="1390"/>
      <c r="B36" s="1391"/>
      <c r="C36" s="1391"/>
      <c r="D36" s="64" t="s">
        <v>27</v>
      </c>
      <c r="E36" s="573">
        <v>0</v>
      </c>
    </row>
    <row r="37" spans="1:5" ht="16" outlineLevel="1" x14ac:dyDescent="0.2">
      <c r="A37" s="1390"/>
      <c r="B37" s="1391"/>
      <c r="C37" s="1391"/>
      <c r="D37" s="64" t="s">
        <v>28</v>
      </c>
      <c r="E37" s="573">
        <v>0</v>
      </c>
    </row>
    <row r="38" spans="1:5" ht="16" outlineLevel="1" x14ac:dyDescent="0.2">
      <c r="A38" s="1390"/>
      <c r="B38" s="1391"/>
      <c r="C38" s="1391"/>
      <c r="D38" s="64" t="s">
        <v>29</v>
      </c>
      <c r="E38" s="573">
        <v>0</v>
      </c>
    </row>
    <row r="39" spans="1:5" ht="16" outlineLevel="1" x14ac:dyDescent="0.2">
      <c r="A39" s="1390"/>
      <c r="B39" s="1391"/>
      <c r="C39" s="1391"/>
      <c r="D39" s="64" t="s">
        <v>30</v>
      </c>
      <c r="E39" s="573">
        <v>0</v>
      </c>
    </row>
    <row r="40" spans="1:5" ht="16" outlineLevel="1" x14ac:dyDescent="0.2">
      <c r="A40" s="1390"/>
      <c r="B40" s="1391"/>
      <c r="C40" s="1391"/>
      <c r="D40" s="64" t="s">
        <v>31</v>
      </c>
      <c r="E40" s="573">
        <v>0</v>
      </c>
    </row>
    <row r="41" spans="1:5" ht="16" outlineLevel="1" x14ac:dyDescent="0.2">
      <c r="A41" s="1390"/>
      <c r="B41" s="1391"/>
      <c r="C41" s="1391"/>
      <c r="D41" s="64" t="s">
        <v>32</v>
      </c>
      <c r="E41" s="573">
        <v>0</v>
      </c>
    </row>
    <row r="42" spans="1:5" ht="16" outlineLevel="1" x14ac:dyDescent="0.2">
      <c r="A42" s="1390"/>
      <c r="B42" s="1391"/>
      <c r="C42" s="1391"/>
      <c r="D42" s="64" t="s">
        <v>33</v>
      </c>
      <c r="E42" s="573">
        <v>0</v>
      </c>
    </row>
    <row r="43" spans="1:5" ht="17" outlineLevel="1" thickBot="1" x14ac:dyDescent="0.25">
      <c r="A43" s="1390"/>
      <c r="B43" s="1391"/>
      <c r="C43" s="1391"/>
      <c r="D43" s="65" t="s">
        <v>34</v>
      </c>
      <c r="E43" s="574">
        <v>0</v>
      </c>
    </row>
    <row r="44" spans="1:5" ht="16" outlineLevel="1" x14ac:dyDescent="0.2">
      <c r="A44" s="1390" t="s">
        <v>89</v>
      </c>
      <c r="B44" s="1391" t="s">
        <v>76</v>
      </c>
      <c r="C44" s="1391">
        <v>637040</v>
      </c>
      <c r="D44" s="63" t="s">
        <v>25</v>
      </c>
      <c r="E44" s="573">
        <v>0</v>
      </c>
    </row>
    <row r="45" spans="1:5" ht="16" outlineLevel="1" x14ac:dyDescent="0.2">
      <c r="A45" s="1390"/>
      <c r="B45" s="1391"/>
      <c r="C45" s="1391"/>
      <c r="D45" s="64" t="s">
        <v>26</v>
      </c>
      <c r="E45" s="573">
        <v>0</v>
      </c>
    </row>
    <row r="46" spans="1:5" ht="16" outlineLevel="1" x14ac:dyDescent="0.2">
      <c r="A46" s="1390"/>
      <c r="B46" s="1391"/>
      <c r="C46" s="1391"/>
      <c r="D46" s="64" t="s">
        <v>27</v>
      </c>
      <c r="E46" s="573">
        <v>0</v>
      </c>
    </row>
    <row r="47" spans="1:5" ht="16" outlineLevel="1" x14ac:dyDescent="0.2">
      <c r="A47" s="1390"/>
      <c r="B47" s="1391"/>
      <c r="C47" s="1391"/>
      <c r="D47" s="64" t="s">
        <v>28</v>
      </c>
      <c r="E47" s="573">
        <v>0</v>
      </c>
    </row>
    <row r="48" spans="1:5" ht="16" outlineLevel="1" x14ac:dyDescent="0.2">
      <c r="A48" s="1390"/>
      <c r="B48" s="1391"/>
      <c r="C48" s="1391"/>
      <c r="D48" s="64" t="s">
        <v>29</v>
      </c>
      <c r="E48" s="573">
        <v>0</v>
      </c>
    </row>
    <row r="49" spans="1:5" ht="16" outlineLevel="1" x14ac:dyDescent="0.2">
      <c r="A49" s="1390"/>
      <c r="B49" s="1391"/>
      <c r="C49" s="1391"/>
      <c r="D49" s="64" t="s">
        <v>30</v>
      </c>
      <c r="E49" s="573">
        <v>0</v>
      </c>
    </row>
    <row r="50" spans="1:5" ht="16" outlineLevel="1" x14ac:dyDescent="0.2">
      <c r="A50" s="1390"/>
      <c r="B50" s="1391"/>
      <c r="C50" s="1391"/>
      <c r="D50" s="64" t="s">
        <v>31</v>
      </c>
      <c r="E50" s="573">
        <v>0</v>
      </c>
    </row>
    <row r="51" spans="1:5" ht="16" outlineLevel="1" x14ac:dyDescent="0.2">
      <c r="A51" s="1390"/>
      <c r="B51" s="1391"/>
      <c r="C51" s="1391"/>
      <c r="D51" s="64" t="s">
        <v>32</v>
      </c>
      <c r="E51" s="573">
        <v>0</v>
      </c>
    </row>
    <row r="52" spans="1:5" ht="16" outlineLevel="1" x14ac:dyDescent="0.2">
      <c r="A52" s="1390"/>
      <c r="B52" s="1391"/>
      <c r="C52" s="1391"/>
      <c r="D52" s="64" t="s">
        <v>33</v>
      </c>
      <c r="E52" s="573">
        <v>0</v>
      </c>
    </row>
    <row r="53" spans="1:5" ht="17" outlineLevel="1" thickBot="1" x14ac:dyDescent="0.25">
      <c r="A53" s="1390"/>
      <c r="B53" s="1391"/>
      <c r="C53" s="1391"/>
      <c r="D53" s="65" t="s">
        <v>34</v>
      </c>
      <c r="E53" s="574">
        <v>0</v>
      </c>
    </row>
  </sheetData>
  <mergeCells count="17">
    <mergeCell ref="A34:A43"/>
    <mergeCell ref="B34:B43"/>
    <mergeCell ref="C34:C43"/>
    <mergeCell ref="A44:A53"/>
    <mergeCell ref="B44:B53"/>
    <mergeCell ref="C44:C53"/>
    <mergeCell ref="A14:A23"/>
    <mergeCell ref="B14:B23"/>
    <mergeCell ref="C14:C23"/>
    <mergeCell ref="A24:A33"/>
    <mergeCell ref="B24:B33"/>
    <mergeCell ref="C24:C33"/>
    <mergeCell ref="A1:D1"/>
    <mergeCell ref="A3:C3"/>
    <mergeCell ref="A4:A13"/>
    <mergeCell ref="B4:B13"/>
    <mergeCell ref="C4:C13"/>
  </mergeCells>
  <pageMargins left="0.7" right="0.7" top="0.75" bottom="0.75" header="0.3" footer="0.3"/>
  <pageSetup paperSize="9" scale="92"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2">
    <tabColor rgb="FFFFFF00"/>
    <outlinePr summaryBelow="0" summaryRight="0"/>
  </sheetPr>
  <dimension ref="A1:AA191"/>
  <sheetViews>
    <sheetView zoomScaleNormal="70" workbookViewId="0">
      <pane xSplit="3" ySplit="5" topLeftCell="G73" activePane="bottomRight" state="frozen"/>
      <selection activeCell="G18" sqref="G18"/>
      <selection pane="topRight" activeCell="G18" sqref="G18"/>
      <selection pane="bottomLeft" activeCell="G18" sqref="G18"/>
      <selection pane="bottomRight" activeCell="I79" sqref="I79:P88"/>
    </sheetView>
  </sheetViews>
  <sheetFormatPr baseColWidth="10" defaultColWidth="8.83203125" defaultRowHeight="15" outlineLevelRow="2" outlineLevelCol="1" x14ac:dyDescent="0.2"/>
  <cols>
    <col min="1" max="1" width="22.5" customWidth="1"/>
    <col min="2" max="2" width="23.33203125" customWidth="1"/>
    <col min="3" max="3" width="22.5" customWidth="1"/>
    <col min="5" max="5" width="17.83203125" customWidth="1"/>
    <col min="6" max="26" width="18" customWidth="1" outlineLevel="1"/>
  </cols>
  <sheetData>
    <row r="1" spans="1:26" ht="26" x14ac:dyDescent="0.3">
      <c r="A1" s="1396"/>
      <c r="B1" s="1396"/>
      <c r="C1" s="1396"/>
      <c r="D1" s="1396"/>
      <c r="F1" s="1393" t="s">
        <v>292</v>
      </c>
      <c r="G1" s="1393"/>
      <c r="H1" s="1393"/>
      <c r="I1" s="1393"/>
      <c r="J1" s="1393"/>
      <c r="K1" s="1393"/>
      <c r="L1" s="1393"/>
      <c r="M1" s="1393"/>
      <c r="N1" s="1393"/>
      <c r="O1" s="1393"/>
      <c r="P1" s="1393"/>
      <c r="Q1" s="1393"/>
      <c r="R1" s="1393"/>
      <c r="S1" s="1393"/>
      <c r="T1" s="1393"/>
      <c r="U1" s="1393"/>
      <c r="V1" s="1393"/>
      <c r="W1" s="1393"/>
      <c r="X1" s="1393"/>
      <c r="Y1" s="1393"/>
      <c r="Z1" s="1393"/>
    </row>
    <row r="2" spans="1:26" ht="35.25" customHeight="1" thickBot="1" x14ac:dyDescent="0.3">
      <c r="A2" s="1386" t="s">
        <v>96</v>
      </c>
      <c r="B2" s="1386"/>
      <c r="C2" s="1386"/>
      <c r="D2" s="1387"/>
      <c r="E2" s="66" t="s">
        <v>35</v>
      </c>
      <c r="F2" s="575" t="str">
        <f>MODULY_CBA!$B3</f>
        <v>NetAcad LAB A vybavenie (Networking a základy cybersec)</v>
      </c>
      <c r="G2" s="575" t="str">
        <f>MODULY_CBA!$B4</f>
        <v>NetAcad LAB B vybavenie (Pokročilá cybersec)</v>
      </c>
      <c r="H2" s="575" t="str">
        <f>MODULY_CBA!$B5</f>
        <v>NetAcad LAB spoločná komunikačná infraštruktúra</v>
      </c>
      <c r="I2" s="575" t="str">
        <f>MODULY_CBA!$B6</f>
        <v>NetAcad LAB vzdelávací obsah v  oblasti kybernetickej bezpečnosti (na Slovensku)</v>
      </c>
      <c r="J2" s="575" t="str">
        <f>MODULY_CBA!$B7</f>
        <v>LMS Cluster + Interoperabilita</v>
      </c>
      <c r="K2" s="575" t="str">
        <f>MODULY_CBA!$B8</f>
        <v>CSKI Centrálna serverová a komunikačná infraštruktúra</v>
      </c>
      <c r="L2" s="575" t="str">
        <f>MODULY_CBA!$B9</f>
        <v>AI Cluster</v>
      </c>
      <c r="M2" s="575" t="str">
        <f>MODULY_CBA!$B10</f>
        <v>CSIRT-SOC Cluster</v>
      </c>
      <c r="N2" s="575" t="str">
        <f>MODULY_CBA!$B11</f>
        <v>Kvantové počítače a príslušenstvo</v>
      </c>
      <c r="O2" s="575" t="str">
        <f>MODULY_CBA!$B12</f>
        <v>Rozširujúce laboratórne vybavenie UI</v>
      </c>
      <c r="P2" s="575" t="str">
        <f>MODULY_CBA!$B13</f>
        <v>Externé služby a podpora (kurzy, vzdelávanie, ....)</v>
      </c>
      <c r="Q2" s="575">
        <f>MODULY_CBA!$B14</f>
        <v>0</v>
      </c>
      <c r="R2" s="575">
        <f>MODULY_CBA!$B15</f>
        <v>0</v>
      </c>
      <c r="S2" s="575">
        <f>MODULY_CBA!$B16</f>
        <v>0</v>
      </c>
      <c r="T2" s="575">
        <f>MODULY_CBA!$B17</f>
        <v>0</v>
      </c>
      <c r="U2" s="575">
        <f>MODULY_CBA!$B18</f>
        <v>0</v>
      </c>
      <c r="V2" s="575">
        <f>MODULY_CBA!$B19</f>
        <v>0</v>
      </c>
      <c r="W2" s="575">
        <f>MODULY_CBA!$B20</f>
        <v>0</v>
      </c>
      <c r="X2" s="575">
        <f>MODULY_CBA!$B21</f>
        <v>0</v>
      </c>
      <c r="Y2" s="575">
        <f>MODULY_CBA!$B22</f>
        <v>0</v>
      </c>
      <c r="Z2" s="575">
        <f>MODULY_CBA!$B23</f>
        <v>0</v>
      </c>
    </row>
    <row r="3" spans="1:26" ht="16" thickBot="1" x14ac:dyDescent="0.25">
      <c r="A3" s="36" t="s">
        <v>0</v>
      </c>
      <c r="B3" s="70" t="s">
        <v>73</v>
      </c>
      <c r="C3" s="70" t="s">
        <v>72</v>
      </c>
      <c r="D3" s="70" t="s">
        <v>23</v>
      </c>
      <c r="E3" s="17"/>
      <c r="F3" s="17"/>
      <c r="G3" s="17"/>
      <c r="H3" s="17"/>
      <c r="I3" s="17"/>
      <c r="J3" s="17"/>
      <c r="K3" s="17"/>
      <c r="L3" s="17"/>
      <c r="M3" s="17"/>
      <c r="N3" s="17"/>
      <c r="O3" s="17"/>
      <c r="P3" s="17"/>
      <c r="Q3" s="17"/>
      <c r="R3" s="17"/>
      <c r="S3" s="17"/>
      <c r="T3" s="17"/>
      <c r="U3" s="17"/>
      <c r="V3" s="17"/>
      <c r="W3" s="17"/>
      <c r="X3" s="17"/>
      <c r="Y3" s="17"/>
      <c r="Z3" s="17"/>
    </row>
    <row r="4" spans="1:26" ht="16" thickBot="1" x14ac:dyDescent="0.25">
      <c r="A4" s="1394" t="s">
        <v>113</v>
      </c>
      <c r="B4" s="1395"/>
      <c r="C4" s="1395"/>
      <c r="D4" s="74"/>
      <c r="E4" s="72">
        <f t="shared" ref="E4:F4" si="0">E5+E36</f>
        <v>6036509.6218775501</v>
      </c>
      <c r="F4" s="73">
        <f t="shared" si="0"/>
        <v>97284.356816326501</v>
      </c>
      <c r="G4" s="73">
        <f t="shared" ref="G4:Z4" si="1">G5+G36</f>
        <v>97284.356816326501</v>
      </c>
      <c r="H4" s="73">
        <f t="shared" si="1"/>
        <v>223754.02067755099</v>
      </c>
      <c r="I4" s="73">
        <f t="shared" si="1"/>
        <v>369000</v>
      </c>
      <c r="J4" s="73">
        <f t="shared" si="1"/>
        <v>1256657.2679999997</v>
      </c>
      <c r="K4" s="73">
        <f t="shared" si="1"/>
        <v>0</v>
      </c>
      <c r="L4" s="73">
        <f t="shared" si="1"/>
        <v>157276.3768530612</v>
      </c>
      <c r="M4" s="73">
        <f t="shared" si="1"/>
        <v>2059352.9314285712</v>
      </c>
      <c r="N4" s="73">
        <f t="shared" si="1"/>
        <v>73185</v>
      </c>
      <c r="O4" s="73">
        <f t="shared" si="1"/>
        <v>0</v>
      </c>
      <c r="P4" s="73">
        <f t="shared" si="1"/>
        <v>1702715.3112857139</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ht="16" outlineLevel="1" thickBot="1" x14ac:dyDescent="0.25">
      <c r="A5" s="17" t="s">
        <v>103</v>
      </c>
      <c r="B5" s="17"/>
      <c r="C5" s="17"/>
      <c r="D5" s="27"/>
      <c r="E5" s="72">
        <f t="shared" ref="E5:F5" si="2">SUM(E6:E35)</f>
        <v>2064065.0518775508</v>
      </c>
      <c r="F5" s="73">
        <f t="shared" si="2"/>
        <v>0</v>
      </c>
      <c r="G5" s="73">
        <f t="shared" ref="G5:Z5" si="3">SUM(G6:G35)</f>
        <v>0</v>
      </c>
      <c r="H5" s="73">
        <f t="shared" si="3"/>
        <v>0</v>
      </c>
      <c r="I5" s="73">
        <f t="shared" si="3"/>
        <v>369000</v>
      </c>
      <c r="J5" s="73">
        <f t="shared" si="3"/>
        <v>303270.57120000001</v>
      </c>
      <c r="K5" s="73">
        <f t="shared" si="3"/>
        <v>0</v>
      </c>
      <c r="L5" s="73">
        <f t="shared" si="3"/>
        <v>0</v>
      </c>
      <c r="M5" s="73">
        <f t="shared" si="3"/>
        <v>827084.41175510199</v>
      </c>
      <c r="N5" s="73">
        <f t="shared" si="3"/>
        <v>73185</v>
      </c>
      <c r="O5" s="73">
        <f t="shared" si="3"/>
        <v>0</v>
      </c>
      <c r="P5" s="73">
        <f t="shared" si="3"/>
        <v>491525.0689224489</v>
      </c>
      <c r="Q5" s="73">
        <f t="shared" si="3"/>
        <v>0</v>
      </c>
      <c r="R5" s="73">
        <f t="shared" si="3"/>
        <v>0</v>
      </c>
      <c r="S5" s="73">
        <f t="shared" si="3"/>
        <v>0</v>
      </c>
      <c r="T5" s="73">
        <f t="shared" si="3"/>
        <v>0</v>
      </c>
      <c r="U5" s="73">
        <f t="shared" si="3"/>
        <v>0</v>
      </c>
      <c r="V5" s="73">
        <f t="shared" si="3"/>
        <v>0</v>
      </c>
      <c r="W5" s="73">
        <f t="shared" si="3"/>
        <v>0</v>
      </c>
      <c r="X5" s="73">
        <f t="shared" si="3"/>
        <v>0</v>
      </c>
      <c r="Y5" s="73">
        <f t="shared" si="3"/>
        <v>0</v>
      </c>
      <c r="Z5" s="73">
        <f t="shared" si="3"/>
        <v>0</v>
      </c>
    </row>
    <row r="6" spans="1:26" outlineLevel="2" x14ac:dyDescent="0.2">
      <c r="A6" s="1390" t="s">
        <v>70</v>
      </c>
      <c r="B6" s="1391" t="s">
        <v>71</v>
      </c>
      <c r="C6" s="1391">
        <v>711003</v>
      </c>
      <c r="D6" s="63">
        <v>1</v>
      </c>
      <c r="E6" s="60">
        <f>SUM(F6:Z6)</f>
        <v>0</v>
      </c>
      <c r="F6" s="578">
        <f>IFERROR(SUMIFS('Rozpočet - HW a licencie'!$I$3:$I$102,'Rozpočet - HW a licencie'!$A$3:$A$102,'TCO TO BE- SW'!F$2,'Rozpočet - HW a licencie'!$C$3:$C$102,"SW",'Rozpočet - HW a licencie'!$G$3:$G$102,'TCO TO BE- SW'!$D6,'Rozpočet - HW a licencie'!$D$3:$D$102,$B$6),)</f>
        <v>0</v>
      </c>
      <c r="G6" s="578">
        <f>IFERROR(SUMIFS('Rozpočet - HW a licencie'!$I$3:$I$102,'Rozpočet - HW a licencie'!$A$3:$A$102,'TCO TO BE- SW'!G$2,'Rozpočet - HW a licencie'!$C$3:$C$102,"SW",'Rozpočet - HW a licencie'!$G$3:$G$102,'TCO TO BE- SW'!$D6,'Rozpočet - HW a licencie'!$D$3:$D$102,$B$6),)</f>
        <v>0</v>
      </c>
      <c r="H6" s="578">
        <f>IFERROR(SUMIFS('Rozpočet - HW a licencie'!$I$3:$I$102,'Rozpočet - HW a licencie'!$A$3:$A$102,'TCO TO BE- SW'!H$2,'Rozpočet - HW a licencie'!$C$3:$C$102,"SW",'Rozpočet - HW a licencie'!$G$3:$G$102,'TCO TO BE- SW'!$D6,'Rozpočet - HW a licencie'!$D$3:$D$102,$B$6),)</f>
        <v>0</v>
      </c>
      <c r="I6" s="578">
        <f>IFERROR(SUMIFS('Rozpočet - HW a licencie'!$I$3:$I$102,'Rozpočet - HW a licencie'!$A$3:$A$102,'TCO TO BE- SW'!I$2,'Rozpočet - HW a licencie'!$C$3:$C$102,"SW",'Rozpočet - HW a licencie'!$G$3:$G$102,'TCO TO BE- SW'!$D6,'Rozpočet - HW a licencie'!$D$3:$D$102,$B$6),)</f>
        <v>0</v>
      </c>
      <c r="J6" s="578">
        <f>IFERROR(SUMIFS('Rozpočet - HW a licencie'!$I$3:$I$102,'Rozpočet - HW a licencie'!$A$3:$A$102,'TCO TO BE- SW'!J$2,'Rozpočet - HW a licencie'!$C$3:$C$102,"SW",'Rozpočet - HW a licencie'!$G$3:$G$102,'TCO TO BE- SW'!$D6,'Rozpočet - HW a licencie'!$D$3:$D$102,$B$6),)</f>
        <v>0</v>
      </c>
      <c r="K6" s="578">
        <f>IFERROR(SUMIFS('Rozpočet - HW a licencie'!$I$3:$I$102,'Rozpočet - HW a licencie'!$A$3:$A$102,'TCO TO BE- SW'!K$2,'Rozpočet - HW a licencie'!$C$3:$C$102,"SW",'Rozpočet - HW a licencie'!$G$3:$G$102,'TCO TO BE- SW'!$D6,'Rozpočet - HW a licencie'!$D$3:$D$102,$B$6),)</f>
        <v>0</v>
      </c>
      <c r="L6" s="578">
        <f>IFERROR(SUMIFS('Rozpočet - HW a licencie'!$I$3:$I$102,'Rozpočet - HW a licencie'!$A$3:$A$102,'TCO TO BE- SW'!L$2,'Rozpočet - HW a licencie'!$C$3:$C$102,"SW",'Rozpočet - HW a licencie'!$G$3:$G$102,'TCO TO BE- SW'!$D6,'Rozpočet - HW a licencie'!$D$3:$D$102,$B$6),)</f>
        <v>0</v>
      </c>
      <c r="M6" s="578">
        <f>IFERROR(SUMIFS('Rozpočet - HW a licencie'!$I$3:$I$102,'Rozpočet - HW a licencie'!$A$3:$A$102,'TCO TO BE- SW'!M$2,'Rozpočet - HW a licencie'!$C$3:$C$102,"SW",'Rozpočet - HW a licencie'!$G$3:$G$102,'TCO TO BE- SW'!$D6,'Rozpočet - HW a licencie'!$D$3:$D$102,$B$6),)</f>
        <v>0</v>
      </c>
      <c r="N6" s="578">
        <f>IFERROR(SUMIFS('Rozpočet - HW a licencie'!$I$3:$I$102,'Rozpočet - HW a licencie'!$A$3:$A$102,'TCO TO BE- SW'!N$2,'Rozpočet - HW a licencie'!$C$3:$C$102,"SW",'Rozpočet - HW a licencie'!$G$3:$G$102,'TCO TO BE- SW'!$D6,'Rozpočet - HW a licencie'!$D$3:$D$102,$B$6),)</f>
        <v>0</v>
      </c>
      <c r="O6" s="578">
        <f>IFERROR(SUMIFS('Rozpočet - HW a licencie'!$I$3:$I$102,'Rozpočet - HW a licencie'!$A$3:$A$102,'TCO TO BE- SW'!O$2,'Rozpočet - HW a licencie'!$C$3:$C$102,"SW",'Rozpočet - HW a licencie'!$G$3:$G$102,'TCO TO BE- SW'!$D6,'Rozpočet - HW a licencie'!$D$3:$D$102,$B$6),)</f>
        <v>0</v>
      </c>
      <c r="P6" s="578">
        <f>IFERROR(SUMIFS('Rozpočet - HW a licencie'!$I$3:$I$102,'Rozpočet - HW a licencie'!$A$3:$A$102,'TCO TO BE- SW'!P$2,'Rozpočet - HW a licencie'!$C$3:$C$102,"SW",'Rozpočet - HW a licencie'!$G$3:$G$102,'TCO TO BE- SW'!$D6,'Rozpočet - HW a licencie'!$D$3:$D$102,$B$6),)</f>
        <v>0</v>
      </c>
      <c r="Q6" s="578">
        <f>IFERROR(SUMIFS('Rozpočet - HW a licencie'!$I$3:$I$102,'Rozpočet - HW a licencie'!$A$3:$A$102,'TCO TO BE- SW'!Q$2,'Rozpočet - HW a licencie'!$C$3:$C$102,"SW",'Rozpočet - HW a licencie'!$G$3:$G$102,'TCO TO BE- SW'!$D6,'Rozpočet - HW a licencie'!$D$3:$D$102,$B$6),)</f>
        <v>0</v>
      </c>
      <c r="R6" s="578">
        <f>IFERROR(SUMIFS('Rozpočet - HW a licencie'!$I$3:$I$102,'Rozpočet - HW a licencie'!$A$3:$A$102,'TCO TO BE- SW'!R$2,'Rozpočet - HW a licencie'!$C$3:$C$102,"SW",'Rozpočet - HW a licencie'!$G$3:$G$102,'TCO TO BE- SW'!$D6,'Rozpočet - HW a licencie'!$D$3:$D$102,$B$6),)</f>
        <v>0</v>
      </c>
      <c r="S6" s="578">
        <f>IFERROR(SUMIFS('Rozpočet - HW a licencie'!$I$3:$I$102,'Rozpočet - HW a licencie'!$A$3:$A$102,'TCO TO BE- SW'!S$2,'Rozpočet - HW a licencie'!$C$3:$C$102,"SW",'Rozpočet - HW a licencie'!$G$3:$G$102,'TCO TO BE- SW'!$D6,'Rozpočet - HW a licencie'!$D$3:$D$102,$B$6),)</f>
        <v>0</v>
      </c>
      <c r="T6" s="578">
        <f>IFERROR(SUMIFS('Rozpočet - HW a licencie'!$I$3:$I$102,'Rozpočet - HW a licencie'!$A$3:$A$102,'TCO TO BE- SW'!T$2,'Rozpočet - HW a licencie'!$C$3:$C$102,"SW",'Rozpočet - HW a licencie'!$G$3:$G$102,'TCO TO BE- SW'!$D6,'Rozpočet - HW a licencie'!$D$3:$D$102,$B$6),)</f>
        <v>0</v>
      </c>
      <c r="U6" s="578">
        <f>IFERROR(SUMIFS('Rozpočet - HW a licencie'!$I$3:$I$102,'Rozpočet - HW a licencie'!$A$3:$A$102,'TCO TO BE- SW'!U$2,'Rozpočet - HW a licencie'!$C$3:$C$102,"SW",'Rozpočet - HW a licencie'!$G$3:$G$102,'TCO TO BE- SW'!$D6,'Rozpočet - HW a licencie'!$D$3:$D$102,$B$6),)</f>
        <v>0</v>
      </c>
      <c r="V6" s="578">
        <f>IFERROR(SUMIFS('Rozpočet - HW a licencie'!$I$3:$I$102,'Rozpočet - HW a licencie'!$A$3:$A$102,'TCO TO BE- SW'!V$2,'Rozpočet - HW a licencie'!$C$3:$C$102,"SW",'Rozpočet - HW a licencie'!$G$3:$G$102,'TCO TO BE- SW'!$D6,'Rozpočet - HW a licencie'!$D$3:$D$102,$B$6),)</f>
        <v>0</v>
      </c>
      <c r="W6" s="578">
        <f>IFERROR(SUMIFS('Rozpočet - HW a licencie'!$I$3:$I$102,'Rozpočet - HW a licencie'!$A$3:$A$102,'TCO TO BE- SW'!W$2,'Rozpočet - HW a licencie'!$C$3:$C$102,"SW",'Rozpočet - HW a licencie'!$G$3:$G$102,'TCO TO BE- SW'!$D6,'Rozpočet - HW a licencie'!$D$3:$D$102,$B$6),)</f>
        <v>0</v>
      </c>
      <c r="X6" s="578">
        <f>IFERROR(SUMIFS('Rozpočet - HW a licencie'!$I$3:$I$102,'Rozpočet - HW a licencie'!$A$3:$A$102,'TCO TO BE- SW'!X$2,'Rozpočet - HW a licencie'!$C$3:$C$102,"SW",'Rozpočet - HW a licencie'!$G$3:$G$102,'TCO TO BE- SW'!$D6,'Rozpočet - HW a licencie'!$D$3:$D$102,$B$6),)</f>
        <v>0</v>
      </c>
      <c r="Y6" s="578">
        <f>IFERROR(SUMIFS('Rozpočet - HW a licencie'!$I$3:$I$102,'Rozpočet - HW a licencie'!$A$3:$A$102,'TCO TO BE- SW'!Y$2,'Rozpočet - HW a licencie'!$C$3:$C$102,"SW",'Rozpočet - HW a licencie'!$G$3:$G$102,'TCO TO BE- SW'!$D6,'Rozpočet - HW a licencie'!$D$3:$D$102,$B$6),)</f>
        <v>0</v>
      </c>
      <c r="Z6" s="578">
        <f>IFERROR(SUMIFS('Rozpočet - HW a licencie'!$I$3:$I$102,'Rozpočet - HW a licencie'!$A$3:$A$102,'TCO TO BE- SW'!Z$2,'Rozpočet - HW a licencie'!$C$3:$C$102,"SW",'Rozpočet - HW a licencie'!$G$3:$G$102,'TCO TO BE- SW'!$D6,'Rozpočet - HW a licencie'!$D$3:$D$102,$B$6),)</f>
        <v>0</v>
      </c>
    </row>
    <row r="7" spans="1:26" outlineLevel="2" x14ac:dyDescent="0.2">
      <c r="A7" s="1390"/>
      <c r="B7" s="1391"/>
      <c r="C7" s="1391"/>
      <c r="D7" s="64">
        <v>2</v>
      </c>
      <c r="E7" s="61">
        <f t="shared" ref="E7:E35" si="4">SUM(F7:Z7)</f>
        <v>2064065.0518775508</v>
      </c>
      <c r="F7" s="579">
        <f>IFERROR(SUMIFS('Rozpočet - HW a licencie'!$I$3:$I$102,'Rozpočet - HW a licencie'!$A$3:$A$102,'TCO TO BE- SW'!F$2,'Rozpočet - HW a licencie'!$C$3:$C$102,"SW",'Rozpočet - HW a licencie'!$G$3:$G$102,'TCO TO BE- SW'!$D7,'Rozpočet - HW a licencie'!$D$3:$D$102,$B$6),)</f>
        <v>0</v>
      </c>
      <c r="G7" s="579">
        <f>IFERROR(SUMIFS('Rozpočet - HW a licencie'!$I$3:$I$102,'Rozpočet - HW a licencie'!$A$3:$A$102,'TCO TO BE- SW'!G$2,'Rozpočet - HW a licencie'!$C$3:$C$102,"SW",'Rozpočet - HW a licencie'!$G$3:$G$102,'TCO TO BE- SW'!$D7,'Rozpočet - HW a licencie'!$D$3:$D$102,$B$6),)</f>
        <v>0</v>
      </c>
      <c r="H7" s="579">
        <f>IFERROR(SUMIFS('Rozpočet - HW a licencie'!$I$3:$I$102,'Rozpočet - HW a licencie'!$A$3:$A$102,'TCO TO BE- SW'!H$2,'Rozpočet - HW a licencie'!$C$3:$C$102,"SW",'Rozpočet - HW a licencie'!$G$3:$G$102,'TCO TO BE- SW'!$D7,'Rozpočet - HW a licencie'!$D$3:$D$102,$B$6),)</f>
        <v>0</v>
      </c>
      <c r="I7" s="579">
        <f>IFERROR(SUMIFS('Rozpočet - HW a licencie'!$I$3:$I$102,'Rozpočet - HW a licencie'!$A$3:$A$102,'TCO TO BE- SW'!I$2,'Rozpočet - HW a licencie'!$C$3:$C$102,"SW",'Rozpočet - HW a licencie'!$G$3:$G$102,'TCO TO BE- SW'!$D7,'Rozpočet - HW a licencie'!$D$3:$D$102,$B$6),)</f>
        <v>369000</v>
      </c>
      <c r="J7" s="579">
        <f>IFERROR(SUMIFS('Rozpočet - HW a licencie'!$I$3:$I$102,'Rozpočet - HW a licencie'!$A$3:$A$102,'TCO TO BE- SW'!J$2,'Rozpočet - HW a licencie'!$C$3:$C$102,"SW",'Rozpočet - HW a licencie'!$G$3:$G$102,'TCO TO BE- SW'!$D7,'Rozpočet - HW a licencie'!$D$3:$D$102,$B$6),)</f>
        <v>303270.57120000001</v>
      </c>
      <c r="K7" s="579">
        <f>IFERROR(SUMIFS('Rozpočet - HW a licencie'!$I$3:$I$102,'Rozpočet - HW a licencie'!$A$3:$A$102,'TCO TO BE- SW'!K$2,'Rozpočet - HW a licencie'!$C$3:$C$102,"SW",'Rozpočet - HW a licencie'!$G$3:$G$102,'TCO TO BE- SW'!$D7,'Rozpočet - HW a licencie'!$D$3:$D$102,$B$6),)</f>
        <v>0</v>
      </c>
      <c r="L7" s="579">
        <f>IFERROR(SUMIFS('Rozpočet - HW a licencie'!$I$3:$I$102,'Rozpočet - HW a licencie'!$A$3:$A$102,'TCO TO BE- SW'!L$2,'Rozpočet - HW a licencie'!$C$3:$C$102,"SW",'Rozpočet - HW a licencie'!$G$3:$G$102,'TCO TO BE- SW'!$D7,'Rozpočet - HW a licencie'!$D$3:$D$102,$B$6),)</f>
        <v>0</v>
      </c>
      <c r="M7" s="579">
        <f>IFERROR(SUMIFS('Rozpočet - HW a licencie'!$I$3:$I$102,'Rozpočet - HW a licencie'!$A$3:$A$102,'TCO TO BE- SW'!M$2,'Rozpočet - HW a licencie'!$C$3:$C$102,"SW",'Rozpočet - HW a licencie'!$G$3:$G$102,'TCO TO BE- SW'!$D7,'Rozpočet - HW a licencie'!$D$3:$D$102,$B$6),)</f>
        <v>827084.41175510199</v>
      </c>
      <c r="N7" s="579">
        <f>IFERROR(SUMIFS('Rozpočet - HW a licencie'!$I$3:$I$102,'Rozpočet - HW a licencie'!$A$3:$A$102,'TCO TO BE- SW'!N$2,'Rozpočet - HW a licencie'!$C$3:$C$102,"SW",'Rozpočet - HW a licencie'!$G$3:$G$102,'TCO TO BE- SW'!$D7,'Rozpočet - HW a licencie'!$D$3:$D$102,$B$6),)</f>
        <v>73185</v>
      </c>
      <c r="O7" s="579">
        <f>IFERROR(SUMIFS('Rozpočet - HW a licencie'!$I$3:$I$102,'Rozpočet - HW a licencie'!$A$3:$A$102,'TCO TO BE- SW'!O$2,'Rozpočet - HW a licencie'!$C$3:$C$102,"SW",'Rozpočet - HW a licencie'!$G$3:$G$102,'TCO TO BE- SW'!$D7,'Rozpočet - HW a licencie'!$D$3:$D$102,$B$6),)</f>
        <v>0</v>
      </c>
      <c r="P7" s="579">
        <f>IFERROR(SUMIFS('Rozpočet - HW a licencie'!$I$3:$I$102,'Rozpočet - HW a licencie'!$A$3:$A$102,'TCO TO BE- SW'!P$2,'Rozpočet - HW a licencie'!$C$3:$C$102,"SW",'Rozpočet - HW a licencie'!$G$3:$G$102,'TCO TO BE- SW'!$D7,'Rozpočet - HW a licencie'!$D$3:$D$102,$B$6),)</f>
        <v>491525.0689224489</v>
      </c>
      <c r="Q7" s="579">
        <f>IFERROR(SUMIFS('Rozpočet - HW a licencie'!$I$3:$I$102,'Rozpočet - HW a licencie'!$A$3:$A$102,'TCO TO BE- SW'!Q$2,'Rozpočet - HW a licencie'!$C$3:$C$102,"SW",'Rozpočet - HW a licencie'!$G$3:$G$102,'TCO TO BE- SW'!$D7,'Rozpočet - HW a licencie'!$D$3:$D$102,$B$6),)</f>
        <v>0</v>
      </c>
      <c r="R7" s="579">
        <f>IFERROR(SUMIFS('Rozpočet - HW a licencie'!$I$3:$I$102,'Rozpočet - HW a licencie'!$A$3:$A$102,'TCO TO BE- SW'!R$2,'Rozpočet - HW a licencie'!$C$3:$C$102,"SW",'Rozpočet - HW a licencie'!$G$3:$G$102,'TCO TO BE- SW'!$D7,'Rozpočet - HW a licencie'!$D$3:$D$102,$B$6),)</f>
        <v>0</v>
      </c>
      <c r="S7" s="579">
        <f>IFERROR(SUMIFS('Rozpočet - HW a licencie'!$I$3:$I$102,'Rozpočet - HW a licencie'!$A$3:$A$102,'TCO TO BE- SW'!S$2,'Rozpočet - HW a licencie'!$C$3:$C$102,"SW",'Rozpočet - HW a licencie'!$G$3:$G$102,'TCO TO BE- SW'!$D7,'Rozpočet - HW a licencie'!$D$3:$D$102,$B$6),)</f>
        <v>0</v>
      </c>
      <c r="T7" s="579">
        <f>IFERROR(SUMIFS('Rozpočet - HW a licencie'!$I$3:$I$102,'Rozpočet - HW a licencie'!$A$3:$A$102,'TCO TO BE- SW'!T$2,'Rozpočet - HW a licencie'!$C$3:$C$102,"SW",'Rozpočet - HW a licencie'!$G$3:$G$102,'TCO TO BE- SW'!$D7,'Rozpočet - HW a licencie'!$D$3:$D$102,$B$6),)</f>
        <v>0</v>
      </c>
      <c r="U7" s="579">
        <f>IFERROR(SUMIFS('Rozpočet - HW a licencie'!$I$3:$I$102,'Rozpočet - HW a licencie'!$A$3:$A$102,'TCO TO BE- SW'!U$2,'Rozpočet - HW a licencie'!$C$3:$C$102,"SW",'Rozpočet - HW a licencie'!$G$3:$G$102,'TCO TO BE- SW'!$D7,'Rozpočet - HW a licencie'!$D$3:$D$102,$B$6),)</f>
        <v>0</v>
      </c>
      <c r="V7" s="579">
        <f>IFERROR(SUMIFS('Rozpočet - HW a licencie'!$I$3:$I$102,'Rozpočet - HW a licencie'!$A$3:$A$102,'TCO TO BE- SW'!V$2,'Rozpočet - HW a licencie'!$C$3:$C$102,"SW",'Rozpočet - HW a licencie'!$G$3:$G$102,'TCO TO BE- SW'!$D7,'Rozpočet - HW a licencie'!$D$3:$D$102,$B$6),)</f>
        <v>0</v>
      </c>
      <c r="W7" s="579">
        <f>IFERROR(SUMIFS('Rozpočet - HW a licencie'!$I$3:$I$102,'Rozpočet - HW a licencie'!$A$3:$A$102,'TCO TO BE- SW'!W$2,'Rozpočet - HW a licencie'!$C$3:$C$102,"SW",'Rozpočet - HW a licencie'!$G$3:$G$102,'TCO TO BE- SW'!$D7,'Rozpočet - HW a licencie'!$D$3:$D$102,$B$6),)</f>
        <v>0</v>
      </c>
      <c r="X7" s="579">
        <f>IFERROR(SUMIFS('Rozpočet - HW a licencie'!$I$3:$I$102,'Rozpočet - HW a licencie'!$A$3:$A$102,'TCO TO BE- SW'!X$2,'Rozpočet - HW a licencie'!$C$3:$C$102,"SW",'Rozpočet - HW a licencie'!$G$3:$G$102,'TCO TO BE- SW'!$D7,'Rozpočet - HW a licencie'!$D$3:$D$102,$B$6),)</f>
        <v>0</v>
      </c>
      <c r="Y7" s="579">
        <f>IFERROR(SUMIFS('Rozpočet - HW a licencie'!$I$3:$I$102,'Rozpočet - HW a licencie'!$A$3:$A$102,'TCO TO BE- SW'!Y$2,'Rozpočet - HW a licencie'!$C$3:$C$102,"SW",'Rozpočet - HW a licencie'!$G$3:$G$102,'TCO TO BE- SW'!$D7,'Rozpočet - HW a licencie'!$D$3:$D$102,$B$6),)</f>
        <v>0</v>
      </c>
      <c r="Z7" s="579">
        <f>IFERROR(SUMIFS('Rozpočet - HW a licencie'!$I$3:$I$102,'Rozpočet - HW a licencie'!$A$3:$A$102,'TCO TO BE- SW'!Z$2,'Rozpočet - HW a licencie'!$C$3:$C$102,"SW",'Rozpočet - HW a licencie'!$G$3:$G$102,'TCO TO BE- SW'!$D7,'Rozpočet - HW a licencie'!$D$3:$D$102,$B$6),)</f>
        <v>0</v>
      </c>
    </row>
    <row r="8" spans="1:26" outlineLevel="2" x14ac:dyDescent="0.2">
      <c r="A8" s="1390"/>
      <c r="B8" s="1391"/>
      <c r="C8" s="1391"/>
      <c r="D8" s="64">
        <v>3</v>
      </c>
      <c r="E8" s="61">
        <f t="shared" si="4"/>
        <v>0</v>
      </c>
      <c r="F8" s="579">
        <f>IFERROR(SUMIFS('Rozpočet - HW a licencie'!$I$3:$I$102,'Rozpočet - HW a licencie'!$A$3:$A$102,'TCO TO BE- SW'!F$2,'Rozpočet - HW a licencie'!$C$3:$C$102,"SW",'Rozpočet - HW a licencie'!$G$3:$G$102,'TCO TO BE- SW'!$D8,'Rozpočet - HW a licencie'!$D$3:$D$102,$B$6),)</f>
        <v>0</v>
      </c>
      <c r="G8" s="579">
        <f>IFERROR(SUMIFS('Rozpočet - HW a licencie'!$I$3:$I$102,'Rozpočet - HW a licencie'!$A$3:$A$102,'TCO TO BE- SW'!G$2,'Rozpočet - HW a licencie'!$C$3:$C$102,"SW",'Rozpočet - HW a licencie'!$G$3:$G$102,'TCO TO BE- SW'!$D8,'Rozpočet - HW a licencie'!$D$3:$D$102,$B$6),)</f>
        <v>0</v>
      </c>
      <c r="H8" s="579">
        <f>IFERROR(SUMIFS('Rozpočet - HW a licencie'!$I$3:$I$102,'Rozpočet - HW a licencie'!$A$3:$A$102,'TCO TO BE- SW'!H$2,'Rozpočet - HW a licencie'!$C$3:$C$102,"SW",'Rozpočet - HW a licencie'!$G$3:$G$102,'TCO TO BE- SW'!$D8,'Rozpočet - HW a licencie'!$D$3:$D$102,$B$6),)</f>
        <v>0</v>
      </c>
      <c r="I8" s="579">
        <f>IFERROR(SUMIFS('Rozpočet - HW a licencie'!$I$3:$I$102,'Rozpočet - HW a licencie'!$A$3:$A$102,'TCO TO BE- SW'!I$2,'Rozpočet - HW a licencie'!$C$3:$C$102,"SW",'Rozpočet - HW a licencie'!$G$3:$G$102,'TCO TO BE- SW'!$D8,'Rozpočet - HW a licencie'!$D$3:$D$102,$B$6),)</f>
        <v>0</v>
      </c>
      <c r="J8" s="579">
        <f>IFERROR(SUMIFS('Rozpočet - HW a licencie'!$I$3:$I$102,'Rozpočet - HW a licencie'!$A$3:$A$102,'TCO TO BE- SW'!J$2,'Rozpočet - HW a licencie'!$C$3:$C$102,"SW",'Rozpočet - HW a licencie'!$G$3:$G$102,'TCO TO BE- SW'!$D8,'Rozpočet - HW a licencie'!$D$3:$D$102,$B$6),)</f>
        <v>0</v>
      </c>
      <c r="K8" s="579">
        <f>IFERROR(SUMIFS('Rozpočet - HW a licencie'!$I$3:$I$102,'Rozpočet - HW a licencie'!$A$3:$A$102,'TCO TO BE- SW'!K$2,'Rozpočet - HW a licencie'!$C$3:$C$102,"SW",'Rozpočet - HW a licencie'!$G$3:$G$102,'TCO TO BE- SW'!$D8,'Rozpočet - HW a licencie'!$D$3:$D$102,$B$6),)</f>
        <v>0</v>
      </c>
      <c r="L8" s="579">
        <f>IFERROR(SUMIFS('Rozpočet - HW a licencie'!$I$3:$I$102,'Rozpočet - HW a licencie'!$A$3:$A$102,'TCO TO BE- SW'!L$2,'Rozpočet - HW a licencie'!$C$3:$C$102,"SW",'Rozpočet - HW a licencie'!$G$3:$G$102,'TCO TO BE- SW'!$D8,'Rozpočet - HW a licencie'!$D$3:$D$102,$B$6),)</f>
        <v>0</v>
      </c>
      <c r="M8" s="579">
        <f>IFERROR(SUMIFS('Rozpočet - HW a licencie'!$I$3:$I$102,'Rozpočet - HW a licencie'!$A$3:$A$102,'TCO TO BE- SW'!M$2,'Rozpočet - HW a licencie'!$C$3:$C$102,"SW",'Rozpočet - HW a licencie'!$G$3:$G$102,'TCO TO BE- SW'!$D8,'Rozpočet - HW a licencie'!$D$3:$D$102,$B$6),)</f>
        <v>0</v>
      </c>
      <c r="N8" s="579">
        <f>IFERROR(SUMIFS('Rozpočet - HW a licencie'!$I$3:$I$102,'Rozpočet - HW a licencie'!$A$3:$A$102,'TCO TO BE- SW'!N$2,'Rozpočet - HW a licencie'!$C$3:$C$102,"SW",'Rozpočet - HW a licencie'!$G$3:$G$102,'TCO TO BE- SW'!$D8,'Rozpočet - HW a licencie'!$D$3:$D$102,$B$6),)</f>
        <v>0</v>
      </c>
      <c r="O8" s="579">
        <f>IFERROR(SUMIFS('Rozpočet - HW a licencie'!$I$3:$I$102,'Rozpočet - HW a licencie'!$A$3:$A$102,'TCO TO BE- SW'!O$2,'Rozpočet - HW a licencie'!$C$3:$C$102,"SW",'Rozpočet - HW a licencie'!$G$3:$G$102,'TCO TO BE- SW'!$D8,'Rozpočet - HW a licencie'!$D$3:$D$102,$B$6),)</f>
        <v>0</v>
      </c>
      <c r="P8" s="579">
        <f>IFERROR(SUMIFS('Rozpočet - HW a licencie'!$I$3:$I$102,'Rozpočet - HW a licencie'!$A$3:$A$102,'TCO TO BE- SW'!P$2,'Rozpočet - HW a licencie'!$C$3:$C$102,"SW",'Rozpočet - HW a licencie'!$G$3:$G$102,'TCO TO BE- SW'!$D8,'Rozpočet - HW a licencie'!$D$3:$D$102,$B$6),)</f>
        <v>0</v>
      </c>
      <c r="Q8" s="579">
        <f>IFERROR(SUMIFS('Rozpočet - HW a licencie'!$I$3:$I$102,'Rozpočet - HW a licencie'!$A$3:$A$102,'TCO TO BE- SW'!Q$2,'Rozpočet - HW a licencie'!$C$3:$C$102,"SW",'Rozpočet - HW a licencie'!$G$3:$G$102,'TCO TO BE- SW'!$D8,'Rozpočet - HW a licencie'!$D$3:$D$102,$B$6),)</f>
        <v>0</v>
      </c>
      <c r="R8" s="579">
        <f>IFERROR(SUMIFS('Rozpočet - HW a licencie'!$I$3:$I$102,'Rozpočet - HW a licencie'!$A$3:$A$102,'TCO TO BE- SW'!R$2,'Rozpočet - HW a licencie'!$C$3:$C$102,"SW",'Rozpočet - HW a licencie'!$G$3:$G$102,'TCO TO BE- SW'!$D8,'Rozpočet - HW a licencie'!$D$3:$D$102,$B$6),)</f>
        <v>0</v>
      </c>
      <c r="S8" s="579">
        <f>IFERROR(SUMIFS('Rozpočet - HW a licencie'!$I$3:$I$102,'Rozpočet - HW a licencie'!$A$3:$A$102,'TCO TO BE- SW'!S$2,'Rozpočet - HW a licencie'!$C$3:$C$102,"SW",'Rozpočet - HW a licencie'!$G$3:$G$102,'TCO TO BE- SW'!$D8,'Rozpočet - HW a licencie'!$D$3:$D$102,$B$6),)</f>
        <v>0</v>
      </c>
      <c r="T8" s="579">
        <f>IFERROR(SUMIFS('Rozpočet - HW a licencie'!$I$3:$I$102,'Rozpočet - HW a licencie'!$A$3:$A$102,'TCO TO BE- SW'!T$2,'Rozpočet - HW a licencie'!$C$3:$C$102,"SW",'Rozpočet - HW a licencie'!$G$3:$G$102,'TCO TO BE- SW'!$D8,'Rozpočet - HW a licencie'!$D$3:$D$102,$B$6),)</f>
        <v>0</v>
      </c>
      <c r="U8" s="579">
        <f>IFERROR(SUMIFS('Rozpočet - HW a licencie'!$I$3:$I$102,'Rozpočet - HW a licencie'!$A$3:$A$102,'TCO TO BE- SW'!U$2,'Rozpočet - HW a licencie'!$C$3:$C$102,"SW",'Rozpočet - HW a licencie'!$G$3:$G$102,'TCO TO BE- SW'!$D8,'Rozpočet - HW a licencie'!$D$3:$D$102,$B$6),)</f>
        <v>0</v>
      </c>
      <c r="V8" s="579">
        <f>IFERROR(SUMIFS('Rozpočet - HW a licencie'!$I$3:$I$102,'Rozpočet - HW a licencie'!$A$3:$A$102,'TCO TO BE- SW'!V$2,'Rozpočet - HW a licencie'!$C$3:$C$102,"SW",'Rozpočet - HW a licencie'!$G$3:$G$102,'TCO TO BE- SW'!$D8,'Rozpočet - HW a licencie'!$D$3:$D$102,$B$6),)</f>
        <v>0</v>
      </c>
      <c r="W8" s="579">
        <f>IFERROR(SUMIFS('Rozpočet - HW a licencie'!$I$3:$I$102,'Rozpočet - HW a licencie'!$A$3:$A$102,'TCO TO BE- SW'!W$2,'Rozpočet - HW a licencie'!$C$3:$C$102,"SW",'Rozpočet - HW a licencie'!$G$3:$G$102,'TCO TO BE- SW'!$D8,'Rozpočet - HW a licencie'!$D$3:$D$102,$B$6),)</f>
        <v>0</v>
      </c>
      <c r="X8" s="579">
        <f>IFERROR(SUMIFS('Rozpočet - HW a licencie'!$I$3:$I$102,'Rozpočet - HW a licencie'!$A$3:$A$102,'TCO TO BE- SW'!X$2,'Rozpočet - HW a licencie'!$C$3:$C$102,"SW",'Rozpočet - HW a licencie'!$G$3:$G$102,'TCO TO BE- SW'!$D8,'Rozpočet - HW a licencie'!$D$3:$D$102,$B$6),)</f>
        <v>0</v>
      </c>
      <c r="Y8" s="579">
        <f>IFERROR(SUMIFS('Rozpočet - HW a licencie'!$I$3:$I$102,'Rozpočet - HW a licencie'!$A$3:$A$102,'TCO TO BE- SW'!Y$2,'Rozpočet - HW a licencie'!$C$3:$C$102,"SW",'Rozpočet - HW a licencie'!$G$3:$G$102,'TCO TO BE- SW'!$D8,'Rozpočet - HW a licencie'!$D$3:$D$102,$B$6),)</f>
        <v>0</v>
      </c>
      <c r="Z8" s="579">
        <f>IFERROR(SUMIFS('Rozpočet - HW a licencie'!$I$3:$I$102,'Rozpočet - HW a licencie'!$A$3:$A$102,'TCO TO BE- SW'!Z$2,'Rozpočet - HW a licencie'!$C$3:$C$102,"SW",'Rozpočet - HW a licencie'!$G$3:$G$102,'TCO TO BE- SW'!$D8,'Rozpočet - HW a licencie'!$D$3:$D$102,$B$6),)</f>
        <v>0</v>
      </c>
    </row>
    <row r="9" spans="1:26" outlineLevel="2" x14ac:dyDescent="0.2">
      <c r="A9" s="1390"/>
      <c r="B9" s="1391"/>
      <c r="C9" s="1391"/>
      <c r="D9" s="64">
        <v>4</v>
      </c>
      <c r="E9" s="61">
        <f t="shared" si="4"/>
        <v>0</v>
      </c>
      <c r="F9" s="579">
        <f>IFERROR(SUMIFS('Rozpočet - HW a licencie'!$I$3:$I$102,'Rozpočet - HW a licencie'!$A$3:$A$102,'TCO TO BE- SW'!F$2,'Rozpočet - HW a licencie'!$C$3:$C$102,"SW",'Rozpočet - HW a licencie'!$G$3:$G$102,'TCO TO BE- SW'!$D9,'Rozpočet - HW a licencie'!$D$3:$D$102,$B$6),)</f>
        <v>0</v>
      </c>
      <c r="G9" s="579">
        <f>IFERROR(SUMIFS('Rozpočet - HW a licencie'!$I$3:$I$102,'Rozpočet - HW a licencie'!$A$3:$A$102,'TCO TO BE- SW'!G$2,'Rozpočet - HW a licencie'!$C$3:$C$102,"SW",'Rozpočet - HW a licencie'!$G$3:$G$102,'TCO TO BE- SW'!$D9,'Rozpočet - HW a licencie'!$D$3:$D$102,$B$6),)</f>
        <v>0</v>
      </c>
      <c r="H9" s="579">
        <f>IFERROR(SUMIFS('Rozpočet - HW a licencie'!$I$3:$I$102,'Rozpočet - HW a licencie'!$A$3:$A$102,'TCO TO BE- SW'!H$2,'Rozpočet - HW a licencie'!$C$3:$C$102,"SW",'Rozpočet - HW a licencie'!$G$3:$G$102,'TCO TO BE- SW'!$D9,'Rozpočet - HW a licencie'!$D$3:$D$102,$B$6),)</f>
        <v>0</v>
      </c>
      <c r="I9" s="579">
        <f>IFERROR(SUMIFS('Rozpočet - HW a licencie'!$I$3:$I$102,'Rozpočet - HW a licencie'!$A$3:$A$102,'TCO TO BE- SW'!I$2,'Rozpočet - HW a licencie'!$C$3:$C$102,"SW",'Rozpočet - HW a licencie'!$G$3:$G$102,'TCO TO BE- SW'!$D9,'Rozpočet - HW a licencie'!$D$3:$D$102,$B$6),)</f>
        <v>0</v>
      </c>
      <c r="J9" s="579">
        <f>IFERROR(SUMIFS('Rozpočet - HW a licencie'!$I$3:$I$102,'Rozpočet - HW a licencie'!$A$3:$A$102,'TCO TO BE- SW'!J$2,'Rozpočet - HW a licencie'!$C$3:$C$102,"SW",'Rozpočet - HW a licencie'!$G$3:$G$102,'TCO TO BE- SW'!$D9,'Rozpočet - HW a licencie'!$D$3:$D$102,$B$6),)</f>
        <v>0</v>
      </c>
      <c r="K9" s="579">
        <f>IFERROR(SUMIFS('Rozpočet - HW a licencie'!$I$3:$I$102,'Rozpočet - HW a licencie'!$A$3:$A$102,'TCO TO BE- SW'!K$2,'Rozpočet - HW a licencie'!$C$3:$C$102,"SW",'Rozpočet - HW a licencie'!$G$3:$G$102,'TCO TO BE- SW'!$D9,'Rozpočet - HW a licencie'!$D$3:$D$102,$B$6),)</f>
        <v>0</v>
      </c>
      <c r="L9" s="579">
        <f>IFERROR(SUMIFS('Rozpočet - HW a licencie'!$I$3:$I$102,'Rozpočet - HW a licencie'!$A$3:$A$102,'TCO TO BE- SW'!L$2,'Rozpočet - HW a licencie'!$C$3:$C$102,"SW",'Rozpočet - HW a licencie'!$G$3:$G$102,'TCO TO BE- SW'!$D9,'Rozpočet - HW a licencie'!$D$3:$D$102,$B$6),)</f>
        <v>0</v>
      </c>
      <c r="M9" s="579">
        <f>IFERROR(SUMIFS('Rozpočet - HW a licencie'!$I$3:$I$102,'Rozpočet - HW a licencie'!$A$3:$A$102,'TCO TO BE- SW'!M$2,'Rozpočet - HW a licencie'!$C$3:$C$102,"SW",'Rozpočet - HW a licencie'!$G$3:$G$102,'TCO TO BE- SW'!$D9,'Rozpočet - HW a licencie'!$D$3:$D$102,$B$6),)</f>
        <v>0</v>
      </c>
      <c r="N9" s="579">
        <f>IFERROR(SUMIFS('Rozpočet - HW a licencie'!$I$3:$I$102,'Rozpočet - HW a licencie'!$A$3:$A$102,'TCO TO BE- SW'!N$2,'Rozpočet - HW a licencie'!$C$3:$C$102,"SW",'Rozpočet - HW a licencie'!$G$3:$G$102,'TCO TO BE- SW'!$D9,'Rozpočet - HW a licencie'!$D$3:$D$102,$B$6),)</f>
        <v>0</v>
      </c>
      <c r="O9" s="579">
        <f>IFERROR(SUMIFS('Rozpočet - HW a licencie'!$I$3:$I$102,'Rozpočet - HW a licencie'!$A$3:$A$102,'TCO TO BE- SW'!O$2,'Rozpočet - HW a licencie'!$C$3:$C$102,"SW",'Rozpočet - HW a licencie'!$G$3:$G$102,'TCO TO BE- SW'!$D9,'Rozpočet - HW a licencie'!$D$3:$D$102,$B$6),)</f>
        <v>0</v>
      </c>
      <c r="P9" s="579">
        <f>IFERROR(SUMIFS('Rozpočet - HW a licencie'!$I$3:$I$102,'Rozpočet - HW a licencie'!$A$3:$A$102,'TCO TO BE- SW'!P$2,'Rozpočet - HW a licencie'!$C$3:$C$102,"SW",'Rozpočet - HW a licencie'!$G$3:$G$102,'TCO TO BE- SW'!$D9,'Rozpočet - HW a licencie'!$D$3:$D$102,$B$6),)</f>
        <v>0</v>
      </c>
      <c r="Q9" s="579">
        <f>IFERROR(SUMIFS('Rozpočet - HW a licencie'!$I$3:$I$102,'Rozpočet - HW a licencie'!$A$3:$A$102,'TCO TO BE- SW'!Q$2,'Rozpočet - HW a licencie'!$C$3:$C$102,"SW",'Rozpočet - HW a licencie'!$G$3:$G$102,'TCO TO BE- SW'!$D9,'Rozpočet - HW a licencie'!$D$3:$D$102,$B$6),)</f>
        <v>0</v>
      </c>
      <c r="R9" s="579">
        <f>IFERROR(SUMIFS('Rozpočet - HW a licencie'!$I$3:$I$102,'Rozpočet - HW a licencie'!$A$3:$A$102,'TCO TO BE- SW'!R$2,'Rozpočet - HW a licencie'!$C$3:$C$102,"SW",'Rozpočet - HW a licencie'!$G$3:$G$102,'TCO TO BE- SW'!$D9,'Rozpočet - HW a licencie'!$D$3:$D$102,$B$6),)</f>
        <v>0</v>
      </c>
      <c r="S9" s="579">
        <f>IFERROR(SUMIFS('Rozpočet - HW a licencie'!$I$3:$I$102,'Rozpočet - HW a licencie'!$A$3:$A$102,'TCO TO BE- SW'!S$2,'Rozpočet - HW a licencie'!$C$3:$C$102,"SW",'Rozpočet - HW a licencie'!$G$3:$G$102,'TCO TO BE- SW'!$D9,'Rozpočet - HW a licencie'!$D$3:$D$102,$B$6),)</f>
        <v>0</v>
      </c>
      <c r="T9" s="579">
        <f>IFERROR(SUMIFS('Rozpočet - HW a licencie'!$I$3:$I$102,'Rozpočet - HW a licencie'!$A$3:$A$102,'TCO TO BE- SW'!T$2,'Rozpočet - HW a licencie'!$C$3:$C$102,"SW",'Rozpočet - HW a licencie'!$G$3:$G$102,'TCO TO BE- SW'!$D9,'Rozpočet - HW a licencie'!$D$3:$D$102,$B$6),)</f>
        <v>0</v>
      </c>
      <c r="U9" s="579">
        <f>IFERROR(SUMIFS('Rozpočet - HW a licencie'!$I$3:$I$102,'Rozpočet - HW a licencie'!$A$3:$A$102,'TCO TO BE- SW'!U$2,'Rozpočet - HW a licencie'!$C$3:$C$102,"SW",'Rozpočet - HW a licencie'!$G$3:$G$102,'TCO TO BE- SW'!$D9,'Rozpočet - HW a licencie'!$D$3:$D$102,$B$6),)</f>
        <v>0</v>
      </c>
      <c r="V9" s="579">
        <f>IFERROR(SUMIFS('Rozpočet - HW a licencie'!$I$3:$I$102,'Rozpočet - HW a licencie'!$A$3:$A$102,'TCO TO BE- SW'!V$2,'Rozpočet - HW a licencie'!$C$3:$C$102,"SW",'Rozpočet - HW a licencie'!$G$3:$G$102,'TCO TO BE- SW'!$D9,'Rozpočet - HW a licencie'!$D$3:$D$102,$B$6),)</f>
        <v>0</v>
      </c>
      <c r="W9" s="579">
        <f>IFERROR(SUMIFS('Rozpočet - HW a licencie'!$I$3:$I$102,'Rozpočet - HW a licencie'!$A$3:$A$102,'TCO TO BE- SW'!W$2,'Rozpočet - HW a licencie'!$C$3:$C$102,"SW",'Rozpočet - HW a licencie'!$G$3:$G$102,'TCO TO BE- SW'!$D9,'Rozpočet - HW a licencie'!$D$3:$D$102,$B$6),)</f>
        <v>0</v>
      </c>
      <c r="X9" s="579">
        <f>IFERROR(SUMIFS('Rozpočet - HW a licencie'!$I$3:$I$102,'Rozpočet - HW a licencie'!$A$3:$A$102,'TCO TO BE- SW'!X$2,'Rozpočet - HW a licencie'!$C$3:$C$102,"SW",'Rozpočet - HW a licencie'!$G$3:$G$102,'TCO TO BE- SW'!$D9,'Rozpočet - HW a licencie'!$D$3:$D$102,$B$6),)</f>
        <v>0</v>
      </c>
      <c r="Y9" s="579">
        <f>IFERROR(SUMIFS('Rozpočet - HW a licencie'!$I$3:$I$102,'Rozpočet - HW a licencie'!$A$3:$A$102,'TCO TO BE- SW'!Y$2,'Rozpočet - HW a licencie'!$C$3:$C$102,"SW",'Rozpočet - HW a licencie'!$G$3:$G$102,'TCO TO BE- SW'!$D9,'Rozpočet - HW a licencie'!$D$3:$D$102,$B$6),)</f>
        <v>0</v>
      </c>
      <c r="Z9" s="579">
        <f>IFERROR(SUMIFS('Rozpočet - HW a licencie'!$I$3:$I$102,'Rozpočet - HW a licencie'!$A$3:$A$102,'TCO TO BE- SW'!Z$2,'Rozpočet - HW a licencie'!$C$3:$C$102,"SW",'Rozpočet - HW a licencie'!$G$3:$G$102,'TCO TO BE- SW'!$D9,'Rozpočet - HW a licencie'!$D$3:$D$102,$B$6),)</f>
        <v>0</v>
      </c>
    </row>
    <row r="10" spans="1:26" outlineLevel="2" x14ac:dyDescent="0.2">
      <c r="A10" s="1390"/>
      <c r="B10" s="1391"/>
      <c r="C10" s="1391"/>
      <c r="D10" s="64">
        <v>5</v>
      </c>
      <c r="E10" s="61">
        <f t="shared" si="4"/>
        <v>0</v>
      </c>
      <c r="F10" s="579">
        <f>IFERROR(SUMIFS('Rozpočet - HW a licencie'!$I$3:$I$102,'Rozpočet - HW a licencie'!$A$3:$A$102,'TCO TO BE- SW'!F$2,'Rozpočet - HW a licencie'!$C$3:$C$102,"SW",'Rozpočet - HW a licencie'!$G$3:$G$102,'TCO TO BE- SW'!$D10,'Rozpočet - HW a licencie'!$D$3:$D$102,$B$6),)</f>
        <v>0</v>
      </c>
      <c r="G10" s="579">
        <f>IFERROR(SUMIFS('Rozpočet - HW a licencie'!$I$3:$I$102,'Rozpočet - HW a licencie'!$A$3:$A$102,'TCO TO BE- SW'!G$2,'Rozpočet - HW a licencie'!$C$3:$C$102,"SW",'Rozpočet - HW a licencie'!$G$3:$G$102,'TCO TO BE- SW'!$D10,'Rozpočet - HW a licencie'!$D$3:$D$102,$B$6),)</f>
        <v>0</v>
      </c>
      <c r="H10" s="579">
        <f>IFERROR(SUMIFS('Rozpočet - HW a licencie'!$I$3:$I$102,'Rozpočet - HW a licencie'!$A$3:$A$102,'TCO TO BE- SW'!H$2,'Rozpočet - HW a licencie'!$C$3:$C$102,"SW",'Rozpočet - HW a licencie'!$G$3:$G$102,'TCO TO BE- SW'!$D10,'Rozpočet - HW a licencie'!$D$3:$D$102,$B$6),)</f>
        <v>0</v>
      </c>
      <c r="I10" s="579">
        <f>IFERROR(SUMIFS('Rozpočet - HW a licencie'!$I$3:$I$102,'Rozpočet - HW a licencie'!$A$3:$A$102,'TCO TO BE- SW'!I$2,'Rozpočet - HW a licencie'!$C$3:$C$102,"SW",'Rozpočet - HW a licencie'!$G$3:$G$102,'TCO TO BE- SW'!$D10,'Rozpočet - HW a licencie'!$D$3:$D$102,$B$6),)</f>
        <v>0</v>
      </c>
      <c r="J10" s="579">
        <f>IFERROR(SUMIFS('Rozpočet - HW a licencie'!$I$3:$I$102,'Rozpočet - HW a licencie'!$A$3:$A$102,'TCO TO BE- SW'!J$2,'Rozpočet - HW a licencie'!$C$3:$C$102,"SW",'Rozpočet - HW a licencie'!$G$3:$G$102,'TCO TO BE- SW'!$D10,'Rozpočet - HW a licencie'!$D$3:$D$102,$B$6),)</f>
        <v>0</v>
      </c>
      <c r="K10" s="579">
        <f>IFERROR(SUMIFS('Rozpočet - HW a licencie'!$I$3:$I$102,'Rozpočet - HW a licencie'!$A$3:$A$102,'TCO TO BE- SW'!K$2,'Rozpočet - HW a licencie'!$C$3:$C$102,"SW",'Rozpočet - HW a licencie'!$G$3:$G$102,'TCO TO BE- SW'!$D10,'Rozpočet - HW a licencie'!$D$3:$D$102,$B$6),)</f>
        <v>0</v>
      </c>
      <c r="L10" s="579">
        <f>IFERROR(SUMIFS('Rozpočet - HW a licencie'!$I$3:$I$102,'Rozpočet - HW a licencie'!$A$3:$A$102,'TCO TO BE- SW'!L$2,'Rozpočet - HW a licencie'!$C$3:$C$102,"SW",'Rozpočet - HW a licencie'!$G$3:$G$102,'TCO TO BE- SW'!$D10,'Rozpočet - HW a licencie'!$D$3:$D$102,$B$6),)</f>
        <v>0</v>
      </c>
      <c r="M10" s="579">
        <f>IFERROR(SUMIFS('Rozpočet - HW a licencie'!$I$3:$I$102,'Rozpočet - HW a licencie'!$A$3:$A$102,'TCO TO BE- SW'!M$2,'Rozpočet - HW a licencie'!$C$3:$C$102,"SW",'Rozpočet - HW a licencie'!$G$3:$G$102,'TCO TO BE- SW'!$D10,'Rozpočet - HW a licencie'!$D$3:$D$102,$B$6),)</f>
        <v>0</v>
      </c>
      <c r="N10" s="579">
        <f>IFERROR(SUMIFS('Rozpočet - HW a licencie'!$I$3:$I$102,'Rozpočet - HW a licencie'!$A$3:$A$102,'TCO TO BE- SW'!N$2,'Rozpočet - HW a licencie'!$C$3:$C$102,"SW",'Rozpočet - HW a licencie'!$G$3:$G$102,'TCO TO BE- SW'!$D10,'Rozpočet - HW a licencie'!$D$3:$D$102,$B$6),)</f>
        <v>0</v>
      </c>
      <c r="O10" s="579">
        <f>IFERROR(SUMIFS('Rozpočet - HW a licencie'!$I$3:$I$102,'Rozpočet - HW a licencie'!$A$3:$A$102,'TCO TO BE- SW'!O$2,'Rozpočet - HW a licencie'!$C$3:$C$102,"SW",'Rozpočet - HW a licencie'!$G$3:$G$102,'TCO TO BE- SW'!$D10,'Rozpočet - HW a licencie'!$D$3:$D$102,$B$6),)</f>
        <v>0</v>
      </c>
      <c r="P10" s="579">
        <f>IFERROR(SUMIFS('Rozpočet - HW a licencie'!$I$3:$I$102,'Rozpočet - HW a licencie'!$A$3:$A$102,'TCO TO BE- SW'!P$2,'Rozpočet - HW a licencie'!$C$3:$C$102,"SW",'Rozpočet - HW a licencie'!$G$3:$G$102,'TCO TO BE- SW'!$D10,'Rozpočet - HW a licencie'!$D$3:$D$102,$B$6),)</f>
        <v>0</v>
      </c>
      <c r="Q10" s="579">
        <f>IFERROR(SUMIFS('Rozpočet - HW a licencie'!$I$3:$I$102,'Rozpočet - HW a licencie'!$A$3:$A$102,'TCO TO BE- SW'!Q$2,'Rozpočet - HW a licencie'!$C$3:$C$102,"SW",'Rozpočet - HW a licencie'!$G$3:$G$102,'TCO TO BE- SW'!$D10,'Rozpočet - HW a licencie'!$D$3:$D$102,$B$6),)</f>
        <v>0</v>
      </c>
      <c r="R10" s="579">
        <f>IFERROR(SUMIFS('Rozpočet - HW a licencie'!$I$3:$I$102,'Rozpočet - HW a licencie'!$A$3:$A$102,'TCO TO BE- SW'!R$2,'Rozpočet - HW a licencie'!$C$3:$C$102,"SW",'Rozpočet - HW a licencie'!$G$3:$G$102,'TCO TO BE- SW'!$D10,'Rozpočet - HW a licencie'!$D$3:$D$102,$B$6),)</f>
        <v>0</v>
      </c>
      <c r="S10" s="579">
        <f>IFERROR(SUMIFS('Rozpočet - HW a licencie'!$I$3:$I$102,'Rozpočet - HW a licencie'!$A$3:$A$102,'TCO TO BE- SW'!S$2,'Rozpočet - HW a licencie'!$C$3:$C$102,"SW",'Rozpočet - HW a licencie'!$G$3:$G$102,'TCO TO BE- SW'!$D10,'Rozpočet - HW a licencie'!$D$3:$D$102,$B$6),)</f>
        <v>0</v>
      </c>
      <c r="T10" s="579">
        <f>IFERROR(SUMIFS('Rozpočet - HW a licencie'!$I$3:$I$102,'Rozpočet - HW a licencie'!$A$3:$A$102,'TCO TO BE- SW'!T$2,'Rozpočet - HW a licencie'!$C$3:$C$102,"SW",'Rozpočet - HW a licencie'!$G$3:$G$102,'TCO TO BE- SW'!$D10,'Rozpočet - HW a licencie'!$D$3:$D$102,$B$6),)</f>
        <v>0</v>
      </c>
      <c r="U10" s="579">
        <f>IFERROR(SUMIFS('Rozpočet - HW a licencie'!$I$3:$I$102,'Rozpočet - HW a licencie'!$A$3:$A$102,'TCO TO BE- SW'!U$2,'Rozpočet - HW a licencie'!$C$3:$C$102,"SW",'Rozpočet - HW a licencie'!$G$3:$G$102,'TCO TO BE- SW'!$D10,'Rozpočet - HW a licencie'!$D$3:$D$102,$B$6),)</f>
        <v>0</v>
      </c>
      <c r="V10" s="579">
        <f>IFERROR(SUMIFS('Rozpočet - HW a licencie'!$I$3:$I$102,'Rozpočet - HW a licencie'!$A$3:$A$102,'TCO TO BE- SW'!V$2,'Rozpočet - HW a licencie'!$C$3:$C$102,"SW",'Rozpočet - HW a licencie'!$G$3:$G$102,'TCO TO BE- SW'!$D10,'Rozpočet - HW a licencie'!$D$3:$D$102,$B$6),)</f>
        <v>0</v>
      </c>
      <c r="W10" s="579">
        <f>IFERROR(SUMIFS('Rozpočet - HW a licencie'!$I$3:$I$102,'Rozpočet - HW a licencie'!$A$3:$A$102,'TCO TO BE- SW'!W$2,'Rozpočet - HW a licencie'!$C$3:$C$102,"SW",'Rozpočet - HW a licencie'!$G$3:$G$102,'TCO TO BE- SW'!$D10,'Rozpočet - HW a licencie'!$D$3:$D$102,$B$6),)</f>
        <v>0</v>
      </c>
      <c r="X10" s="579">
        <f>IFERROR(SUMIFS('Rozpočet - HW a licencie'!$I$3:$I$102,'Rozpočet - HW a licencie'!$A$3:$A$102,'TCO TO BE- SW'!X$2,'Rozpočet - HW a licencie'!$C$3:$C$102,"SW",'Rozpočet - HW a licencie'!$G$3:$G$102,'TCO TO BE- SW'!$D10,'Rozpočet - HW a licencie'!$D$3:$D$102,$B$6),)</f>
        <v>0</v>
      </c>
      <c r="Y10" s="579">
        <f>IFERROR(SUMIFS('Rozpočet - HW a licencie'!$I$3:$I$102,'Rozpočet - HW a licencie'!$A$3:$A$102,'TCO TO BE- SW'!Y$2,'Rozpočet - HW a licencie'!$C$3:$C$102,"SW",'Rozpočet - HW a licencie'!$G$3:$G$102,'TCO TO BE- SW'!$D10,'Rozpočet - HW a licencie'!$D$3:$D$102,$B$6),)</f>
        <v>0</v>
      </c>
      <c r="Z10" s="579">
        <f>IFERROR(SUMIFS('Rozpočet - HW a licencie'!$I$3:$I$102,'Rozpočet - HW a licencie'!$A$3:$A$102,'TCO TO BE- SW'!Z$2,'Rozpočet - HW a licencie'!$C$3:$C$102,"SW",'Rozpočet - HW a licencie'!$G$3:$G$102,'TCO TO BE- SW'!$D10,'Rozpočet - HW a licencie'!$D$3:$D$102,$B$6),)</f>
        <v>0</v>
      </c>
    </row>
    <row r="11" spans="1:26" outlineLevel="2" x14ac:dyDescent="0.2">
      <c r="A11" s="1390"/>
      <c r="B11" s="1391"/>
      <c r="C11" s="1391"/>
      <c r="D11" s="64">
        <v>6</v>
      </c>
      <c r="E11" s="61">
        <f t="shared" si="4"/>
        <v>0</v>
      </c>
      <c r="F11" s="579">
        <f>IFERROR(SUMIFS('Rozpočet - HW a licencie'!$I$3:$I$102,'Rozpočet - HW a licencie'!$A$3:$A$102,'TCO TO BE- SW'!F$2,'Rozpočet - HW a licencie'!$C$3:$C$102,"SW",'Rozpočet - HW a licencie'!$G$3:$G$102,'TCO TO BE- SW'!$D11,'Rozpočet - HW a licencie'!$D$3:$D$102,$B$6),)</f>
        <v>0</v>
      </c>
      <c r="G11" s="579">
        <f>IFERROR(SUMIFS('Rozpočet - HW a licencie'!$I$3:$I$102,'Rozpočet - HW a licencie'!$A$3:$A$102,'TCO TO BE- SW'!G$2,'Rozpočet - HW a licencie'!$C$3:$C$102,"SW",'Rozpočet - HW a licencie'!$G$3:$G$102,'TCO TO BE- SW'!$D11,'Rozpočet - HW a licencie'!$D$3:$D$102,$B$6),)</f>
        <v>0</v>
      </c>
      <c r="H11" s="579">
        <f>IFERROR(SUMIFS('Rozpočet - HW a licencie'!$I$3:$I$102,'Rozpočet - HW a licencie'!$A$3:$A$102,'TCO TO BE- SW'!H$2,'Rozpočet - HW a licencie'!$C$3:$C$102,"SW",'Rozpočet - HW a licencie'!$G$3:$G$102,'TCO TO BE- SW'!$D11,'Rozpočet - HW a licencie'!$D$3:$D$102,$B$6),)</f>
        <v>0</v>
      </c>
      <c r="I11" s="579">
        <f>IFERROR(SUMIFS('Rozpočet - HW a licencie'!$I$3:$I$102,'Rozpočet - HW a licencie'!$A$3:$A$102,'TCO TO BE- SW'!I$2,'Rozpočet - HW a licencie'!$C$3:$C$102,"SW",'Rozpočet - HW a licencie'!$G$3:$G$102,'TCO TO BE- SW'!$D11,'Rozpočet - HW a licencie'!$D$3:$D$102,$B$6),)</f>
        <v>0</v>
      </c>
      <c r="J11" s="579">
        <f>IFERROR(SUMIFS('Rozpočet - HW a licencie'!$I$3:$I$102,'Rozpočet - HW a licencie'!$A$3:$A$102,'TCO TO BE- SW'!J$2,'Rozpočet - HW a licencie'!$C$3:$C$102,"SW",'Rozpočet - HW a licencie'!$G$3:$G$102,'TCO TO BE- SW'!$D11,'Rozpočet - HW a licencie'!$D$3:$D$102,$B$6),)</f>
        <v>0</v>
      </c>
      <c r="K11" s="579">
        <f>IFERROR(SUMIFS('Rozpočet - HW a licencie'!$I$3:$I$102,'Rozpočet - HW a licencie'!$A$3:$A$102,'TCO TO BE- SW'!K$2,'Rozpočet - HW a licencie'!$C$3:$C$102,"SW",'Rozpočet - HW a licencie'!$G$3:$G$102,'TCO TO BE- SW'!$D11,'Rozpočet - HW a licencie'!$D$3:$D$102,$B$6),)</f>
        <v>0</v>
      </c>
      <c r="L11" s="579">
        <f>IFERROR(SUMIFS('Rozpočet - HW a licencie'!$I$3:$I$102,'Rozpočet - HW a licencie'!$A$3:$A$102,'TCO TO BE- SW'!L$2,'Rozpočet - HW a licencie'!$C$3:$C$102,"SW",'Rozpočet - HW a licencie'!$G$3:$G$102,'TCO TO BE- SW'!$D11,'Rozpočet - HW a licencie'!$D$3:$D$102,$B$6),)</f>
        <v>0</v>
      </c>
      <c r="M11" s="579">
        <f>IFERROR(SUMIFS('Rozpočet - HW a licencie'!$I$3:$I$102,'Rozpočet - HW a licencie'!$A$3:$A$102,'TCO TO BE- SW'!M$2,'Rozpočet - HW a licencie'!$C$3:$C$102,"SW",'Rozpočet - HW a licencie'!$G$3:$G$102,'TCO TO BE- SW'!$D11,'Rozpočet - HW a licencie'!$D$3:$D$102,$B$6),)</f>
        <v>0</v>
      </c>
      <c r="N11" s="579">
        <f>IFERROR(SUMIFS('Rozpočet - HW a licencie'!$I$3:$I$102,'Rozpočet - HW a licencie'!$A$3:$A$102,'TCO TO BE- SW'!N$2,'Rozpočet - HW a licencie'!$C$3:$C$102,"SW",'Rozpočet - HW a licencie'!$G$3:$G$102,'TCO TO BE- SW'!$D11,'Rozpočet - HW a licencie'!$D$3:$D$102,$B$6),)</f>
        <v>0</v>
      </c>
      <c r="O11" s="579">
        <f>IFERROR(SUMIFS('Rozpočet - HW a licencie'!$I$3:$I$102,'Rozpočet - HW a licencie'!$A$3:$A$102,'TCO TO BE- SW'!O$2,'Rozpočet - HW a licencie'!$C$3:$C$102,"SW",'Rozpočet - HW a licencie'!$G$3:$G$102,'TCO TO BE- SW'!$D11,'Rozpočet - HW a licencie'!$D$3:$D$102,$B$6),)</f>
        <v>0</v>
      </c>
      <c r="P11" s="579">
        <f>IFERROR(SUMIFS('Rozpočet - HW a licencie'!$I$3:$I$102,'Rozpočet - HW a licencie'!$A$3:$A$102,'TCO TO BE- SW'!P$2,'Rozpočet - HW a licencie'!$C$3:$C$102,"SW",'Rozpočet - HW a licencie'!$G$3:$G$102,'TCO TO BE- SW'!$D11,'Rozpočet - HW a licencie'!$D$3:$D$102,$B$6),)</f>
        <v>0</v>
      </c>
      <c r="Q11" s="579">
        <f>IFERROR(SUMIFS('Rozpočet - HW a licencie'!$I$3:$I$102,'Rozpočet - HW a licencie'!$A$3:$A$102,'TCO TO BE- SW'!Q$2,'Rozpočet - HW a licencie'!$C$3:$C$102,"SW",'Rozpočet - HW a licencie'!$G$3:$G$102,'TCO TO BE- SW'!$D11,'Rozpočet - HW a licencie'!$D$3:$D$102,$B$6),)</f>
        <v>0</v>
      </c>
      <c r="R11" s="579">
        <f>IFERROR(SUMIFS('Rozpočet - HW a licencie'!$I$3:$I$102,'Rozpočet - HW a licencie'!$A$3:$A$102,'TCO TO BE- SW'!R$2,'Rozpočet - HW a licencie'!$C$3:$C$102,"SW",'Rozpočet - HW a licencie'!$G$3:$G$102,'TCO TO BE- SW'!$D11,'Rozpočet - HW a licencie'!$D$3:$D$102,$B$6),)</f>
        <v>0</v>
      </c>
      <c r="S11" s="579">
        <f>IFERROR(SUMIFS('Rozpočet - HW a licencie'!$I$3:$I$102,'Rozpočet - HW a licencie'!$A$3:$A$102,'TCO TO BE- SW'!S$2,'Rozpočet - HW a licencie'!$C$3:$C$102,"SW",'Rozpočet - HW a licencie'!$G$3:$G$102,'TCO TO BE- SW'!$D11,'Rozpočet - HW a licencie'!$D$3:$D$102,$B$6),)</f>
        <v>0</v>
      </c>
      <c r="T11" s="579">
        <f>IFERROR(SUMIFS('Rozpočet - HW a licencie'!$I$3:$I$102,'Rozpočet - HW a licencie'!$A$3:$A$102,'TCO TO BE- SW'!T$2,'Rozpočet - HW a licencie'!$C$3:$C$102,"SW",'Rozpočet - HW a licencie'!$G$3:$G$102,'TCO TO BE- SW'!$D11,'Rozpočet - HW a licencie'!$D$3:$D$102,$B$6),)</f>
        <v>0</v>
      </c>
      <c r="U11" s="579">
        <f>IFERROR(SUMIFS('Rozpočet - HW a licencie'!$I$3:$I$102,'Rozpočet - HW a licencie'!$A$3:$A$102,'TCO TO BE- SW'!U$2,'Rozpočet - HW a licencie'!$C$3:$C$102,"SW",'Rozpočet - HW a licencie'!$G$3:$G$102,'TCO TO BE- SW'!$D11,'Rozpočet - HW a licencie'!$D$3:$D$102,$B$6),)</f>
        <v>0</v>
      </c>
      <c r="V11" s="579">
        <f>IFERROR(SUMIFS('Rozpočet - HW a licencie'!$I$3:$I$102,'Rozpočet - HW a licencie'!$A$3:$A$102,'TCO TO BE- SW'!V$2,'Rozpočet - HW a licencie'!$C$3:$C$102,"SW",'Rozpočet - HW a licencie'!$G$3:$G$102,'TCO TO BE- SW'!$D11,'Rozpočet - HW a licencie'!$D$3:$D$102,$B$6),)</f>
        <v>0</v>
      </c>
      <c r="W11" s="579">
        <f>IFERROR(SUMIFS('Rozpočet - HW a licencie'!$I$3:$I$102,'Rozpočet - HW a licencie'!$A$3:$A$102,'TCO TO BE- SW'!W$2,'Rozpočet - HW a licencie'!$C$3:$C$102,"SW",'Rozpočet - HW a licencie'!$G$3:$G$102,'TCO TO BE- SW'!$D11,'Rozpočet - HW a licencie'!$D$3:$D$102,$B$6),)</f>
        <v>0</v>
      </c>
      <c r="X11" s="579">
        <f>IFERROR(SUMIFS('Rozpočet - HW a licencie'!$I$3:$I$102,'Rozpočet - HW a licencie'!$A$3:$A$102,'TCO TO BE- SW'!X$2,'Rozpočet - HW a licencie'!$C$3:$C$102,"SW",'Rozpočet - HW a licencie'!$G$3:$G$102,'TCO TO BE- SW'!$D11,'Rozpočet - HW a licencie'!$D$3:$D$102,$B$6),)</f>
        <v>0</v>
      </c>
      <c r="Y11" s="579">
        <f>IFERROR(SUMIFS('Rozpočet - HW a licencie'!$I$3:$I$102,'Rozpočet - HW a licencie'!$A$3:$A$102,'TCO TO BE- SW'!Y$2,'Rozpočet - HW a licencie'!$C$3:$C$102,"SW",'Rozpočet - HW a licencie'!$G$3:$G$102,'TCO TO BE- SW'!$D11,'Rozpočet - HW a licencie'!$D$3:$D$102,$B$6),)</f>
        <v>0</v>
      </c>
      <c r="Z11" s="579">
        <f>IFERROR(SUMIFS('Rozpočet - HW a licencie'!$I$3:$I$102,'Rozpočet - HW a licencie'!$A$3:$A$102,'TCO TO BE- SW'!Z$2,'Rozpočet - HW a licencie'!$C$3:$C$102,"SW",'Rozpočet - HW a licencie'!$G$3:$G$102,'TCO TO BE- SW'!$D11,'Rozpočet - HW a licencie'!$D$3:$D$102,$B$6),)</f>
        <v>0</v>
      </c>
    </row>
    <row r="12" spans="1:26" outlineLevel="2" x14ac:dyDescent="0.2">
      <c r="A12" s="1390"/>
      <c r="B12" s="1391"/>
      <c r="C12" s="1391"/>
      <c r="D12" s="64">
        <v>7</v>
      </c>
      <c r="E12" s="61">
        <f t="shared" si="4"/>
        <v>0</v>
      </c>
      <c r="F12" s="579">
        <f>IFERROR(SUMIFS('Rozpočet - HW a licencie'!$I$3:$I$102,'Rozpočet - HW a licencie'!$A$3:$A$102,'TCO TO BE- SW'!F$2,'Rozpočet - HW a licencie'!$C$3:$C$102,"SW",'Rozpočet - HW a licencie'!$G$3:$G$102,'TCO TO BE- SW'!$D12,'Rozpočet - HW a licencie'!$D$3:$D$102,$B$6),)</f>
        <v>0</v>
      </c>
      <c r="G12" s="579">
        <f>IFERROR(SUMIFS('Rozpočet - HW a licencie'!$I$3:$I$102,'Rozpočet - HW a licencie'!$A$3:$A$102,'TCO TO BE- SW'!G$2,'Rozpočet - HW a licencie'!$C$3:$C$102,"SW",'Rozpočet - HW a licencie'!$G$3:$G$102,'TCO TO BE- SW'!$D12,'Rozpočet - HW a licencie'!$D$3:$D$102,$B$6),)</f>
        <v>0</v>
      </c>
      <c r="H12" s="579">
        <f>IFERROR(SUMIFS('Rozpočet - HW a licencie'!$I$3:$I$102,'Rozpočet - HW a licencie'!$A$3:$A$102,'TCO TO BE- SW'!H$2,'Rozpočet - HW a licencie'!$C$3:$C$102,"SW",'Rozpočet - HW a licencie'!$G$3:$G$102,'TCO TO BE- SW'!$D12,'Rozpočet - HW a licencie'!$D$3:$D$102,$B$6),)</f>
        <v>0</v>
      </c>
      <c r="I12" s="579">
        <f>IFERROR(SUMIFS('Rozpočet - HW a licencie'!$I$3:$I$102,'Rozpočet - HW a licencie'!$A$3:$A$102,'TCO TO BE- SW'!I$2,'Rozpočet - HW a licencie'!$C$3:$C$102,"SW",'Rozpočet - HW a licencie'!$G$3:$G$102,'TCO TO BE- SW'!$D12,'Rozpočet - HW a licencie'!$D$3:$D$102,$B$6),)</f>
        <v>0</v>
      </c>
      <c r="J12" s="579">
        <f>IFERROR(SUMIFS('Rozpočet - HW a licencie'!$I$3:$I$102,'Rozpočet - HW a licencie'!$A$3:$A$102,'TCO TO BE- SW'!J$2,'Rozpočet - HW a licencie'!$C$3:$C$102,"SW",'Rozpočet - HW a licencie'!$G$3:$G$102,'TCO TO BE- SW'!$D12,'Rozpočet - HW a licencie'!$D$3:$D$102,$B$6),)</f>
        <v>0</v>
      </c>
      <c r="K12" s="579">
        <f>IFERROR(SUMIFS('Rozpočet - HW a licencie'!$I$3:$I$102,'Rozpočet - HW a licencie'!$A$3:$A$102,'TCO TO BE- SW'!K$2,'Rozpočet - HW a licencie'!$C$3:$C$102,"SW",'Rozpočet - HW a licencie'!$G$3:$G$102,'TCO TO BE- SW'!$D12,'Rozpočet - HW a licencie'!$D$3:$D$102,$B$6),)</f>
        <v>0</v>
      </c>
      <c r="L12" s="579">
        <f>IFERROR(SUMIFS('Rozpočet - HW a licencie'!$I$3:$I$102,'Rozpočet - HW a licencie'!$A$3:$A$102,'TCO TO BE- SW'!L$2,'Rozpočet - HW a licencie'!$C$3:$C$102,"SW",'Rozpočet - HW a licencie'!$G$3:$G$102,'TCO TO BE- SW'!$D12,'Rozpočet - HW a licencie'!$D$3:$D$102,$B$6),)</f>
        <v>0</v>
      </c>
      <c r="M12" s="579">
        <f>IFERROR(SUMIFS('Rozpočet - HW a licencie'!$I$3:$I$102,'Rozpočet - HW a licencie'!$A$3:$A$102,'TCO TO BE- SW'!M$2,'Rozpočet - HW a licencie'!$C$3:$C$102,"SW",'Rozpočet - HW a licencie'!$G$3:$G$102,'TCO TO BE- SW'!$D12,'Rozpočet - HW a licencie'!$D$3:$D$102,$B$6),)</f>
        <v>0</v>
      </c>
      <c r="N12" s="579">
        <f>IFERROR(SUMIFS('Rozpočet - HW a licencie'!$I$3:$I$102,'Rozpočet - HW a licencie'!$A$3:$A$102,'TCO TO BE- SW'!N$2,'Rozpočet - HW a licencie'!$C$3:$C$102,"SW",'Rozpočet - HW a licencie'!$G$3:$G$102,'TCO TO BE- SW'!$D12,'Rozpočet - HW a licencie'!$D$3:$D$102,$B$6),)</f>
        <v>0</v>
      </c>
      <c r="O12" s="579">
        <f>IFERROR(SUMIFS('Rozpočet - HW a licencie'!$I$3:$I$102,'Rozpočet - HW a licencie'!$A$3:$A$102,'TCO TO BE- SW'!O$2,'Rozpočet - HW a licencie'!$C$3:$C$102,"SW",'Rozpočet - HW a licencie'!$G$3:$G$102,'TCO TO BE- SW'!$D12,'Rozpočet - HW a licencie'!$D$3:$D$102,$B$6),)</f>
        <v>0</v>
      </c>
      <c r="P12" s="579">
        <f>IFERROR(SUMIFS('Rozpočet - HW a licencie'!$I$3:$I$102,'Rozpočet - HW a licencie'!$A$3:$A$102,'TCO TO BE- SW'!P$2,'Rozpočet - HW a licencie'!$C$3:$C$102,"SW",'Rozpočet - HW a licencie'!$G$3:$G$102,'TCO TO BE- SW'!$D12,'Rozpočet - HW a licencie'!$D$3:$D$102,$B$6),)</f>
        <v>0</v>
      </c>
      <c r="Q12" s="579">
        <f>IFERROR(SUMIFS('Rozpočet - HW a licencie'!$I$3:$I$102,'Rozpočet - HW a licencie'!$A$3:$A$102,'TCO TO BE- SW'!Q$2,'Rozpočet - HW a licencie'!$C$3:$C$102,"SW",'Rozpočet - HW a licencie'!$G$3:$G$102,'TCO TO BE- SW'!$D12,'Rozpočet - HW a licencie'!$D$3:$D$102,$B$6),)</f>
        <v>0</v>
      </c>
      <c r="R12" s="579">
        <f>IFERROR(SUMIFS('Rozpočet - HW a licencie'!$I$3:$I$102,'Rozpočet - HW a licencie'!$A$3:$A$102,'TCO TO BE- SW'!R$2,'Rozpočet - HW a licencie'!$C$3:$C$102,"SW",'Rozpočet - HW a licencie'!$G$3:$G$102,'TCO TO BE- SW'!$D12,'Rozpočet - HW a licencie'!$D$3:$D$102,$B$6),)</f>
        <v>0</v>
      </c>
      <c r="S12" s="579">
        <f>IFERROR(SUMIFS('Rozpočet - HW a licencie'!$I$3:$I$102,'Rozpočet - HW a licencie'!$A$3:$A$102,'TCO TO BE- SW'!S$2,'Rozpočet - HW a licencie'!$C$3:$C$102,"SW",'Rozpočet - HW a licencie'!$G$3:$G$102,'TCO TO BE- SW'!$D12,'Rozpočet - HW a licencie'!$D$3:$D$102,$B$6),)</f>
        <v>0</v>
      </c>
      <c r="T12" s="579">
        <f>IFERROR(SUMIFS('Rozpočet - HW a licencie'!$I$3:$I$102,'Rozpočet - HW a licencie'!$A$3:$A$102,'TCO TO BE- SW'!T$2,'Rozpočet - HW a licencie'!$C$3:$C$102,"SW",'Rozpočet - HW a licencie'!$G$3:$G$102,'TCO TO BE- SW'!$D12,'Rozpočet - HW a licencie'!$D$3:$D$102,$B$6),)</f>
        <v>0</v>
      </c>
      <c r="U12" s="579">
        <f>IFERROR(SUMIFS('Rozpočet - HW a licencie'!$I$3:$I$102,'Rozpočet - HW a licencie'!$A$3:$A$102,'TCO TO BE- SW'!U$2,'Rozpočet - HW a licencie'!$C$3:$C$102,"SW",'Rozpočet - HW a licencie'!$G$3:$G$102,'TCO TO BE- SW'!$D12,'Rozpočet - HW a licencie'!$D$3:$D$102,$B$6),)</f>
        <v>0</v>
      </c>
      <c r="V12" s="579">
        <f>IFERROR(SUMIFS('Rozpočet - HW a licencie'!$I$3:$I$102,'Rozpočet - HW a licencie'!$A$3:$A$102,'TCO TO BE- SW'!V$2,'Rozpočet - HW a licencie'!$C$3:$C$102,"SW",'Rozpočet - HW a licencie'!$G$3:$G$102,'TCO TO BE- SW'!$D12,'Rozpočet - HW a licencie'!$D$3:$D$102,$B$6),)</f>
        <v>0</v>
      </c>
      <c r="W12" s="579">
        <f>IFERROR(SUMIFS('Rozpočet - HW a licencie'!$I$3:$I$102,'Rozpočet - HW a licencie'!$A$3:$A$102,'TCO TO BE- SW'!W$2,'Rozpočet - HW a licencie'!$C$3:$C$102,"SW",'Rozpočet - HW a licencie'!$G$3:$G$102,'TCO TO BE- SW'!$D12,'Rozpočet - HW a licencie'!$D$3:$D$102,$B$6),)</f>
        <v>0</v>
      </c>
      <c r="X12" s="579">
        <f>IFERROR(SUMIFS('Rozpočet - HW a licencie'!$I$3:$I$102,'Rozpočet - HW a licencie'!$A$3:$A$102,'TCO TO BE- SW'!X$2,'Rozpočet - HW a licencie'!$C$3:$C$102,"SW",'Rozpočet - HW a licencie'!$G$3:$G$102,'TCO TO BE- SW'!$D12,'Rozpočet - HW a licencie'!$D$3:$D$102,$B$6),)</f>
        <v>0</v>
      </c>
      <c r="Y12" s="579">
        <f>IFERROR(SUMIFS('Rozpočet - HW a licencie'!$I$3:$I$102,'Rozpočet - HW a licencie'!$A$3:$A$102,'TCO TO BE- SW'!Y$2,'Rozpočet - HW a licencie'!$C$3:$C$102,"SW",'Rozpočet - HW a licencie'!$G$3:$G$102,'TCO TO BE- SW'!$D12,'Rozpočet - HW a licencie'!$D$3:$D$102,$B$6),)</f>
        <v>0</v>
      </c>
      <c r="Z12" s="579">
        <f>IFERROR(SUMIFS('Rozpočet - HW a licencie'!$I$3:$I$102,'Rozpočet - HW a licencie'!$A$3:$A$102,'TCO TO BE- SW'!Z$2,'Rozpočet - HW a licencie'!$C$3:$C$102,"SW",'Rozpočet - HW a licencie'!$G$3:$G$102,'TCO TO BE- SW'!$D12,'Rozpočet - HW a licencie'!$D$3:$D$102,$B$6),)</f>
        <v>0</v>
      </c>
    </row>
    <row r="13" spans="1:26" outlineLevel="2" x14ac:dyDescent="0.2">
      <c r="A13" s="1390"/>
      <c r="B13" s="1391"/>
      <c r="C13" s="1391"/>
      <c r="D13" s="64">
        <v>8</v>
      </c>
      <c r="E13" s="61">
        <f t="shared" si="4"/>
        <v>0</v>
      </c>
      <c r="F13" s="579">
        <f>IFERROR(SUMIFS('Rozpočet - HW a licencie'!$I$3:$I$102,'Rozpočet - HW a licencie'!$A$3:$A$102,'TCO TO BE- SW'!F$2,'Rozpočet - HW a licencie'!$C$3:$C$102,"SW",'Rozpočet - HW a licencie'!$G$3:$G$102,'TCO TO BE- SW'!$D13,'Rozpočet - HW a licencie'!$D$3:$D$102,$B$6),)</f>
        <v>0</v>
      </c>
      <c r="G13" s="579">
        <f>IFERROR(SUMIFS('Rozpočet - HW a licencie'!$I$3:$I$102,'Rozpočet - HW a licencie'!$A$3:$A$102,'TCO TO BE- SW'!G$2,'Rozpočet - HW a licencie'!$C$3:$C$102,"SW",'Rozpočet - HW a licencie'!$G$3:$G$102,'TCO TO BE- SW'!$D13,'Rozpočet - HW a licencie'!$D$3:$D$102,$B$6),)</f>
        <v>0</v>
      </c>
      <c r="H13" s="579">
        <f>IFERROR(SUMIFS('Rozpočet - HW a licencie'!$I$3:$I$102,'Rozpočet - HW a licencie'!$A$3:$A$102,'TCO TO BE- SW'!H$2,'Rozpočet - HW a licencie'!$C$3:$C$102,"SW",'Rozpočet - HW a licencie'!$G$3:$G$102,'TCO TO BE- SW'!$D13,'Rozpočet - HW a licencie'!$D$3:$D$102,$B$6),)</f>
        <v>0</v>
      </c>
      <c r="I13" s="579">
        <f>IFERROR(SUMIFS('Rozpočet - HW a licencie'!$I$3:$I$102,'Rozpočet - HW a licencie'!$A$3:$A$102,'TCO TO BE- SW'!I$2,'Rozpočet - HW a licencie'!$C$3:$C$102,"SW",'Rozpočet - HW a licencie'!$G$3:$G$102,'TCO TO BE- SW'!$D13,'Rozpočet - HW a licencie'!$D$3:$D$102,$B$6),)</f>
        <v>0</v>
      </c>
      <c r="J13" s="579">
        <f>IFERROR(SUMIFS('Rozpočet - HW a licencie'!$I$3:$I$102,'Rozpočet - HW a licencie'!$A$3:$A$102,'TCO TO BE- SW'!J$2,'Rozpočet - HW a licencie'!$C$3:$C$102,"SW",'Rozpočet - HW a licencie'!$G$3:$G$102,'TCO TO BE- SW'!$D13,'Rozpočet - HW a licencie'!$D$3:$D$102,$B$6),)</f>
        <v>0</v>
      </c>
      <c r="K13" s="579">
        <f>IFERROR(SUMIFS('Rozpočet - HW a licencie'!$I$3:$I$102,'Rozpočet - HW a licencie'!$A$3:$A$102,'TCO TO BE- SW'!K$2,'Rozpočet - HW a licencie'!$C$3:$C$102,"SW",'Rozpočet - HW a licencie'!$G$3:$G$102,'TCO TO BE- SW'!$D13,'Rozpočet - HW a licencie'!$D$3:$D$102,$B$6),)</f>
        <v>0</v>
      </c>
      <c r="L13" s="579">
        <f>IFERROR(SUMIFS('Rozpočet - HW a licencie'!$I$3:$I$102,'Rozpočet - HW a licencie'!$A$3:$A$102,'TCO TO BE- SW'!L$2,'Rozpočet - HW a licencie'!$C$3:$C$102,"SW",'Rozpočet - HW a licencie'!$G$3:$G$102,'TCO TO BE- SW'!$D13,'Rozpočet - HW a licencie'!$D$3:$D$102,$B$6),)</f>
        <v>0</v>
      </c>
      <c r="M13" s="579">
        <f>IFERROR(SUMIFS('Rozpočet - HW a licencie'!$I$3:$I$102,'Rozpočet - HW a licencie'!$A$3:$A$102,'TCO TO BE- SW'!M$2,'Rozpočet - HW a licencie'!$C$3:$C$102,"SW",'Rozpočet - HW a licencie'!$G$3:$G$102,'TCO TO BE- SW'!$D13,'Rozpočet - HW a licencie'!$D$3:$D$102,$B$6),)</f>
        <v>0</v>
      </c>
      <c r="N13" s="579">
        <f>IFERROR(SUMIFS('Rozpočet - HW a licencie'!$I$3:$I$102,'Rozpočet - HW a licencie'!$A$3:$A$102,'TCO TO BE- SW'!N$2,'Rozpočet - HW a licencie'!$C$3:$C$102,"SW",'Rozpočet - HW a licencie'!$G$3:$G$102,'TCO TO BE- SW'!$D13,'Rozpočet - HW a licencie'!$D$3:$D$102,$B$6),)</f>
        <v>0</v>
      </c>
      <c r="O13" s="579">
        <f>IFERROR(SUMIFS('Rozpočet - HW a licencie'!$I$3:$I$102,'Rozpočet - HW a licencie'!$A$3:$A$102,'TCO TO BE- SW'!O$2,'Rozpočet - HW a licencie'!$C$3:$C$102,"SW",'Rozpočet - HW a licencie'!$G$3:$G$102,'TCO TO BE- SW'!$D13,'Rozpočet - HW a licencie'!$D$3:$D$102,$B$6),)</f>
        <v>0</v>
      </c>
      <c r="P13" s="579">
        <f>IFERROR(SUMIFS('Rozpočet - HW a licencie'!$I$3:$I$102,'Rozpočet - HW a licencie'!$A$3:$A$102,'TCO TO BE- SW'!P$2,'Rozpočet - HW a licencie'!$C$3:$C$102,"SW",'Rozpočet - HW a licencie'!$G$3:$G$102,'TCO TO BE- SW'!$D13,'Rozpočet - HW a licencie'!$D$3:$D$102,$B$6),)</f>
        <v>0</v>
      </c>
      <c r="Q13" s="579">
        <f>IFERROR(SUMIFS('Rozpočet - HW a licencie'!$I$3:$I$102,'Rozpočet - HW a licencie'!$A$3:$A$102,'TCO TO BE- SW'!Q$2,'Rozpočet - HW a licencie'!$C$3:$C$102,"SW",'Rozpočet - HW a licencie'!$G$3:$G$102,'TCO TO BE- SW'!$D13,'Rozpočet - HW a licencie'!$D$3:$D$102,$B$6),)</f>
        <v>0</v>
      </c>
      <c r="R13" s="579">
        <f>IFERROR(SUMIFS('Rozpočet - HW a licencie'!$I$3:$I$102,'Rozpočet - HW a licencie'!$A$3:$A$102,'TCO TO BE- SW'!R$2,'Rozpočet - HW a licencie'!$C$3:$C$102,"SW",'Rozpočet - HW a licencie'!$G$3:$G$102,'TCO TO BE- SW'!$D13,'Rozpočet - HW a licencie'!$D$3:$D$102,$B$6),)</f>
        <v>0</v>
      </c>
      <c r="S13" s="579">
        <f>IFERROR(SUMIFS('Rozpočet - HW a licencie'!$I$3:$I$102,'Rozpočet - HW a licencie'!$A$3:$A$102,'TCO TO BE- SW'!S$2,'Rozpočet - HW a licencie'!$C$3:$C$102,"SW",'Rozpočet - HW a licencie'!$G$3:$G$102,'TCO TO BE- SW'!$D13,'Rozpočet - HW a licencie'!$D$3:$D$102,$B$6),)</f>
        <v>0</v>
      </c>
      <c r="T13" s="579">
        <f>IFERROR(SUMIFS('Rozpočet - HW a licencie'!$I$3:$I$102,'Rozpočet - HW a licencie'!$A$3:$A$102,'TCO TO BE- SW'!T$2,'Rozpočet - HW a licencie'!$C$3:$C$102,"SW",'Rozpočet - HW a licencie'!$G$3:$G$102,'TCO TO BE- SW'!$D13,'Rozpočet - HW a licencie'!$D$3:$D$102,$B$6),)</f>
        <v>0</v>
      </c>
      <c r="U13" s="579">
        <f>IFERROR(SUMIFS('Rozpočet - HW a licencie'!$I$3:$I$102,'Rozpočet - HW a licencie'!$A$3:$A$102,'TCO TO BE- SW'!U$2,'Rozpočet - HW a licencie'!$C$3:$C$102,"SW",'Rozpočet - HW a licencie'!$G$3:$G$102,'TCO TO BE- SW'!$D13,'Rozpočet - HW a licencie'!$D$3:$D$102,$B$6),)</f>
        <v>0</v>
      </c>
      <c r="V13" s="579">
        <f>IFERROR(SUMIFS('Rozpočet - HW a licencie'!$I$3:$I$102,'Rozpočet - HW a licencie'!$A$3:$A$102,'TCO TO BE- SW'!V$2,'Rozpočet - HW a licencie'!$C$3:$C$102,"SW",'Rozpočet - HW a licencie'!$G$3:$G$102,'TCO TO BE- SW'!$D13,'Rozpočet - HW a licencie'!$D$3:$D$102,$B$6),)</f>
        <v>0</v>
      </c>
      <c r="W13" s="579">
        <f>IFERROR(SUMIFS('Rozpočet - HW a licencie'!$I$3:$I$102,'Rozpočet - HW a licencie'!$A$3:$A$102,'TCO TO BE- SW'!W$2,'Rozpočet - HW a licencie'!$C$3:$C$102,"SW",'Rozpočet - HW a licencie'!$G$3:$G$102,'TCO TO BE- SW'!$D13,'Rozpočet - HW a licencie'!$D$3:$D$102,$B$6),)</f>
        <v>0</v>
      </c>
      <c r="X13" s="579">
        <f>IFERROR(SUMIFS('Rozpočet - HW a licencie'!$I$3:$I$102,'Rozpočet - HW a licencie'!$A$3:$A$102,'TCO TO BE- SW'!X$2,'Rozpočet - HW a licencie'!$C$3:$C$102,"SW",'Rozpočet - HW a licencie'!$G$3:$G$102,'TCO TO BE- SW'!$D13,'Rozpočet - HW a licencie'!$D$3:$D$102,$B$6),)</f>
        <v>0</v>
      </c>
      <c r="Y13" s="579">
        <f>IFERROR(SUMIFS('Rozpočet - HW a licencie'!$I$3:$I$102,'Rozpočet - HW a licencie'!$A$3:$A$102,'TCO TO BE- SW'!Y$2,'Rozpočet - HW a licencie'!$C$3:$C$102,"SW",'Rozpočet - HW a licencie'!$G$3:$G$102,'TCO TO BE- SW'!$D13,'Rozpočet - HW a licencie'!$D$3:$D$102,$B$6),)</f>
        <v>0</v>
      </c>
      <c r="Z13" s="579">
        <f>IFERROR(SUMIFS('Rozpočet - HW a licencie'!$I$3:$I$102,'Rozpočet - HW a licencie'!$A$3:$A$102,'TCO TO BE- SW'!Z$2,'Rozpočet - HW a licencie'!$C$3:$C$102,"SW",'Rozpočet - HW a licencie'!$G$3:$G$102,'TCO TO BE- SW'!$D13,'Rozpočet - HW a licencie'!$D$3:$D$102,$B$6),)</f>
        <v>0</v>
      </c>
    </row>
    <row r="14" spans="1:26" outlineLevel="2" x14ac:dyDescent="0.2">
      <c r="A14" s="1390"/>
      <c r="B14" s="1391"/>
      <c r="C14" s="1391"/>
      <c r="D14" s="64">
        <v>9</v>
      </c>
      <c r="E14" s="61">
        <f t="shared" si="4"/>
        <v>0</v>
      </c>
      <c r="F14" s="579">
        <f>IFERROR(SUMIFS('Rozpočet - HW a licencie'!$I$3:$I$102,'Rozpočet - HW a licencie'!$A$3:$A$102,'TCO TO BE- SW'!F$2,'Rozpočet - HW a licencie'!$C$3:$C$102,"SW",'Rozpočet - HW a licencie'!$G$3:$G$102,'TCO TO BE- SW'!$D14,'Rozpočet - HW a licencie'!$D$3:$D$102,$B$6),)</f>
        <v>0</v>
      </c>
      <c r="G14" s="579">
        <f>IFERROR(SUMIFS('Rozpočet - HW a licencie'!$I$3:$I$102,'Rozpočet - HW a licencie'!$A$3:$A$102,'TCO TO BE- SW'!G$2,'Rozpočet - HW a licencie'!$C$3:$C$102,"SW",'Rozpočet - HW a licencie'!$G$3:$G$102,'TCO TO BE- SW'!$D14,'Rozpočet - HW a licencie'!$D$3:$D$102,$B$6),)</f>
        <v>0</v>
      </c>
      <c r="H14" s="579">
        <f>IFERROR(SUMIFS('Rozpočet - HW a licencie'!$I$3:$I$102,'Rozpočet - HW a licencie'!$A$3:$A$102,'TCO TO BE- SW'!H$2,'Rozpočet - HW a licencie'!$C$3:$C$102,"SW",'Rozpočet - HW a licencie'!$G$3:$G$102,'TCO TO BE- SW'!$D14,'Rozpočet - HW a licencie'!$D$3:$D$102,$B$6),)</f>
        <v>0</v>
      </c>
      <c r="I14" s="579">
        <f>IFERROR(SUMIFS('Rozpočet - HW a licencie'!$I$3:$I$102,'Rozpočet - HW a licencie'!$A$3:$A$102,'TCO TO BE- SW'!I$2,'Rozpočet - HW a licencie'!$C$3:$C$102,"SW",'Rozpočet - HW a licencie'!$G$3:$G$102,'TCO TO BE- SW'!$D14,'Rozpočet - HW a licencie'!$D$3:$D$102,$B$6),)</f>
        <v>0</v>
      </c>
      <c r="J14" s="579">
        <f>IFERROR(SUMIFS('Rozpočet - HW a licencie'!$I$3:$I$102,'Rozpočet - HW a licencie'!$A$3:$A$102,'TCO TO BE- SW'!J$2,'Rozpočet - HW a licencie'!$C$3:$C$102,"SW",'Rozpočet - HW a licencie'!$G$3:$G$102,'TCO TO BE- SW'!$D14,'Rozpočet - HW a licencie'!$D$3:$D$102,$B$6),)</f>
        <v>0</v>
      </c>
      <c r="K14" s="579">
        <f>IFERROR(SUMIFS('Rozpočet - HW a licencie'!$I$3:$I$102,'Rozpočet - HW a licencie'!$A$3:$A$102,'TCO TO BE- SW'!K$2,'Rozpočet - HW a licencie'!$C$3:$C$102,"SW",'Rozpočet - HW a licencie'!$G$3:$G$102,'TCO TO BE- SW'!$D14,'Rozpočet - HW a licencie'!$D$3:$D$102,$B$6),)</f>
        <v>0</v>
      </c>
      <c r="L14" s="579">
        <f>IFERROR(SUMIFS('Rozpočet - HW a licencie'!$I$3:$I$102,'Rozpočet - HW a licencie'!$A$3:$A$102,'TCO TO BE- SW'!L$2,'Rozpočet - HW a licencie'!$C$3:$C$102,"SW",'Rozpočet - HW a licencie'!$G$3:$G$102,'TCO TO BE- SW'!$D14,'Rozpočet - HW a licencie'!$D$3:$D$102,$B$6),)</f>
        <v>0</v>
      </c>
      <c r="M14" s="579">
        <f>IFERROR(SUMIFS('Rozpočet - HW a licencie'!$I$3:$I$102,'Rozpočet - HW a licencie'!$A$3:$A$102,'TCO TO BE- SW'!M$2,'Rozpočet - HW a licencie'!$C$3:$C$102,"SW",'Rozpočet - HW a licencie'!$G$3:$G$102,'TCO TO BE- SW'!$D14,'Rozpočet - HW a licencie'!$D$3:$D$102,$B$6),)</f>
        <v>0</v>
      </c>
      <c r="N14" s="579">
        <f>IFERROR(SUMIFS('Rozpočet - HW a licencie'!$I$3:$I$102,'Rozpočet - HW a licencie'!$A$3:$A$102,'TCO TO BE- SW'!N$2,'Rozpočet - HW a licencie'!$C$3:$C$102,"SW",'Rozpočet - HW a licencie'!$G$3:$G$102,'TCO TO BE- SW'!$D14,'Rozpočet - HW a licencie'!$D$3:$D$102,$B$6),)</f>
        <v>0</v>
      </c>
      <c r="O14" s="579">
        <f>IFERROR(SUMIFS('Rozpočet - HW a licencie'!$I$3:$I$102,'Rozpočet - HW a licencie'!$A$3:$A$102,'TCO TO BE- SW'!O$2,'Rozpočet - HW a licencie'!$C$3:$C$102,"SW",'Rozpočet - HW a licencie'!$G$3:$G$102,'TCO TO BE- SW'!$D14,'Rozpočet - HW a licencie'!$D$3:$D$102,$B$6),)</f>
        <v>0</v>
      </c>
      <c r="P14" s="579">
        <f>IFERROR(SUMIFS('Rozpočet - HW a licencie'!$I$3:$I$102,'Rozpočet - HW a licencie'!$A$3:$A$102,'TCO TO BE- SW'!P$2,'Rozpočet - HW a licencie'!$C$3:$C$102,"SW",'Rozpočet - HW a licencie'!$G$3:$G$102,'TCO TO BE- SW'!$D14,'Rozpočet - HW a licencie'!$D$3:$D$102,$B$6),)</f>
        <v>0</v>
      </c>
      <c r="Q14" s="579">
        <f>IFERROR(SUMIFS('Rozpočet - HW a licencie'!$I$3:$I$102,'Rozpočet - HW a licencie'!$A$3:$A$102,'TCO TO BE- SW'!Q$2,'Rozpočet - HW a licencie'!$C$3:$C$102,"SW",'Rozpočet - HW a licencie'!$G$3:$G$102,'TCO TO BE- SW'!$D14,'Rozpočet - HW a licencie'!$D$3:$D$102,$B$6),)</f>
        <v>0</v>
      </c>
      <c r="R14" s="579">
        <f>IFERROR(SUMIFS('Rozpočet - HW a licencie'!$I$3:$I$102,'Rozpočet - HW a licencie'!$A$3:$A$102,'TCO TO BE- SW'!R$2,'Rozpočet - HW a licencie'!$C$3:$C$102,"SW",'Rozpočet - HW a licencie'!$G$3:$G$102,'TCO TO BE- SW'!$D14,'Rozpočet - HW a licencie'!$D$3:$D$102,$B$6),)</f>
        <v>0</v>
      </c>
      <c r="S14" s="579">
        <f>IFERROR(SUMIFS('Rozpočet - HW a licencie'!$I$3:$I$102,'Rozpočet - HW a licencie'!$A$3:$A$102,'TCO TO BE- SW'!S$2,'Rozpočet - HW a licencie'!$C$3:$C$102,"SW",'Rozpočet - HW a licencie'!$G$3:$G$102,'TCO TO BE- SW'!$D14,'Rozpočet - HW a licencie'!$D$3:$D$102,$B$6),)</f>
        <v>0</v>
      </c>
      <c r="T14" s="579">
        <f>IFERROR(SUMIFS('Rozpočet - HW a licencie'!$I$3:$I$102,'Rozpočet - HW a licencie'!$A$3:$A$102,'TCO TO BE- SW'!T$2,'Rozpočet - HW a licencie'!$C$3:$C$102,"SW",'Rozpočet - HW a licencie'!$G$3:$G$102,'TCO TO BE- SW'!$D14,'Rozpočet - HW a licencie'!$D$3:$D$102,$B$6),)</f>
        <v>0</v>
      </c>
      <c r="U14" s="579">
        <f>IFERROR(SUMIFS('Rozpočet - HW a licencie'!$I$3:$I$102,'Rozpočet - HW a licencie'!$A$3:$A$102,'TCO TO BE- SW'!U$2,'Rozpočet - HW a licencie'!$C$3:$C$102,"SW",'Rozpočet - HW a licencie'!$G$3:$G$102,'TCO TO BE- SW'!$D14,'Rozpočet - HW a licencie'!$D$3:$D$102,$B$6),)</f>
        <v>0</v>
      </c>
      <c r="V14" s="579">
        <f>IFERROR(SUMIFS('Rozpočet - HW a licencie'!$I$3:$I$102,'Rozpočet - HW a licencie'!$A$3:$A$102,'TCO TO BE- SW'!V$2,'Rozpočet - HW a licencie'!$C$3:$C$102,"SW",'Rozpočet - HW a licencie'!$G$3:$G$102,'TCO TO BE- SW'!$D14,'Rozpočet - HW a licencie'!$D$3:$D$102,$B$6),)</f>
        <v>0</v>
      </c>
      <c r="W14" s="579">
        <f>IFERROR(SUMIFS('Rozpočet - HW a licencie'!$I$3:$I$102,'Rozpočet - HW a licencie'!$A$3:$A$102,'TCO TO BE- SW'!W$2,'Rozpočet - HW a licencie'!$C$3:$C$102,"SW",'Rozpočet - HW a licencie'!$G$3:$G$102,'TCO TO BE- SW'!$D14,'Rozpočet - HW a licencie'!$D$3:$D$102,$B$6),)</f>
        <v>0</v>
      </c>
      <c r="X14" s="579">
        <f>IFERROR(SUMIFS('Rozpočet - HW a licencie'!$I$3:$I$102,'Rozpočet - HW a licencie'!$A$3:$A$102,'TCO TO BE- SW'!X$2,'Rozpočet - HW a licencie'!$C$3:$C$102,"SW",'Rozpočet - HW a licencie'!$G$3:$G$102,'TCO TO BE- SW'!$D14,'Rozpočet - HW a licencie'!$D$3:$D$102,$B$6),)</f>
        <v>0</v>
      </c>
      <c r="Y14" s="579">
        <f>IFERROR(SUMIFS('Rozpočet - HW a licencie'!$I$3:$I$102,'Rozpočet - HW a licencie'!$A$3:$A$102,'TCO TO BE- SW'!Y$2,'Rozpočet - HW a licencie'!$C$3:$C$102,"SW",'Rozpočet - HW a licencie'!$G$3:$G$102,'TCO TO BE- SW'!$D14,'Rozpočet - HW a licencie'!$D$3:$D$102,$B$6),)</f>
        <v>0</v>
      </c>
      <c r="Z14" s="579">
        <f>IFERROR(SUMIFS('Rozpočet - HW a licencie'!$I$3:$I$102,'Rozpočet - HW a licencie'!$A$3:$A$102,'TCO TO BE- SW'!Z$2,'Rozpočet - HW a licencie'!$C$3:$C$102,"SW",'Rozpočet - HW a licencie'!$G$3:$G$102,'TCO TO BE- SW'!$D14,'Rozpočet - HW a licencie'!$D$3:$D$102,$B$6),)</f>
        <v>0</v>
      </c>
    </row>
    <row r="15" spans="1:26" ht="16" outlineLevel="2" thickBot="1" x14ac:dyDescent="0.25">
      <c r="A15" s="1390"/>
      <c r="B15" s="1391"/>
      <c r="C15" s="1391"/>
      <c r="D15" s="65">
        <v>10</v>
      </c>
      <c r="E15" s="61">
        <f t="shared" si="4"/>
        <v>0</v>
      </c>
      <c r="F15" s="580">
        <f>IFERROR(SUMIFS('Rozpočet - HW a licencie'!$I$3:$I$102,'Rozpočet - HW a licencie'!$A$3:$A$102,'TCO TO BE- SW'!F$2,'Rozpočet - HW a licencie'!$C$3:$C$102,"SW",'Rozpočet - HW a licencie'!$G$3:$G$102,'TCO TO BE- SW'!$D15,'Rozpočet - HW a licencie'!$D$3:$D$102,$B$6),)</f>
        <v>0</v>
      </c>
      <c r="G15" s="580">
        <f>IFERROR(SUMIFS('Rozpočet - HW a licencie'!$I$3:$I$102,'Rozpočet - HW a licencie'!$A$3:$A$102,'TCO TO BE- SW'!G$2,'Rozpočet - HW a licencie'!$C$3:$C$102,"SW",'Rozpočet - HW a licencie'!$G$3:$G$102,'TCO TO BE- SW'!$D15,'Rozpočet - HW a licencie'!$D$3:$D$102,$B$6),)</f>
        <v>0</v>
      </c>
      <c r="H15" s="580">
        <f>IFERROR(SUMIFS('Rozpočet - HW a licencie'!$I$3:$I$102,'Rozpočet - HW a licencie'!$A$3:$A$102,'TCO TO BE- SW'!H$2,'Rozpočet - HW a licencie'!$C$3:$C$102,"SW",'Rozpočet - HW a licencie'!$G$3:$G$102,'TCO TO BE- SW'!$D15,'Rozpočet - HW a licencie'!$D$3:$D$102,$B$6),)</f>
        <v>0</v>
      </c>
      <c r="I15" s="580">
        <f>IFERROR(SUMIFS('Rozpočet - HW a licencie'!$I$3:$I$102,'Rozpočet - HW a licencie'!$A$3:$A$102,'TCO TO BE- SW'!I$2,'Rozpočet - HW a licencie'!$C$3:$C$102,"SW",'Rozpočet - HW a licencie'!$G$3:$G$102,'TCO TO BE- SW'!$D15,'Rozpočet - HW a licencie'!$D$3:$D$102,$B$6),)</f>
        <v>0</v>
      </c>
      <c r="J15" s="580">
        <f>IFERROR(SUMIFS('Rozpočet - HW a licencie'!$I$3:$I$102,'Rozpočet - HW a licencie'!$A$3:$A$102,'TCO TO BE- SW'!J$2,'Rozpočet - HW a licencie'!$C$3:$C$102,"SW",'Rozpočet - HW a licencie'!$G$3:$G$102,'TCO TO BE- SW'!$D15,'Rozpočet - HW a licencie'!$D$3:$D$102,$B$6),)</f>
        <v>0</v>
      </c>
      <c r="K15" s="580">
        <f>IFERROR(SUMIFS('Rozpočet - HW a licencie'!$I$3:$I$102,'Rozpočet - HW a licencie'!$A$3:$A$102,'TCO TO BE- SW'!K$2,'Rozpočet - HW a licencie'!$C$3:$C$102,"SW",'Rozpočet - HW a licencie'!$G$3:$G$102,'TCO TO BE- SW'!$D15,'Rozpočet - HW a licencie'!$D$3:$D$102,$B$6),)</f>
        <v>0</v>
      </c>
      <c r="L15" s="580">
        <f>IFERROR(SUMIFS('Rozpočet - HW a licencie'!$I$3:$I$102,'Rozpočet - HW a licencie'!$A$3:$A$102,'TCO TO BE- SW'!L$2,'Rozpočet - HW a licencie'!$C$3:$C$102,"SW",'Rozpočet - HW a licencie'!$G$3:$G$102,'TCO TO BE- SW'!$D15,'Rozpočet - HW a licencie'!$D$3:$D$102,$B$6),)</f>
        <v>0</v>
      </c>
      <c r="M15" s="580">
        <f>IFERROR(SUMIFS('Rozpočet - HW a licencie'!$I$3:$I$102,'Rozpočet - HW a licencie'!$A$3:$A$102,'TCO TO BE- SW'!M$2,'Rozpočet - HW a licencie'!$C$3:$C$102,"SW",'Rozpočet - HW a licencie'!$G$3:$G$102,'TCO TO BE- SW'!$D15,'Rozpočet - HW a licencie'!$D$3:$D$102,$B$6),)</f>
        <v>0</v>
      </c>
      <c r="N15" s="580">
        <f>IFERROR(SUMIFS('Rozpočet - HW a licencie'!$I$3:$I$102,'Rozpočet - HW a licencie'!$A$3:$A$102,'TCO TO BE- SW'!N$2,'Rozpočet - HW a licencie'!$C$3:$C$102,"SW",'Rozpočet - HW a licencie'!$G$3:$G$102,'TCO TO BE- SW'!$D15,'Rozpočet - HW a licencie'!$D$3:$D$102,$B$6),)</f>
        <v>0</v>
      </c>
      <c r="O15" s="580">
        <f>IFERROR(SUMIFS('Rozpočet - HW a licencie'!$I$3:$I$102,'Rozpočet - HW a licencie'!$A$3:$A$102,'TCO TO BE- SW'!O$2,'Rozpočet - HW a licencie'!$C$3:$C$102,"SW",'Rozpočet - HW a licencie'!$G$3:$G$102,'TCO TO BE- SW'!$D15,'Rozpočet - HW a licencie'!$D$3:$D$102,$B$6),)</f>
        <v>0</v>
      </c>
      <c r="P15" s="580">
        <f>IFERROR(SUMIFS('Rozpočet - HW a licencie'!$I$3:$I$102,'Rozpočet - HW a licencie'!$A$3:$A$102,'TCO TO BE- SW'!P$2,'Rozpočet - HW a licencie'!$C$3:$C$102,"SW",'Rozpočet - HW a licencie'!$G$3:$G$102,'TCO TO BE- SW'!$D15,'Rozpočet - HW a licencie'!$D$3:$D$102,$B$6),)</f>
        <v>0</v>
      </c>
      <c r="Q15" s="580">
        <f>IFERROR(SUMIFS('Rozpočet - HW a licencie'!$I$3:$I$102,'Rozpočet - HW a licencie'!$A$3:$A$102,'TCO TO BE- SW'!Q$2,'Rozpočet - HW a licencie'!$C$3:$C$102,"SW",'Rozpočet - HW a licencie'!$G$3:$G$102,'TCO TO BE- SW'!$D15,'Rozpočet - HW a licencie'!$D$3:$D$102,$B$6),)</f>
        <v>0</v>
      </c>
      <c r="R15" s="580">
        <f>IFERROR(SUMIFS('Rozpočet - HW a licencie'!$I$3:$I$102,'Rozpočet - HW a licencie'!$A$3:$A$102,'TCO TO BE- SW'!R$2,'Rozpočet - HW a licencie'!$C$3:$C$102,"SW",'Rozpočet - HW a licencie'!$G$3:$G$102,'TCO TO BE- SW'!$D15,'Rozpočet - HW a licencie'!$D$3:$D$102,$B$6),)</f>
        <v>0</v>
      </c>
      <c r="S15" s="580">
        <f>IFERROR(SUMIFS('Rozpočet - HW a licencie'!$I$3:$I$102,'Rozpočet - HW a licencie'!$A$3:$A$102,'TCO TO BE- SW'!S$2,'Rozpočet - HW a licencie'!$C$3:$C$102,"SW",'Rozpočet - HW a licencie'!$G$3:$G$102,'TCO TO BE- SW'!$D15,'Rozpočet - HW a licencie'!$D$3:$D$102,$B$6),)</f>
        <v>0</v>
      </c>
      <c r="T15" s="580">
        <f>IFERROR(SUMIFS('Rozpočet - HW a licencie'!$I$3:$I$102,'Rozpočet - HW a licencie'!$A$3:$A$102,'TCO TO BE- SW'!T$2,'Rozpočet - HW a licencie'!$C$3:$C$102,"SW",'Rozpočet - HW a licencie'!$G$3:$G$102,'TCO TO BE- SW'!$D15,'Rozpočet - HW a licencie'!$D$3:$D$102,$B$6),)</f>
        <v>0</v>
      </c>
      <c r="U15" s="580">
        <f>IFERROR(SUMIFS('Rozpočet - HW a licencie'!$I$3:$I$102,'Rozpočet - HW a licencie'!$A$3:$A$102,'TCO TO BE- SW'!U$2,'Rozpočet - HW a licencie'!$C$3:$C$102,"SW",'Rozpočet - HW a licencie'!$G$3:$G$102,'TCO TO BE- SW'!$D15,'Rozpočet - HW a licencie'!$D$3:$D$102,$B$6),)</f>
        <v>0</v>
      </c>
      <c r="V15" s="580">
        <f>IFERROR(SUMIFS('Rozpočet - HW a licencie'!$I$3:$I$102,'Rozpočet - HW a licencie'!$A$3:$A$102,'TCO TO BE- SW'!V$2,'Rozpočet - HW a licencie'!$C$3:$C$102,"SW",'Rozpočet - HW a licencie'!$G$3:$G$102,'TCO TO BE- SW'!$D15,'Rozpočet - HW a licencie'!$D$3:$D$102,$B$6),)</f>
        <v>0</v>
      </c>
      <c r="W15" s="580">
        <f>IFERROR(SUMIFS('Rozpočet - HW a licencie'!$I$3:$I$102,'Rozpočet - HW a licencie'!$A$3:$A$102,'TCO TO BE- SW'!W$2,'Rozpočet - HW a licencie'!$C$3:$C$102,"SW",'Rozpočet - HW a licencie'!$G$3:$G$102,'TCO TO BE- SW'!$D15,'Rozpočet - HW a licencie'!$D$3:$D$102,$B$6),)</f>
        <v>0</v>
      </c>
      <c r="X15" s="580">
        <f>IFERROR(SUMIFS('Rozpočet - HW a licencie'!$I$3:$I$102,'Rozpočet - HW a licencie'!$A$3:$A$102,'TCO TO BE- SW'!X$2,'Rozpočet - HW a licencie'!$C$3:$C$102,"SW",'Rozpočet - HW a licencie'!$G$3:$G$102,'TCO TO BE- SW'!$D15,'Rozpočet - HW a licencie'!$D$3:$D$102,$B$6),)</f>
        <v>0</v>
      </c>
      <c r="Y15" s="580">
        <f>IFERROR(SUMIFS('Rozpočet - HW a licencie'!$I$3:$I$102,'Rozpočet - HW a licencie'!$A$3:$A$102,'TCO TO BE- SW'!Y$2,'Rozpočet - HW a licencie'!$C$3:$C$102,"SW",'Rozpočet - HW a licencie'!$G$3:$G$102,'TCO TO BE- SW'!$D15,'Rozpočet - HW a licencie'!$D$3:$D$102,$B$6),)</f>
        <v>0</v>
      </c>
      <c r="Z15" s="580">
        <f>IFERROR(SUMIFS('Rozpočet - HW a licencie'!$I$3:$I$102,'Rozpočet - HW a licencie'!$A$3:$A$102,'TCO TO BE- SW'!Z$2,'Rozpočet - HW a licencie'!$C$3:$C$102,"SW",'Rozpočet - HW a licencie'!$G$3:$G$102,'TCO TO BE- SW'!$D15,'Rozpočet - HW a licencie'!$D$3:$D$102,$B$6),)</f>
        <v>0</v>
      </c>
    </row>
    <row r="16" spans="1:26" outlineLevel="2" x14ac:dyDescent="0.2">
      <c r="A16" s="1390" t="s">
        <v>301</v>
      </c>
      <c r="B16" s="1391" t="s">
        <v>519</v>
      </c>
      <c r="C16" s="1391">
        <v>610</v>
      </c>
      <c r="D16" s="63">
        <v>1</v>
      </c>
      <c r="E16" s="60">
        <f t="shared" si="4"/>
        <v>0</v>
      </c>
      <c r="F16" s="581">
        <v>0</v>
      </c>
      <c r="G16" s="581">
        <v>0</v>
      </c>
      <c r="H16" s="581">
        <v>0</v>
      </c>
      <c r="I16" s="581">
        <v>0</v>
      </c>
      <c r="J16" s="581">
        <v>0</v>
      </c>
      <c r="K16" s="581">
        <v>0</v>
      </c>
      <c r="L16" s="581">
        <v>0</v>
      </c>
      <c r="M16" s="581">
        <v>0</v>
      </c>
      <c r="N16" s="581">
        <v>0</v>
      </c>
      <c r="O16" s="581">
        <v>0</v>
      </c>
      <c r="P16" s="581">
        <v>0</v>
      </c>
      <c r="Q16" s="581">
        <v>0</v>
      </c>
      <c r="R16" s="581">
        <v>0</v>
      </c>
      <c r="S16" s="581">
        <v>0</v>
      </c>
      <c r="T16" s="581">
        <v>0</v>
      </c>
      <c r="U16" s="581">
        <v>0</v>
      </c>
      <c r="V16" s="581">
        <v>0</v>
      </c>
      <c r="W16" s="581">
        <v>0</v>
      </c>
      <c r="X16" s="581">
        <v>0</v>
      </c>
      <c r="Y16" s="581">
        <v>0</v>
      </c>
      <c r="Z16" s="581">
        <v>0</v>
      </c>
    </row>
    <row r="17" spans="1:26" outlineLevel="2" x14ac:dyDescent="0.2">
      <c r="A17" s="1390"/>
      <c r="B17" s="1391"/>
      <c r="C17" s="1391"/>
      <c r="D17" s="64">
        <v>2</v>
      </c>
      <c r="E17" s="61">
        <f t="shared" si="4"/>
        <v>0</v>
      </c>
      <c r="F17" s="582">
        <v>0</v>
      </c>
      <c r="G17" s="582">
        <v>0</v>
      </c>
      <c r="H17" s="582">
        <v>0</v>
      </c>
      <c r="I17" s="582">
        <v>0</v>
      </c>
      <c r="J17" s="582">
        <v>0</v>
      </c>
      <c r="K17" s="582">
        <v>0</v>
      </c>
      <c r="L17" s="582">
        <v>0</v>
      </c>
      <c r="M17" s="582">
        <v>0</v>
      </c>
      <c r="N17" s="582">
        <v>0</v>
      </c>
      <c r="O17" s="582">
        <v>0</v>
      </c>
      <c r="P17" s="582">
        <v>0</v>
      </c>
      <c r="Q17" s="582">
        <v>0</v>
      </c>
      <c r="R17" s="582">
        <v>0</v>
      </c>
      <c r="S17" s="582">
        <v>0</v>
      </c>
      <c r="T17" s="582">
        <v>0</v>
      </c>
      <c r="U17" s="582">
        <v>0</v>
      </c>
      <c r="V17" s="582">
        <v>0</v>
      </c>
      <c r="W17" s="582">
        <v>0</v>
      </c>
      <c r="X17" s="582">
        <v>0</v>
      </c>
      <c r="Y17" s="582">
        <v>0</v>
      </c>
      <c r="Z17" s="582">
        <v>0</v>
      </c>
    </row>
    <row r="18" spans="1:26" outlineLevel="2" x14ac:dyDescent="0.2">
      <c r="A18" s="1390"/>
      <c r="B18" s="1391"/>
      <c r="C18" s="1391"/>
      <c r="D18" s="64">
        <v>3</v>
      </c>
      <c r="E18" s="61">
        <f t="shared" si="4"/>
        <v>0</v>
      </c>
      <c r="F18" s="582">
        <v>0</v>
      </c>
      <c r="G18" s="582">
        <v>0</v>
      </c>
      <c r="H18" s="582">
        <v>0</v>
      </c>
      <c r="I18" s="582">
        <v>0</v>
      </c>
      <c r="J18" s="582">
        <v>0</v>
      </c>
      <c r="K18" s="582">
        <v>0</v>
      </c>
      <c r="L18" s="582">
        <v>0</v>
      </c>
      <c r="M18" s="582">
        <v>0</v>
      </c>
      <c r="N18" s="582">
        <v>0</v>
      </c>
      <c r="O18" s="582">
        <v>0</v>
      </c>
      <c r="P18" s="582">
        <v>0</v>
      </c>
      <c r="Q18" s="582">
        <v>0</v>
      </c>
      <c r="R18" s="582">
        <v>0</v>
      </c>
      <c r="S18" s="582">
        <v>0</v>
      </c>
      <c r="T18" s="582">
        <v>0</v>
      </c>
      <c r="U18" s="582">
        <v>0</v>
      </c>
      <c r="V18" s="582">
        <v>0</v>
      </c>
      <c r="W18" s="582">
        <v>0</v>
      </c>
      <c r="X18" s="582">
        <v>0</v>
      </c>
      <c r="Y18" s="582">
        <v>0</v>
      </c>
      <c r="Z18" s="582">
        <v>0</v>
      </c>
    </row>
    <row r="19" spans="1:26" outlineLevel="2" x14ac:dyDescent="0.2">
      <c r="A19" s="1390"/>
      <c r="B19" s="1391"/>
      <c r="C19" s="1391"/>
      <c r="D19" s="64">
        <v>4</v>
      </c>
      <c r="E19" s="61">
        <f t="shared" si="4"/>
        <v>0</v>
      </c>
      <c r="F19" s="582">
        <v>0</v>
      </c>
      <c r="G19" s="582">
        <v>0</v>
      </c>
      <c r="H19" s="582">
        <v>0</v>
      </c>
      <c r="I19" s="582">
        <v>0</v>
      </c>
      <c r="J19" s="582">
        <v>0</v>
      </c>
      <c r="K19" s="582">
        <v>0</v>
      </c>
      <c r="L19" s="582">
        <v>0</v>
      </c>
      <c r="M19" s="582">
        <v>0</v>
      </c>
      <c r="N19" s="582">
        <v>0</v>
      </c>
      <c r="O19" s="582">
        <v>0</v>
      </c>
      <c r="P19" s="582">
        <v>0</v>
      </c>
      <c r="Q19" s="582">
        <v>0</v>
      </c>
      <c r="R19" s="582">
        <v>0</v>
      </c>
      <c r="S19" s="582">
        <v>0</v>
      </c>
      <c r="T19" s="582">
        <v>0</v>
      </c>
      <c r="U19" s="582">
        <v>0</v>
      </c>
      <c r="V19" s="582">
        <v>0</v>
      </c>
      <c r="W19" s="582">
        <v>0</v>
      </c>
      <c r="X19" s="582">
        <v>0</v>
      </c>
      <c r="Y19" s="582">
        <v>0</v>
      </c>
      <c r="Z19" s="582">
        <v>0</v>
      </c>
    </row>
    <row r="20" spans="1:26" outlineLevel="2" x14ac:dyDescent="0.2">
      <c r="A20" s="1390"/>
      <c r="B20" s="1391"/>
      <c r="C20" s="1391"/>
      <c r="D20" s="64">
        <v>5</v>
      </c>
      <c r="E20" s="61">
        <f t="shared" si="4"/>
        <v>0</v>
      </c>
      <c r="F20" s="582">
        <v>0</v>
      </c>
      <c r="G20" s="582">
        <v>0</v>
      </c>
      <c r="H20" s="582">
        <v>0</v>
      </c>
      <c r="I20" s="582">
        <v>0</v>
      </c>
      <c r="J20" s="582">
        <v>0</v>
      </c>
      <c r="K20" s="582">
        <v>0</v>
      </c>
      <c r="L20" s="582">
        <v>0</v>
      </c>
      <c r="M20" s="582">
        <v>0</v>
      </c>
      <c r="N20" s="582">
        <v>0</v>
      </c>
      <c r="O20" s="582">
        <v>0</v>
      </c>
      <c r="P20" s="582">
        <v>0</v>
      </c>
      <c r="Q20" s="582">
        <v>0</v>
      </c>
      <c r="R20" s="582">
        <v>0</v>
      </c>
      <c r="S20" s="582">
        <v>0</v>
      </c>
      <c r="T20" s="582">
        <v>0</v>
      </c>
      <c r="U20" s="582">
        <v>0</v>
      </c>
      <c r="V20" s="582">
        <v>0</v>
      </c>
      <c r="W20" s="582">
        <v>0</v>
      </c>
      <c r="X20" s="582">
        <v>0</v>
      </c>
      <c r="Y20" s="582">
        <v>0</v>
      </c>
      <c r="Z20" s="582">
        <v>0</v>
      </c>
    </row>
    <row r="21" spans="1:26" outlineLevel="2" x14ac:dyDescent="0.2">
      <c r="A21" s="1390"/>
      <c r="B21" s="1391"/>
      <c r="C21" s="1391"/>
      <c r="D21" s="64">
        <v>6</v>
      </c>
      <c r="E21" s="61">
        <f t="shared" si="4"/>
        <v>0</v>
      </c>
      <c r="F21" s="582">
        <v>0</v>
      </c>
      <c r="G21" s="582">
        <v>0</v>
      </c>
      <c r="H21" s="582">
        <v>0</v>
      </c>
      <c r="I21" s="582">
        <v>0</v>
      </c>
      <c r="J21" s="582">
        <v>0</v>
      </c>
      <c r="K21" s="582">
        <v>0</v>
      </c>
      <c r="L21" s="582">
        <v>0</v>
      </c>
      <c r="M21" s="582">
        <v>0</v>
      </c>
      <c r="N21" s="582">
        <v>0</v>
      </c>
      <c r="O21" s="582">
        <v>0</v>
      </c>
      <c r="P21" s="582">
        <v>0</v>
      </c>
      <c r="Q21" s="582">
        <v>0</v>
      </c>
      <c r="R21" s="582">
        <v>0</v>
      </c>
      <c r="S21" s="582">
        <v>0</v>
      </c>
      <c r="T21" s="582">
        <v>0</v>
      </c>
      <c r="U21" s="582">
        <v>0</v>
      </c>
      <c r="V21" s="582">
        <v>0</v>
      </c>
      <c r="W21" s="582">
        <v>0</v>
      </c>
      <c r="X21" s="582">
        <v>0</v>
      </c>
      <c r="Y21" s="582">
        <v>0</v>
      </c>
      <c r="Z21" s="582">
        <v>0</v>
      </c>
    </row>
    <row r="22" spans="1:26" outlineLevel="2" x14ac:dyDescent="0.2">
      <c r="A22" s="1390"/>
      <c r="B22" s="1391"/>
      <c r="C22" s="1391"/>
      <c r="D22" s="64">
        <v>7</v>
      </c>
      <c r="E22" s="61">
        <f t="shared" si="4"/>
        <v>0</v>
      </c>
      <c r="F22" s="582">
        <v>0</v>
      </c>
      <c r="G22" s="582">
        <v>0</v>
      </c>
      <c r="H22" s="582">
        <v>0</v>
      </c>
      <c r="I22" s="582">
        <v>0</v>
      </c>
      <c r="J22" s="582">
        <v>0</v>
      </c>
      <c r="K22" s="582">
        <v>0</v>
      </c>
      <c r="L22" s="582">
        <v>0</v>
      </c>
      <c r="M22" s="582">
        <v>0</v>
      </c>
      <c r="N22" s="582">
        <v>0</v>
      </c>
      <c r="O22" s="582">
        <v>0</v>
      </c>
      <c r="P22" s="582">
        <v>0</v>
      </c>
      <c r="Q22" s="582">
        <v>0</v>
      </c>
      <c r="R22" s="582">
        <v>0</v>
      </c>
      <c r="S22" s="582">
        <v>0</v>
      </c>
      <c r="T22" s="582">
        <v>0</v>
      </c>
      <c r="U22" s="582">
        <v>0</v>
      </c>
      <c r="V22" s="582">
        <v>0</v>
      </c>
      <c r="W22" s="582">
        <v>0</v>
      </c>
      <c r="X22" s="582">
        <v>0</v>
      </c>
      <c r="Y22" s="582">
        <v>0</v>
      </c>
      <c r="Z22" s="582">
        <v>0</v>
      </c>
    </row>
    <row r="23" spans="1:26" outlineLevel="2" x14ac:dyDescent="0.2">
      <c r="A23" s="1390"/>
      <c r="B23" s="1391"/>
      <c r="C23" s="1391"/>
      <c r="D23" s="64">
        <v>8</v>
      </c>
      <c r="E23" s="61">
        <f t="shared" si="4"/>
        <v>0</v>
      </c>
      <c r="F23" s="582">
        <v>0</v>
      </c>
      <c r="G23" s="582">
        <v>0</v>
      </c>
      <c r="H23" s="582">
        <v>0</v>
      </c>
      <c r="I23" s="582">
        <v>0</v>
      </c>
      <c r="J23" s="582">
        <v>0</v>
      </c>
      <c r="K23" s="582">
        <v>0</v>
      </c>
      <c r="L23" s="582">
        <v>0</v>
      </c>
      <c r="M23" s="582">
        <v>0</v>
      </c>
      <c r="N23" s="582">
        <v>0</v>
      </c>
      <c r="O23" s="582">
        <v>0</v>
      </c>
      <c r="P23" s="582">
        <v>0</v>
      </c>
      <c r="Q23" s="582">
        <v>0</v>
      </c>
      <c r="R23" s="582">
        <v>0</v>
      </c>
      <c r="S23" s="582">
        <v>0</v>
      </c>
      <c r="T23" s="582">
        <v>0</v>
      </c>
      <c r="U23" s="582">
        <v>0</v>
      </c>
      <c r="V23" s="582">
        <v>0</v>
      </c>
      <c r="W23" s="582">
        <v>0</v>
      </c>
      <c r="X23" s="582">
        <v>0</v>
      </c>
      <c r="Y23" s="582">
        <v>0</v>
      </c>
      <c r="Z23" s="582">
        <v>0</v>
      </c>
    </row>
    <row r="24" spans="1:26" outlineLevel="2" x14ac:dyDescent="0.2">
      <c r="A24" s="1390"/>
      <c r="B24" s="1391"/>
      <c r="C24" s="1391"/>
      <c r="D24" s="64">
        <v>9</v>
      </c>
      <c r="E24" s="61">
        <f t="shared" si="4"/>
        <v>0</v>
      </c>
      <c r="F24" s="582">
        <v>0</v>
      </c>
      <c r="G24" s="582">
        <v>0</v>
      </c>
      <c r="H24" s="582">
        <v>0</v>
      </c>
      <c r="I24" s="582">
        <v>0</v>
      </c>
      <c r="J24" s="582">
        <v>0</v>
      </c>
      <c r="K24" s="582">
        <v>0</v>
      </c>
      <c r="L24" s="582">
        <v>0</v>
      </c>
      <c r="M24" s="582">
        <v>0</v>
      </c>
      <c r="N24" s="582">
        <v>0</v>
      </c>
      <c r="O24" s="582">
        <v>0</v>
      </c>
      <c r="P24" s="582">
        <v>0</v>
      </c>
      <c r="Q24" s="582">
        <v>0</v>
      </c>
      <c r="R24" s="582">
        <v>0</v>
      </c>
      <c r="S24" s="582">
        <v>0</v>
      </c>
      <c r="T24" s="582">
        <v>0</v>
      </c>
      <c r="U24" s="582">
        <v>0</v>
      </c>
      <c r="V24" s="582">
        <v>0</v>
      </c>
      <c r="W24" s="582">
        <v>0</v>
      </c>
      <c r="X24" s="582">
        <v>0</v>
      </c>
      <c r="Y24" s="582">
        <v>0</v>
      </c>
      <c r="Z24" s="582">
        <v>0</v>
      </c>
    </row>
    <row r="25" spans="1:26" ht="16" outlineLevel="2" thickBot="1" x14ac:dyDescent="0.25">
      <c r="A25" s="1390"/>
      <c r="B25" s="1391"/>
      <c r="C25" s="1391"/>
      <c r="D25" s="65">
        <v>10</v>
      </c>
      <c r="E25" s="61">
        <f t="shared" si="4"/>
        <v>0</v>
      </c>
      <c r="F25" s="582">
        <v>0</v>
      </c>
      <c r="G25" s="582">
        <v>0</v>
      </c>
      <c r="H25" s="582">
        <v>0</v>
      </c>
      <c r="I25" s="582">
        <v>0</v>
      </c>
      <c r="J25" s="582">
        <v>0</v>
      </c>
      <c r="K25" s="582">
        <v>0</v>
      </c>
      <c r="L25" s="582">
        <v>0</v>
      </c>
      <c r="M25" s="582">
        <v>0</v>
      </c>
      <c r="N25" s="582">
        <v>0</v>
      </c>
      <c r="O25" s="582">
        <v>0</v>
      </c>
      <c r="P25" s="582">
        <v>0</v>
      </c>
      <c r="Q25" s="582">
        <v>0</v>
      </c>
      <c r="R25" s="582">
        <v>0</v>
      </c>
      <c r="S25" s="582">
        <v>0</v>
      </c>
      <c r="T25" s="582">
        <v>0</v>
      </c>
      <c r="U25" s="582">
        <v>0</v>
      </c>
      <c r="V25" s="582">
        <v>0</v>
      </c>
      <c r="W25" s="582">
        <v>0</v>
      </c>
      <c r="X25" s="582">
        <v>0</v>
      </c>
      <c r="Y25" s="582">
        <v>0</v>
      </c>
      <c r="Z25" s="582">
        <v>0</v>
      </c>
    </row>
    <row r="26" spans="1:26" outlineLevel="2" x14ac:dyDescent="0.2">
      <c r="A26" s="1390" t="s">
        <v>70</v>
      </c>
      <c r="B26" s="1391" t="s">
        <v>76</v>
      </c>
      <c r="C26" s="1391">
        <v>633013</v>
      </c>
      <c r="D26" s="63">
        <v>1</v>
      </c>
      <c r="E26" s="60">
        <f t="shared" si="4"/>
        <v>0</v>
      </c>
      <c r="F26" s="583">
        <v>0</v>
      </c>
      <c r="G26" s="583">
        <v>0</v>
      </c>
      <c r="H26" s="583">
        <v>0</v>
      </c>
      <c r="I26" s="583">
        <v>0</v>
      </c>
      <c r="J26" s="583">
        <v>0</v>
      </c>
      <c r="K26" s="583">
        <v>0</v>
      </c>
      <c r="L26" s="583">
        <v>0</v>
      </c>
      <c r="M26" s="583">
        <v>0</v>
      </c>
      <c r="N26" s="583">
        <v>0</v>
      </c>
      <c r="O26" s="583">
        <v>0</v>
      </c>
      <c r="P26" s="583">
        <v>0</v>
      </c>
      <c r="Q26" s="583">
        <v>0</v>
      </c>
      <c r="R26" s="583">
        <v>0</v>
      </c>
      <c r="S26" s="583">
        <v>0</v>
      </c>
      <c r="T26" s="583">
        <v>0</v>
      </c>
      <c r="U26" s="583">
        <v>0</v>
      </c>
      <c r="V26" s="583">
        <v>0</v>
      </c>
      <c r="W26" s="583">
        <v>0</v>
      </c>
      <c r="X26" s="583">
        <v>0</v>
      </c>
      <c r="Y26" s="583">
        <v>0</v>
      </c>
      <c r="Z26" s="583">
        <v>0</v>
      </c>
    </row>
    <row r="27" spans="1:26" outlineLevel="2" x14ac:dyDescent="0.2">
      <c r="A27" s="1390"/>
      <c r="B27" s="1391"/>
      <c r="C27" s="1391"/>
      <c r="D27" s="64">
        <v>2</v>
      </c>
      <c r="E27" s="61">
        <f t="shared" si="4"/>
        <v>0</v>
      </c>
      <c r="F27" s="584">
        <v>0</v>
      </c>
      <c r="G27" s="584">
        <v>0</v>
      </c>
      <c r="H27" s="584">
        <v>0</v>
      </c>
      <c r="I27" s="584">
        <v>0</v>
      </c>
      <c r="J27" s="584">
        <v>0</v>
      </c>
      <c r="K27" s="584">
        <v>0</v>
      </c>
      <c r="L27" s="584">
        <v>0</v>
      </c>
      <c r="M27" s="584">
        <v>0</v>
      </c>
      <c r="N27" s="584">
        <v>0</v>
      </c>
      <c r="O27" s="584">
        <v>0</v>
      </c>
      <c r="P27" s="584">
        <v>0</v>
      </c>
      <c r="Q27" s="584">
        <v>0</v>
      </c>
      <c r="R27" s="584">
        <v>0</v>
      </c>
      <c r="S27" s="584">
        <v>0</v>
      </c>
      <c r="T27" s="584">
        <v>0</v>
      </c>
      <c r="U27" s="584">
        <v>0</v>
      </c>
      <c r="V27" s="584">
        <v>0</v>
      </c>
      <c r="W27" s="584">
        <v>0</v>
      </c>
      <c r="X27" s="584">
        <v>0</v>
      </c>
      <c r="Y27" s="584">
        <v>0</v>
      </c>
      <c r="Z27" s="584">
        <v>0</v>
      </c>
    </row>
    <row r="28" spans="1:26" outlineLevel="2" x14ac:dyDescent="0.2">
      <c r="A28" s="1390"/>
      <c r="B28" s="1391"/>
      <c r="C28" s="1391"/>
      <c r="D28" s="64">
        <v>3</v>
      </c>
      <c r="E28" s="61">
        <f t="shared" si="4"/>
        <v>0</v>
      </c>
      <c r="F28" s="584">
        <v>0</v>
      </c>
      <c r="G28" s="584">
        <v>0</v>
      </c>
      <c r="H28" s="584">
        <v>0</v>
      </c>
      <c r="I28" s="584">
        <v>0</v>
      </c>
      <c r="J28" s="584">
        <v>0</v>
      </c>
      <c r="K28" s="584">
        <v>0</v>
      </c>
      <c r="L28" s="584">
        <v>0</v>
      </c>
      <c r="M28" s="584">
        <v>0</v>
      </c>
      <c r="N28" s="584">
        <v>0</v>
      </c>
      <c r="O28" s="584">
        <v>0</v>
      </c>
      <c r="P28" s="584">
        <v>0</v>
      </c>
      <c r="Q28" s="584">
        <v>0</v>
      </c>
      <c r="R28" s="584">
        <v>0</v>
      </c>
      <c r="S28" s="584">
        <v>0</v>
      </c>
      <c r="T28" s="584">
        <v>0</v>
      </c>
      <c r="U28" s="584">
        <v>0</v>
      </c>
      <c r="V28" s="584">
        <v>0</v>
      </c>
      <c r="W28" s="584">
        <v>0</v>
      </c>
      <c r="X28" s="584">
        <v>0</v>
      </c>
      <c r="Y28" s="584">
        <v>0</v>
      </c>
      <c r="Z28" s="584">
        <v>0</v>
      </c>
    </row>
    <row r="29" spans="1:26" outlineLevel="2" x14ac:dyDescent="0.2">
      <c r="A29" s="1390"/>
      <c r="B29" s="1391"/>
      <c r="C29" s="1391"/>
      <c r="D29" s="64">
        <v>4</v>
      </c>
      <c r="E29" s="61">
        <f t="shared" si="4"/>
        <v>0</v>
      </c>
      <c r="F29" s="584">
        <v>0</v>
      </c>
      <c r="G29" s="584">
        <v>0</v>
      </c>
      <c r="H29" s="584">
        <v>0</v>
      </c>
      <c r="I29" s="584">
        <v>0</v>
      </c>
      <c r="J29" s="584">
        <v>0</v>
      </c>
      <c r="K29" s="584">
        <v>0</v>
      </c>
      <c r="L29" s="584">
        <v>0</v>
      </c>
      <c r="M29" s="584">
        <v>0</v>
      </c>
      <c r="N29" s="584">
        <v>0</v>
      </c>
      <c r="O29" s="584">
        <v>0</v>
      </c>
      <c r="P29" s="584">
        <v>0</v>
      </c>
      <c r="Q29" s="584">
        <v>0</v>
      </c>
      <c r="R29" s="584">
        <v>0</v>
      </c>
      <c r="S29" s="584">
        <v>0</v>
      </c>
      <c r="T29" s="584">
        <v>0</v>
      </c>
      <c r="U29" s="584">
        <v>0</v>
      </c>
      <c r="V29" s="584">
        <v>0</v>
      </c>
      <c r="W29" s="584">
        <v>0</v>
      </c>
      <c r="X29" s="584">
        <v>0</v>
      </c>
      <c r="Y29" s="584">
        <v>0</v>
      </c>
      <c r="Z29" s="584">
        <v>0</v>
      </c>
    </row>
    <row r="30" spans="1:26" outlineLevel="2" x14ac:dyDescent="0.2">
      <c r="A30" s="1390"/>
      <c r="B30" s="1391"/>
      <c r="C30" s="1391"/>
      <c r="D30" s="64">
        <v>5</v>
      </c>
      <c r="E30" s="61">
        <f t="shared" si="4"/>
        <v>0</v>
      </c>
      <c r="F30" s="584">
        <v>0</v>
      </c>
      <c r="G30" s="584">
        <v>0</v>
      </c>
      <c r="H30" s="584">
        <v>0</v>
      </c>
      <c r="I30" s="584">
        <v>0</v>
      </c>
      <c r="J30" s="584">
        <v>0</v>
      </c>
      <c r="K30" s="584">
        <v>0</v>
      </c>
      <c r="L30" s="584">
        <v>0</v>
      </c>
      <c r="M30" s="584">
        <v>0</v>
      </c>
      <c r="N30" s="584">
        <v>0</v>
      </c>
      <c r="O30" s="584">
        <v>0</v>
      </c>
      <c r="P30" s="584">
        <v>0</v>
      </c>
      <c r="Q30" s="584">
        <v>0</v>
      </c>
      <c r="R30" s="584">
        <v>0</v>
      </c>
      <c r="S30" s="584">
        <v>0</v>
      </c>
      <c r="T30" s="584">
        <v>0</v>
      </c>
      <c r="U30" s="584">
        <v>0</v>
      </c>
      <c r="V30" s="584">
        <v>0</v>
      </c>
      <c r="W30" s="584">
        <v>0</v>
      </c>
      <c r="X30" s="584">
        <v>0</v>
      </c>
      <c r="Y30" s="584">
        <v>0</v>
      </c>
      <c r="Z30" s="584">
        <v>0</v>
      </c>
    </row>
    <row r="31" spans="1:26" outlineLevel="2" x14ac:dyDescent="0.2">
      <c r="A31" s="1390"/>
      <c r="B31" s="1391"/>
      <c r="C31" s="1391"/>
      <c r="D31" s="64">
        <v>6</v>
      </c>
      <c r="E31" s="61">
        <f t="shared" si="4"/>
        <v>0</v>
      </c>
      <c r="F31" s="584">
        <v>0</v>
      </c>
      <c r="G31" s="584">
        <v>0</v>
      </c>
      <c r="H31" s="584">
        <v>0</v>
      </c>
      <c r="I31" s="584">
        <v>0</v>
      </c>
      <c r="J31" s="584">
        <v>0</v>
      </c>
      <c r="K31" s="584">
        <v>0</v>
      </c>
      <c r="L31" s="584">
        <v>0</v>
      </c>
      <c r="M31" s="584">
        <v>0</v>
      </c>
      <c r="N31" s="584">
        <v>0</v>
      </c>
      <c r="O31" s="584">
        <v>0</v>
      </c>
      <c r="P31" s="584">
        <v>0</v>
      </c>
      <c r="Q31" s="584">
        <v>0</v>
      </c>
      <c r="R31" s="584">
        <v>0</v>
      </c>
      <c r="S31" s="584">
        <v>0</v>
      </c>
      <c r="T31" s="584">
        <v>0</v>
      </c>
      <c r="U31" s="584">
        <v>0</v>
      </c>
      <c r="V31" s="584">
        <v>0</v>
      </c>
      <c r="W31" s="584">
        <v>0</v>
      </c>
      <c r="X31" s="584">
        <v>0</v>
      </c>
      <c r="Y31" s="584">
        <v>0</v>
      </c>
      <c r="Z31" s="584">
        <v>0</v>
      </c>
    </row>
    <row r="32" spans="1:26" outlineLevel="2" x14ac:dyDescent="0.2">
      <c r="A32" s="1390"/>
      <c r="B32" s="1391"/>
      <c r="C32" s="1391"/>
      <c r="D32" s="64">
        <v>7</v>
      </c>
      <c r="E32" s="61">
        <f t="shared" si="4"/>
        <v>0</v>
      </c>
      <c r="F32" s="584">
        <v>0</v>
      </c>
      <c r="G32" s="584">
        <v>0</v>
      </c>
      <c r="H32" s="584">
        <v>0</v>
      </c>
      <c r="I32" s="584">
        <v>0</v>
      </c>
      <c r="J32" s="584">
        <v>0</v>
      </c>
      <c r="K32" s="584">
        <v>0</v>
      </c>
      <c r="L32" s="584">
        <v>0</v>
      </c>
      <c r="M32" s="584">
        <v>0</v>
      </c>
      <c r="N32" s="584">
        <v>0</v>
      </c>
      <c r="O32" s="584">
        <v>0</v>
      </c>
      <c r="P32" s="584">
        <v>0</v>
      </c>
      <c r="Q32" s="584">
        <v>0</v>
      </c>
      <c r="R32" s="584">
        <v>0</v>
      </c>
      <c r="S32" s="584">
        <v>0</v>
      </c>
      <c r="T32" s="584">
        <v>0</v>
      </c>
      <c r="U32" s="584">
        <v>0</v>
      </c>
      <c r="V32" s="584">
        <v>0</v>
      </c>
      <c r="W32" s="584">
        <v>0</v>
      </c>
      <c r="X32" s="584">
        <v>0</v>
      </c>
      <c r="Y32" s="584">
        <v>0</v>
      </c>
      <c r="Z32" s="584">
        <v>0</v>
      </c>
    </row>
    <row r="33" spans="1:26" outlineLevel="2" x14ac:dyDescent="0.2">
      <c r="A33" s="1390"/>
      <c r="B33" s="1391"/>
      <c r="C33" s="1391"/>
      <c r="D33" s="64">
        <v>8</v>
      </c>
      <c r="E33" s="61">
        <f t="shared" si="4"/>
        <v>0</v>
      </c>
      <c r="F33" s="584">
        <v>0</v>
      </c>
      <c r="G33" s="584">
        <v>0</v>
      </c>
      <c r="H33" s="584">
        <v>0</v>
      </c>
      <c r="I33" s="584">
        <v>0</v>
      </c>
      <c r="J33" s="584">
        <v>0</v>
      </c>
      <c r="K33" s="584">
        <v>0</v>
      </c>
      <c r="L33" s="584">
        <v>0</v>
      </c>
      <c r="M33" s="584">
        <v>0</v>
      </c>
      <c r="N33" s="584">
        <v>0</v>
      </c>
      <c r="O33" s="584">
        <v>0</v>
      </c>
      <c r="P33" s="584">
        <v>0</v>
      </c>
      <c r="Q33" s="584">
        <v>0</v>
      </c>
      <c r="R33" s="584">
        <v>0</v>
      </c>
      <c r="S33" s="584">
        <v>0</v>
      </c>
      <c r="T33" s="584">
        <v>0</v>
      </c>
      <c r="U33" s="584">
        <v>0</v>
      </c>
      <c r="V33" s="584">
        <v>0</v>
      </c>
      <c r="W33" s="584">
        <v>0</v>
      </c>
      <c r="X33" s="584">
        <v>0</v>
      </c>
      <c r="Y33" s="584">
        <v>0</v>
      </c>
      <c r="Z33" s="584">
        <v>0</v>
      </c>
    </row>
    <row r="34" spans="1:26" outlineLevel="2" x14ac:dyDescent="0.2">
      <c r="A34" s="1390"/>
      <c r="B34" s="1391"/>
      <c r="C34" s="1391"/>
      <c r="D34" s="64">
        <v>9</v>
      </c>
      <c r="E34" s="61">
        <f t="shared" si="4"/>
        <v>0</v>
      </c>
      <c r="F34" s="584">
        <v>0</v>
      </c>
      <c r="G34" s="584">
        <v>0</v>
      </c>
      <c r="H34" s="584">
        <v>0</v>
      </c>
      <c r="I34" s="584">
        <v>0</v>
      </c>
      <c r="J34" s="584">
        <v>0</v>
      </c>
      <c r="K34" s="584">
        <v>0</v>
      </c>
      <c r="L34" s="584">
        <v>0</v>
      </c>
      <c r="M34" s="584">
        <v>0</v>
      </c>
      <c r="N34" s="584">
        <v>0</v>
      </c>
      <c r="O34" s="584">
        <v>0</v>
      </c>
      <c r="P34" s="584">
        <v>0</v>
      </c>
      <c r="Q34" s="584">
        <v>0</v>
      </c>
      <c r="R34" s="584">
        <v>0</v>
      </c>
      <c r="S34" s="584">
        <v>0</v>
      </c>
      <c r="T34" s="584">
        <v>0</v>
      </c>
      <c r="U34" s="584">
        <v>0</v>
      </c>
      <c r="V34" s="584">
        <v>0</v>
      </c>
      <c r="W34" s="584">
        <v>0</v>
      </c>
      <c r="X34" s="584">
        <v>0</v>
      </c>
      <c r="Y34" s="584">
        <v>0</v>
      </c>
      <c r="Z34" s="584">
        <v>0</v>
      </c>
    </row>
    <row r="35" spans="1:26" ht="16" outlineLevel="2" thickBot="1" x14ac:dyDescent="0.25">
      <c r="A35" s="1390"/>
      <c r="B35" s="1391"/>
      <c r="C35" s="1391"/>
      <c r="D35" s="65">
        <v>10</v>
      </c>
      <c r="E35" s="62">
        <f t="shared" si="4"/>
        <v>0</v>
      </c>
      <c r="F35" s="585">
        <v>0</v>
      </c>
      <c r="G35" s="585">
        <v>0</v>
      </c>
      <c r="H35" s="585">
        <v>0</v>
      </c>
      <c r="I35" s="585">
        <v>0</v>
      </c>
      <c r="J35" s="585">
        <v>0</v>
      </c>
      <c r="K35" s="585">
        <v>0</v>
      </c>
      <c r="L35" s="585">
        <v>0</v>
      </c>
      <c r="M35" s="585">
        <v>0</v>
      </c>
      <c r="N35" s="585">
        <v>0</v>
      </c>
      <c r="O35" s="585">
        <v>0</v>
      </c>
      <c r="P35" s="585">
        <v>0</v>
      </c>
      <c r="Q35" s="585">
        <v>0</v>
      </c>
      <c r="R35" s="585">
        <v>0</v>
      </c>
      <c r="S35" s="585">
        <v>0</v>
      </c>
      <c r="T35" s="585">
        <v>0</v>
      </c>
      <c r="U35" s="585">
        <v>0</v>
      </c>
      <c r="V35" s="585">
        <v>0</v>
      </c>
      <c r="W35" s="585">
        <v>0</v>
      </c>
      <c r="X35" s="585">
        <v>0</v>
      </c>
      <c r="Y35" s="585">
        <v>0</v>
      </c>
      <c r="Z35" s="585">
        <v>0</v>
      </c>
    </row>
    <row r="36" spans="1:26" ht="16" outlineLevel="1" thickBot="1" x14ac:dyDescent="0.25">
      <c r="A36" s="17" t="s">
        <v>104</v>
      </c>
      <c r="B36" s="17"/>
      <c r="C36" s="17"/>
      <c r="D36" s="27"/>
      <c r="E36" s="112">
        <f t="shared" ref="E36:Z36" si="5">SUM(E37:E76)</f>
        <v>3972444.5699999994</v>
      </c>
      <c r="F36" s="113">
        <f t="shared" si="5"/>
        <v>97284.356816326501</v>
      </c>
      <c r="G36" s="113">
        <f t="shared" si="5"/>
        <v>97284.356816326501</v>
      </c>
      <c r="H36" s="113">
        <f t="shared" si="5"/>
        <v>223754.02067755099</v>
      </c>
      <c r="I36" s="113">
        <f t="shared" si="5"/>
        <v>0</v>
      </c>
      <c r="J36" s="113">
        <f t="shared" si="5"/>
        <v>953386.6967999998</v>
      </c>
      <c r="K36" s="113">
        <f t="shared" si="5"/>
        <v>0</v>
      </c>
      <c r="L36" s="113">
        <f t="shared" si="5"/>
        <v>157276.3768530612</v>
      </c>
      <c r="M36" s="113">
        <f t="shared" si="5"/>
        <v>1232268.5196734692</v>
      </c>
      <c r="N36" s="113">
        <f t="shared" si="5"/>
        <v>0</v>
      </c>
      <c r="O36" s="113">
        <f t="shared" si="5"/>
        <v>0</v>
      </c>
      <c r="P36" s="113">
        <f t="shared" si="5"/>
        <v>1211190.242363265</v>
      </c>
      <c r="Q36" s="113">
        <f t="shared" si="5"/>
        <v>0</v>
      </c>
      <c r="R36" s="113">
        <f t="shared" si="5"/>
        <v>0</v>
      </c>
      <c r="S36" s="113">
        <f t="shared" si="5"/>
        <v>0</v>
      </c>
      <c r="T36" s="113">
        <f t="shared" si="5"/>
        <v>0</v>
      </c>
      <c r="U36" s="113">
        <f t="shared" si="5"/>
        <v>0</v>
      </c>
      <c r="V36" s="113">
        <f t="shared" si="5"/>
        <v>0</v>
      </c>
      <c r="W36" s="113">
        <f t="shared" si="5"/>
        <v>0</v>
      </c>
      <c r="X36" s="113">
        <f t="shared" si="5"/>
        <v>0</v>
      </c>
      <c r="Y36" s="113">
        <f t="shared" si="5"/>
        <v>0</v>
      </c>
      <c r="Z36" s="113">
        <f t="shared" si="5"/>
        <v>0</v>
      </c>
    </row>
    <row r="37" spans="1:26" outlineLevel="2" x14ac:dyDescent="0.2">
      <c r="A37" s="1390" t="s">
        <v>74</v>
      </c>
      <c r="B37" s="1391" t="s">
        <v>71</v>
      </c>
      <c r="C37" s="1391">
        <v>711003</v>
      </c>
      <c r="D37" s="63">
        <v>1</v>
      </c>
      <c r="E37" s="67">
        <f t="shared" ref="E37:E76" si="6">SUM(F37:Z37)</f>
        <v>0</v>
      </c>
      <c r="F37" s="578">
        <f>IFERROR(IF(VLOOKUP(F$2,MODULY_CBA!$B$3:$I$23,8,0)=$D37,SUMIF('Rozpocet - Vyvoj aplikacii'!$B$3:$B$179,'TCO TO BE- SW'!F$2,'Rozpocet - Vyvoj aplikacii'!$J$3:$J$179),0),0)</f>
        <v>0</v>
      </c>
      <c r="G37" s="578">
        <f>IFERROR(IF(VLOOKUP(G$2,MODULY_CBA!$B$3:$I$23,8,0)=$D37,SUMIF('Rozpocet - Vyvoj aplikacii'!$B$3:$B$179,'TCO TO BE- SW'!G$2,'Rozpocet - Vyvoj aplikacii'!$J$3:$J$179),0),0)</f>
        <v>0</v>
      </c>
      <c r="H37" s="578">
        <f>IFERROR(IF(VLOOKUP(H$2,MODULY_CBA!$B$3:$I$23,8,0)=$D37,SUMIF('Rozpocet - Vyvoj aplikacii'!$B$3:$B$179,'TCO TO BE- SW'!H$2,'Rozpocet - Vyvoj aplikacii'!$J$3:$J$179),0),0)</f>
        <v>0</v>
      </c>
      <c r="I37" s="578">
        <f>IFERROR(IF(VLOOKUP(I$2,MODULY_CBA!$B$3:$I$23,8,0)=$D37,SUMIF('Rozpocet - Vyvoj aplikacii'!$B$3:$B$179,'TCO TO BE- SW'!I$2,'Rozpocet - Vyvoj aplikacii'!$J$3:$J$179),0),0)</f>
        <v>0</v>
      </c>
      <c r="J37" s="578">
        <f>IFERROR(IF(VLOOKUP(J$2,MODULY_CBA!$B$3:$I$23,8,0)=$D37,SUMIF('Rozpocet - Vyvoj aplikacii'!$B$3:$B$179,'TCO TO BE- SW'!J$2,'Rozpocet - Vyvoj aplikacii'!$J$3:$J$179),0),0)</f>
        <v>0</v>
      </c>
      <c r="K37" s="578">
        <f>IFERROR(IF(VLOOKUP(K$2,MODULY_CBA!$B$3:$I$23,8,0)=$D37,SUMIF('Rozpocet - Vyvoj aplikacii'!$B$3:$B$179,'TCO TO BE- SW'!K$2,'Rozpocet - Vyvoj aplikacii'!$J$3:$J$179),0),0)</f>
        <v>0</v>
      </c>
      <c r="L37" s="578">
        <f>IFERROR(IF(VLOOKUP(L$2,MODULY_CBA!$B$3:$I$23,8,0)=$D37,SUMIF('Rozpocet - Vyvoj aplikacii'!$B$3:$B$179,'TCO TO BE- SW'!L$2,'Rozpocet - Vyvoj aplikacii'!$J$3:$J$179),0),0)</f>
        <v>0</v>
      </c>
      <c r="M37" s="578">
        <f>IFERROR(IF(VLOOKUP(M$2,MODULY_CBA!$B$3:$I$23,8,0)=$D37,SUMIF('Rozpocet - Vyvoj aplikacii'!$B$3:$B$179,'TCO TO BE- SW'!M$2,'Rozpocet - Vyvoj aplikacii'!$J$3:$J$179),0),0)</f>
        <v>0</v>
      </c>
      <c r="N37" s="578">
        <f>IFERROR(IF(VLOOKUP(N$2,MODULY_CBA!$B$3:$I$23,8,0)=$D37,SUMIF('Rozpocet - Vyvoj aplikacii'!$B$3:$B$179,'TCO TO BE- SW'!N$2,'Rozpocet - Vyvoj aplikacii'!$J$3:$J$179),0),0)</f>
        <v>0</v>
      </c>
      <c r="O37" s="578">
        <f>IFERROR(IF(VLOOKUP(O$2,MODULY_CBA!$B$3:$I$23,8,0)=$D37,SUMIF('Rozpocet - Vyvoj aplikacii'!$B$3:$B$179,'TCO TO BE- SW'!O$2,'Rozpocet - Vyvoj aplikacii'!$J$3:$J$179),0),0)</f>
        <v>0</v>
      </c>
      <c r="P37" s="578">
        <f>IFERROR(IF(VLOOKUP(P$2,MODULY_CBA!$B$3:$I$23,8,0)=$D37,SUMIF('Rozpocet - Vyvoj aplikacii'!$B$3:$B$179,'TCO TO BE- SW'!P$2,'Rozpocet - Vyvoj aplikacii'!$J$3:$J$179),0),0)</f>
        <v>0</v>
      </c>
      <c r="Q37" s="578">
        <f>IFERROR(IF(VLOOKUP(Q$2,MODULY_CBA!$B$3:$I$23,8,0)=$D37,SUMIF('Rozpocet - Vyvoj aplikacii'!$B$3:$B$179,'TCO TO BE- SW'!Q$2,'Rozpocet - Vyvoj aplikacii'!$J$3:$J$179),0),0)</f>
        <v>0</v>
      </c>
      <c r="R37" s="578">
        <f>IFERROR(IF(VLOOKUP(R$2,MODULY_CBA!$B$3:$I$23,8,0)=$D37,SUMIF('Rozpocet - Vyvoj aplikacii'!$B$3:$B$179,'TCO TO BE- SW'!R$2,'Rozpocet - Vyvoj aplikacii'!$J$3:$J$179),0),0)</f>
        <v>0</v>
      </c>
      <c r="S37" s="578">
        <f>IFERROR(IF(VLOOKUP(S$2,MODULY_CBA!$B$3:$I$23,8,0)=$D37,SUMIF('Rozpocet - Vyvoj aplikacii'!$B$3:$B$179,'TCO TO BE- SW'!S$2,'Rozpocet - Vyvoj aplikacii'!$J$3:$J$179),0),0)</f>
        <v>0</v>
      </c>
      <c r="T37" s="578">
        <f>IFERROR(IF(VLOOKUP(T$2,MODULY_CBA!$B$3:$I$23,8,0)=$D37,SUMIF('Rozpocet - Vyvoj aplikacii'!$B$3:$B$179,'TCO TO BE- SW'!T$2,'Rozpocet - Vyvoj aplikacii'!$J$3:$J$179),0),0)</f>
        <v>0</v>
      </c>
      <c r="U37" s="578">
        <f>IFERROR(IF(VLOOKUP(U$2,MODULY_CBA!$B$3:$I$23,8,0)=$D37,SUMIF('Rozpocet - Vyvoj aplikacii'!$B$3:$B$179,'TCO TO BE- SW'!U$2,'Rozpocet - Vyvoj aplikacii'!$J$3:$J$179),0),0)</f>
        <v>0</v>
      </c>
      <c r="V37" s="578">
        <f>IFERROR(IF(VLOOKUP(V$2,MODULY_CBA!$B$3:$I$23,8,0)=$D37,SUMIF('Rozpocet - Vyvoj aplikacii'!$B$3:$B$179,'TCO TO BE- SW'!V$2,'Rozpocet - Vyvoj aplikacii'!$J$3:$J$179),0),0)</f>
        <v>0</v>
      </c>
      <c r="W37" s="578">
        <f>IFERROR(IF(VLOOKUP(W$2,MODULY_CBA!$B$3:$I$23,8,0)=$D37,SUMIF('Rozpocet - Vyvoj aplikacii'!$B$3:$B$179,'TCO TO BE- SW'!W$2,'Rozpocet - Vyvoj aplikacii'!$J$3:$J$179),0),0)</f>
        <v>0</v>
      </c>
      <c r="X37" s="578">
        <f>IFERROR(IF(VLOOKUP(X$2,MODULY_CBA!$B$3:$I$23,8,0)=$D37,SUMIF('Rozpocet - Vyvoj aplikacii'!$B$3:$B$179,'TCO TO BE- SW'!X$2,'Rozpocet - Vyvoj aplikacii'!$J$3:$J$179),0),0)</f>
        <v>0</v>
      </c>
      <c r="Y37" s="578">
        <f>IFERROR(IF(VLOOKUP(Y$2,MODULY_CBA!$B$3:$I$23,8,0)=$D37,SUMIF('Rozpocet - Vyvoj aplikacii'!$B$3:$B$179,'TCO TO BE- SW'!Y$2,'Rozpocet - Vyvoj aplikacii'!$J$3:$J$179),0),0)</f>
        <v>0</v>
      </c>
      <c r="Z37" s="578">
        <f>IFERROR(IF(VLOOKUP(Z$2,MODULY_CBA!$B$3:$I$23,8,0)=$D37,SUMIF('Rozpocet - Vyvoj aplikacii'!$B$3:$B$179,'TCO TO BE- SW'!Z$2,'Rozpocet - Vyvoj aplikacii'!$J$3:$J$179),0),0)</f>
        <v>0</v>
      </c>
    </row>
    <row r="38" spans="1:26" outlineLevel="2" x14ac:dyDescent="0.2">
      <c r="A38" s="1390"/>
      <c r="B38" s="1391"/>
      <c r="C38" s="1391"/>
      <c r="D38" s="64">
        <v>2</v>
      </c>
      <c r="E38" s="68">
        <f t="shared" si="6"/>
        <v>1298872.6200000001</v>
      </c>
      <c r="F38" s="579">
        <f>IFERROR(IF(VLOOKUP(F$2,MODULY_CBA!$B$3:$I$23,8,0)=$D38,SUMIF('Rozpocet - Vyvoj aplikacii'!$B$3:$B$179,'TCO TO BE- SW'!F$2,'Rozpocet - Vyvoj aplikacii'!$J$3:$J$179),0),0)</f>
        <v>31809.125387755103</v>
      </c>
      <c r="G38" s="579">
        <f>IFERROR(IF(VLOOKUP(G$2,MODULY_CBA!$B$3:$I$23,8,0)=$D38,SUMIF('Rozpocet - Vyvoj aplikacii'!$B$3:$B$179,'TCO TO BE- SW'!G$2,'Rozpocet - Vyvoj aplikacii'!$J$3:$J$179),0),0)</f>
        <v>31809.125387755103</v>
      </c>
      <c r="H38" s="579">
        <f>IFERROR(IF(VLOOKUP(H$2,MODULY_CBA!$B$3:$I$23,8,0)=$D38,SUMIF('Rozpocet - Vyvoj aplikacii'!$B$3:$B$179,'TCO TO BE- SW'!H$2,'Rozpocet - Vyvoj aplikacii'!$J$3:$J$179),0),0)</f>
        <v>73160.988391836756</v>
      </c>
      <c r="I38" s="579">
        <f>IFERROR(IF(VLOOKUP(I$2,MODULY_CBA!$B$3:$I$23,8,0)=$D38,SUMIF('Rozpocet - Vyvoj aplikacii'!$B$3:$B$179,'TCO TO BE- SW'!I$2,'Rozpocet - Vyvoj aplikacii'!$J$3:$J$179),0),0)</f>
        <v>0</v>
      </c>
      <c r="J38" s="579">
        <f>IFERROR(IF(VLOOKUP(J$2,MODULY_CBA!$B$3:$I$23,8,0)=$D38,SUMIF('Rozpocet - Vyvoj aplikacii'!$B$3:$B$179,'TCO TO BE- SW'!J$2,'Rozpocet - Vyvoj aplikacii'!$J$3:$J$179),0),0)</f>
        <v>311729.42879999999</v>
      </c>
      <c r="K38" s="579">
        <f>IFERROR(IF(VLOOKUP(K$2,MODULY_CBA!$B$3:$I$23,8,0)=$D38,SUMIF('Rozpocet - Vyvoj aplikacii'!$B$3:$B$179,'TCO TO BE- SW'!K$2,'Rozpocet - Vyvoj aplikacii'!$J$3:$J$179),0),0)</f>
        <v>0</v>
      </c>
      <c r="L38" s="579">
        <f>IFERROR(IF(VLOOKUP(L$2,MODULY_CBA!$B$3:$I$23,8,0)=$D38,SUMIF('Rozpocet - Vyvoj aplikacii'!$B$3:$B$179,'TCO TO BE- SW'!L$2,'Rozpocet - Vyvoj aplikacii'!$J$3:$J$179),0),0)</f>
        <v>51424.752710204077</v>
      </c>
      <c r="M38" s="579">
        <f>IFERROR(IF(VLOOKUP(M$2,MODULY_CBA!$B$3:$I$23,8,0)=$D38,SUMIF('Rozpocet - Vyvoj aplikacii'!$B$3:$B$179,'TCO TO BE- SW'!M$2,'Rozpocet - Vyvoj aplikacii'!$J$3:$J$179),0),0)</f>
        <v>402915.58824489795</v>
      </c>
      <c r="N38" s="579">
        <f>IFERROR(IF(VLOOKUP(N$2,MODULY_CBA!$B$3:$I$23,8,0)=$D38,SUMIF('Rozpocet - Vyvoj aplikacii'!$B$3:$B$179,'TCO TO BE- SW'!N$2,'Rozpocet - Vyvoj aplikacii'!$J$3:$J$179),0),0)</f>
        <v>0</v>
      </c>
      <c r="O38" s="579">
        <f>IFERROR(IF(VLOOKUP(O$2,MODULY_CBA!$B$3:$I$23,8,0)=$D38,SUMIF('Rozpocet - Vyvoj aplikacii'!$B$3:$B$179,'TCO TO BE- SW'!O$2,'Rozpocet - Vyvoj aplikacii'!$J$3:$J$179),0),0)</f>
        <v>0</v>
      </c>
      <c r="P38" s="579">
        <f>IFERROR(IF(VLOOKUP(P$2,MODULY_CBA!$B$3:$I$23,8,0)=$D38,SUMIF('Rozpocet - Vyvoj aplikacii'!$B$3:$B$179,'TCO TO BE- SW'!P$2,'Rozpocet - Vyvoj aplikacii'!$J$3:$J$179),0),0)</f>
        <v>396023.61107755103</v>
      </c>
      <c r="Q38" s="579">
        <f>IFERROR(IF(VLOOKUP(Q$2,MODULY_CBA!$B$3:$I$23,8,0)=$D38,SUMIF('Rozpocet - Vyvoj aplikacii'!$B$3:$B$179,'TCO TO BE- SW'!Q$2,'Rozpocet - Vyvoj aplikacii'!$J$3:$J$179),0),0)</f>
        <v>0</v>
      </c>
      <c r="R38" s="579">
        <f>IFERROR(IF(VLOOKUP(R$2,MODULY_CBA!$B$3:$I$23,8,0)=$D38,SUMIF('Rozpocet - Vyvoj aplikacii'!$B$3:$B$179,'TCO TO BE- SW'!R$2,'Rozpocet - Vyvoj aplikacii'!$J$3:$J$179),0),0)</f>
        <v>0</v>
      </c>
      <c r="S38" s="579">
        <f>IFERROR(IF(VLOOKUP(S$2,MODULY_CBA!$B$3:$I$23,8,0)=$D38,SUMIF('Rozpocet - Vyvoj aplikacii'!$B$3:$B$179,'TCO TO BE- SW'!S$2,'Rozpocet - Vyvoj aplikacii'!$J$3:$J$179),0),0)</f>
        <v>0</v>
      </c>
      <c r="T38" s="579">
        <f>IFERROR(IF(VLOOKUP(T$2,MODULY_CBA!$B$3:$I$23,8,0)=$D38,SUMIF('Rozpocet - Vyvoj aplikacii'!$B$3:$B$179,'TCO TO BE- SW'!T$2,'Rozpocet - Vyvoj aplikacii'!$J$3:$J$179),0),0)</f>
        <v>0</v>
      </c>
      <c r="U38" s="579">
        <f>IFERROR(IF(VLOOKUP(U$2,MODULY_CBA!$B$3:$I$23,8,0)=$D38,SUMIF('Rozpocet - Vyvoj aplikacii'!$B$3:$B$179,'TCO TO BE- SW'!U$2,'Rozpocet - Vyvoj aplikacii'!$J$3:$J$179),0),0)</f>
        <v>0</v>
      </c>
      <c r="V38" s="579">
        <f>IFERROR(IF(VLOOKUP(V$2,MODULY_CBA!$B$3:$I$23,8,0)=$D38,SUMIF('Rozpocet - Vyvoj aplikacii'!$B$3:$B$179,'TCO TO BE- SW'!V$2,'Rozpocet - Vyvoj aplikacii'!$J$3:$J$179),0),0)</f>
        <v>0</v>
      </c>
      <c r="W38" s="579">
        <f>IFERROR(IF(VLOOKUP(W$2,MODULY_CBA!$B$3:$I$23,8,0)=$D38,SUMIF('Rozpocet - Vyvoj aplikacii'!$B$3:$B$179,'TCO TO BE- SW'!W$2,'Rozpocet - Vyvoj aplikacii'!$J$3:$J$179),0),0)</f>
        <v>0</v>
      </c>
      <c r="X38" s="579">
        <f>IFERROR(IF(VLOOKUP(X$2,MODULY_CBA!$B$3:$I$23,8,0)=$D38,SUMIF('Rozpocet - Vyvoj aplikacii'!$B$3:$B$179,'TCO TO BE- SW'!X$2,'Rozpocet - Vyvoj aplikacii'!$J$3:$J$179),0),0)</f>
        <v>0</v>
      </c>
      <c r="Y38" s="579">
        <f>IFERROR(IF(VLOOKUP(Y$2,MODULY_CBA!$B$3:$I$23,8,0)=$D38,SUMIF('Rozpocet - Vyvoj aplikacii'!$B$3:$B$179,'TCO TO BE- SW'!Y$2,'Rozpocet - Vyvoj aplikacii'!$J$3:$J$179),0),0)</f>
        <v>0</v>
      </c>
      <c r="Z38" s="579">
        <f>IFERROR(IF(VLOOKUP(Z$2,MODULY_CBA!$B$3:$I$23,8,0)=$D38,SUMIF('Rozpocet - Vyvoj aplikacii'!$B$3:$B$179,'TCO TO BE- SW'!Z$2,'Rozpocet - Vyvoj aplikacii'!$J$3:$J$179),0),0)</f>
        <v>0</v>
      </c>
    </row>
    <row r="39" spans="1:26" outlineLevel="2" x14ac:dyDescent="0.2">
      <c r="A39" s="1390"/>
      <c r="B39" s="1391"/>
      <c r="C39" s="1391"/>
      <c r="D39" s="64">
        <v>3</v>
      </c>
      <c r="E39" s="68">
        <f t="shared" si="6"/>
        <v>0</v>
      </c>
      <c r="F39" s="579">
        <f>IFERROR(IF(VLOOKUP(F$2,MODULY_CBA!$B$3:$I$23,8,0)=$D39,SUMIF('Rozpocet - Vyvoj aplikacii'!$B$3:$B$179,'TCO TO BE- SW'!F$2,'Rozpocet - Vyvoj aplikacii'!$J$3:$J$179),0),0)</f>
        <v>0</v>
      </c>
      <c r="G39" s="579">
        <f>IFERROR(IF(VLOOKUP(G$2,MODULY_CBA!$B$3:$I$23,8,0)=$D39,SUMIF('Rozpocet - Vyvoj aplikacii'!$B$3:$B$179,'TCO TO BE- SW'!G$2,'Rozpocet - Vyvoj aplikacii'!$J$3:$J$179),0),0)</f>
        <v>0</v>
      </c>
      <c r="H39" s="579">
        <f>IFERROR(IF(VLOOKUP(H$2,MODULY_CBA!$B$3:$I$23,8,0)=$D39,SUMIF('Rozpocet - Vyvoj aplikacii'!$B$3:$B$179,'TCO TO BE- SW'!H$2,'Rozpocet - Vyvoj aplikacii'!$J$3:$J$179),0),0)</f>
        <v>0</v>
      </c>
      <c r="I39" s="579">
        <f>IFERROR(IF(VLOOKUP(I$2,MODULY_CBA!$B$3:$I$23,8,0)=$D39,SUMIF('Rozpocet - Vyvoj aplikacii'!$B$3:$B$179,'TCO TO BE- SW'!I$2,'Rozpocet - Vyvoj aplikacii'!$J$3:$J$179),0),0)</f>
        <v>0</v>
      </c>
      <c r="J39" s="579">
        <f>IFERROR(IF(VLOOKUP(J$2,MODULY_CBA!$B$3:$I$23,8,0)=$D39,SUMIF('Rozpocet - Vyvoj aplikacii'!$B$3:$B$179,'TCO TO BE- SW'!J$2,'Rozpocet - Vyvoj aplikacii'!$J$3:$J$179),0),0)</f>
        <v>0</v>
      </c>
      <c r="K39" s="579">
        <f>IFERROR(IF(VLOOKUP(K$2,MODULY_CBA!$B$3:$I$23,8,0)=$D39,SUMIF('Rozpocet - Vyvoj aplikacii'!$B$3:$B$179,'TCO TO BE- SW'!K$2,'Rozpocet - Vyvoj aplikacii'!$J$3:$J$179),0),0)</f>
        <v>0</v>
      </c>
      <c r="L39" s="579">
        <f>IFERROR(IF(VLOOKUP(L$2,MODULY_CBA!$B$3:$I$23,8,0)=$D39,SUMIF('Rozpocet - Vyvoj aplikacii'!$B$3:$B$179,'TCO TO BE- SW'!L$2,'Rozpocet - Vyvoj aplikacii'!$J$3:$J$179),0),0)</f>
        <v>0</v>
      </c>
      <c r="M39" s="579">
        <f>IFERROR(IF(VLOOKUP(M$2,MODULY_CBA!$B$3:$I$23,8,0)=$D39,SUMIF('Rozpocet - Vyvoj aplikacii'!$B$3:$B$179,'TCO TO BE- SW'!M$2,'Rozpocet - Vyvoj aplikacii'!$J$3:$J$179),0),0)</f>
        <v>0</v>
      </c>
      <c r="N39" s="579">
        <f>IFERROR(IF(VLOOKUP(N$2,MODULY_CBA!$B$3:$I$23,8,0)=$D39,SUMIF('Rozpocet - Vyvoj aplikacii'!$B$3:$B$179,'TCO TO BE- SW'!N$2,'Rozpocet - Vyvoj aplikacii'!$J$3:$J$179),0),0)</f>
        <v>0</v>
      </c>
      <c r="O39" s="579">
        <f>IFERROR(IF(VLOOKUP(O$2,MODULY_CBA!$B$3:$I$23,8,0)=$D39,SUMIF('Rozpocet - Vyvoj aplikacii'!$B$3:$B$179,'TCO TO BE- SW'!O$2,'Rozpocet - Vyvoj aplikacii'!$J$3:$J$179),0),0)</f>
        <v>0</v>
      </c>
      <c r="P39" s="579">
        <f>IFERROR(IF(VLOOKUP(P$2,MODULY_CBA!$B$3:$I$23,8,0)=$D39,SUMIF('Rozpocet - Vyvoj aplikacii'!$B$3:$B$179,'TCO TO BE- SW'!P$2,'Rozpocet - Vyvoj aplikacii'!$J$3:$J$179),0),0)</f>
        <v>0</v>
      </c>
      <c r="Q39" s="579">
        <f>IFERROR(IF(VLOOKUP(Q$2,MODULY_CBA!$B$3:$I$23,8,0)=$D39,SUMIF('Rozpocet - Vyvoj aplikacii'!$B$3:$B$179,'TCO TO BE- SW'!Q$2,'Rozpocet - Vyvoj aplikacii'!$J$3:$J$179),0),0)</f>
        <v>0</v>
      </c>
      <c r="R39" s="579">
        <f>IFERROR(IF(VLOOKUP(R$2,MODULY_CBA!$B$3:$I$23,8,0)=$D39,SUMIF('Rozpocet - Vyvoj aplikacii'!$B$3:$B$179,'TCO TO BE- SW'!R$2,'Rozpocet - Vyvoj aplikacii'!$J$3:$J$179),0),0)</f>
        <v>0</v>
      </c>
      <c r="S39" s="579">
        <f>IFERROR(IF(VLOOKUP(S$2,MODULY_CBA!$B$3:$I$23,8,0)=$D39,SUMIF('Rozpocet - Vyvoj aplikacii'!$B$3:$B$179,'TCO TO BE- SW'!S$2,'Rozpocet - Vyvoj aplikacii'!$J$3:$J$179),0),0)</f>
        <v>0</v>
      </c>
      <c r="T39" s="579">
        <f>IFERROR(IF(VLOOKUP(T$2,MODULY_CBA!$B$3:$I$23,8,0)=$D39,SUMIF('Rozpocet - Vyvoj aplikacii'!$B$3:$B$179,'TCO TO BE- SW'!T$2,'Rozpocet - Vyvoj aplikacii'!$J$3:$J$179),0),0)</f>
        <v>0</v>
      </c>
      <c r="U39" s="579">
        <f>IFERROR(IF(VLOOKUP(U$2,MODULY_CBA!$B$3:$I$23,8,0)=$D39,SUMIF('Rozpocet - Vyvoj aplikacii'!$B$3:$B$179,'TCO TO BE- SW'!U$2,'Rozpocet - Vyvoj aplikacii'!$J$3:$J$179),0),0)</f>
        <v>0</v>
      </c>
      <c r="V39" s="579">
        <f>IFERROR(IF(VLOOKUP(V$2,MODULY_CBA!$B$3:$I$23,8,0)=$D39,SUMIF('Rozpocet - Vyvoj aplikacii'!$B$3:$B$179,'TCO TO BE- SW'!V$2,'Rozpocet - Vyvoj aplikacii'!$J$3:$J$179),0),0)</f>
        <v>0</v>
      </c>
      <c r="W39" s="579">
        <f>IFERROR(IF(VLOOKUP(W$2,MODULY_CBA!$B$3:$I$23,8,0)=$D39,SUMIF('Rozpocet - Vyvoj aplikacii'!$B$3:$B$179,'TCO TO BE- SW'!W$2,'Rozpocet - Vyvoj aplikacii'!$J$3:$J$179),0),0)</f>
        <v>0</v>
      </c>
      <c r="X39" s="579">
        <f>IFERROR(IF(VLOOKUP(X$2,MODULY_CBA!$B$3:$I$23,8,0)=$D39,SUMIF('Rozpocet - Vyvoj aplikacii'!$B$3:$B$179,'TCO TO BE- SW'!X$2,'Rozpocet - Vyvoj aplikacii'!$J$3:$J$179),0),0)</f>
        <v>0</v>
      </c>
      <c r="Y39" s="579">
        <f>IFERROR(IF(VLOOKUP(Y$2,MODULY_CBA!$B$3:$I$23,8,0)=$D39,SUMIF('Rozpocet - Vyvoj aplikacii'!$B$3:$B$179,'TCO TO BE- SW'!Y$2,'Rozpocet - Vyvoj aplikacii'!$J$3:$J$179),0),0)</f>
        <v>0</v>
      </c>
      <c r="Z39" s="579">
        <f>IFERROR(IF(VLOOKUP(Z$2,MODULY_CBA!$B$3:$I$23,8,0)=$D39,SUMIF('Rozpocet - Vyvoj aplikacii'!$B$3:$B$179,'TCO TO BE- SW'!Z$2,'Rozpocet - Vyvoj aplikacii'!$J$3:$J$179),0),0)</f>
        <v>0</v>
      </c>
    </row>
    <row r="40" spans="1:26" outlineLevel="2" x14ac:dyDescent="0.2">
      <c r="A40" s="1390"/>
      <c r="B40" s="1391"/>
      <c r="C40" s="1391"/>
      <c r="D40" s="64">
        <v>4</v>
      </c>
      <c r="E40" s="68">
        <f t="shared" si="6"/>
        <v>0</v>
      </c>
      <c r="F40" s="579">
        <f>IFERROR(IF(VLOOKUP(F$2,MODULY_CBA!$B$3:$I$23,8,0)=$D40,SUMIF('Rozpocet - Vyvoj aplikacii'!$B$3:$B$179,'TCO TO BE- SW'!F$2,'Rozpocet - Vyvoj aplikacii'!$J$3:$J$179),0),0)</f>
        <v>0</v>
      </c>
      <c r="G40" s="579">
        <f>IFERROR(IF(VLOOKUP(G$2,MODULY_CBA!$B$3:$I$23,8,0)=$D40,SUMIF('Rozpocet - Vyvoj aplikacii'!$B$3:$B$179,'TCO TO BE- SW'!G$2,'Rozpocet - Vyvoj aplikacii'!$J$3:$J$179),0),0)</f>
        <v>0</v>
      </c>
      <c r="H40" s="579">
        <f>IFERROR(IF(VLOOKUP(H$2,MODULY_CBA!$B$3:$I$23,8,0)=$D40,SUMIF('Rozpocet - Vyvoj aplikacii'!$B$3:$B$179,'TCO TO BE- SW'!H$2,'Rozpocet - Vyvoj aplikacii'!$J$3:$J$179),0),0)</f>
        <v>0</v>
      </c>
      <c r="I40" s="579">
        <f>IFERROR(IF(VLOOKUP(I$2,MODULY_CBA!$B$3:$I$23,8,0)=$D40,SUMIF('Rozpocet - Vyvoj aplikacii'!$B$3:$B$179,'TCO TO BE- SW'!I$2,'Rozpocet - Vyvoj aplikacii'!$J$3:$J$179),0),0)</f>
        <v>0</v>
      </c>
      <c r="J40" s="579">
        <f>IFERROR(IF(VLOOKUP(J$2,MODULY_CBA!$B$3:$I$23,8,0)=$D40,SUMIF('Rozpocet - Vyvoj aplikacii'!$B$3:$B$179,'TCO TO BE- SW'!J$2,'Rozpocet - Vyvoj aplikacii'!$J$3:$J$179),0),0)</f>
        <v>0</v>
      </c>
      <c r="K40" s="579">
        <f>IFERROR(IF(VLOOKUP(K$2,MODULY_CBA!$B$3:$I$23,8,0)=$D40,SUMIF('Rozpocet - Vyvoj aplikacii'!$B$3:$B$179,'TCO TO BE- SW'!K$2,'Rozpocet - Vyvoj aplikacii'!$J$3:$J$179),0),0)</f>
        <v>0</v>
      </c>
      <c r="L40" s="579">
        <f>IFERROR(IF(VLOOKUP(L$2,MODULY_CBA!$B$3:$I$23,8,0)=$D40,SUMIF('Rozpocet - Vyvoj aplikacii'!$B$3:$B$179,'TCO TO BE- SW'!L$2,'Rozpocet - Vyvoj aplikacii'!$J$3:$J$179),0),0)</f>
        <v>0</v>
      </c>
      <c r="M40" s="579">
        <f>IFERROR(IF(VLOOKUP(M$2,MODULY_CBA!$B$3:$I$23,8,0)=$D40,SUMIF('Rozpocet - Vyvoj aplikacii'!$B$3:$B$179,'TCO TO BE- SW'!M$2,'Rozpocet - Vyvoj aplikacii'!$J$3:$J$179),0),0)</f>
        <v>0</v>
      </c>
      <c r="N40" s="579">
        <f>IFERROR(IF(VLOOKUP(N$2,MODULY_CBA!$B$3:$I$23,8,0)=$D40,SUMIF('Rozpocet - Vyvoj aplikacii'!$B$3:$B$179,'TCO TO BE- SW'!N$2,'Rozpocet - Vyvoj aplikacii'!$J$3:$J$179),0),0)</f>
        <v>0</v>
      </c>
      <c r="O40" s="579">
        <f>IFERROR(IF(VLOOKUP(O$2,MODULY_CBA!$B$3:$I$23,8,0)=$D40,SUMIF('Rozpocet - Vyvoj aplikacii'!$B$3:$B$179,'TCO TO BE- SW'!O$2,'Rozpocet - Vyvoj aplikacii'!$J$3:$J$179),0),0)</f>
        <v>0</v>
      </c>
      <c r="P40" s="579">
        <f>IFERROR(IF(VLOOKUP(P$2,MODULY_CBA!$B$3:$I$23,8,0)=$D40,SUMIF('Rozpocet - Vyvoj aplikacii'!$B$3:$B$179,'TCO TO BE- SW'!P$2,'Rozpocet - Vyvoj aplikacii'!$J$3:$J$179),0),0)</f>
        <v>0</v>
      </c>
      <c r="Q40" s="579">
        <f>IFERROR(IF(VLOOKUP(Q$2,MODULY_CBA!$B$3:$I$23,8,0)=$D40,SUMIF('Rozpocet - Vyvoj aplikacii'!$B$3:$B$179,'TCO TO BE- SW'!Q$2,'Rozpocet - Vyvoj aplikacii'!$J$3:$J$179),0),0)</f>
        <v>0</v>
      </c>
      <c r="R40" s="579">
        <f>IFERROR(IF(VLOOKUP(R$2,MODULY_CBA!$B$3:$I$23,8,0)=$D40,SUMIF('Rozpocet - Vyvoj aplikacii'!$B$3:$B$179,'TCO TO BE- SW'!R$2,'Rozpocet - Vyvoj aplikacii'!$J$3:$J$179),0),0)</f>
        <v>0</v>
      </c>
      <c r="S40" s="579">
        <f>IFERROR(IF(VLOOKUP(S$2,MODULY_CBA!$B$3:$I$23,8,0)=$D40,SUMIF('Rozpocet - Vyvoj aplikacii'!$B$3:$B$179,'TCO TO BE- SW'!S$2,'Rozpocet - Vyvoj aplikacii'!$J$3:$J$179),0),0)</f>
        <v>0</v>
      </c>
      <c r="T40" s="579">
        <f>IFERROR(IF(VLOOKUP(T$2,MODULY_CBA!$B$3:$I$23,8,0)=$D40,SUMIF('Rozpocet - Vyvoj aplikacii'!$B$3:$B$179,'TCO TO BE- SW'!T$2,'Rozpocet - Vyvoj aplikacii'!$J$3:$J$179),0),0)</f>
        <v>0</v>
      </c>
      <c r="U40" s="579">
        <f>IFERROR(IF(VLOOKUP(U$2,MODULY_CBA!$B$3:$I$23,8,0)=$D40,SUMIF('Rozpocet - Vyvoj aplikacii'!$B$3:$B$179,'TCO TO BE- SW'!U$2,'Rozpocet - Vyvoj aplikacii'!$J$3:$J$179),0),0)</f>
        <v>0</v>
      </c>
      <c r="V40" s="579">
        <f>IFERROR(IF(VLOOKUP(V$2,MODULY_CBA!$B$3:$I$23,8,0)=$D40,SUMIF('Rozpocet - Vyvoj aplikacii'!$B$3:$B$179,'TCO TO BE- SW'!V$2,'Rozpocet - Vyvoj aplikacii'!$J$3:$J$179),0),0)</f>
        <v>0</v>
      </c>
      <c r="W40" s="579">
        <f>IFERROR(IF(VLOOKUP(W$2,MODULY_CBA!$B$3:$I$23,8,0)=$D40,SUMIF('Rozpocet - Vyvoj aplikacii'!$B$3:$B$179,'TCO TO BE- SW'!W$2,'Rozpocet - Vyvoj aplikacii'!$J$3:$J$179),0),0)</f>
        <v>0</v>
      </c>
      <c r="X40" s="579">
        <f>IFERROR(IF(VLOOKUP(X$2,MODULY_CBA!$B$3:$I$23,8,0)=$D40,SUMIF('Rozpocet - Vyvoj aplikacii'!$B$3:$B$179,'TCO TO BE- SW'!X$2,'Rozpocet - Vyvoj aplikacii'!$J$3:$J$179),0),0)</f>
        <v>0</v>
      </c>
      <c r="Y40" s="579">
        <f>IFERROR(IF(VLOOKUP(Y$2,MODULY_CBA!$B$3:$I$23,8,0)=$D40,SUMIF('Rozpocet - Vyvoj aplikacii'!$B$3:$B$179,'TCO TO BE- SW'!Y$2,'Rozpocet - Vyvoj aplikacii'!$J$3:$J$179),0),0)</f>
        <v>0</v>
      </c>
      <c r="Z40" s="579">
        <f>IFERROR(IF(VLOOKUP(Z$2,MODULY_CBA!$B$3:$I$23,8,0)=$D40,SUMIF('Rozpocet - Vyvoj aplikacii'!$B$3:$B$179,'TCO TO BE- SW'!Z$2,'Rozpocet - Vyvoj aplikacii'!$J$3:$J$179),0),0)</f>
        <v>0</v>
      </c>
    </row>
    <row r="41" spans="1:26" outlineLevel="2" x14ac:dyDescent="0.2">
      <c r="A41" s="1390"/>
      <c r="B41" s="1391"/>
      <c r="C41" s="1391"/>
      <c r="D41" s="64">
        <v>5</v>
      </c>
      <c r="E41" s="68">
        <f t="shared" si="6"/>
        <v>0</v>
      </c>
      <c r="F41" s="579">
        <f>IFERROR(IF(VLOOKUP(F$2,MODULY_CBA!$B$3:$I$23,8,0)=$D41,SUMIF('Rozpocet - Vyvoj aplikacii'!$B$3:$B$179,'TCO TO BE- SW'!F$2,'Rozpocet - Vyvoj aplikacii'!$J$3:$J$179),0),0)</f>
        <v>0</v>
      </c>
      <c r="G41" s="579">
        <f>IFERROR(IF(VLOOKUP(G$2,MODULY_CBA!$B$3:$I$23,8,0)=$D41,SUMIF('Rozpocet - Vyvoj aplikacii'!$B$3:$B$179,'TCO TO BE- SW'!G$2,'Rozpocet - Vyvoj aplikacii'!$J$3:$J$179),0),0)</f>
        <v>0</v>
      </c>
      <c r="H41" s="579">
        <f>IFERROR(IF(VLOOKUP(H$2,MODULY_CBA!$B$3:$I$23,8,0)=$D41,SUMIF('Rozpocet - Vyvoj aplikacii'!$B$3:$B$179,'TCO TO BE- SW'!H$2,'Rozpocet - Vyvoj aplikacii'!$J$3:$J$179),0),0)</f>
        <v>0</v>
      </c>
      <c r="I41" s="579">
        <f>IFERROR(IF(VLOOKUP(I$2,MODULY_CBA!$B$3:$I$23,8,0)=$D41,SUMIF('Rozpocet - Vyvoj aplikacii'!$B$3:$B$179,'TCO TO BE- SW'!I$2,'Rozpocet - Vyvoj aplikacii'!$J$3:$J$179),0),0)</f>
        <v>0</v>
      </c>
      <c r="J41" s="579">
        <f>IFERROR(IF(VLOOKUP(J$2,MODULY_CBA!$B$3:$I$23,8,0)=$D41,SUMIF('Rozpocet - Vyvoj aplikacii'!$B$3:$B$179,'TCO TO BE- SW'!J$2,'Rozpocet - Vyvoj aplikacii'!$J$3:$J$179),0),0)</f>
        <v>0</v>
      </c>
      <c r="K41" s="579">
        <f>IFERROR(IF(VLOOKUP(K$2,MODULY_CBA!$B$3:$I$23,8,0)=$D41,SUMIF('Rozpocet - Vyvoj aplikacii'!$B$3:$B$179,'TCO TO BE- SW'!K$2,'Rozpocet - Vyvoj aplikacii'!$J$3:$J$179),0),0)</f>
        <v>0</v>
      </c>
      <c r="L41" s="579">
        <f>IFERROR(IF(VLOOKUP(L$2,MODULY_CBA!$B$3:$I$23,8,0)=$D41,SUMIF('Rozpocet - Vyvoj aplikacii'!$B$3:$B$179,'TCO TO BE- SW'!L$2,'Rozpocet - Vyvoj aplikacii'!$J$3:$J$179),0),0)</f>
        <v>0</v>
      </c>
      <c r="M41" s="579">
        <f>IFERROR(IF(VLOOKUP(M$2,MODULY_CBA!$B$3:$I$23,8,0)=$D41,SUMIF('Rozpocet - Vyvoj aplikacii'!$B$3:$B$179,'TCO TO BE- SW'!M$2,'Rozpocet - Vyvoj aplikacii'!$J$3:$J$179),0),0)</f>
        <v>0</v>
      </c>
      <c r="N41" s="579">
        <f>IFERROR(IF(VLOOKUP(N$2,MODULY_CBA!$B$3:$I$23,8,0)=$D41,SUMIF('Rozpocet - Vyvoj aplikacii'!$B$3:$B$179,'TCO TO BE- SW'!N$2,'Rozpocet - Vyvoj aplikacii'!$J$3:$J$179),0),0)</f>
        <v>0</v>
      </c>
      <c r="O41" s="579">
        <f>IFERROR(IF(VLOOKUP(O$2,MODULY_CBA!$B$3:$I$23,8,0)=$D41,SUMIF('Rozpocet - Vyvoj aplikacii'!$B$3:$B$179,'TCO TO BE- SW'!O$2,'Rozpocet - Vyvoj aplikacii'!$J$3:$J$179),0),0)</f>
        <v>0</v>
      </c>
      <c r="P41" s="579">
        <f>IFERROR(IF(VLOOKUP(P$2,MODULY_CBA!$B$3:$I$23,8,0)=$D41,SUMIF('Rozpocet - Vyvoj aplikacii'!$B$3:$B$179,'TCO TO BE- SW'!P$2,'Rozpocet - Vyvoj aplikacii'!$J$3:$J$179),0),0)</f>
        <v>0</v>
      </c>
      <c r="Q41" s="579">
        <f>IFERROR(IF(VLOOKUP(Q$2,MODULY_CBA!$B$3:$I$23,8,0)=$D41,SUMIF('Rozpocet - Vyvoj aplikacii'!$B$3:$B$179,'TCO TO BE- SW'!Q$2,'Rozpocet - Vyvoj aplikacii'!$J$3:$J$179),0),0)</f>
        <v>0</v>
      </c>
      <c r="R41" s="579">
        <f>IFERROR(IF(VLOOKUP(R$2,MODULY_CBA!$B$3:$I$23,8,0)=$D41,SUMIF('Rozpocet - Vyvoj aplikacii'!$B$3:$B$179,'TCO TO BE- SW'!R$2,'Rozpocet - Vyvoj aplikacii'!$J$3:$J$179),0),0)</f>
        <v>0</v>
      </c>
      <c r="S41" s="579">
        <f>IFERROR(IF(VLOOKUP(S$2,MODULY_CBA!$B$3:$I$23,8,0)=$D41,SUMIF('Rozpocet - Vyvoj aplikacii'!$B$3:$B$179,'TCO TO BE- SW'!S$2,'Rozpocet - Vyvoj aplikacii'!$J$3:$J$179),0),0)</f>
        <v>0</v>
      </c>
      <c r="T41" s="579">
        <f>IFERROR(IF(VLOOKUP(T$2,MODULY_CBA!$B$3:$I$23,8,0)=$D41,SUMIF('Rozpocet - Vyvoj aplikacii'!$B$3:$B$179,'TCO TO BE- SW'!T$2,'Rozpocet - Vyvoj aplikacii'!$J$3:$J$179),0),0)</f>
        <v>0</v>
      </c>
      <c r="U41" s="579">
        <f>IFERROR(IF(VLOOKUP(U$2,MODULY_CBA!$B$3:$I$23,8,0)=$D41,SUMIF('Rozpocet - Vyvoj aplikacii'!$B$3:$B$179,'TCO TO BE- SW'!U$2,'Rozpocet - Vyvoj aplikacii'!$J$3:$J$179),0),0)</f>
        <v>0</v>
      </c>
      <c r="V41" s="579">
        <f>IFERROR(IF(VLOOKUP(V$2,MODULY_CBA!$B$3:$I$23,8,0)=$D41,SUMIF('Rozpocet - Vyvoj aplikacii'!$B$3:$B$179,'TCO TO BE- SW'!V$2,'Rozpocet - Vyvoj aplikacii'!$J$3:$J$179),0),0)</f>
        <v>0</v>
      </c>
      <c r="W41" s="579">
        <f>IFERROR(IF(VLOOKUP(W$2,MODULY_CBA!$B$3:$I$23,8,0)=$D41,SUMIF('Rozpocet - Vyvoj aplikacii'!$B$3:$B$179,'TCO TO BE- SW'!W$2,'Rozpocet - Vyvoj aplikacii'!$J$3:$J$179),0),0)</f>
        <v>0</v>
      </c>
      <c r="X41" s="579">
        <f>IFERROR(IF(VLOOKUP(X$2,MODULY_CBA!$B$3:$I$23,8,0)=$D41,SUMIF('Rozpocet - Vyvoj aplikacii'!$B$3:$B$179,'TCO TO BE- SW'!X$2,'Rozpocet - Vyvoj aplikacii'!$J$3:$J$179),0),0)</f>
        <v>0</v>
      </c>
      <c r="Y41" s="579">
        <f>IFERROR(IF(VLOOKUP(Y$2,MODULY_CBA!$B$3:$I$23,8,0)=$D41,SUMIF('Rozpocet - Vyvoj aplikacii'!$B$3:$B$179,'TCO TO BE- SW'!Y$2,'Rozpocet - Vyvoj aplikacii'!$J$3:$J$179),0),0)</f>
        <v>0</v>
      </c>
      <c r="Z41" s="579">
        <f>IFERROR(IF(VLOOKUP(Z$2,MODULY_CBA!$B$3:$I$23,8,0)=$D41,SUMIF('Rozpocet - Vyvoj aplikacii'!$B$3:$B$179,'TCO TO BE- SW'!Z$2,'Rozpocet - Vyvoj aplikacii'!$J$3:$J$179),0),0)</f>
        <v>0</v>
      </c>
    </row>
    <row r="42" spans="1:26" outlineLevel="2" x14ac:dyDescent="0.2">
      <c r="A42" s="1390"/>
      <c r="B42" s="1391"/>
      <c r="C42" s="1391"/>
      <c r="D42" s="64">
        <v>6</v>
      </c>
      <c r="E42" s="68">
        <f t="shared" si="6"/>
        <v>0</v>
      </c>
      <c r="F42" s="579">
        <f>IFERROR(IF(VLOOKUP(F$2,MODULY_CBA!$B$3:$I$23,8,0)=$D42,SUMIF('Rozpocet - Vyvoj aplikacii'!$B$3:$B$179,'TCO TO BE- SW'!F$2,'Rozpocet - Vyvoj aplikacii'!$J$3:$J$179),0),0)</f>
        <v>0</v>
      </c>
      <c r="G42" s="579">
        <f>IFERROR(IF(VLOOKUP(G$2,MODULY_CBA!$B$3:$I$23,8,0)=$D42,SUMIF('Rozpocet - Vyvoj aplikacii'!$B$3:$B$179,'TCO TO BE- SW'!G$2,'Rozpocet - Vyvoj aplikacii'!$J$3:$J$179),0),0)</f>
        <v>0</v>
      </c>
      <c r="H42" s="579">
        <f>IFERROR(IF(VLOOKUP(H$2,MODULY_CBA!$B$3:$I$23,8,0)=$D42,SUMIF('Rozpocet - Vyvoj aplikacii'!$B$3:$B$179,'TCO TO BE- SW'!H$2,'Rozpocet - Vyvoj aplikacii'!$J$3:$J$179),0),0)</f>
        <v>0</v>
      </c>
      <c r="I42" s="579">
        <f>IFERROR(IF(VLOOKUP(I$2,MODULY_CBA!$B$3:$I$23,8,0)=$D42,SUMIF('Rozpocet - Vyvoj aplikacii'!$B$3:$B$179,'TCO TO BE- SW'!I$2,'Rozpocet - Vyvoj aplikacii'!$J$3:$J$179),0),0)</f>
        <v>0</v>
      </c>
      <c r="J42" s="579">
        <f>IFERROR(IF(VLOOKUP(J$2,MODULY_CBA!$B$3:$I$23,8,0)=$D42,SUMIF('Rozpocet - Vyvoj aplikacii'!$B$3:$B$179,'TCO TO BE- SW'!J$2,'Rozpocet - Vyvoj aplikacii'!$J$3:$J$179),0),0)</f>
        <v>0</v>
      </c>
      <c r="K42" s="579">
        <f>IFERROR(IF(VLOOKUP(K$2,MODULY_CBA!$B$3:$I$23,8,0)=$D42,SUMIF('Rozpocet - Vyvoj aplikacii'!$B$3:$B$179,'TCO TO BE- SW'!K$2,'Rozpocet - Vyvoj aplikacii'!$J$3:$J$179),0),0)</f>
        <v>0</v>
      </c>
      <c r="L42" s="579">
        <f>IFERROR(IF(VLOOKUP(L$2,MODULY_CBA!$B$3:$I$23,8,0)=$D42,SUMIF('Rozpocet - Vyvoj aplikacii'!$B$3:$B$179,'TCO TO BE- SW'!L$2,'Rozpocet - Vyvoj aplikacii'!$J$3:$J$179),0),0)</f>
        <v>0</v>
      </c>
      <c r="M42" s="579">
        <f>IFERROR(IF(VLOOKUP(M$2,MODULY_CBA!$B$3:$I$23,8,0)=$D42,SUMIF('Rozpocet - Vyvoj aplikacii'!$B$3:$B$179,'TCO TO BE- SW'!M$2,'Rozpocet - Vyvoj aplikacii'!$J$3:$J$179),0),0)</f>
        <v>0</v>
      </c>
      <c r="N42" s="579">
        <f>IFERROR(IF(VLOOKUP(N$2,MODULY_CBA!$B$3:$I$23,8,0)=$D42,SUMIF('Rozpocet - Vyvoj aplikacii'!$B$3:$B$179,'TCO TO BE- SW'!N$2,'Rozpocet - Vyvoj aplikacii'!$J$3:$J$179),0),0)</f>
        <v>0</v>
      </c>
      <c r="O42" s="579">
        <f>IFERROR(IF(VLOOKUP(O$2,MODULY_CBA!$B$3:$I$23,8,0)=$D42,SUMIF('Rozpocet - Vyvoj aplikacii'!$B$3:$B$179,'TCO TO BE- SW'!O$2,'Rozpocet - Vyvoj aplikacii'!$J$3:$J$179),0),0)</f>
        <v>0</v>
      </c>
      <c r="P42" s="579">
        <f>IFERROR(IF(VLOOKUP(P$2,MODULY_CBA!$B$3:$I$23,8,0)=$D42,SUMIF('Rozpocet - Vyvoj aplikacii'!$B$3:$B$179,'TCO TO BE- SW'!P$2,'Rozpocet - Vyvoj aplikacii'!$J$3:$J$179),0),0)</f>
        <v>0</v>
      </c>
      <c r="Q42" s="579">
        <f>IFERROR(IF(VLOOKUP(Q$2,MODULY_CBA!$B$3:$I$23,8,0)=$D42,SUMIF('Rozpocet - Vyvoj aplikacii'!$B$3:$B$179,'TCO TO BE- SW'!Q$2,'Rozpocet - Vyvoj aplikacii'!$J$3:$J$179),0),0)</f>
        <v>0</v>
      </c>
      <c r="R42" s="579">
        <f>IFERROR(IF(VLOOKUP(R$2,MODULY_CBA!$B$3:$I$23,8,0)=$D42,SUMIF('Rozpocet - Vyvoj aplikacii'!$B$3:$B$179,'TCO TO BE- SW'!R$2,'Rozpocet - Vyvoj aplikacii'!$J$3:$J$179),0),0)</f>
        <v>0</v>
      </c>
      <c r="S42" s="579">
        <f>IFERROR(IF(VLOOKUP(S$2,MODULY_CBA!$B$3:$I$23,8,0)=$D42,SUMIF('Rozpocet - Vyvoj aplikacii'!$B$3:$B$179,'TCO TO BE- SW'!S$2,'Rozpocet - Vyvoj aplikacii'!$J$3:$J$179),0),0)</f>
        <v>0</v>
      </c>
      <c r="T42" s="579">
        <f>IFERROR(IF(VLOOKUP(T$2,MODULY_CBA!$B$3:$I$23,8,0)=$D42,SUMIF('Rozpocet - Vyvoj aplikacii'!$B$3:$B$179,'TCO TO BE- SW'!T$2,'Rozpocet - Vyvoj aplikacii'!$J$3:$J$179),0),0)</f>
        <v>0</v>
      </c>
      <c r="U42" s="579">
        <f>IFERROR(IF(VLOOKUP(U$2,MODULY_CBA!$B$3:$I$23,8,0)=$D42,SUMIF('Rozpocet - Vyvoj aplikacii'!$B$3:$B$179,'TCO TO BE- SW'!U$2,'Rozpocet - Vyvoj aplikacii'!$J$3:$J$179),0),0)</f>
        <v>0</v>
      </c>
      <c r="V42" s="579">
        <f>IFERROR(IF(VLOOKUP(V$2,MODULY_CBA!$B$3:$I$23,8,0)=$D42,SUMIF('Rozpocet - Vyvoj aplikacii'!$B$3:$B$179,'TCO TO BE- SW'!V$2,'Rozpocet - Vyvoj aplikacii'!$J$3:$J$179),0),0)</f>
        <v>0</v>
      </c>
      <c r="W42" s="579">
        <f>IFERROR(IF(VLOOKUP(W$2,MODULY_CBA!$B$3:$I$23,8,0)=$D42,SUMIF('Rozpocet - Vyvoj aplikacii'!$B$3:$B$179,'TCO TO BE- SW'!W$2,'Rozpocet - Vyvoj aplikacii'!$J$3:$J$179),0),0)</f>
        <v>0</v>
      </c>
      <c r="X42" s="579">
        <f>IFERROR(IF(VLOOKUP(X$2,MODULY_CBA!$B$3:$I$23,8,0)=$D42,SUMIF('Rozpocet - Vyvoj aplikacii'!$B$3:$B$179,'TCO TO BE- SW'!X$2,'Rozpocet - Vyvoj aplikacii'!$J$3:$J$179),0),0)</f>
        <v>0</v>
      </c>
      <c r="Y42" s="579">
        <f>IFERROR(IF(VLOOKUP(Y$2,MODULY_CBA!$B$3:$I$23,8,0)=$D42,SUMIF('Rozpocet - Vyvoj aplikacii'!$B$3:$B$179,'TCO TO BE- SW'!Y$2,'Rozpocet - Vyvoj aplikacii'!$J$3:$J$179),0),0)</f>
        <v>0</v>
      </c>
      <c r="Z42" s="579">
        <f>IFERROR(IF(VLOOKUP(Z$2,MODULY_CBA!$B$3:$I$23,8,0)=$D42,SUMIF('Rozpocet - Vyvoj aplikacii'!$B$3:$B$179,'TCO TO BE- SW'!Z$2,'Rozpocet - Vyvoj aplikacii'!$J$3:$J$179),0),0)</f>
        <v>0</v>
      </c>
    </row>
    <row r="43" spans="1:26" outlineLevel="2" x14ac:dyDescent="0.2">
      <c r="A43" s="1390"/>
      <c r="B43" s="1391"/>
      <c r="C43" s="1391"/>
      <c r="D43" s="64">
        <v>7</v>
      </c>
      <c r="E43" s="68">
        <f t="shared" si="6"/>
        <v>0</v>
      </c>
      <c r="F43" s="579">
        <f>IFERROR(IF(VLOOKUP(F$2,MODULY_CBA!$B$3:$I$23,8,0)=$D43,SUMIF('Rozpocet - Vyvoj aplikacii'!$B$3:$B$179,'TCO TO BE- SW'!F$2,'Rozpocet - Vyvoj aplikacii'!$J$3:$J$179),0),0)</f>
        <v>0</v>
      </c>
      <c r="G43" s="579">
        <f>IFERROR(IF(VLOOKUP(G$2,MODULY_CBA!$B$3:$I$23,8,0)=$D43,SUMIF('Rozpocet - Vyvoj aplikacii'!$B$3:$B$179,'TCO TO BE- SW'!G$2,'Rozpocet - Vyvoj aplikacii'!$J$3:$J$179),0),0)</f>
        <v>0</v>
      </c>
      <c r="H43" s="579">
        <f>IFERROR(IF(VLOOKUP(H$2,MODULY_CBA!$B$3:$I$23,8,0)=$D43,SUMIF('Rozpocet - Vyvoj aplikacii'!$B$3:$B$179,'TCO TO BE- SW'!H$2,'Rozpocet - Vyvoj aplikacii'!$J$3:$J$179),0),0)</f>
        <v>0</v>
      </c>
      <c r="I43" s="579">
        <f>IFERROR(IF(VLOOKUP(I$2,MODULY_CBA!$B$3:$I$23,8,0)=$D43,SUMIF('Rozpocet - Vyvoj aplikacii'!$B$3:$B$179,'TCO TO BE- SW'!I$2,'Rozpocet - Vyvoj aplikacii'!$J$3:$J$179),0),0)</f>
        <v>0</v>
      </c>
      <c r="J43" s="579">
        <f>IFERROR(IF(VLOOKUP(J$2,MODULY_CBA!$B$3:$I$23,8,0)=$D43,SUMIF('Rozpocet - Vyvoj aplikacii'!$B$3:$B$179,'TCO TO BE- SW'!J$2,'Rozpocet - Vyvoj aplikacii'!$J$3:$J$179),0),0)</f>
        <v>0</v>
      </c>
      <c r="K43" s="579">
        <f>IFERROR(IF(VLOOKUP(K$2,MODULY_CBA!$B$3:$I$23,8,0)=$D43,SUMIF('Rozpocet - Vyvoj aplikacii'!$B$3:$B$179,'TCO TO BE- SW'!K$2,'Rozpocet - Vyvoj aplikacii'!$J$3:$J$179),0),0)</f>
        <v>0</v>
      </c>
      <c r="L43" s="579">
        <f>IFERROR(IF(VLOOKUP(L$2,MODULY_CBA!$B$3:$I$23,8,0)=$D43,SUMIF('Rozpocet - Vyvoj aplikacii'!$B$3:$B$179,'TCO TO BE- SW'!L$2,'Rozpocet - Vyvoj aplikacii'!$J$3:$J$179),0),0)</f>
        <v>0</v>
      </c>
      <c r="M43" s="579">
        <f>IFERROR(IF(VLOOKUP(M$2,MODULY_CBA!$B$3:$I$23,8,0)=$D43,SUMIF('Rozpocet - Vyvoj aplikacii'!$B$3:$B$179,'TCO TO BE- SW'!M$2,'Rozpocet - Vyvoj aplikacii'!$J$3:$J$179),0),0)</f>
        <v>0</v>
      </c>
      <c r="N43" s="579">
        <f>IFERROR(IF(VLOOKUP(N$2,MODULY_CBA!$B$3:$I$23,8,0)=$D43,SUMIF('Rozpocet - Vyvoj aplikacii'!$B$3:$B$179,'TCO TO BE- SW'!N$2,'Rozpocet - Vyvoj aplikacii'!$J$3:$J$179),0),0)</f>
        <v>0</v>
      </c>
      <c r="O43" s="579">
        <f>IFERROR(IF(VLOOKUP(O$2,MODULY_CBA!$B$3:$I$23,8,0)=$D43,SUMIF('Rozpocet - Vyvoj aplikacii'!$B$3:$B$179,'TCO TO BE- SW'!O$2,'Rozpocet - Vyvoj aplikacii'!$J$3:$J$179),0),0)</f>
        <v>0</v>
      </c>
      <c r="P43" s="579">
        <f>IFERROR(IF(VLOOKUP(P$2,MODULY_CBA!$B$3:$I$23,8,0)=$D43,SUMIF('Rozpocet - Vyvoj aplikacii'!$B$3:$B$179,'TCO TO BE- SW'!P$2,'Rozpocet - Vyvoj aplikacii'!$J$3:$J$179),0),0)</f>
        <v>0</v>
      </c>
      <c r="Q43" s="579">
        <f>IFERROR(IF(VLOOKUP(Q$2,MODULY_CBA!$B$3:$I$23,8,0)=$D43,SUMIF('Rozpocet - Vyvoj aplikacii'!$B$3:$B$179,'TCO TO BE- SW'!Q$2,'Rozpocet - Vyvoj aplikacii'!$J$3:$J$179),0),0)</f>
        <v>0</v>
      </c>
      <c r="R43" s="579">
        <f>IFERROR(IF(VLOOKUP(R$2,MODULY_CBA!$B$3:$I$23,8,0)=$D43,SUMIF('Rozpocet - Vyvoj aplikacii'!$B$3:$B$179,'TCO TO BE- SW'!R$2,'Rozpocet - Vyvoj aplikacii'!$J$3:$J$179),0),0)</f>
        <v>0</v>
      </c>
      <c r="S43" s="579">
        <f>IFERROR(IF(VLOOKUP(S$2,MODULY_CBA!$B$3:$I$23,8,0)=$D43,SUMIF('Rozpocet - Vyvoj aplikacii'!$B$3:$B$179,'TCO TO BE- SW'!S$2,'Rozpocet - Vyvoj aplikacii'!$J$3:$J$179),0),0)</f>
        <v>0</v>
      </c>
      <c r="T43" s="579">
        <f>IFERROR(IF(VLOOKUP(T$2,MODULY_CBA!$B$3:$I$23,8,0)=$D43,SUMIF('Rozpocet - Vyvoj aplikacii'!$B$3:$B$179,'TCO TO BE- SW'!T$2,'Rozpocet - Vyvoj aplikacii'!$J$3:$J$179),0),0)</f>
        <v>0</v>
      </c>
      <c r="U43" s="579">
        <f>IFERROR(IF(VLOOKUP(U$2,MODULY_CBA!$B$3:$I$23,8,0)=$D43,SUMIF('Rozpocet - Vyvoj aplikacii'!$B$3:$B$179,'TCO TO BE- SW'!U$2,'Rozpocet - Vyvoj aplikacii'!$J$3:$J$179),0),0)</f>
        <v>0</v>
      </c>
      <c r="V43" s="579">
        <f>IFERROR(IF(VLOOKUP(V$2,MODULY_CBA!$B$3:$I$23,8,0)=$D43,SUMIF('Rozpocet - Vyvoj aplikacii'!$B$3:$B$179,'TCO TO BE- SW'!V$2,'Rozpocet - Vyvoj aplikacii'!$J$3:$J$179),0),0)</f>
        <v>0</v>
      </c>
      <c r="W43" s="579">
        <f>IFERROR(IF(VLOOKUP(W$2,MODULY_CBA!$B$3:$I$23,8,0)=$D43,SUMIF('Rozpocet - Vyvoj aplikacii'!$B$3:$B$179,'TCO TO BE- SW'!W$2,'Rozpocet - Vyvoj aplikacii'!$J$3:$J$179),0),0)</f>
        <v>0</v>
      </c>
      <c r="X43" s="579">
        <f>IFERROR(IF(VLOOKUP(X$2,MODULY_CBA!$B$3:$I$23,8,0)=$D43,SUMIF('Rozpocet - Vyvoj aplikacii'!$B$3:$B$179,'TCO TO BE- SW'!X$2,'Rozpocet - Vyvoj aplikacii'!$J$3:$J$179),0),0)</f>
        <v>0</v>
      </c>
      <c r="Y43" s="579">
        <f>IFERROR(IF(VLOOKUP(Y$2,MODULY_CBA!$B$3:$I$23,8,0)=$D43,SUMIF('Rozpocet - Vyvoj aplikacii'!$B$3:$B$179,'TCO TO BE- SW'!Y$2,'Rozpocet - Vyvoj aplikacii'!$J$3:$J$179),0),0)</f>
        <v>0</v>
      </c>
      <c r="Z43" s="579">
        <f>IFERROR(IF(VLOOKUP(Z$2,MODULY_CBA!$B$3:$I$23,8,0)=$D43,SUMIF('Rozpocet - Vyvoj aplikacii'!$B$3:$B$179,'TCO TO BE- SW'!Z$2,'Rozpocet - Vyvoj aplikacii'!$J$3:$J$179),0),0)</f>
        <v>0</v>
      </c>
    </row>
    <row r="44" spans="1:26" outlineLevel="2" x14ac:dyDescent="0.2">
      <c r="A44" s="1390"/>
      <c r="B44" s="1391"/>
      <c r="C44" s="1391"/>
      <c r="D44" s="64">
        <v>8</v>
      </c>
      <c r="E44" s="68">
        <f t="shared" si="6"/>
        <v>0</v>
      </c>
      <c r="F44" s="579">
        <f>IFERROR(IF(VLOOKUP(F$2,MODULY_CBA!$B$3:$I$23,8,0)=$D44,SUMIF('Rozpocet - Vyvoj aplikacii'!$B$3:$B$179,'TCO TO BE- SW'!F$2,'Rozpocet - Vyvoj aplikacii'!$J$3:$J$179),0),0)</f>
        <v>0</v>
      </c>
      <c r="G44" s="579">
        <f>IFERROR(IF(VLOOKUP(G$2,MODULY_CBA!$B$3:$I$23,8,0)=$D44,SUMIF('Rozpocet - Vyvoj aplikacii'!$B$3:$B$179,'TCO TO BE- SW'!G$2,'Rozpocet - Vyvoj aplikacii'!$J$3:$J$179),0),0)</f>
        <v>0</v>
      </c>
      <c r="H44" s="579">
        <f>IFERROR(IF(VLOOKUP(H$2,MODULY_CBA!$B$3:$I$23,8,0)=$D44,SUMIF('Rozpocet - Vyvoj aplikacii'!$B$3:$B$179,'TCO TO BE- SW'!H$2,'Rozpocet - Vyvoj aplikacii'!$J$3:$J$179),0),0)</f>
        <v>0</v>
      </c>
      <c r="I44" s="579">
        <f>IFERROR(IF(VLOOKUP(I$2,MODULY_CBA!$B$3:$I$23,8,0)=$D44,SUMIF('Rozpocet - Vyvoj aplikacii'!$B$3:$B$179,'TCO TO BE- SW'!I$2,'Rozpocet - Vyvoj aplikacii'!$J$3:$J$179),0),0)</f>
        <v>0</v>
      </c>
      <c r="J44" s="579">
        <f>IFERROR(IF(VLOOKUP(J$2,MODULY_CBA!$B$3:$I$23,8,0)=$D44,SUMIF('Rozpocet - Vyvoj aplikacii'!$B$3:$B$179,'TCO TO BE- SW'!J$2,'Rozpocet - Vyvoj aplikacii'!$J$3:$J$179),0),0)</f>
        <v>0</v>
      </c>
      <c r="K44" s="579">
        <f>IFERROR(IF(VLOOKUP(K$2,MODULY_CBA!$B$3:$I$23,8,0)=$D44,SUMIF('Rozpocet - Vyvoj aplikacii'!$B$3:$B$179,'TCO TO BE- SW'!K$2,'Rozpocet - Vyvoj aplikacii'!$J$3:$J$179),0),0)</f>
        <v>0</v>
      </c>
      <c r="L44" s="579">
        <f>IFERROR(IF(VLOOKUP(L$2,MODULY_CBA!$B$3:$I$23,8,0)=$D44,SUMIF('Rozpocet - Vyvoj aplikacii'!$B$3:$B$179,'TCO TO BE- SW'!L$2,'Rozpocet - Vyvoj aplikacii'!$J$3:$J$179),0),0)</f>
        <v>0</v>
      </c>
      <c r="M44" s="579">
        <f>IFERROR(IF(VLOOKUP(M$2,MODULY_CBA!$B$3:$I$23,8,0)=$D44,SUMIF('Rozpocet - Vyvoj aplikacii'!$B$3:$B$179,'TCO TO BE- SW'!M$2,'Rozpocet - Vyvoj aplikacii'!$J$3:$J$179),0),0)</f>
        <v>0</v>
      </c>
      <c r="N44" s="579">
        <f>IFERROR(IF(VLOOKUP(N$2,MODULY_CBA!$B$3:$I$23,8,0)=$D44,SUMIF('Rozpocet - Vyvoj aplikacii'!$B$3:$B$179,'TCO TO BE- SW'!N$2,'Rozpocet - Vyvoj aplikacii'!$J$3:$J$179),0),0)</f>
        <v>0</v>
      </c>
      <c r="O44" s="579">
        <f>IFERROR(IF(VLOOKUP(O$2,MODULY_CBA!$B$3:$I$23,8,0)=$D44,SUMIF('Rozpocet - Vyvoj aplikacii'!$B$3:$B$179,'TCO TO BE- SW'!O$2,'Rozpocet - Vyvoj aplikacii'!$J$3:$J$179),0),0)</f>
        <v>0</v>
      </c>
      <c r="P44" s="579">
        <f>IFERROR(IF(VLOOKUP(P$2,MODULY_CBA!$B$3:$I$23,8,0)=$D44,SUMIF('Rozpocet - Vyvoj aplikacii'!$B$3:$B$179,'TCO TO BE- SW'!P$2,'Rozpocet - Vyvoj aplikacii'!$J$3:$J$179),0),0)</f>
        <v>0</v>
      </c>
      <c r="Q44" s="579">
        <f>IFERROR(IF(VLOOKUP(Q$2,MODULY_CBA!$B$3:$I$23,8,0)=$D44,SUMIF('Rozpocet - Vyvoj aplikacii'!$B$3:$B$179,'TCO TO BE- SW'!Q$2,'Rozpocet - Vyvoj aplikacii'!$J$3:$J$179),0),0)</f>
        <v>0</v>
      </c>
      <c r="R44" s="579">
        <f>IFERROR(IF(VLOOKUP(R$2,MODULY_CBA!$B$3:$I$23,8,0)=$D44,SUMIF('Rozpocet - Vyvoj aplikacii'!$B$3:$B$179,'TCO TO BE- SW'!R$2,'Rozpocet - Vyvoj aplikacii'!$J$3:$J$179),0),0)</f>
        <v>0</v>
      </c>
      <c r="S44" s="579">
        <f>IFERROR(IF(VLOOKUP(S$2,MODULY_CBA!$B$3:$I$23,8,0)=$D44,SUMIF('Rozpocet - Vyvoj aplikacii'!$B$3:$B$179,'TCO TO BE- SW'!S$2,'Rozpocet - Vyvoj aplikacii'!$J$3:$J$179),0),0)</f>
        <v>0</v>
      </c>
      <c r="T44" s="579">
        <f>IFERROR(IF(VLOOKUP(T$2,MODULY_CBA!$B$3:$I$23,8,0)=$D44,SUMIF('Rozpocet - Vyvoj aplikacii'!$B$3:$B$179,'TCO TO BE- SW'!T$2,'Rozpocet - Vyvoj aplikacii'!$J$3:$J$179),0),0)</f>
        <v>0</v>
      </c>
      <c r="U44" s="579">
        <f>IFERROR(IF(VLOOKUP(U$2,MODULY_CBA!$B$3:$I$23,8,0)=$D44,SUMIF('Rozpocet - Vyvoj aplikacii'!$B$3:$B$179,'TCO TO BE- SW'!U$2,'Rozpocet - Vyvoj aplikacii'!$J$3:$J$179),0),0)</f>
        <v>0</v>
      </c>
      <c r="V44" s="579">
        <f>IFERROR(IF(VLOOKUP(V$2,MODULY_CBA!$B$3:$I$23,8,0)=$D44,SUMIF('Rozpocet - Vyvoj aplikacii'!$B$3:$B$179,'TCO TO BE- SW'!V$2,'Rozpocet - Vyvoj aplikacii'!$J$3:$J$179),0),0)</f>
        <v>0</v>
      </c>
      <c r="W44" s="579">
        <f>IFERROR(IF(VLOOKUP(W$2,MODULY_CBA!$B$3:$I$23,8,0)=$D44,SUMIF('Rozpocet - Vyvoj aplikacii'!$B$3:$B$179,'TCO TO BE- SW'!W$2,'Rozpocet - Vyvoj aplikacii'!$J$3:$J$179),0),0)</f>
        <v>0</v>
      </c>
      <c r="X44" s="579">
        <f>IFERROR(IF(VLOOKUP(X$2,MODULY_CBA!$B$3:$I$23,8,0)=$D44,SUMIF('Rozpocet - Vyvoj aplikacii'!$B$3:$B$179,'TCO TO BE- SW'!X$2,'Rozpocet - Vyvoj aplikacii'!$J$3:$J$179),0),0)</f>
        <v>0</v>
      </c>
      <c r="Y44" s="579">
        <f>IFERROR(IF(VLOOKUP(Y$2,MODULY_CBA!$B$3:$I$23,8,0)=$D44,SUMIF('Rozpocet - Vyvoj aplikacii'!$B$3:$B$179,'TCO TO BE- SW'!Y$2,'Rozpocet - Vyvoj aplikacii'!$J$3:$J$179),0),0)</f>
        <v>0</v>
      </c>
      <c r="Z44" s="579">
        <f>IFERROR(IF(VLOOKUP(Z$2,MODULY_CBA!$B$3:$I$23,8,0)=$D44,SUMIF('Rozpocet - Vyvoj aplikacii'!$B$3:$B$179,'TCO TO BE- SW'!Z$2,'Rozpocet - Vyvoj aplikacii'!$J$3:$J$179),0),0)</f>
        <v>0</v>
      </c>
    </row>
    <row r="45" spans="1:26" outlineLevel="2" x14ac:dyDescent="0.2">
      <c r="A45" s="1390"/>
      <c r="B45" s="1391"/>
      <c r="C45" s="1391"/>
      <c r="D45" s="64">
        <v>9</v>
      </c>
      <c r="E45" s="68">
        <f t="shared" si="6"/>
        <v>0</v>
      </c>
      <c r="F45" s="579">
        <f>IFERROR(IF(VLOOKUP(F$2,MODULY_CBA!$B$3:$I$23,8,0)=$D45,SUMIF('Rozpocet - Vyvoj aplikacii'!$B$3:$B$179,'TCO TO BE- SW'!F$2,'Rozpocet - Vyvoj aplikacii'!$J$3:$J$179),0),0)</f>
        <v>0</v>
      </c>
      <c r="G45" s="579">
        <f>IFERROR(IF(VLOOKUP(G$2,MODULY_CBA!$B$3:$I$23,8,0)=$D45,SUMIF('Rozpocet - Vyvoj aplikacii'!$B$3:$B$179,'TCO TO BE- SW'!G$2,'Rozpocet - Vyvoj aplikacii'!$J$3:$J$179),0),0)</f>
        <v>0</v>
      </c>
      <c r="H45" s="579">
        <f>IFERROR(IF(VLOOKUP(H$2,MODULY_CBA!$B$3:$I$23,8,0)=$D45,SUMIF('Rozpocet - Vyvoj aplikacii'!$B$3:$B$179,'TCO TO BE- SW'!H$2,'Rozpocet - Vyvoj aplikacii'!$J$3:$J$179),0),0)</f>
        <v>0</v>
      </c>
      <c r="I45" s="579">
        <f>IFERROR(IF(VLOOKUP(I$2,MODULY_CBA!$B$3:$I$23,8,0)=$D45,SUMIF('Rozpocet - Vyvoj aplikacii'!$B$3:$B$179,'TCO TO BE- SW'!I$2,'Rozpocet - Vyvoj aplikacii'!$J$3:$J$179),0),0)</f>
        <v>0</v>
      </c>
      <c r="J45" s="579">
        <f>IFERROR(IF(VLOOKUP(J$2,MODULY_CBA!$B$3:$I$23,8,0)=$D45,SUMIF('Rozpocet - Vyvoj aplikacii'!$B$3:$B$179,'TCO TO BE- SW'!J$2,'Rozpocet - Vyvoj aplikacii'!$J$3:$J$179),0),0)</f>
        <v>0</v>
      </c>
      <c r="K45" s="579">
        <f>IFERROR(IF(VLOOKUP(K$2,MODULY_CBA!$B$3:$I$23,8,0)=$D45,SUMIF('Rozpocet - Vyvoj aplikacii'!$B$3:$B$179,'TCO TO BE- SW'!K$2,'Rozpocet - Vyvoj aplikacii'!$J$3:$J$179),0),0)</f>
        <v>0</v>
      </c>
      <c r="L45" s="579">
        <f>IFERROR(IF(VLOOKUP(L$2,MODULY_CBA!$B$3:$I$23,8,0)=$D45,SUMIF('Rozpocet - Vyvoj aplikacii'!$B$3:$B$179,'TCO TO BE- SW'!L$2,'Rozpocet - Vyvoj aplikacii'!$J$3:$J$179),0),0)</f>
        <v>0</v>
      </c>
      <c r="M45" s="579">
        <f>IFERROR(IF(VLOOKUP(M$2,MODULY_CBA!$B$3:$I$23,8,0)=$D45,SUMIF('Rozpocet - Vyvoj aplikacii'!$B$3:$B$179,'TCO TO BE- SW'!M$2,'Rozpocet - Vyvoj aplikacii'!$J$3:$J$179),0),0)</f>
        <v>0</v>
      </c>
      <c r="N45" s="579">
        <f>IFERROR(IF(VLOOKUP(N$2,MODULY_CBA!$B$3:$I$23,8,0)=$D45,SUMIF('Rozpocet - Vyvoj aplikacii'!$B$3:$B$179,'TCO TO BE- SW'!N$2,'Rozpocet - Vyvoj aplikacii'!$J$3:$J$179),0),0)</f>
        <v>0</v>
      </c>
      <c r="O45" s="579">
        <f>IFERROR(IF(VLOOKUP(O$2,MODULY_CBA!$B$3:$I$23,8,0)=$D45,SUMIF('Rozpocet - Vyvoj aplikacii'!$B$3:$B$179,'TCO TO BE- SW'!O$2,'Rozpocet - Vyvoj aplikacii'!$J$3:$J$179),0),0)</f>
        <v>0</v>
      </c>
      <c r="P45" s="579">
        <f>IFERROR(IF(VLOOKUP(P$2,MODULY_CBA!$B$3:$I$23,8,0)=$D45,SUMIF('Rozpocet - Vyvoj aplikacii'!$B$3:$B$179,'TCO TO BE- SW'!P$2,'Rozpocet - Vyvoj aplikacii'!$J$3:$J$179),0),0)</f>
        <v>0</v>
      </c>
      <c r="Q45" s="579">
        <f>IFERROR(IF(VLOOKUP(Q$2,MODULY_CBA!$B$3:$I$23,8,0)=$D45,SUMIF('Rozpocet - Vyvoj aplikacii'!$B$3:$B$179,'TCO TO BE- SW'!Q$2,'Rozpocet - Vyvoj aplikacii'!$J$3:$J$179),0),0)</f>
        <v>0</v>
      </c>
      <c r="R45" s="579">
        <f>IFERROR(IF(VLOOKUP(R$2,MODULY_CBA!$B$3:$I$23,8,0)=$D45,SUMIF('Rozpocet - Vyvoj aplikacii'!$B$3:$B$179,'TCO TO BE- SW'!R$2,'Rozpocet - Vyvoj aplikacii'!$J$3:$J$179),0),0)</f>
        <v>0</v>
      </c>
      <c r="S45" s="579">
        <f>IFERROR(IF(VLOOKUP(S$2,MODULY_CBA!$B$3:$I$23,8,0)=$D45,SUMIF('Rozpocet - Vyvoj aplikacii'!$B$3:$B$179,'TCO TO BE- SW'!S$2,'Rozpocet - Vyvoj aplikacii'!$J$3:$J$179),0),0)</f>
        <v>0</v>
      </c>
      <c r="T45" s="579">
        <f>IFERROR(IF(VLOOKUP(T$2,MODULY_CBA!$B$3:$I$23,8,0)=$D45,SUMIF('Rozpocet - Vyvoj aplikacii'!$B$3:$B$179,'TCO TO BE- SW'!T$2,'Rozpocet - Vyvoj aplikacii'!$J$3:$J$179),0),0)</f>
        <v>0</v>
      </c>
      <c r="U45" s="579">
        <f>IFERROR(IF(VLOOKUP(U$2,MODULY_CBA!$B$3:$I$23,8,0)=$D45,SUMIF('Rozpocet - Vyvoj aplikacii'!$B$3:$B$179,'TCO TO BE- SW'!U$2,'Rozpocet - Vyvoj aplikacii'!$J$3:$J$179),0),0)</f>
        <v>0</v>
      </c>
      <c r="V45" s="579">
        <f>IFERROR(IF(VLOOKUP(V$2,MODULY_CBA!$B$3:$I$23,8,0)=$D45,SUMIF('Rozpocet - Vyvoj aplikacii'!$B$3:$B$179,'TCO TO BE- SW'!V$2,'Rozpocet - Vyvoj aplikacii'!$J$3:$J$179),0),0)</f>
        <v>0</v>
      </c>
      <c r="W45" s="579">
        <f>IFERROR(IF(VLOOKUP(W$2,MODULY_CBA!$B$3:$I$23,8,0)=$D45,SUMIF('Rozpocet - Vyvoj aplikacii'!$B$3:$B$179,'TCO TO BE- SW'!W$2,'Rozpocet - Vyvoj aplikacii'!$J$3:$J$179),0),0)</f>
        <v>0</v>
      </c>
      <c r="X45" s="579">
        <f>IFERROR(IF(VLOOKUP(X$2,MODULY_CBA!$B$3:$I$23,8,0)=$D45,SUMIF('Rozpocet - Vyvoj aplikacii'!$B$3:$B$179,'TCO TO BE- SW'!X$2,'Rozpocet - Vyvoj aplikacii'!$J$3:$J$179),0),0)</f>
        <v>0</v>
      </c>
      <c r="Y45" s="579">
        <f>IFERROR(IF(VLOOKUP(Y$2,MODULY_CBA!$B$3:$I$23,8,0)=$D45,SUMIF('Rozpocet - Vyvoj aplikacii'!$B$3:$B$179,'TCO TO BE- SW'!Y$2,'Rozpocet - Vyvoj aplikacii'!$J$3:$J$179),0),0)</f>
        <v>0</v>
      </c>
      <c r="Z45" s="579">
        <f>IFERROR(IF(VLOOKUP(Z$2,MODULY_CBA!$B$3:$I$23,8,0)=$D45,SUMIF('Rozpocet - Vyvoj aplikacii'!$B$3:$B$179,'TCO TO BE- SW'!Z$2,'Rozpocet - Vyvoj aplikacii'!$J$3:$J$179),0),0)</f>
        <v>0</v>
      </c>
    </row>
    <row r="46" spans="1:26" ht="16" outlineLevel="2" thickBot="1" x14ac:dyDescent="0.25">
      <c r="A46" s="1390"/>
      <c r="B46" s="1391"/>
      <c r="C46" s="1391"/>
      <c r="D46" s="65">
        <v>10</v>
      </c>
      <c r="E46" s="69">
        <f t="shared" si="6"/>
        <v>0</v>
      </c>
      <c r="F46" s="580">
        <f>IFERROR(IF(VLOOKUP(F$2,MODULY_CBA!$B$3:$I$23,8,0)=$D46,SUMIF('Rozpocet - Vyvoj aplikacii'!$B$3:$B$179,'TCO TO BE- SW'!F$2,'Rozpocet - Vyvoj aplikacii'!$J$3:$J$179),0),0)</f>
        <v>0</v>
      </c>
      <c r="G46" s="580">
        <f>IFERROR(IF(VLOOKUP(G$2,MODULY_CBA!$B$3:$I$23,8,0)=$D46,SUMIF('Rozpocet - Vyvoj aplikacii'!$B$3:$B$179,'TCO TO BE- SW'!G$2,'Rozpocet - Vyvoj aplikacii'!$J$3:$J$179),0),0)</f>
        <v>0</v>
      </c>
      <c r="H46" s="580">
        <f>IFERROR(IF(VLOOKUP(H$2,MODULY_CBA!$B$3:$I$23,8,0)=$D46,SUMIF('Rozpocet - Vyvoj aplikacii'!$B$3:$B$179,'TCO TO BE- SW'!H$2,'Rozpocet - Vyvoj aplikacii'!$J$3:$J$179),0),0)</f>
        <v>0</v>
      </c>
      <c r="I46" s="580">
        <f>IFERROR(IF(VLOOKUP(I$2,MODULY_CBA!$B$3:$I$23,8,0)=$D46,SUMIF('Rozpocet - Vyvoj aplikacii'!$B$3:$B$179,'TCO TO BE- SW'!I$2,'Rozpocet - Vyvoj aplikacii'!$J$3:$J$179),0),0)</f>
        <v>0</v>
      </c>
      <c r="J46" s="580">
        <f>IFERROR(IF(VLOOKUP(J$2,MODULY_CBA!$B$3:$I$23,8,0)=$D46,SUMIF('Rozpocet - Vyvoj aplikacii'!$B$3:$B$179,'TCO TO BE- SW'!J$2,'Rozpocet - Vyvoj aplikacii'!$J$3:$J$179),0),0)</f>
        <v>0</v>
      </c>
      <c r="K46" s="580">
        <f>IFERROR(IF(VLOOKUP(K$2,MODULY_CBA!$B$3:$I$23,8,0)=$D46,SUMIF('Rozpocet - Vyvoj aplikacii'!$B$3:$B$179,'TCO TO BE- SW'!K$2,'Rozpocet - Vyvoj aplikacii'!$J$3:$J$179),0),0)</f>
        <v>0</v>
      </c>
      <c r="L46" s="580">
        <f>IFERROR(IF(VLOOKUP(L$2,MODULY_CBA!$B$3:$I$23,8,0)=$D46,SUMIF('Rozpocet - Vyvoj aplikacii'!$B$3:$B$179,'TCO TO BE- SW'!L$2,'Rozpocet - Vyvoj aplikacii'!$J$3:$J$179),0),0)</f>
        <v>0</v>
      </c>
      <c r="M46" s="580">
        <f>IFERROR(IF(VLOOKUP(M$2,MODULY_CBA!$B$3:$I$23,8,0)=$D46,SUMIF('Rozpocet - Vyvoj aplikacii'!$B$3:$B$179,'TCO TO BE- SW'!M$2,'Rozpocet - Vyvoj aplikacii'!$J$3:$J$179),0),0)</f>
        <v>0</v>
      </c>
      <c r="N46" s="580">
        <f>IFERROR(IF(VLOOKUP(N$2,MODULY_CBA!$B$3:$I$23,8,0)=$D46,SUMIF('Rozpocet - Vyvoj aplikacii'!$B$3:$B$179,'TCO TO BE- SW'!N$2,'Rozpocet - Vyvoj aplikacii'!$J$3:$J$179),0),0)</f>
        <v>0</v>
      </c>
      <c r="O46" s="580">
        <f>IFERROR(IF(VLOOKUP(O$2,MODULY_CBA!$B$3:$I$23,8,0)=$D46,SUMIF('Rozpocet - Vyvoj aplikacii'!$B$3:$B$179,'TCO TO BE- SW'!O$2,'Rozpocet - Vyvoj aplikacii'!$J$3:$J$179),0),0)</f>
        <v>0</v>
      </c>
      <c r="P46" s="580">
        <f>IFERROR(IF(VLOOKUP(P$2,MODULY_CBA!$B$3:$I$23,8,0)=$D46,SUMIF('Rozpocet - Vyvoj aplikacii'!$B$3:$B$179,'TCO TO BE- SW'!P$2,'Rozpocet - Vyvoj aplikacii'!$J$3:$J$179),0),0)</f>
        <v>0</v>
      </c>
      <c r="Q46" s="580">
        <f>IFERROR(IF(VLOOKUP(Q$2,MODULY_CBA!$B$3:$I$23,8,0)=$D46,SUMIF('Rozpocet - Vyvoj aplikacii'!$B$3:$B$179,'TCO TO BE- SW'!Q$2,'Rozpocet - Vyvoj aplikacii'!$J$3:$J$179),0),0)</f>
        <v>0</v>
      </c>
      <c r="R46" s="580">
        <f>IFERROR(IF(VLOOKUP(R$2,MODULY_CBA!$B$3:$I$23,8,0)=$D46,SUMIF('Rozpocet - Vyvoj aplikacii'!$B$3:$B$179,'TCO TO BE- SW'!R$2,'Rozpocet - Vyvoj aplikacii'!$J$3:$J$179),0),0)</f>
        <v>0</v>
      </c>
      <c r="S46" s="580">
        <f>IFERROR(IF(VLOOKUP(S$2,MODULY_CBA!$B$3:$I$23,8,0)=$D46,SUMIF('Rozpocet - Vyvoj aplikacii'!$B$3:$B$179,'TCO TO BE- SW'!S$2,'Rozpocet - Vyvoj aplikacii'!$J$3:$J$179),0),0)</f>
        <v>0</v>
      </c>
      <c r="T46" s="580">
        <f>IFERROR(IF(VLOOKUP(T$2,MODULY_CBA!$B$3:$I$23,8,0)=$D46,SUMIF('Rozpocet - Vyvoj aplikacii'!$B$3:$B$179,'TCO TO BE- SW'!T$2,'Rozpocet - Vyvoj aplikacii'!$J$3:$J$179),0),0)</f>
        <v>0</v>
      </c>
      <c r="U46" s="580">
        <f>IFERROR(IF(VLOOKUP(U$2,MODULY_CBA!$B$3:$I$23,8,0)=$D46,SUMIF('Rozpocet - Vyvoj aplikacii'!$B$3:$B$179,'TCO TO BE- SW'!U$2,'Rozpocet - Vyvoj aplikacii'!$J$3:$J$179),0),0)</f>
        <v>0</v>
      </c>
      <c r="V46" s="580">
        <f>IFERROR(IF(VLOOKUP(V$2,MODULY_CBA!$B$3:$I$23,8,0)=$D46,SUMIF('Rozpocet - Vyvoj aplikacii'!$B$3:$B$179,'TCO TO BE- SW'!V$2,'Rozpocet - Vyvoj aplikacii'!$J$3:$J$179),0),0)</f>
        <v>0</v>
      </c>
      <c r="W46" s="580">
        <f>IFERROR(IF(VLOOKUP(W$2,MODULY_CBA!$B$3:$I$23,8,0)=$D46,SUMIF('Rozpocet - Vyvoj aplikacii'!$B$3:$B$179,'TCO TO BE- SW'!W$2,'Rozpocet - Vyvoj aplikacii'!$J$3:$J$179),0),0)</f>
        <v>0</v>
      </c>
      <c r="X46" s="580">
        <f>IFERROR(IF(VLOOKUP(X$2,MODULY_CBA!$B$3:$I$23,8,0)=$D46,SUMIF('Rozpocet - Vyvoj aplikacii'!$B$3:$B$179,'TCO TO BE- SW'!X$2,'Rozpocet - Vyvoj aplikacii'!$J$3:$J$179),0),0)</f>
        <v>0</v>
      </c>
      <c r="Y46" s="580">
        <f>IFERROR(IF(VLOOKUP(Y$2,MODULY_CBA!$B$3:$I$23,8,0)=$D46,SUMIF('Rozpocet - Vyvoj aplikacii'!$B$3:$B$179,'TCO TO BE- SW'!Y$2,'Rozpocet - Vyvoj aplikacii'!$J$3:$J$179),0),0)</f>
        <v>0</v>
      </c>
      <c r="Z46" s="580">
        <f>IFERROR(IF(VLOOKUP(Z$2,MODULY_CBA!$B$3:$I$23,8,0)=$D46,SUMIF('Rozpocet - Vyvoj aplikacii'!$B$3:$B$179,'TCO TO BE- SW'!Z$2,'Rozpocet - Vyvoj aplikacii'!$J$3:$J$179),0),0)</f>
        <v>0</v>
      </c>
    </row>
    <row r="47" spans="1:26" outlineLevel="2" x14ac:dyDescent="0.2">
      <c r="A47" s="1390" t="s">
        <v>74</v>
      </c>
      <c r="B47" s="1391" t="s">
        <v>76</v>
      </c>
      <c r="C47" s="1391">
        <v>633013</v>
      </c>
      <c r="D47" s="63">
        <v>1</v>
      </c>
      <c r="E47" s="68">
        <f t="shared" si="6"/>
        <v>0</v>
      </c>
      <c r="F47" s="581">
        <v>0</v>
      </c>
      <c r="G47" s="581">
        <v>0</v>
      </c>
      <c r="H47" s="581">
        <v>0</v>
      </c>
      <c r="I47" s="581">
        <v>0</v>
      </c>
      <c r="J47" s="581">
        <v>0</v>
      </c>
      <c r="K47" s="581">
        <v>0</v>
      </c>
      <c r="L47" s="581">
        <v>0</v>
      </c>
      <c r="M47" s="581">
        <v>0</v>
      </c>
      <c r="N47" s="581">
        <v>0</v>
      </c>
      <c r="O47" s="581">
        <v>0</v>
      </c>
      <c r="P47" s="581">
        <v>0</v>
      </c>
      <c r="Q47" s="581">
        <v>0</v>
      </c>
      <c r="R47" s="581">
        <v>0</v>
      </c>
      <c r="S47" s="581">
        <v>0</v>
      </c>
      <c r="T47" s="581">
        <v>0</v>
      </c>
      <c r="U47" s="581">
        <v>0</v>
      </c>
      <c r="V47" s="581">
        <v>0</v>
      </c>
      <c r="W47" s="581">
        <v>0</v>
      </c>
      <c r="X47" s="581">
        <v>0</v>
      </c>
      <c r="Y47" s="581">
        <v>0</v>
      </c>
      <c r="Z47" s="581">
        <v>0</v>
      </c>
    </row>
    <row r="48" spans="1:26" outlineLevel="2" x14ac:dyDescent="0.2">
      <c r="A48" s="1390"/>
      <c r="B48" s="1391"/>
      <c r="C48" s="1391"/>
      <c r="D48" s="64">
        <v>2</v>
      </c>
      <c r="E48" s="68">
        <f t="shared" si="6"/>
        <v>0</v>
      </c>
      <c r="F48" s="582">
        <v>0</v>
      </c>
      <c r="G48" s="582">
        <v>0</v>
      </c>
      <c r="H48" s="582">
        <v>0</v>
      </c>
      <c r="I48" s="582">
        <v>0</v>
      </c>
      <c r="J48" s="582">
        <v>0</v>
      </c>
      <c r="K48" s="582">
        <v>0</v>
      </c>
      <c r="L48" s="582">
        <v>0</v>
      </c>
      <c r="M48" s="582">
        <v>0</v>
      </c>
      <c r="N48" s="582">
        <v>0</v>
      </c>
      <c r="O48" s="582">
        <v>0</v>
      </c>
      <c r="P48" s="582">
        <v>0</v>
      </c>
      <c r="Q48" s="582">
        <v>0</v>
      </c>
      <c r="R48" s="582">
        <v>0</v>
      </c>
      <c r="S48" s="582">
        <v>0</v>
      </c>
      <c r="T48" s="582">
        <v>0</v>
      </c>
      <c r="U48" s="582">
        <v>0</v>
      </c>
      <c r="V48" s="582">
        <v>0</v>
      </c>
      <c r="W48" s="582">
        <v>0</v>
      </c>
      <c r="X48" s="582">
        <v>0</v>
      </c>
      <c r="Y48" s="582">
        <v>0</v>
      </c>
      <c r="Z48" s="582">
        <v>0</v>
      </c>
    </row>
    <row r="49" spans="1:26" outlineLevel="2" x14ac:dyDescent="0.2">
      <c r="A49" s="1390"/>
      <c r="B49" s="1391"/>
      <c r="C49" s="1391"/>
      <c r="D49" s="64">
        <v>3</v>
      </c>
      <c r="E49" s="68">
        <f t="shared" si="6"/>
        <v>0</v>
      </c>
      <c r="F49" s="582">
        <v>0</v>
      </c>
      <c r="G49" s="582">
        <v>0</v>
      </c>
      <c r="H49" s="582">
        <v>0</v>
      </c>
      <c r="I49" s="582">
        <v>0</v>
      </c>
      <c r="J49" s="582">
        <v>0</v>
      </c>
      <c r="K49" s="582">
        <v>0</v>
      </c>
      <c r="L49" s="582">
        <v>0</v>
      </c>
      <c r="M49" s="582">
        <v>0</v>
      </c>
      <c r="N49" s="582">
        <v>0</v>
      </c>
      <c r="O49" s="582">
        <v>0</v>
      </c>
      <c r="P49" s="582">
        <v>0</v>
      </c>
      <c r="Q49" s="582">
        <v>0</v>
      </c>
      <c r="R49" s="582">
        <v>0</v>
      </c>
      <c r="S49" s="582">
        <v>0</v>
      </c>
      <c r="T49" s="582">
        <v>0</v>
      </c>
      <c r="U49" s="582">
        <v>0</v>
      </c>
      <c r="V49" s="582">
        <v>0</v>
      </c>
      <c r="W49" s="582">
        <v>0</v>
      </c>
      <c r="X49" s="582">
        <v>0</v>
      </c>
      <c r="Y49" s="582">
        <v>0</v>
      </c>
      <c r="Z49" s="582">
        <v>0</v>
      </c>
    </row>
    <row r="50" spans="1:26" outlineLevel="2" x14ac:dyDescent="0.2">
      <c r="A50" s="1390"/>
      <c r="B50" s="1391"/>
      <c r="C50" s="1391"/>
      <c r="D50" s="64">
        <v>4</v>
      </c>
      <c r="E50" s="68">
        <f t="shared" si="6"/>
        <v>0</v>
      </c>
      <c r="F50" s="582">
        <v>0</v>
      </c>
      <c r="G50" s="582">
        <v>0</v>
      </c>
      <c r="H50" s="582">
        <v>0</v>
      </c>
      <c r="I50" s="582">
        <v>0</v>
      </c>
      <c r="J50" s="582">
        <v>0</v>
      </c>
      <c r="K50" s="582">
        <v>0</v>
      </c>
      <c r="L50" s="582">
        <v>0</v>
      </c>
      <c r="M50" s="582">
        <v>0</v>
      </c>
      <c r="N50" s="582">
        <v>0</v>
      </c>
      <c r="O50" s="582">
        <v>0</v>
      </c>
      <c r="P50" s="582">
        <v>0</v>
      </c>
      <c r="Q50" s="582">
        <v>0</v>
      </c>
      <c r="R50" s="582">
        <v>0</v>
      </c>
      <c r="S50" s="582">
        <v>0</v>
      </c>
      <c r="T50" s="582">
        <v>0</v>
      </c>
      <c r="U50" s="582">
        <v>0</v>
      </c>
      <c r="V50" s="582">
        <v>0</v>
      </c>
      <c r="W50" s="582">
        <v>0</v>
      </c>
      <c r="X50" s="582">
        <v>0</v>
      </c>
      <c r="Y50" s="582">
        <v>0</v>
      </c>
      <c r="Z50" s="582">
        <v>0</v>
      </c>
    </row>
    <row r="51" spans="1:26" outlineLevel="2" x14ac:dyDescent="0.2">
      <c r="A51" s="1390"/>
      <c r="B51" s="1391"/>
      <c r="C51" s="1391"/>
      <c r="D51" s="64">
        <v>5</v>
      </c>
      <c r="E51" s="68">
        <f t="shared" si="6"/>
        <v>0</v>
      </c>
      <c r="F51" s="582">
        <v>0</v>
      </c>
      <c r="G51" s="582">
        <v>0</v>
      </c>
      <c r="H51" s="582">
        <v>0</v>
      </c>
      <c r="I51" s="582">
        <v>0</v>
      </c>
      <c r="J51" s="582">
        <v>0</v>
      </c>
      <c r="K51" s="582">
        <v>0</v>
      </c>
      <c r="L51" s="582">
        <v>0</v>
      </c>
      <c r="M51" s="582">
        <v>0</v>
      </c>
      <c r="N51" s="582">
        <v>0</v>
      </c>
      <c r="O51" s="582">
        <v>0</v>
      </c>
      <c r="P51" s="582">
        <v>0</v>
      </c>
      <c r="Q51" s="582">
        <v>0</v>
      </c>
      <c r="R51" s="582">
        <v>0</v>
      </c>
      <c r="S51" s="582">
        <v>0</v>
      </c>
      <c r="T51" s="582">
        <v>0</v>
      </c>
      <c r="U51" s="582">
        <v>0</v>
      </c>
      <c r="V51" s="582">
        <v>0</v>
      </c>
      <c r="W51" s="582">
        <v>0</v>
      </c>
      <c r="X51" s="582">
        <v>0</v>
      </c>
      <c r="Y51" s="582">
        <v>0</v>
      </c>
      <c r="Z51" s="582">
        <v>0</v>
      </c>
    </row>
    <row r="52" spans="1:26" outlineLevel="2" x14ac:dyDescent="0.2">
      <c r="A52" s="1390"/>
      <c r="B52" s="1391"/>
      <c r="C52" s="1391"/>
      <c r="D52" s="64">
        <v>6</v>
      </c>
      <c r="E52" s="68">
        <f t="shared" si="6"/>
        <v>0</v>
      </c>
      <c r="F52" s="582">
        <v>0</v>
      </c>
      <c r="G52" s="582">
        <v>0</v>
      </c>
      <c r="H52" s="582">
        <v>0</v>
      </c>
      <c r="I52" s="582">
        <v>0</v>
      </c>
      <c r="J52" s="582">
        <v>0</v>
      </c>
      <c r="K52" s="582">
        <v>0</v>
      </c>
      <c r="L52" s="582">
        <v>0</v>
      </c>
      <c r="M52" s="582">
        <v>0</v>
      </c>
      <c r="N52" s="582">
        <v>0</v>
      </c>
      <c r="O52" s="582">
        <v>0</v>
      </c>
      <c r="P52" s="582">
        <v>0</v>
      </c>
      <c r="Q52" s="582">
        <v>0</v>
      </c>
      <c r="R52" s="582">
        <v>0</v>
      </c>
      <c r="S52" s="582">
        <v>0</v>
      </c>
      <c r="T52" s="582">
        <v>0</v>
      </c>
      <c r="U52" s="582">
        <v>0</v>
      </c>
      <c r="V52" s="582">
        <v>0</v>
      </c>
      <c r="W52" s="582">
        <v>0</v>
      </c>
      <c r="X52" s="582">
        <v>0</v>
      </c>
      <c r="Y52" s="582">
        <v>0</v>
      </c>
      <c r="Z52" s="582">
        <v>0</v>
      </c>
    </row>
    <row r="53" spans="1:26" outlineLevel="2" x14ac:dyDescent="0.2">
      <c r="A53" s="1390"/>
      <c r="B53" s="1391"/>
      <c r="C53" s="1391"/>
      <c r="D53" s="64">
        <v>7</v>
      </c>
      <c r="E53" s="68">
        <f t="shared" si="6"/>
        <v>0</v>
      </c>
      <c r="F53" s="582">
        <v>0</v>
      </c>
      <c r="G53" s="582">
        <v>0</v>
      </c>
      <c r="H53" s="582">
        <v>0</v>
      </c>
      <c r="I53" s="582">
        <v>0</v>
      </c>
      <c r="J53" s="582">
        <v>0</v>
      </c>
      <c r="K53" s="582">
        <v>0</v>
      </c>
      <c r="L53" s="582">
        <v>0</v>
      </c>
      <c r="M53" s="582">
        <v>0</v>
      </c>
      <c r="N53" s="582">
        <v>0</v>
      </c>
      <c r="O53" s="582">
        <v>0</v>
      </c>
      <c r="P53" s="582">
        <v>0</v>
      </c>
      <c r="Q53" s="582">
        <v>0</v>
      </c>
      <c r="R53" s="582">
        <v>0</v>
      </c>
      <c r="S53" s="582">
        <v>0</v>
      </c>
      <c r="T53" s="582">
        <v>0</v>
      </c>
      <c r="U53" s="582">
        <v>0</v>
      </c>
      <c r="V53" s="582">
        <v>0</v>
      </c>
      <c r="W53" s="582">
        <v>0</v>
      </c>
      <c r="X53" s="582">
        <v>0</v>
      </c>
      <c r="Y53" s="582">
        <v>0</v>
      </c>
      <c r="Z53" s="582">
        <v>0</v>
      </c>
    </row>
    <row r="54" spans="1:26" outlineLevel="2" x14ac:dyDescent="0.2">
      <c r="A54" s="1390"/>
      <c r="B54" s="1391"/>
      <c r="C54" s="1391"/>
      <c r="D54" s="64">
        <v>8</v>
      </c>
      <c r="E54" s="68">
        <f t="shared" si="6"/>
        <v>0</v>
      </c>
      <c r="F54" s="582">
        <v>0</v>
      </c>
      <c r="G54" s="582">
        <v>0</v>
      </c>
      <c r="H54" s="582">
        <v>0</v>
      </c>
      <c r="I54" s="582">
        <v>0</v>
      </c>
      <c r="J54" s="582">
        <v>0</v>
      </c>
      <c r="K54" s="582">
        <v>0</v>
      </c>
      <c r="L54" s="582">
        <v>0</v>
      </c>
      <c r="M54" s="582">
        <v>0</v>
      </c>
      <c r="N54" s="582">
        <v>0</v>
      </c>
      <c r="O54" s="582">
        <v>0</v>
      </c>
      <c r="P54" s="582">
        <v>0</v>
      </c>
      <c r="Q54" s="582">
        <v>0</v>
      </c>
      <c r="R54" s="582">
        <v>0</v>
      </c>
      <c r="S54" s="582">
        <v>0</v>
      </c>
      <c r="T54" s="582">
        <v>0</v>
      </c>
      <c r="U54" s="582">
        <v>0</v>
      </c>
      <c r="V54" s="582">
        <v>0</v>
      </c>
      <c r="W54" s="582">
        <v>0</v>
      </c>
      <c r="X54" s="582">
        <v>0</v>
      </c>
      <c r="Y54" s="582">
        <v>0</v>
      </c>
      <c r="Z54" s="582">
        <v>0</v>
      </c>
    </row>
    <row r="55" spans="1:26" outlineLevel="2" x14ac:dyDescent="0.2">
      <c r="A55" s="1390"/>
      <c r="B55" s="1391"/>
      <c r="C55" s="1391"/>
      <c r="D55" s="64">
        <v>9</v>
      </c>
      <c r="E55" s="68">
        <f t="shared" si="6"/>
        <v>0</v>
      </c>
      <c r="F55" s="582">
        <v>0</v>
      </c>
      <c r="G55" s="582">
        <v>0</v>
      </c>
      <c r="H55" s="582">
        <v>0</v>
      </c>
      <c r="I55" s="582">
        <v>0</v>
      </c>
      <c r="J55" s="582">
        <v>0</v>
      </c>
      <c r="K55" s="582">
        <v>0</v>
      </c>
      <c r="L55" s="582">
        <v>0</v>
      </c>
      <c r="M55" s="582">
        <v>0</v>
      </c>
      <c r="N55" s="582">
        <v>0</v>
      </c>
      <c r="O55" s="582">
        <v>0</v>
      </c>
      <c r="P55" s="582">
        <v>0</v>
      </c>
      <c r="Q55" s="582">
        <v>0</v>
      </c>
      <c r="R55" s="582">
        <v>0</v>
      </c>
      <c r="S55" s="582">
        <v>0</v>
      </c>
      <c r="T55" s="582">
        <v>0</v>
      </c>
      <c r="U55" s="582">
        <v>0</v>
      </c>
      <c r="V55" s="582">
        <v>0</v>
      </c>
      <c r="W55" s="582">
        <v>0</v>
      </c>
      <c r="X55" s="582">
        <v>0</v>
      </c>
      <c r="Y55" s="582">
        <v>0</v>
      </c>
      <c r="Z55" s="582">
        <v>0</v>
      </c>
    </row>
    <row r="56" spans="1:26" ht="16" outlineLevel="2" thickBot="1" x14ac:dyDescent="0.25">
      <c r="A56" s="1390"/>
      <c r="B56" s="1391"/>
      <c r="C56" s="1391"/>
      <c r="D56" s="65">
        <v>10</v>
      </c>
      <c r="E56" s="69">
        <f t="shared" si="6"/>
        <v>0</v>
      </c>
      <c r="F56" s="586">
        <v>0</v>
      </c>
      <c r="G56" s="586">
        <v>0</v>
      </c>
      <c r="H56" s="586">
        <v>0</v>
      </c>
      <c r="I56" s="586">
        <v>0</v>
      </c>
      <c r="J56" s="586">
        <v>0</v>
      </c>
      <c r="K56" s="586">
        <v>0</v>
      </c>
      <c r="L56" s="586">
        <v>0</v>
      </c>
      <c r="M56" s="586">
        <v>0</v>
      </c>
      <c r="N56" s="586">
        <v>0</v>
      </c>
      <c r="O56" s="586">
        <v>0</v>
      </c>
      <c r="P56" s="586">
        <v>0</v>
      </c>
      <c r="Q56" s="586">
        <v>0</v>
      </c>
      <c r="R56" s="586">
        <v>0</v>
      </c>
      <c r="S56" s="586">
        <v>0</v>
      </c>
      <c r="T56" s="586">
        <v>0</v>
      </c>
      <c r="U56" s="586">
        <v>0</v>
      </c>
      <c r="V56" s="586">
        <v>0</v>
      </c>
      <c r="W56" s="586">
        <v>0</v>
      </c>
      <c r="X56" s="586">
        <v>0</v>
      </c>
      <c r="Y56" s="586">
        <v>0</v>
      </c>
      <c r="Z56" s="586">
        <v>0</v>
      </c>
    </row>
    <row r="57" spans="1:26" outlineLevel="2" x14ac:dyDescent="0.2">
      <c r="A57" s="1390" t="s">
        <v>302</v>
      </c>
      <c r="B57" s="1391" t="s">
        <v>519</v>
      </c>
      <c r="C57" s="1391">
        <v>610</v>
      </c>
      <c r="D57" s="63">
        <v>1</v>
      </c>
      <c r="E57" s="68">
        <f t="shared" ref="E57:E66" si="7">SUM(F57:Z57)</f>
        <v>0</v>
      </c>
      <c r="F57" s="578">
        <f>IFERROR(IF(VLOOKUP(F$2,MODULY_CBA!$B$3:$L$23,8,0)=$D57,SUMIF('Rozpocet - Vyvoj aplikacii'!$B$3:$B$179,'TCO TO BE- SW'!F$2,'Rozpocet - Vyvoj aplikacii'!$I$3:$I$179),0),0)</f>
        <v>0</v>
      </c>
      <c r="G57" s="578">
        <f>IFERROR(IF(VLOOKUP(G$2,MODULY_CBA!$B$3:$L$23,8,0)=$D57,SUMIF('Rozpocet - Vyvoj aplikacii'!$B$3:$B$179,'TCO TO BE- SW'!G$2,'Rozpocet - Vyvoj aplikacii'!$I$3:$I$179),0),0)</f>
        <v>0</v>
      </c>
      <c r="H57" s="578">
        <f>IFERROR(IF(VLOOKUP(H$2,MODULY_CBA!$B$3:$L$23,8,0)=$D57,SUMIF('Rozpocet - Vyvoj aplikacii'!$B$3:$B$179,'TCO TO BE- SW'!H$2,'Rozpocet - Vyvoj aplikacii'!$I$3:$I$179),0),0)</f>
        <v>0</v>
      </c>
      <c r="I57" s="578">
        <f>IFERROR(IF(VLOOKUP(I$2,MODULY_CBA!$B$3:$L$23,8,0)=$D57,SUMIF('Rozpocet - Vyvoj aplikacii'!$B$3:$B$179,'TCO TO BE- SW'!I$2,'Rozpocet - Vyvoj aplikacii'!$I$3:$I$179),0),0)</f>
        <v>0</v>
      </c>
      <c r="J57" s="578">
        <f>IFERROR(IF(VLOOKUP(J$2,MODULY_CBA!$B$3:$L$23,8,0)=$D57,SUMIF('Rozpocet - Vyvoj aplikacii'!$B$3:$B$179,'TCO TO BE- SW'!J$2,'Rozpocet - Vyvoj aplikacii'!$I$3:$I$179),0),0)</f>
        <v>0</v>
      </c>
      <c r="K57" s="578">
        <f>IFERROR(IF(VLOOKUP(K$2,MODULY_CBA!$B$3:$L$23,8,0)=$D57,SUMIF('Rozpocet - Vyvoj aplikacii'!$B$3:$B$179,'TCO TO BE- SW'!K$2,'Rozpocet - Vyvoj aplikacii'!$I$3:$I$179),0),0)</f>
        <v>0</v>
      </c>
      <c r="L57" s="578">
        <f>IFERROR(IF(VLOOKUP(L$2,MODULY_CBA!$B$3:$L$23,8,0)=$D57,SUMIF('Rozpocet - Vyvoj aplikacii'!$B$3:$B$179,'TCO TO BE- SW'!L$2,'Rozpocet - Vyvoj aplikacii'!$I$3:$I$179),0),0)</f>
        <v>0</v>
      </c>
      <c r="M57" s="578">
        <f>IFERROR(IF(VLOOKUP(M$2,MODULY_CBA!$B$3:$L$23,8,0)=$D57,SUMIF('Rozpocet - Vyvoj aplikacii'!$B$3:$B$179,'TCO TO BE- SW'!M$2,'Rozpocet - Vyvoj aplikacii'!$I$3:$I$179),0),0)</f>
        <v>0</v>
      </c>
      <c r="N57" s="578">
        <f>IFERROR(IF(VLOOKUP(N$2,MODULY_CBA!$B$3:$L$23,8,0)=$D57,SUMIF('Rozpocet - Vyvoj aplikacii'!$B$3:$B$179,'TCO TO BE- SW'!N$2,'Rozpocet - Vyvoj aplikacii'!$I$3:$I$179),0),0)</f>
        <v>0</v>
      </c>
      <c r="O57" s="578">
        <f>IFERROR(IF(VLOOKUP(O$2,MODULY_CBA!$B$3:$L$23,8,0)=$D57,SUMIF('Rozpocet - Vyvoj aplikacii'!$B$3:$B$179,'TCO TO BE- SW'!O$2,'Rozpocet - Vyvoj aplikacii'!$I$3:$I$179),0),0)</f>
        <v>0</v>
      </c>
      <c r="P57" s="578">
        <f>IFERROR(IF(VLOOKUP(P$2,MODULY_CBA!$B$3:$L$23,8,0)=$D57,SUMIF('Rozpocet - Vyvoj aplikacii'!$B$3:$B$179,'TCO TO BE- SW'!P$2,'Rozpocet - Vyvoj aplikacii'!$I$3:$I$179),0),0)</f>
        <v>0</v>
      </c>
      <c r="Q57" s="578">
        <f>IFERROR(IF(VLOOKUP(Q$2,MODULY_CBA!$B$3:$L$23,8,0)=$D57,SUMIF('Rozpocet - Vyvoj aplikacii'!$B$3:$B$179,'TCO TO BE- SW'!Q$2,'Rozpocet - Vyvoj aplikacii'!$I$3:$I$179),0),0)</f>
        <v>0</v>
      </c>
      <c r="R57" s="578">
        <f>IFERROR(IF(VLOOKUP(R$2,MODULY_CBA!$B$3:$L$23,8,0)=$D57,SUMIF('Rozpocet - Vyvoj aplikacii'!$B$3:$B$179,'TCO TO BE- SW'!R$2,'Rozpocet - Vyvoj aplikacii'!$I$3:$I$179),0),0)</f>
        <v>0</v>
      </c>
      <c r="S57" s="578">
        <f>IFERROR(IF(VLOOKUP(S$2,MODULY_CBA!$B$3:$L$23,8,0)=$D57,SUMIF('Rozpocet - Vyvoj aplikacii'!$B$3:$B$179,'TCO TO BE- SW'!S$2,'Rozpocet - Vyvoj aplikacii'!$I$3:$I$179),0),0)</f>
        <v>0</v>
      </c>
      <c r="T57" s="578">
        <f>IFERROR(IF(VLOOKUP(T$2,MODULY_CBA!$B$3:$L$23,8,0)=$D57,SUMIF('Rozpocet - Vyvoj aplikacii'!$B$3:$B$179,'TCO TO BE- SW'!T$2,'Rozpocet - Vyvoj aplikacii'!$I$3:$I$179),0),0)</f>
        <v>0</v>
      </c>
      <c r="U57" s="578">
        <f>IFERROR(IF(VLOOKUP(U$2,MODULY_CBA!$B$3:$L$23,8,0)=$D57,SUMIF('Rozpocet - Vyvoj aplikacii'!$B$3:$B$179,'TCO TO BE- SW'!U$2,'Rozpocet - Vyvoj aplikacii'!$I$3:$I$179),0),0)</f>
        <v>0</v>
      </c>
      <c r="V57" s="578">
        <f>IFERROR(IF(VLOOKUP(V$2,MODULY_CBA!$B$3:$L$23,8,0)=$D57,SUMIF('Rozpocet - Vyvoj aplikacii'!$B$3:$B$179,'TCO TO BE- SW'!V$2,'Rozpocet - Vyvoj aplikacii'!$I$3:$I$179),0),0)</f>
        <v>0</v>
      </c>
      <c r="W57" s="578">
        <f>IFERROR(IF(VLOOKUP(W$2,MODULY_CBA!$B$3:$L$23,8,0)=$D57,SUMIF('Rozpocet - Vyvoj aplikacii'!$B$3:$B$179,'TCO TO BE- SW'!W$2,'Rozpocet - Vyvoj aplikacii'!$I$3:$I$179),0),0)</f>
        <v>0</v>
      </c>
      <c r="X57" s="578">
        <f>IFERROR(IF(VLOOKUP(X$2,MODULY_CBA!$B$3:$L$23,8,0)=$D57,SUMIF('Rozpocet - Vyvoj aplikacii'!$B$3:$B$179,'TCO TO BE- SW'!X$2,'Rozpocet - Vyvoj aplikacii'!$I$3:$I$179),0),0)</f>
        <v>0</v>
      </c>
      <c r="Y57" s="578">
        <f>IFERROR(IF(VLOOKUP(Y$2,MODULY_CBA!$B$3:$L$23,8,0)=$D57,SUMIF('Rozpocet - Vyvoj aplikacii'!$B$3:$B$179,'TCO TO BE- SW'!Y$2,'Rozpocet - Vyvoj aplikacii'!$I$3:$I$179),0),0)</f>
        <v>0</v>
      </c>
      <c r="Z57" s="578">
        <f>IFERROR(IF(VLOOKUP(Z$2,MODULY_CBA!$B$3:$L$23,8,0)=$D57,SUMIF('Rozpocet - Vyvoj aplikacii'!$B$3:$B$179,'TCO TO BE- SW'!Z$2,'Rozpocet - Vyvoj aplikacii'!$I$3:$I$179),0),0)</f>
        <v>0</v>
      </c>
    </row>
    <row r="58" spans="1:26" outlineLevel="2" x14ac:dyDescent="0.2">
      <c r="A58" s="1390"/>
      <c r="B58" s="1391"/>
      <c r="C58" s="1391"/>
      <c r="D58" s="64">
        <v>2</v>
      </c>
      <c r="E58" s="68">
        <f t="shared" si="7"/>
        <v>2673571.9499999993</v>
      </c>
      <c r="F58" s="579">
        <f>IFERROR(IF(VLOOKUP(F$2,MODULY_CBA!$B$3:$L$23,8,0)=$D58,SUMIF('Rozpocet - Vyvoj aplikacii'!$B$3:$B$179,'TCO TO BE- SW'!F$2,'Rozpocet - Vyvoj aplikacii'!$I$3:$I$179),0),0)</f>
        <v>65475.231428571395</v>
      </c>
      <c r="G58" s="579">
        <f>IFERROR(IF(VLOOKUP(G$2,MODULY_CBA!$B$3:$L$23,8,0)=$D58,SUMIF('Rozpocet - Vyvoj aplikacii'!$B$3:$B$179,'TCO TO BE- SW'!G$2,'Rozpocet - Vyvoj aplikacii'!$I$3:$I$179),0),0)</f>
        <v>65475.231428571395</v>
      </c>
      <c r="H58" s="579">
        <f>IFERROR(IF(VLOOKUP(H$2,MODULY_CBA!$B$3:$L$23,8,0)=$D58,SUMIF('Rozpocet - Vyvoj aplikacii'!$B$3:$B$179,'TCO TO BE- SW'!H$2,'Rozpocet - Vyvoj aplikacii'!$I$3:$I$179),0),0)</f>
        <v>150593.03228571423</v>
      </c>
      <c r="I58" s="579">
        <f>IFERROR(IF(VLOOKUP(I$2,MODULY_CBA!$B$3:$L$23,8,0)=$D58,SUMIF('Rozpocet - Vyvoj aplikacii'!$B$3:$B$179,'TCO TO BE- SW'!I$2,'Rozpocet - Vyvoj aplikacii'!$I$3:$I$179),0),0)</f>
        <v>0</v>
      </c>
      <c r="J58" s="579">
        <f>IFERROR(IF(VLOOKUP(J$2,MODULY_CBA!$B$3:$L$23,8,0)=$D58,SUMIF('Rozpocet - Vyvoj aplikacii'!$B$3:$B$179,'TCO TO BE- SW'!J$2,'Rozpocet - Vyvoj aplikacii'!$I$3:$I$179),0),0)</f>
        <v>641657.26799999981</v>
      </c>
      <c r="K58" s="579">
        <f>IFERROR(IF(VLOOKUP(K$2,MODULY_CBA!$B$3:$L$23,8,0)=$D58,SUMIF('Rozpocet - Vyvoj aplikacii'!$B$3:$B$179,'TCO TO BE- SW'!K$2,'Rozpocet - Vyvoj aplikacii'!$I$3:$I$179),0),0)</f>
        <v>0</v>
      </c>
      <c r="L58" s="579">
        <f>IFERROR(IF(VLOOKUP(L$2,MODULY_CBA!$B$3:$L$23,8,0)=$D58,SUMIF('Rozpocet - Vyvoj aplikacii'!$B$3:$B$179,'TCO TO BE- SW'!L$2,'Rozpocet - Vyvoj aplikacii'!$I$3:$I$179),0),0)</f>
        <v>105851.62414285712</v>
      </c>
      <c r="M58" s="579">
        <f>IFERROR(IF(VLOOKUP(M$2,MODULY_CBA!$B$3:$L$23,8,0)=$D58,SUMIF('Rozpocet - Vyvoj aplikacii'!$B$3:$B$179,'TCO TO BE- SW'!M$2,'Rozpocet - Vyvoj aplikacii'!$I$3:$I$179),0),0)</f>
        <v>829352.93142857123</v>
      </c>
      <c r="N58" s="579">
        <f>IFERROR(IF(VLOOKUP(N$2,MODULY_CBA!$B$3:$L$23,8,0)=$D58,SUMIF('Rozpocet - Vyvoj aplikacii'!$B$3:$B$179,'TCO TO BE- SW'!N$2,'Rozpocet - Vyvoj aplikacii'!$I$3:$I$179),0),0)</f>
        <v>0</v>
      </c>
      <c r="O58" s="579">
        <f>IFERROR(IF(VLOOKUP(O$2,MODULY_CBA!$B$3:$L$23,8,0)=$D58,SUMIF('Rozpocet - Vyvoj aplikacii'!$B$3:$B$179,'TCO TO BE- SW'!O$2,'Rozpocet - Vyvoj aplikacii'!$I$3:$I$179),0),0)</f>
        <v>0</v>
      </c>
      <c r="P58" s="579">
        <f>IFERROR(IF(VLOOKUP(P$2,MODULY_CBA!$B$3:$L$23,8,0)=$D58,SUMIF('Rozpocet - Vyvoj aplikacii'!$B$3:$B$179,'TCO TO BE- SW'!P$2,'Rozpocet - Vyvoj aplikacii'!$I$3:$I$179),0),0)</f>
        <v>815166.63128571399</v>
      </c>
      <c r="Q58" s="579">
        <f>IFERROR(IF(VLOOKUP(Q$2,MODULY_CBA!$B$3:$L$23,8,0)=$D58,SUMIF('Rozpocet - Vyvoj aplikacii'!$B$3:$B$179,'TCO TO BE- SW'!Q$2,'Rozpocet - Vyvoj aplikacii'!$I$3:$I$179),0),0)</f>
        <v>0</v>
      </c>
      <c r="R58" s="579">
        <f>IFERROR(IF(VLOOKUP(R$2,MODULY_CBA!$B$3:$L$23,8,0)=$D58,SUMIF('Rozpocet - Vyvoj aplikacii'!$B$3:$B$179,'TCO TO BE- SW'!R$2,'Rozpocet - Vyvoj aplikacii'!$I$3:$I$179),0),0)</f>
        <v>0</v>
      </c>
      <c r="S58" s="579">
        <f>IFERROR(IF(VLOOKUP(S$2,MODULY_CBA!$B$3:$L$23,8,0)=$D58,SUMIF('Rozpocet - Vyvoj aplikacii'!$B$3:$B$179,'TCO TO BE- SW'!S$2,'Rozpocet - Vyvoj aplikacii'!$I$3:$I$179),0),0)</f>
        <v>0</v>
      </c>
      <c r="T58" s="579">
        <f>IFERROR(IF(VLOOKUP(T$2,MODULY_CBA!$B$3:$L$23,8,0)=$D58,SUMIF('Rozpocet - Vyvoj aplikacii'!$B$3:$B$179,'TCO TO BE- SW'!T$2,'Rozpocet - Vyvoj aplikacii'!$I$3:$I$179),0),0)</f>
        <v>0</v>
      </c>
      <c r="U58" s="579">
        <f>IFERROR(IF(VLOOKUP(U$2,MODULY_CBA!$B$3:$L$23,8,0)=$D58,SUMIF('Rozpocet - Vyvoj aplikacii'!$B$3:$B$179,'TCO TO BE- SW'!U$2,'Rozpocet - Vyvoj aplikacii'!$I$3:$I$179),0),0)</f>
        <v>0</v>
      </c>
      <c r="V58" s="579">
        <f>IFERROR(IF(VLOOKUP(V$2,MODULY_CBA!$B$3:$L$23,8,0)=$D58,SUMIF('Rozpocet - Vyvoj aplikacii'!$B$3:$B$179,'TCO TO BE- SW'!V$2,'Rozpocet - Vyvoj aplikacii'!$I$3:$I$179),0),0)</f>
        <v>0</v>
      </c>
      <c r="W58" s="579">
        <f>IFERROR(IF(VLOOKUP(W$2,MODULY_CBA!$B$3:$L$23,8,0)=$D58,SUMIF('Rozpocet - Vyvoj aplikacii'!$B$3:$B$179,'TCO TO BE- SW'!W$2,'Rozpocet - Vyvoj aplikacii'!$I$3:$I$179),0),0)</f>
        <v>0</v>
      </c>
      <c r="X58" s="579">
        <f>IFERROR(IF(VLOOKUP(X$2,MODULY_CBA!$B$3:$L$23,8,0)=$D58,SUMIF('Rozpocet - Vyvoj aplikacii'!$B$3:$B$179,'TCO TO BE- SW'!X$2,'Rozpocet - Vyvoj aplikacii'!$I$3:$I$179),0),0)</f>
        <v>0</v>
      </c>
      <c r="Y58" s="579">
        <f>IFERROR(IF(VLOOKUP(Y$2,MODULY_CBA!$B$3:$L$23,8,0)=$D58,SUMIF('Rozpocet - Vyvoj aplikacii'!$B$3:$B$179,'TCO TO BE- SW'!Y$2,'Rozpocet - Vyvoj aplikacii'!$I$3:$I$179),0),0)</f>
        <v>0</v>
      </c>
      <c r="Z58" s="579">
        <f>IFERROR(IF(VLOOKUP(Z$2,MODULY_CBA!$B$3:$L$23,8,0)=$D58,SUMIF('Rozpocet - Vyvoj aplikacii'!$B$3:$B$179,'TCO TO BE- SW'!Z$2,'Rozpocet - Vyvoj aplikacii'!$I$3:$I$179),0),0)</f>
        <v>0</v>
      </c>
    </row>
    <row r="59" spans="1:26" outlineLevel="2" x14ac:dyDescent="0.2">
      <c r="A59" s="1390"/>
      <c r="B59" s="1391"/>
      <c r="C59" s="1391"/>
      <c r="D59" s="64">
        <v>3</v>
      </c>
      <c r="E59" s="68">
        <f t="shared" si="7"/>
        <v>0</v>
      </c>
      <c r="F59" s="579">
        <f>IFERROR(IF(VLOOKUP(F$2,MODULY_CBA!$B$3:$L$23,8,0)=$D59,SUMIF('Rozpocet - Vyvoj aplikacii'!$B$3:$B$179,'TCO TO BE- SW'!F$2,'Rozpocet - Vyvoj aplikacii'!$I$3:$I$179),0),0)</f>
        <v>0</v>
      </c>
      <c r="G59" s="579">
        <f>IFERROR(IF(VLOOKUP(G$2,MODULY_CBA!$B$3:$L$23,8,0)=$D59,SUMIF('Rozpocet - Vyvoj aplikacii'!$B$3:$B$179,'TCO TO BE- SW'!G$2,'Rozpocet - Vyvoj aplikacii'!$I$3:$I$179),0),0)</f>
        <v>0</v>
      </c>
      <c r="H59" s="579">
        <f>IFERROR(IF(VLOOKUP(H$2,MODULY_CBA!$B$3:$L$23,8,0)=$D59,SUMIF('Rozpocet - Vyvoj aplikacii'!$B$3:$B$179,'TCO TO BE- SW'!H$2,'Rozpocet - Vyvoj aplikacii'!$I$3:$I$179),0),0)</f>
        <v>0</v>
      </c>
      <c r="I59" s="579">
        <f>IFERROR(IF(VLOOKUP(I$2,MODULY_CBA!$B$3:$L$23,8,0)=$D59,SUMIF('Rozpocet - Vyvoj aplikacii'!$B$3:$B$179,'TCO TO BE- SW'!I$2,'Rozpocet - Vyvoj aplikacii'!$I$3:$I$179),0),0)</f>
        <v>0</v>
      </c>
      <c r="J59" s="579">
        <f>IFERROR(IF(VLOOKUP(J$2,MODULY_CBA!$B$3:$L$23,8,0)=$D59,SUMIF('Rozpocet - Vyvoj aplikacii'!$B$3:$B$179,'TCO TO BE- SW'!J$2,'Rozpocet - Vyvoj aplikacii'!$I$3:$I$179),0),0)</f>
        <v>0</v>
      </c>
      <c r="K59" s="579">
        <f>IFERROR(IF(VLOOKUP(K$2,MODULY_CBA!$B$3:$L$23,8,0)=$D59,SUMIF('Rozpocet - Vyvoj aplikacii'!$B$3:$B$179,'TCO TO BE- SW'!K$2,'Rozpocet - Vyvoj aplikacii'!$I$3:$I$179),0),0)</f>
        <v>0</v>
      </c>
      <c r="L59" s="579">
        <f>IFERROR(IF(VLOOKUP(L$2,MODULY_CBA!$B$3:$L$23,8,0)=$D59,SUMIF('Rozpocet - Vyvoj aplikacii'!$B$3:$B$179,'TCO TO BE- SW'!L$2,'Rozpocet - Vyvoj aplikacii'!$I$3:$I$179),0),0)</f>
        <v>0</v>
      </c>
      <c r="M59" s="579">
        <f>IFERROR(IF(VLOOKUP(M$2,MODULY_CBA!$B$3:$L$23,8,0)=$D59,SUMIF('Rozpocet - Vyvoj aplikacii'!$B$3:$B$179,'TCO TO BE- SW'!M$2,'Rozpocet - Vyvoj aplikacii'!$I$3:$I$179),0),0)</f>
        <v>0</v>
      </c>
      <c r="N59" s="579">
        <f>IFERROR(IF(VLOOKUP(N$2,MODULY_CBA!$B$3:$L$23,8,0)=$D59,SUMIF('Rozpocet - Vyvoj aplikacii'!$B$3:$B$179,'TCO TO BE- SW'!N$2,'Rozpocet - Vyvoj aplikacii'!$I$3:$I$179),0),0)</f>
        <v>0</v>
      </c>
      <c r="O59" s="579">
        <f>IFERROR(IF(VLOOKUP(O$2,MODULY_CBA!$B$3:$L$23,8,0)=$D59,SUMIF('Rozpocet - Vyvoj aplikacii'!$B$3:$B$179,'TCO TO BE- SW'!O$2,'Rozpocet - Vyvoj aplikacii'!$I$3:$I$179),0),0)</f>
        <v>0</v>
      </c>
      <c r="P59" s="579">
        <f>IFERROR(IF(VLOOKUP(P$2,MODULY_CBA!$B$3:$L$23,8,0)=$D59,SUMIF('Rozpocet - Vyvoj aplikacii'!$B$3:$B$179,'TCO TO BE- SW'!P$2,'Rozpocet - Vyvoj aplikacii'!$I$3:$I$179),0),0)</f>
        <v>0</v>
      </c>
      <c r="Q59" s="579">
        <f>IFERROR(IF(VLOOKUP(Q$2,MODULY_CBA!$B$3:$L$23,8,0)=$D59,SUMIF('Rozpocet - Vyvoj aplikacii'!$B$3:$B$179,'TCO TO BE- SW'!Q$2,'Rozpocet - Vyvoj aplikacii'!$I$3:$I$179),0),0)</f>
        <v>0</v>
      </c>
      <c r="R59" s="579">
        <f>IFERROR(IF(VLOOKUP(R$2,MODULY_CBA!$B$3:$L$23,8,0)=$D59,SUMIF('Rozpocet - Vyvoj aplikacii'!$B$3:$B$179,'TCO TO BE- SW'!R$2,'Rozpocet - Vyvoj aplikacii'!$I$3:$I$179),0),0)</f>
        <v>0</v>
      </c>
      <c r="S59" s="579">
        <f>IFERROR(IF(VLOOKUP(S$2,MODULY_CBA!$B$3:$L$23,8,0)=$D59,SUMIF('Rozpocet - Vyvoj aplikacii'!$B$3:$B$179,'TCO TO BE- SW'!S$2,'Rozpocet - Vyvoj aplikacii'!$I$3:$I$179),0),0)</f>
        <v>0</v>
      </c>
      <c r="T59" s="579">
        <f>IFERROR(IF(VLOOKUP(T$2,MODULY_CBA!$B$3:$L$23,8,0)=$D59,SUMIF('Rozpocet - Vyvoj aplikacii'!$B$3:$B$179,'TCO TO BE- SW'!T$2,'Rozpocet - Vyvoj aplikacii'!$I$3:$I$179),0),0)</f>
        <v>0</v>
      </c>
      <c r="U59" s="579">
        <f>IFERROR(IF(VLOOKUP(U$2,MODULY_CBA!$B$3:$L$23,8,0)=$D59,SUMIF('Rozpocet - Vyvoj aplikacii'!$B$3:$B$179,'TCO TO BE- SW'!U$2,'Rozpocet - Vyvoj aplikacii'!$I$3:$I$179),0),0)</f>
        <v>0</v>
      </c>
      <c r="V59" s="579">
        <f>IFERROR(IF(VLOOKUP(V$2,MODULY_CBA!$B$3:$L$23,8,0)=$D59,SUMIF('Rozpocet - Vyvoj aplikacii'!$B$3:$B$179,'TCO TO BE- SW'!V$2,'Rozpocet - Vyvoj aplikacii'!$I$3:$I$179),0),0)</f>
        <v>0</v>
      </c>
      <c r="W59" s="579">
        <f>IFERROR(IF(VLOOKUP(W$2,MODULY_CBA!$B$3:$L$23,8,0)=$D59,SUMIF('Rozpocet - Vyvoj aplikacii'!$B$3:$B$179,'TCO TO BE- SW'!W$2,'Rozpocet - Vyvoj aplikacii'!$I$3:$I$179),0),0)</f>
        <v>0</v>
      </c>
      <c r="X59" s="579">
        <f>IFERROR(IF(VLOOKUP(X$2,MODULY_CBA!$B$3:$L$23,8,0)=$D59,SUMIF('Rozpocet - Vyvoj aplikacii'!$B$3:$B$179,'TCO TO BE- SW'!X$2,'Rozpocet - Vyvoj aplikacii'!$I$3:$I$179),0),0)</f>
        <v>0</v>
      </c>
      <c r="Y59" s="579">
        <f>IFERROR(IF(VLOOKUP(Y$2,MODULY_CBA!$B$3:$L$23,8,0)=$D59,SUMIF('Rozpocet - Vyvoj aplikacii'!$B$3:$B$179,'TCO TO BE- SW'!Y$2,'Rozpocet - Vyvoj aplikacii'!$I$3:$I$179),0),0)</f>
        <v>0</v>
      </c>
      <c r="Z59" s="579">
        <f>IFERROR(IF(VLOOKUP(Z$2,MODULY_CBA!$B$3:$L$23,8,0)=$D59,SUMIF('Rozpocet - Vyvoj aplikacii'!$B$3:$B$179,'TCO TO BE- SW'!Z$2,'Rozpocet - Vyvoj aplikacii'!$I$3:$I$179),0),0)</f>
        <v>0</v>
      </c>
    </row>
    <row r="60" spans="1:26" outlineLevel="2" x14ac:dyDescent="0.2">
      <c r="A60" s="1390"/>
      <c r="B60" s="1391"/>
      <c r="C60" s="1391"/>
      <c r="D60" s="64">
        <v>4</v>
      </c>
      <c r="E60" s="68">
        <f t="shared" si="7"/>
        <v>0</v>
      </c>
      <c r="F60" s="579">
        <f>IFERROR(IF(VLOOKUP(F$2,MODULY_CBA!$B$3:$L$23,8,0)=$D60,SUMIF('Rozpocet - Vyvoj aplikacii'!$B$3:$B$179,'TCO TO BE- SW'!F$2,'Rozpocet - Vyvoj aplikacii'!$I$3:$I$179),0),0)</f>
        <v>0</v>
      </c>
      <c r="G60" s="579">
        <f>IFERROR(IF(VLOOKUP(G$2,MODULY_CBA!$B$3:$L$23,8,0)=$D60,SUMIF('Rozpocet - Vyvoj aplikacii'!$B$3:$B$179,'TCO TO BE- SW'!G$2,'Rozpocet - Vyvoj aplikacii'!$I$3:$I$179),0),0)</f>
        <v>0</v>
      </c>
      <c r="H60" s="579">
        <f>IFERROR(IF(VLOOKUP(H$2,MODULY_CBA!$B$3:$L$23,8,0)=$D60,SUMIF('Rozpocet - Vyvoj aplikacii'!$B$3:$B$179,'TCO TO BE- SW'!H$2,'Rozpocet - Vyvoj aplikacii'!$I$3:$I$179),0),0)</f>
        <v>0</v>
      </c>
      <c r="I60" s="579">
        <f>IFERROR(IF(VLOOKUP(I$2,MODULY_CBA!$B$3:$L$23,8,0)=$D60,SUMIF('Rozpocet - Vyvoj aplikacii'!$B$3:$B$179,'TCO TO BE- SW'!I$2,'Rozpocet - Vyvoj aplikacii'!$I$3:$I$179),0),0)</f>
        <v>0</v>
      </c>
      <c r="J60" s="579">
        <f>IFERROR(IF(VLOOKUP(J$2,MODULY_CBA!$B$3:$L$23,8,0)=$D60,SUMIF('Rozpocet - Vyvoj aplikacii'!$B$3:$B$179,'TCO TO BE- SW'!J$2,'Rozpocet - Vyvoj aplikacii'!$I$3:$I$179),0),0)</f>
        <v>0</v>
      </c>
      <c r="K60" s="579">
        <f>IFERROR(IF(VLOOKUP(K$2,MODULY_CBA!$B$3:$L$23,8,0)=$D60,SUMIF('Rozpocet - Vyvoj aplikacii'!$B$3:$B$179,'TCO TO BE- SW'!K$2,'Rozpocet - Vyvoj aplikacii'!$I$3:$I$179),0),0)</f>
        <v>0</v>
      </c>
      <c r="L60" s="579">
        <f>IFERROR(IF(VLOOKUP(L$2,MODULY_CBA!$B$3:$L$23,8,0)=$D60,SUMIF('Rozpocet - Vyvoj aplikacii'!$B$3:$B$179,'TCO TO BE- SW'!L$2,'Rozpocet - Vyvoj aplikacii'!$I$3:$I$179),0),0)</f>
        <v>0</v>
      </c>
      <c r="M60" s="579">
        <f>IFERROR(IF(VLOOKUP(M$2,MODULY_CBA!$B$3:$L$23,8,0)=$D60,SUMIF('Rozpocet - Vyvoj aplikacii'!$B$3:$B$179,'TCO TO BE- SW'!M$2,'Rozpocet - Vyvoj aplikacii'!$I$3:$I$179),0),0)</f>
        <v>0</v>
      </c>
      <c r="N60" s="579">
        <f>IFERROR(IF(VLOOKUP(N$2,MODULY_CBA!$B$3:$L$23,8,0)=$D60,SUMIF('Rozpocet - Vyvoj aplikacii'!$B$3:$B$179,'TCO TO BE- SW'!N$2,'Rozpocet - Vyvoj aplikacii'!$I$3:$I$179),0),0)</f>
        <v>0</v>
      </c>
      <c r="O60" s="579">
        <f>IFERROR(IF(VLOOKUP(O$2,MODULY_CBA!$B$3:$L$23,8,0)=$D60,SUMIF('Rozpocet - Vyvoj aplikacii'!$B$3:$B$179,'TCO TO BE- SW'!O$2,'Rozpocet - Vyvoj aplikacii'!$I$3:$I$179),0),0)</f>
        <v>0</v>
      </c>
      <c r="P60" s="579">
        <f>IFERROR(IF(VLOOKUP(P$2,MODULY_CBA!$B$3:$L$23,8,0)=$D60,SUMIF('Rozpocet - Vyvoj aplikacii'!$B$3:$B$179,'TCO TO BE- SW'!P$2,'Rozpocet - Vyvoj aplikacii'!$I$3:$I$179),0),0)</f>
        <v>0</v>
      </c>
      <c r="Q60" s="579">
        <f>IFERROR(IF(VLOOKUP(Q$2,MODULY_CBA!$B$3:$L$23,8,0)=$D60,SUMIF('Rozpocet - Vyvoj aplikacii'!$B$3:$B$179,'TCO TO BE- SW'!Q$2,'Rozpocet - Vyvoj aplikacii'!$I$3:$I$179),0),0)</f>
        <v>0</v>
      </c>
      <c r="R60" s="579">
        <f>IFERROR(IF(VLOOKUP(R$2,MODULY_CBA!$B$3:$L$23,8,0)=$D60,SUMIF('Rozpocet - Vyvoj aplikacii'!$B$3:$B$179,'TCO TO BE- SW'!R$2,'Rozpocet - Vyvoj aplikacii'!$I$3:$I$179),0),0)</f>
        <v>0</v>
      </c>
      <c r="S60" s="579">
        <f>IFERROR(IF(VLOOKUP(S$2,MODULY_CBA!$B$3:$L$23,8,0)=$D60,SUMIF('Rozpocet - Vyvoj aplikacii'!$B$3:$B$179,'TCO TO BE- SW'!S$2,'Rozpocet - Vyvoj aplikacii'!$I$3:$I$179),0),0)</f>
        <v>0</v>
      </c>
      <c r="T60" s="579">
        <f>IFERROR(IF(VLOOKUP(T$2,MODULY_CBA!$B$3:$L$23,8,0)=$D60,SUMIF('Rozpocet - Vyvoj aplikacii'!$B$3:$B$179,'TCO TO BE- SW'!T$2,'Rozpocet - Vyvoj aplikacii'!$I$3:$I$179),0),0)</f>
        <v>0</v>
      </c>
      <c r="U60" s="579">
        <f>IFERROR(IF(VLOOKUP(U$2,MODULY_CBA!$B$3:$L$23,8,0)=$D60,SUMIF('Rozpocet - Vyvoj aplikacii'!$B$3:$B$179,'TCO TO BE- SW'!U$2,'Rozpocet - Vyvoj aplikacii'!$I$3:$I$179),0),0)</f>
        <v>0</v>
      </c>
      <c r="V60" s="579">
        <f>IFERROR(IF(VLOOKUP(V$2,MODULY_CBA!$B$3:$L$23,8,0)=$D60,SUMIF('Rozpocet - Vyvoj aplikacii'!$B$3:$B$179,'TCO TO BE- SW'!V$2,'Rozpocet - Vyvoj aplikacii'!$I$3:$I$179),0),0)</f>
        <v>0</v>
      </c>
      <c r="W60" s="579">
        <f>IFERROR(IF(VLOOKUP(W$2,MODULY_CBA!$B$3:$L$23,8,0)=$D60,SUMIF('Rozpocet - Vyvoj aplikacii'!$B$3:$B$179,'TCO TO BE- SW'!W$2,'Rozpocet - Vyvoj aplikacii'!$I$3:$I$179),0),0)</f>
        <v>0</v>
      </c>
      <c r="X60" s="579">
        <f>IFERROR(IF(VLOOKUP(X$2,MODULY_CBA!$B$3:$L$23,8,0)=$D60,SUMIF('Rozpocet - Vyvoj aplikacii'!$B$3:$B$179,'TCO TO BE- SW'!X$2,'Rozpocet - Vyvoj aplikacii'!$I$3:$I$179),0),0)</f>
        <v>0</v>
      </c>
      <c r="Y60" s="579">
        <f>IFERROR(IF(VLOOKUP(Y$2,MODULY_CBA!$B$3:$L$23,8,0)=$D60,SUMIF('Rozpocet - Vyvoj aplikacii'!$B$3:$B$179,'TCO TO BE- SW'!Y$2,'Rozpocet - Vyvoj aplikacii'!$I$3:$I$179),0),0)</f>
        <v>0</v>
      </c>
      <c r="Z60" s="579">
        <f>IFERROR(IF(VLOOKUP(Z$2,MODULY_CBA!$B$3:$L$23,8,0)=$D60,SUMIF('Rozpocet - Vyvoj aplikacii'!$B$3:$B$179,'TCO TO BE- SW'!Z$2,'Rozpocet - Vyvoj aplikacii'!$I$3:$I$179),0),0)</f>
        <v>0</v>
      </c>
    </row>
    <row r="61" spans="1:26" outlineLevel="2" x14ac:dyDescent="0.2">
      <c r="A61" s="1390"/>
      <c r="B61" s="1391"/>
      <c r="C61" s="1391"/>
      <c r="D61" s="64">
        <v>5</v>
      </c>
      <c r="E61" s="68">
        <f t="shared" si="7"/>
        <v>0</v>
      </c>
      <c r="F61" s="579">
        <f>IFERROR(IF(VLOOKUP(F$2,MODULY_CBA!$B$3:$L$23,8,0)=$D61,SUMIF('Rozpocet - Vyvoj aplikacii'!$B$3:$B$179,'TCO TO BE- SW'!F$2,'Rozpocet - Vyvoj aplikacii'!$I$3:$I$179),0),0)</f>
        <v>0</v>
      </c>
      <c r="G61" s="579">
        <f>IFERROR(IF(VLOOKUP(G$2,MODULY_CBA!$B$3:$L$23,8,0)=$D61,SUMIF('Rozpocet - Vyvoj aplikacii'!$B$3:$B$179,'TCO TO BE- SW'!G$2,'Rozpocet - Vyvoj aplikacii'!$I$3:$I$179),0),0)</f>
        <v>0</v>
      </c>
      <c r="H61" s="579">
        <f>IFERROR(IF(VLOOKUP(H$2,MODULY_CBA!$B$3:$L$23,8,0)=$D61,SUMIF('Rozpocet - Vyvoj aplikacii'!$B$3:$B$179,'TCO TO BE- SW'!H$2,'Rozpocet - Vyvoj aplikacii'!$I$3:$I$179),0),0)</f>
        <v>0</v>
      </c>
      <c r="I61" s="579">
        <f>IFERROR(IF(VLOOKUP(I$2,MODULY_CBA!$B$3:$L$23,8,0)=$D61,SUMIF('Rozpocet - Vyvoj aplikacii'!$B$3:$B$179,'TCO TO BE- SW'!I$2,'Rozpocet - Vyvoj aplikacii'!$I$3:$I$179),0),0)</f>
        <v>0</v>
      </c>
      <c r="J61" s="579">
        <f>IFERROR(IF(VLOOKUP(J$2,MODULY_CBA!$B$3:$L$23,8,0)=$D61,SUMIF('Rozpocet - Vyvoj aplikacii'!$B$3:$B$179,'TCO TO BE- SW'!J$2,'Rozpocet - Vyvoj aplikacii'!$I$3:$I$179),0),0)</f>
        <v>0</v>
      </c>
      <c r="K61" s="579">
        <f>IFERROR(IF(VLOOKUP(K$2,MODULY_CBA!$B$3:$L$23,8,0)=$D61,SUMIF('Rozpocet - Vyvoj aplikacii'!$B$3:$B$179,'TCO TO BE- SW'!K$2,'Rozpocet - Vyvoj aplikacii'!$I$3:$I$179),0),0)</f>
        <v>0</v>
      </c>
      <c r="L61" s="579">
        <f>IFERROR(IF(VLOOKUP(L$2,MODULY_CBA!$B$3:$L$23,8,0)=$D61,SUMIF('Rozpocet - Vyvoj aplikacii'!$B$3:$B$179,'TCO TO BE- SW'!L$2,'Rozpocet - Vyvoj aplikacii'!$I$3:$I$179),0),0)</f>
        <v>0</v>
      </c>
      <c r="M61" s="579">
        <f>IFERROR(IF(VLOOKUP(M$2,MODULY_CBA!$B$3:$L$23,8,0)=$D61,SUMIF('Rozpocet - Vyvoj aplikacii'!$B$3:$B$179,'TCO TO BE- SW'!M$2,'Rozpocet - Vyvoj aplikacii'!$I$3:$I$179),0),0)</f>
        <v>0</v>
      </c>
      <c r="N61" s="579">
        <f>IFERROR(IF(VLOOKUP(N$2,MODULY_CBA!$B$3:$L$23,8,0)=$D61,SUMIF('Rozpocet - Vyvoj aplikacii'!$B$3:$B$179,'TCO TO BE- SW'!N$2,'Rozpocet - Vyvoj aplikacii'!$I$3:$I$179),0),0)</f>
        <v>0</v>
      </c>
      <c r="O61" s="579">
        <f>IFERROR(IF(VLOOKUP(O$2,MODULY_CBA!$B$3:$L$23,8,0)=$D61,SUMIF('Rozpocet - Vyvoj aplikacii'!$B$3:$B$179,'TCO TO BE- SW'!O$2,'Rozpocet - Vyvoj aplikacii'!$I$3:$I$179),0),0)</f>
        <v>0</v>
      </c>
      <c r="P61" s="579">
        <f>IFERROR(IF(VLOOKUP(P$2,MODULY_CBA!$B$3:$L$23,8,0)=$D61,SUMIF('Rozpocet - Vyvoj aplikacii'!$B$3:$B$179,'TCO TO BE- SW'!P$2,'Rozpocet - Vyvoj aplikacii'!$I$3:$I$179),0),0)</f>
        <v>0</v>
      </c>
      <c r="Q61" s="579">
        <f>IFERROR(IF(VLOOKUP(Q$2,MODULY_CBA!$B$3:$L$23,8,0)=$D61,SUMIF('Rozpocet - Vyvoj aplikacii'!$B$3:$B$179,'TCO TO BE- SW'!Q$2,'Rozpocet - Vyvoj aplikacii'!$I$3:$I$179),0),0)</f>
        <v>0</v>
      </c>
      <c r="R61" s="579">
        <f>IFERROR(IF(VLOOKUP(R$2,MODULY_CBA!$B$3:$L$23,8,0)=$D61,SUMIF('Rozpocet - Vyvoj aplikacii'!$B$3:$B$179,'TCO TO BE- SW'!R$2,'Rozpocet - Vyvoj aplikacii'!$I$3:$I$179),0),0)</f>
        <v>0</v>
      </c>
      <c r="S61" s="579">
        <f>IFERROR(IF(VLOOKUP(S$2,MODULY_CBA!$B$3:$L$23,8,0)=$D61,SUMIF('Rozpocet - Vyvoj aplikacii'!$B$3:$B$179,'TCO TO BE- SW'!S$2,'Rozpocet - Vyvoj aplikacii'!$I$3:$I$179),0),0)</f>
        <v>0</v>
      </c>
      <c r="T61" s="579">
        <f>IFERROR(IF(VLOOKUP(T$2,MODULY_CBA!$B$3:$L$23,8,0)=$D61,SUMIF('Rozpocet - Vyvoj aplikacii'!$B$3:$B$179,'TCO TO BE- SW'!T$2,'Rozpocet - Vyvoj aplikacii'!$I$3:$I$179),0),0)</f>
        <v>0</v>
      </c>
      <c r="U61" s="579">
        <f>IFERROR(IF(VLOOKUP(U$2,MODULY_CBA!$B$3:$L$23,8,0)=$D61,SUMIF('Rozpocet - Vyvoj aplikacii'!$B$3:$B$179,'TCO TO BE- SW'!U$2,'Rozpocet - Vyvoj aplikacii'!$I$3:$I$179),0),0)</f>
        <v>0</v>
      </c>
      <c r="V61" s="579">
        <f>IFERROR(IF(VLOOKUP(V$2,MODULY_CBA!$B$3:$L$23,8,0)=$D61,SUMIF('Rozpocet - Vyvoj aplikacii'!$B$3:$B$179,'TCO TO BE- SW'!V$2,'Rozpocet - Vyvoj aplikacii'!$I$3:$I$179),0),0)</f>
        <v>0</v>
      </c>
      <c r="W61" s="579">
        <f>IFERROR(IF(VLOOKUP(W$2,MODULY_CBA!$B$3:$L$23,8,0)=$D61,SUMIF('Rozpocet - Vyvoj aplikacii'!$B$3:$B$179,'TCO TO BE- SW'!W$2,'Rozpocet - Vyvoj aplikacii'!$I$3:$I$179),0),0)</f>
        <v>0</v>
      </c>
      <c r="X61" s="579">
        <f>IFERROR(IF(VLOOKUP(X$2,MODULY_CBA!$B$3:$L$23,8,0)=$D61,SUMIF('Rozpocet - Vyvoj aplikacii'!$B$3:$B$179,'TCO TO BE- SW'!X$2,'Rozpocet - Vyvoj aplikacii'!$I$3:$I$179),0),0)</f>
        <v>0</v>
      </c>
      <c r="Y61" s="579">
        <f>IFERROR(IF(VLOOKUP(Y$2,MODULY_CBA!$B$3:$L$23,8,0)=$D61,SUMIF('Rozpocet - Vyvoj aplikacii'!$B$3:$B$179,'TCO TO BE- SW'!Y$2,'Rozpocet - Vyvoj aplikacii'!$I$3:$I$179),0),0)</f>
        <v>0</v>
      </c>
      <c r="Z61" s="579">
        <f>IFERROR(IF(VLOOKUP(Z$2,MODULY_CBA!$B$3:$L$23,8,0)=$D61,SUMIF('Rozpocet - Vyvoj aplikacii'!$B$3:$B$179,'TCO TO BE- SW'!Z$2,'Rozpocet - Vyvoj aplikacii'!$I$3:$I$179),0),0)</f>
        <v>0</v>
      </c>
    </row>
    <row r="62" spans="1:26" outlineLevel="2" x14ac:dyDescent="0.2">
      <c r="A62" s="1390"/>
      <c r="B62" s="1391"/>
      <c r="C62" s="1391"/>
      <c r="D62" s="64">
        <v>6</v>
      </c>
      <c r="E62" s="68">
        <f t="shared" si="7"/>
        <v>0</v>
      </c>
      <c r="F62" s="579">
        <f>IFERROR(IF(VLOOKUP(F$2,MODULY_CBA!$B$3:$L$23,8,0)=$D62,SUMIF('Rozpocet - Vyvoj aplikacii'!$B$3:$B$179,'TCO TO BE- SW'!F$2,'Rozpocet - Vyvoj aplikacii'!$I$3:$I$179),0),0)</f>
        <v>0</v>
      </c>
      <c r="G62" s="579">
        <f>IFERROR(IF(VLOOKUP(G$2,MODULY_CBA!$B$3:$L$23,8,0)=$D62,SUMIF('Rozpocet - Vyvoj aplikacii'!$B$3:$B$179,'TCO TO BE- SW'!G$2,'Rozpocet - Vyvoj aplikacii'!$I$3:$I$179),0),0)</f>
        <v>0</v>
      </c>
      <c r="H62" s="579">
        <f>IFERROR(IF(VLOOKUP(H$2,MODULY_CBA!$B$3:$L$23,8,0)=$D62,SUMIF('Rozpocet - Vyvoj aplikacii'!$B$3:$B$179,'TCO TO BE- SW'!H$2,'Rozpocet - Vyvoj aplikacii'!$I$3:$I$179),0),0)</f>
        <v>0</v>
      </c>
      <c r="I62" s="579">
        <f>IFERROR(IF(VLOOKUP(I$2,MODULY_CBA!$B$3:$L$23,8,0)=$D62,SUMIF('Rozpocet - Vyvoj aplikacii'!$B$3:$B$179,'TCO TO BE- SW'!I$2,'Rozpocet - Vyvoj aplikacii'!$I$3:$I$179),0),0)</f>
        <v>0</v>
      </c>
      <c r="J62" s="579">
        <f>IFERROR(IF(VLOOKUP(J$2,MODULY_CBA!$B$3:$L$23,8,0)=$D62,SUMIF('Rozpocet - Vyvoj aplikacii'!$B$3:$B$179,'TCO TO BE- SW'!J$2,'Rozpocet - Vyvoj aplikacii'!$I$3:$I$179),0),0)</f>
        <v>0</v>
      </c>
      <c r="K62" s="579">
        <f>IFERROR(IF(VLOOKUP(K$2,MODULY_CBA!$B$3:$L$23,8,0)=$D62,SUMIF('Rozpocet - Vyvoj aplikacii'!$B$3:$B$179,'TCO TO BE- SW'!K$2,'Rozpocet - Vyvoj aplikacii'!$I$3:$I$179),0),0)</f>
        <v>0</v>
      </c>
      <c r="L62" s="579">
        <f>IFERROR(IF(VLOOKUP(L$2,MODULY_CBA!$B$3:$L$23,8,0)=$D62,SUMIF('Rozpocet - Vyvoj aplikacii'!$B$3:$B$179,'TCO TO BE- SW'!L$2,'Rozpocet - Vyvoj aplikacii'!$I$3:$I$179),0),0)</f>
        <v>0</v>
      </c>
      <c r="M62" s="579">
        <f>IFERROR(IF(VLOOKUP(M$2,MODULY_CBA!$B$3:$L$23,8,0)=$D62,SUMIF('Rozpocet - Vyvoj aplikacii'!$B$3:$B$179,'TCO TO BE- SW'!M$2,'Rozpocet - Vyvoj aplikacii'!$I$3:$I$179),0),0)</f>
        <v>0</v>
      </c>
      <c r="N62" s="579">
        <f>IFERROR(IF(VLOOKUP(N$2,MODULY_CBA!$B$3:$L$23,8,0)=$D62,SUMIF('Rozpocet - Vyvoj aplikacii'!$B$3:$B$179,'TCO TO BE- SW'!N$2,'Rozpocet - Vyvoj aplikacii'!$I$3:$I$179),0),0)</f>
        <v>0</v>
      </c>
      <c r="O62" s="579">
        <f>IFERROR(IF(VLOOKUP(O$2,MODULY_CBA!$B$3:$L$23,8,0)=$D62,SUMIF('Rozpocet - Vyvoj aplikacii'!$B$3:$B$179,'TCO TO BE- SW'!O$2,'Rozpocet - Vyvoj aplikacii'!$I$3:$I$179),0),0)</f>
        <v>0</v>
      </c>
      <c r="P62" s="579">
        <f>IFERROR(IF(VLOOKUP(P$2,MODULY_CBA!$B$3:$L$23,8,0)=$D62,SUMIF('Rozpocet - Vyvoj aplikacii'!$B$3:$B$179,'TCO TO BE- SW'!P$2,'Rozpocet - Vyvoj aplikacii'!$I$3:$I$179),0),0)</f>
        <v>0</v>
      </c>
      <c r="Q62" s="579">
        <f>IFERROR(IF(VLOOKUP(Q$2,MODULY_CBA!$B$3:$L$23,8,0)=$D62,SUMIF('Rozpocet - Vyvoj aplikacii'!$B$3:$B$179,'TCO TO BE- SW'!Q$2,'Rozpocet - Vyvoj aplikacii'!$I$3:$I$179),0),0)</f>
        <v>0</v>
      </c>
      <c r="R62" s="579">
        <f>IFERROR(IF(VLOOKUP(R$2,MODULY_CBA!$B$3:$L$23,8,0)=$D62,SUMIF('Rozpocet - Vyvoj aplikacii'!$B$3:$B$179,'TCO TO BE- SW'!R$2,'Rozpocet - Vyvoj aplikacii'!$I$3:$I$179),0),0)</f>
        <v>0</v>
      </c>
      <c r="S62" s="579">
        <f>IFERROR(IF(VLOOKUP(S$2,MODULY_CBA!$B$3:$L$23,8,0)=$D62,SUMIF('Rozpocet - Vyvoj aplikacii'!$B$3:$B$179,'TCO TO BE- SW'!S$2,'Rozpocet - Vyvoj aplikacii'!$I$3:$I$179),0),0)</f>
        <v>0</v>
      </c>
      <c r="T62" s="579">
        <f>IFERROR(IF(VLOOKUP(T$2,MODULY_CBA!$B$3:$L$23,8,0)=$D62,SUMIF('Rozpocet - Vyvoj aplikacii'!$B$3:$B$179,'TCO TO BE- SW'!T$2,'Rozpocet - Vyvoj aplikacii'!$I$3:$I$179),0),0)</f>
        <v>0</v>
      </c>
      <c r="U62" s="579">
        <f>IFERROR(IF(VLOOKUP(U$2,MODULY_CBA!$B$3:$L$23,8,0)=$D62,SUMIF('Rozpocet - Vyvoj aplikacii'!$B$3:$B$179,'TCO TO BE- SW'!U$2,'Rozpocet - Vyvoj aplikacii'!$I$3:$I$179),0),0)</f>
        <v>0</v>
      </c>
      <c r="V62" s="579">
        <f>IFERROR(IF(VLOOKUP(V$2,MODULY_CBA!$B$3:$L$23,8,0)=$D62,SUMIF('Rozpocet - Vyvoj aplikacii'!$B$3:$B$179,'TCO TO BE- SW'!V$2,'Rozpocet - Vyvoj aplikacii'!$I$3:$I$179),0),0)</f>
        <v>0</v>
      </c>
      <c r="W62" s="579">
        <f>IFERROR(IF(VLOOKUP(W$2,MODULY_CBA!$B$3:$L$23,8,0)=$D62,SUMIF('Rozpocet - Vyvoj aplikacii'!$B$3:$B$179,'TCO TO BE- SW'!W$2,'Rozpocet - Vyvoj aplikacii'!$I$3:$I$179),0),0)</f>
        <v>0</v>
      </c>
      <c r="X62" s="579">
        <f>IFERROR(IF(VLOOKUP(X$2,MODULY_CBA!$B$3:$L$23,8,0)=$D62,SUMIF('Rozpocet - Vyvoj aplikacii'!$B$3:$B$179,'TCO TO BE- SW'!X$2,'Rozpocet - Vyvoj aplikacii'!$I$3:$I$179),0),0)</f>
        <v>0</v>
      </c>
      <c r="Y62" s="579">
        <f>IFERROR(IF(VLOOKUP(Y$2,MODULY_CBA!$B$3:$L$23,8,0)=$D62,SUMIF('Rozpocet - Vyvoj aplikacii'!$B$3:$B$179,'TCO TO BE- SW'!Y$2,'Rozpocet - Vyvoj aplikacii'!$I$3:$I$179),0),0)</f>
        <v>0</v>
      </c>
      <c r="Z62" s="579">
        <f>IFERROR(IF(VLOOKUP(Z$2,MODULY_CBA!$B$3:$L$23,8,0)=$D62,SUMIF('Rozpocet - Vyvoj aplikacii'!$B$3:$B$179,'TCO TO BE- SW'!Z$2,'Rozpocet - Vyvoj aplikacii'!$I$3:$I$179),0),0)</f>
        <v>0</v>
      </c>
    </row>
    <row r="63" spans="1:26" outlineLevel="2" x14ac:dyDescent="0.2">
      <c r="A63" s="1390"/>
      <c r="B63" s="1391"/>
      <c r="C63" s="1391"/>
      <c r="D63" s="64">
        <v>7</v>
      </c>
      <c r="E63" s="68">
        <f t="shared" si="7"/>
        <v>0</v>
      </c>
      <c r="F63" s="579">
        <f>IFERROR(IF(VLOOKUP(F$2,MODULY_CBA!$B$3:$L$23,8,0)=$D63,SUMIF('Rozpocet - Vyvoj aplikacii'!$B$3:$B$179,'TCO TO BE- SW'!F$2,'Rozpocet - Vyvoj aplikacii'!$I$3:$I$179),0),0)</f>
        <v>0</v>
      </c>
      <c r="G63" s="579">
        <f>IFERROR(IF(VLOOKUP(G$2,MODULY_CBA!$B$3:$L$23,8,0)=$D63,SUMIF('Rozpocet - Vyvoj aplikacii'!$B$3:$B$179,'TCO TO BE- SW'!G$2,'Rozpocet - Vyvoj aplikacii'!$I$3:$I$179),0),0)</f>
        <v>0</v>
      </c>
      <c r="H63" s="579">
        <f>IFERROR(IF(VLOOKUP(H$2,MODULY_CBA!$B$3:$L$23,8,0)=$D63,SUMIF('Rozpocet - Vyvoj aplikacii'!$B$3:$B$179,'TCO TO BE- SW'!H$2,'Rozpocet - Vyvoj aplikacii'!$I$3:$I$179),0),0)</f>
        <v>0</v>
      </c>
      <c r="I63" s="579">
        <f>IFERROR(IF(VLOOKUP(I$2,MODULY_CBA!$B$3:$L$23,8,0)=$D63,SUMIF('Rozpocet - Vyvoj aplikacii'!$B$3:$B$179,'TCO TO BE- SW'!I$2,'Rozpocet - Vyvoj aplikacii'!$I$3:$I$179),0),0)</f>
        <v>0</v>
      </c>
      <c r="J63" s="579">
        <f>IFERROR(IF(VLOOKUP(J$2,MODULY_CBA!$B$3:$L$23,8,0)=$D63,SUMIF('Rozpocet - Vyvoj aplikacii'!$B$3:$B$179,'TCO TO BE- SW'!J$2,'Rozpocet - Vyvoj aplikacii'!$I$3:$I$179),0),0)</f>
        <v>0</v>
      </c>
      <c r="K63" s="579">
        <f>IFERROR(IF(VLOOKUP(K$2,MODULY_CBA!$B$3:$L$23,8,0)=$D63,SUMIF('Rozpocet - Vyvoj aplikacii'!$B$3:$B$179,'TCO TO BE- SW'!K$2,'Rozpocet - Vyvoj aplikacii'!$I$3:$I$179),0),0)</f>
        <v>0</v>
      </c>
      <c r="L63" s="579">
        <f>IFERROR(IF(VLOOKUP(L$2,MODULY_CBA!$B$3:$L$23,8,0)=$D63,SUMIF('Rozpocet - Vyvoj aplikacii'!$B$3:$B$179,'TCO TO BE- SW'!L$2,'Rozpocet - Vyvoj aplikacii'!$I$3:$I$179),0),0)</f>
        <v>0</v>
      </c>
      <c r="M63" s="579">
        <f>IFERROR(IF(VLOOKUP(M$2,MODULY_CBA!$B$3:$L$23,8,0)=$D63,SUMIF('Rozpocet - Vyvoj aplikacii'!$B$3:$B$179,'TCO TO BE- SW'!M$2,'Rozpocet - Vyvoj aplikacii'!$I$3:$I$179),0),0)</f>
        <v>0</v>
      </c>
      <c r="N63" s="579">
        <f>IFERROR(IF(VLOOKUP(N$2,MODULY_CBA!$B$3:$L$23,8,0)=$D63,SUMIF('Rozpocet - Vyvoj aplikacii'!$B$3:$B$179,'TCO TO BE- SW'!N$2,'Rozpocet - Vyvoj aplikacii'!$I$3:$I$179),0),0)</f>
        <v>0</v>
      </c>
      <c r="O63" s="579">
        <f>IFERROR(IF(VLOOKUP(O$2,MODULY_CBA!$B$3:$L$23,8,0)=$D63,SUMIF('Rozpocet - Vyvoj aplikacii'!$B$3:$B$179,'TCO TO BE- SW'!O$2,'Rozpocet - Vyvoj aplikacii'!$I$3:$I$179),0),0)</f>
        <v>0</v>
      </c>
      <c r="P63" s="579">
        <f>IFERROR(IF(VLOOKUP(P$2,MODULY_CBA!$B$3:$L$23,8,0)=$D63,SUMIF('Rozpocet - Vyvoj aplikacii'!$B$3:$B$179,'TCO TO BE- SW'!P$2,'Rozpocet - Vyvoj aplikacii'!$I$3:$I$179),0),0)</f>
        <v>0</v>
      </c>
      <c r="Q63" s="579">
        <f>IFERROR(IF(VLOOKUP(Q$2,MODULY_CBA!$B$3:$L$23,8,0)=$D63,SUMIF('Rozpocet - Vyvoj aplikacii'!$B$3:$B$179,'TCO TO BE- SW'!Q$2,'Rozpocet - Vyvoj aplikacii'!$I$3:$I$179),0),0)</f>
        <v>0</v>
      </c>
      <c r="R63" s="579">
        <f>IFERROR(IF(VLOOKUP(R$2,MODULY_CBA!$B$3:$L$23,8,0)=$D63,SUMIF('Rozpocet - Vyvoj aplikacii'!$B$3:$B$179,'TCO TO BE- SW'!R$2,'Rozpocet - Vyvoj aplikacii'!$I$3:$I$179),0),0)</f>
        <v>0</v>
      </c>
      <c r="S63" s="579">
        <f>IFERROR(IF(VLOOKUP(S$2,MODULY_CBA!$B$3:$L$23,8,0)=$D63,SUMIF('Rozpocet - Vyvoj aplikacii'!$B$3:$B$179,'TCO TO BE- SW'!S$2,'Rozpocet - Vyvoj aplikacii'!$I$3:$I$179),0),0)</f>
        <v>0</v>
      </c>
      <c r="T63" s="579">
        <f>IFERROR(IF(VLOOKUP(T$2,MODULY_CBA!$B$3:$L$23,8,0)=$D63,SUMIF('Rozpocet - Vyvoj aplikacii'!$B$3:$B$179,'TCO TO BE- SW'!T$2,'Rozpocet - Vyvoj aplikacii'!$I$3:$I$179),0),0)</f>
        <v>0</v>
      </c>
      <c r="U63" s="579">
        <f>IFERROR(IF(VLOOKUP(U$2,MODULY_CBA!$B$3:$L$23,8,0)=$D63,SUMIF('Rozpocet - Vyvoj aplikacii'!$B$3:$B$179,'TCO TO BE- SW'!U$2,'Rozpocet - Vyvoj aplikacii'!$I$3:$I$179),0),0)</f>
        <v>0</v>
      </c>
      <c r="V63" s="579">
        <f>IFERROR(IF(VLOOKUP(V$2,MODULY_CBA!$B$3:$L$23,8,0)=$D63,SUMIF('Rozpocet - Vyvoj aplikacii'!$B$3:$B$179,'TCO TO BE- SW'!V$2,'Rozpocet - Vyvoj aplikacii'!$I$3:$I$179),0),0)</f>
        <v>0</v>
      </c>
      <c r="W63" s="579">
        <f>IFERROR(IF(VLOOKUP(W$2,MODULY_CBA!$B$3:$L$23,8,0)=$D63,SUMIF('Rozpocet - Vyvoj aplikacii'!$B$3:$B$179,'TCO TO BE- SW'!W$2,'Rozpocet - Vyvoj aplikacii'!$I$3:$I$179),0),0)</f>
        <v>0</v>
      </c>
      <c r="X63" s="579">
        <f>IFERROR(IF(VLOOKUP(X$2,MODULY_CBA!$B$3:$L$23,8,0)=$D63,SUMIF('Rozpocet - Vyvoj aplikacii'!$B$3:$B$179,'TCO TO BE- SW'!X$2,'Rozpocet - Vyvoj aplikacii'!$I$3:$I$179),0),0)</f>
        <v>0</v>
      </c>
      <c r="Y63" s="579">
        <f>IFERROR(IF(VLOOKUP(Y$2,MODULY_CBA!$B$3:$L$23,8,0)=$D63,SUMIF('Rozpocet - Vyvoj aplikacii'!$B$3:$B$179,'TCO TO BE- SW'!Y$2,'Rozpocet - Vyvoj aplikacii'!$I$3:$I$179),0),0)</f>
        <v>0</v>
      </c>
      <c r="Z63" s="579">
        <f>IFERROR(IF(VLOOKUP(Z$2,MODULY_CBA!$B$3:$L$23,8,0)=$D63,SUMIF('Rozpocet - Vyvoj aplikacii'!$B$3:$B$179,'TCO TO BE- SW'!Z$2,'Rozpocet - Vyvoj aplikacii'!$I$3:$I$179),0),0)</f>
        <v>0</v>
      </c>
    </row>
    <row r="64" spans="1:26" outlineLevel="2" x14ac:dyDescent="0.2">
      <c r="A64" s="1390"/>
      <c r="B64" s="1391"/>
      <c r="C64" s="1391"/>
      <c r="D64" s="64">
        <v>8</v>
      </c>
      <c r="E64" s="68">
        <f t="shared" si="7"/>
        <v>0</v>
      </c>
      <c r="F64" s="579">
        <f>IFERROR(IF(VLOOKUP(F$2,MODULY_CBA!$B$3:$L$23,8,0)=$D64,SUMIF('Rozpocet - Vyvoj aplikacii'!$B$3:$B$179,'TCO TO BE- SW'!F$2,'Rozpocet - Vyvoj aplikacii'!$I$3:$I$179),0),0)</f>
        <v>0</v>
      </c>
      <c r="G64" s="579">
        <f>IFERROR(IF(VLOOKUP(G$2,MODULY_CBA!$B$3:$L$23,8,0)=$D64,SUMIF('Rozpocet - Vyvoj aplikacii'!$B$3:$B$179,'TCO TO BE- SW'!G$2,'Rozpocet - Vyvoj aplikacii'!$I$3:$I$179),0),0)</f>
        <v>0</v>
      </c>
      <c r="H64" s="579">
        <f>IFERROR(IF(VLOOKUP(H$2,MODULY_CBA!$B$3:$L$23,8,0)=$D64,SUMIF('Rozpocet - Vyvoj aplikacii'!$B$3:$B$179,'TCO TO BE- SW'!H$2,'Rozpocet - Vyvoj aplikacii'!$I$3:$I$179),0),0)</f>
        <v>0</v>
      </c>
      <c r="I64" s="579">
        <f>IFERROR(IF(VLOOKUP(I$2,MODULY_CBA!$B$3:$L$23,8,0)=$D64,SUMIF('Rozpocet - Vyvoj aplikacii'!$B$3:$B$179,'TCO TO BE- SW'!I$2,'Rozpocet - Vyvoj aplikacii'!$I$3:$I$179),0),0)</f>
        <v>0</v>
      </c>
      <c r="J64" s="579">
        <f>IFERROR(IF(VLOOKUP(J$2,MODULY_CBA!$B$3:$L$23,8,0)=$D64,SUMIF('Rozpocet - Vyvoj aplikacii'!$B$3:$B$179,'TCO TO BE- SW'!J$2,'Rozpocet - Vyvoj aplikacii'!$I$3:$I$179),0),0)</f>
        <v>0</v>
      </c>
      <c r="K64" s="579">
        <f>IFERROR(IF(VLOOKUP(K$2,MODULY_CBA!$B$3:$L$23,8,0)=$D64,SUMIF('Rozpocet - Vyvoj aplikacii'!$B$3:$B$179,'TCO TO BE- SW'!K$2,'Rozpocet - Vyvoj aplikacii'!$I$3:$I$179),0),0)</f>
        <v>0</v>
      </c>
      <c r="L64" s="579">
        <f>IFERROR(IF(VLOOKUP(L$2,MODULY_CBA!$B$3:$L$23,8,0)=$D64,SUMIF('Rozpocet - Vyvoj aplikacii'!$B$3:$B$179,'TCO TO BE- SW'!L$2,'Rozpocet - Vyvoj aplikacii'!$I$3:$I$179),0),0)</f>
        <v>0</v>
      </c>
      <c r="M64" s="579">
        <f>IFERROR(IF(VLOOKUP(M$2,MODULY_CBA!$B$3:$L$23,8,0)=$D64,SUMIF('Rozpocet - Vyvoj aplikacii'!$B$3:$B$179,'TCO TO BE- SW'!M$2,'Rozpocet - Vyvoj aplikacii'!$I$3:$I$179),0),0)</f>
        <v>0</v>
      </c>
      <c r="N64" s="579">
        <f>IFERROR(IF(VLOOKUP(N$2,MODULY_CBA!$B$3:$L$23,8,0)=$D64,SUMIF('Rozpocet - Vyvoj aplikacii'!$B$3:$B$179,'TCO TO BE- SW'!N$2,'Rozpocet - Vyvoj aplikacii'!$I$3:$I$179),0),0)</f>
        <v>0</v>
      </c>
      <c r="O64" s="579">
        <f>IFERROR(IF(VLOOKUP(O$2,MODULY_CBA!$B$3:$L$23,8,0)=$D64,SUMIF('Rozpocet - Vyvoj aplikacii'!$B$3:$B$179,'TCO TO BE- SW'!O$2,'Rozpocet - Vyvoj aplikacii'!$I$3:$I$179),0),0)</f>
        <v>0</v>
      </c>
      <c r="P64" s="579">
        <f>IFERROR(IF(VLOOKUP(P$2,MODULY_CBA!$B$3:$L$23,8,0)=$D64,SUMIF('Rozpocet - Vyvoj aplikacii'!$B$3:$B$179,'TCO TO BE- SW'!P$2,'Rozpocet - Vyvoj aplikacii'!$I$3:$I$179),0),0)</f>
        <v>0</v>
      </c>
      <c r="Q64" s="579">
        <f>IFERROR(IF(VLOOKUP(Q$2,MODULY_CBA!$B$3:$L$23,8,0)=$D64,SUMIF('Rozpocet - Vyvoj aplikacii'!$B$3:$B$179,'TCO TO BE- SW'!Q$2,'Rozpocet - Vyvoj aplikacii'!$I$3:$I$179),0),0)</f>
        <v>0</v>
      </c>
      <c r="R64" s="579">
        <f>IFERROR(IF(VLOOKUP(R$2,MODULY_CBA!$B$3:$L$23,8,0)=$D64,SUMIF('Rozpocet - Vyvoj aplikacii'!$B$3:$B$179,'TCO TO BE- SW'!R$2,'Rozpocet - Vyvoj aplikacii'!$I$3:$I$179),0),0)</f>
        <v>0</v>
      </c>
      <c r="S64" s="579">
        <f>IFERROR(IF(VLOOKUP(S$2,MODULY_CBA!$B$3:$L$23,8,0)=$D64,SUMIF('Rozpocet - Vyvoj aplikacii'!$B$3:$B$179,'TCO TO BE- SW'!S$2,'Rozpocet - Vyvoj aplikacii'!$I$3:$I$179),0),0)</f>
        <v>0</v>
      </c>
      <c r="T64" s="579">
        <f>IFERROR(IF(VLOOKUP(T$2,MODULY_CBA!$B$3:$L$23,8,0)=$D64,SUMIF('Rozpocet - Vyvoj aplikacii'!$B$3:$B$179,'TCO TO BE- SW'!T$2,'Rozpocet - Vyvoj aplikacii'!$I$3:$I$179),0),0)</f>
        <v>0</v>
      </c>
      <c r="U64" s="579">
        <f>IFERROR(IF(VLOOKUP(U$2,MODULY_CBA!$B$3:$L$23,8,0)=$D64,SUMIF('Rozpocet - Vyvoj aplikacii'!$B$3:$B$179,'TCO TO BE- SW'!U$2,'Rozpocet - Vyvoj aplikacii'!$I$3:$I$179),0),0)</f>
        <v>0</v>
      </c>
      <c r="V64" s="579">
        <f>IFERROR(IF(VLOOKUP(V$2,MODULY_CBA!$B$3:$L$23,8,0)=$D64,SUMIF('Rozpocet - Vyvoj aplikacii'!$B$3:$B$179,'TCO TO BE- SW'!V$2,'Rozpocet - Vyvoj aplikacii'!$I$3:$I$179),0),0)</f>
        <v>0</v>
      </c>
      <c r="W64" s="579">
        <f>IFERROR(IF(VLOOKUP(W$2,MODULY_CBA!$B$3:$L$23,8,0)=$D64,SUMIF('Rozpocet - Vyvoj aplikacii'!$B$3:$B$179,'TCO TO BE- SW'!W$2,'Rozpocet - Vyvoj aplikacii'!$I$3:$I$179),0),0)</f>
        <v>0</v>
      </c>
      <c r="X64" s="579">
        <f>IFERROR(IF(VLOOKUP(X$2,MODULY_CBA!$B$3:$L$23,8,0)=$D64,SUMIF('Rozpocet - Vyvoj aplikacii'!$B$3:$B$179,'TCO TO BE- SW'!X$2,'Rozpocet - Vyvoj aplikacii'!$I$3:$I$179),0),0)</f>
        <v>0</v>
      </c>
      <c r="Y64" s="579">
        <f>IFERROR(IF(VLOOKUP(Y$2,MODULY_CBA!$B$3:$L$23,8,0)=$D64,SUMIF('Rozpocet - Vyvoj aplikacii'!$B$3:$B$179,'TCO TO BE- SW'!Y$2,'Rozpocet - Vyvoj aplikacii'!$I$3:$I$179),0),0)</f>
        <v>0</v>
      </c>
      <c r="Z64" s="579">
        <f>IFERROR(IF(VLOOKUP(Z$2,MODULY_CBA!$B$3:$L$23,8,0)=$D64,SUMIF('Rozpocet - Vyvoj aplikacii'!$B$3:$B$179,'TCO TO BE- SW'!Z$2,'Rozpocet - Vyvoj aplikacii'!$I$3:$I$179),0),0)</f>
        <v>0</v>
      </c>
    </row>
    <row r="65" spans="1:26" outlineLevel="2" x14ac:dyDescent="0.2">
      <c r="A65" s="1390"/>
      <c r="B65" s="1391"/>
      <c r="C65" s="1391"/>
      <c r="D65" s="64">
        <v>9</v>
      </c>
      <c r="E65" s="68">
        <f t="shared" si="7"/>
        <v>0</v>
      </c>
      <c r="F65" s="579">
        <f>IFERROR(IF(VLOOKUP(F$2,MODULY_CBA!$B$3:$L$23,8,0)=$D65,SUMIF('Rozpocet - Vyvoj aplikacii'!$B$3:$B$179,'TCO TO BE- SW'!F$2,'Rozpocet - Vyvoj aplikacii'!$I$3:$I$179),0),0)</f>
        <v>0</v>
      </c>
      <c r="G65" s="579">
        <f>IFERROR(IF(VLOOKUP(G$2,MODULY_CBA!$B$3:$L$23,8,0)=$D65,SUMIF('Rozpocet - Vyvoj aplikacii'!$B$3:$B$179,'TCO TO BE- SW'!G$2,'Rozpocet - Vyvoj aplikacii'!$I$3:$I$179),0),0)</f>
        <v>0</v>
      </c>
      <c r="H65" s="579">
        <f>IFERROR(IF(VLOOKUP(H$2,MODULY_CBA!$B$3:$L$23,8,0)=$D65,SUMIF('Rozpocet - Vyvoj aplikacii'!$B$3:$B$179,'TCO TO BE- SW'!H$2,'Rozpocet - Vyvoj aplikacii'!$I$3:$I$179),0),0)</f>
        <v>0</v>
      </c>
      <c r="I65" s="579">
        <f>IFERROR(IF(VLOOKUP(I$2,MODULY_CBA!$B$3:$L$23,8,0)=$D65,SUMIF('Rozpocet - Vyvoj aplikacii'!$B$3:$B$179,'TCO TO BE- SW'!I$2,'Rozpocet - Vyvoj aplikacii'!$I$3:$I$179),0),0)</f>
        <v>0</v>
      </c>
      <c r="J65" s="579">
        <f>IFERROR(IF(VLOOKUP(J$2,MODULY_CBA!$B$3:$L$23,8,0)=$D65,SUMIF('Rozpocet - Vyvoj aplikacii'!$B$3:$B$179,'TCO TO BE- SW'!J$2,'Rozpocet - Vyvoj aplikacii'!$I$3:$I$179),0),0)</f>
        <v>0</v>
      </c>
      <c r="K65" s="579">
        <f>IFERROR(IF(VLOOKUP(K$2,MODULY_CBA!$B$3:$L$23,8,0)=$D65,SUMIF('Rozpocet - Vyvoj aplikacii'!$B$3:$B$179,'TCO TO BE- SW'!K$2,'Rozpocet - Vyvoj aplikacii'!$I$3:$I$179),0),0)</f>
        <v>0</v>
      </c>
      <c r="L65" s="579">
        <f>IFERROR(IF(VLOOKUP(L$2,MODULY_CBA!$B$3:$L$23,8,0)=$D65,SUMIF('Rozpocet - Vyvoj aplikacii'!$B$3:$B$179,'TCO TO BE- SW'!L$2,'Rozpocet - Vyvoj aplikacii'!$I$3:$I$179),0),0)</f>
        <v>0</v>
      </c>
      <c r="M65" s="579">
        <f>IFERROR(IF(VLOOKUP(M$2,MODULY_CBA!$B$3:$L$23,8,0)=$D65,SUMIF('Rozpocet - Vyvoj aplikacii'!$B$3:$B$179,'TCO TO BE- SW'!M$2,'Rozpocet - Vyvoj aplikacii'!$I$3:$I$179),0),0)</f>
        <v>0</v>
      </c>
      <c r="N65" s="579">
        <f>IFERROR(IF(VLOOKUP(N$2,MODULY_CBA!$B$3:$L$23,8,0)=$D65,SUMIF('Rozpocet - Vyvoj aplikacii'!$B$3:$B$179,'TCO TO BE- SW'!N$2,'Rozpocet - Vyvoj aplikacii'!$I$3:$I$179),0),0)</f>
        <v>0</v>
      </c>
      <c r="O65" s="579">
        <f>IFERROR(IF(VLOOKUP(O$2,MODULY_CBA!$B$3:$L$23,8,0)=$D65,SUMIF('Rozpocet - Vyvoj aplikacii'!$B$3:$B$179,'TCO TO BE- SW'!O$2,'Rozpocet - Vyvoj aplikacii'!$I$3:$I$179),0),0)</f>
        <v>0</v>
      </c>
      <c r="P65" s="579">
        <f>IFERROR(IF(VLOOKUP(P$2,MODULY_CBA!$B$3:$L$23,8,0)=$D65,SUMIF('Rozpocet - Vyvoj aplikacii'!$B$3:$B$179,'TCO TO BE- SW'!P$2,'Rozpocet - Vyvoj aplikacii'!$I$3:$I$179),0),0)</f>
        <v>0</v>
      </c>
      <c r="Q65" s="579">
        <f>IFERROR(IF(VLOOKUP(Q$2,MODULY_CBA!$B$3:$L$23,8,0)=$D65,SUMIF('Rozpocet - Vyvoj aplikacii'!$B$3:$B$179,'TCO TO BE- SW'!Q$2,'Rozpocet - Vyvoj aplikacii'!$I$3:$I$179),0),0)</f>
        <v>0</v>
      </c>
      <c r="R65" s="579">
        <f>IFERROR(IF(VLOOKUP(R$2,MODULY_CBA!$B$3:$L$23,8,0)=$D65,SUMIF('Rozpocet - Vyvoj aplikacii'!$B$3:$B$179,'TCO TO BE- SW'!R$2,'Rozpocet - Vyvoj aplikacii'!$I$3:$I$179),0),0)</f>
        <v>0</v>
      </c>
      <c r="S65" s="579">
        <f>IFERROR(IF(VLOOKUP(S$2,MODULY_CBA!$B$3:$L$23,8,0)=$D65,SUMIF('Rozpocet - Vyvoj aplikacii'!$B$3:$B$179,'TCO TO BE- SW'!S$2,'Rozpocet - Vyvoj aplikacii'!$I$3:$I$179),0),0)</f>
        <v>0</v>
      </c>
      <c r="T65" s="579">
        <f>IFERROR(IF(VLOOKUP(T$2,MODULY_CBA!$B$3:$L$23,8,0)=$D65,SUMIF('Rozpocet - Vyvoj aplikacii'!$B$3:$B$179,'TCO TO BE- SW'!T$2,'Rozpocet - Vyvoj aplikacii'!$I$3:$I$179),0),0)</f>
        <v>0</v>
      </c>
      <c r="U65" s="579">
        <f>IFERROR(IF(VLOOKUP(U$2,MODULY_CBA!$B$3:$L$23,8,0)=$D65,SUMIF('Rozpocet - Vyvoj aplikacii'!$B$3:$B$179,'TCO TO BE- SW'!U$2,'Rozpocet - Vyvoj aplikacii'!$I$3:$I$179),0),0)</f>
        <v>0</v>
      </c>
      <c r="V65" s="579">
        <f>IFERROR(IF(VLOOKUP(V$2,MODULY_CBA!$B$3:$L$23,8,0)=$D65,SUMIF('Rozpocet - Vyvoj aplikacii'!$B$3:$B$179,'TCO TO BE- SW'!V$2,'Rozpocet - Vyvoj aplikacii'!$I$3:$I$179),0),0)</f>
        <v>0</v>
      </c>
      <c r="W65" s="579">
        <f>IFERROR(IF(VLOOKUP(W$2,MODULY_CBA!$B$3:$L$23,8,0)=$D65,SUMIF('Rozpocet - Vyvoj aplikacii'!$B$3:$B$179,'TCO TO BE- SW'!W$2,'Rozpocet - Vyvoj aplikacii'!$I$3:$I$179),0),0)</f>
        <v>0</v>
      </c>
      <c r="X65" s="579">
        <f>IFERROR(IF(VLOOKUP(X$2,MODULY_CBA!$B$3:$L$23,8,0)=$D65,SUMIF('Rozpocet - Vyvoj aplikacii'!$B$3:$B$179,'TCO TO BE- SW'!X$2,'Rozpocet - Vyvoj aplikacii'!$I$3:$I$179),0),0)</f>
        <v>0</v>
      </c>
      <c r="Y65" s="579">
        <f>IFERROR(IF(VLOOKUP(Y$2,MODULY_CBA!$B$3:$L$23,8,0)=$D65,SUMIF('Rozpocet - Vyvoj aplikacii'!$B$3:$B$179,'TCO TO BE- SW'!Y$2,'Rozpocet - Vyvoj aplikacii'!$I$3:$I$179),0),0)</f>
        <v>0</v>
      </c>
      <c r="Z65" s="579">
        <f>IFERROR(IF(VLOOKUP(Z$2,MODULY_CBA!$B$3:$L$23,8,0)=$D65,SUMIF('Rozpocet - Vyvoj aplikacii'!$B$3:$B$179,'TCO TO BE- SW'!Z$2,'Rozpocet - Vyvoj aplikacii'!$I$3:$I$179),0),0)</f>
        <v>0</v>
      </c>
    </row>
    <row r="66" spans="1:26" ht="16" outlineLevel="2" thickBot="1" x14ac:dyDescent="0.25">
      <c r="A66" s="1390"/>
      <c r="B66" s="1391"/>
      <c r="C66" s="1391"/>
      <c r="D66" s="65">
        <v>10</v>
      </c>
      <c r="E66" s="69">
        <f t="shared" si="7"/>
        <v>0</v>
      </c>
      <c r="F66" s="580">
        <f>IFERROR(IF(VLOOKUP(F$2,MODULY_CBA!$B$3:$L$23,8,0)=$D66,SUMIF('Rozpocet - Vyvoj aplikacii'!$B$3:$B$179,'TCO TO BE- SW'!F$2,'Rozpocet - Vyvoj aplikacii'!$I$3:$I$179),0),0)</f>
        <v>0</v>
      </c>
      <c r="G66" s="580">
        <f>IFERROR(IF(VLOOKUP(G$2,MODULY_CBA!$B$3:$L$23,8,0)=$D66,SUMIF('Rozpocet - Vyvoj aplikacii'!$B$3:$B$179,'TCO TO BE- SW'!G$2,'Rozpocet - Vyvoj aplikacii'!$I$3:$I$179),0),0)</f>
        <v>0</v>
      </c>
      <c r="H66" s="580">
        <f>IFERROR(IF(VLOOKUP(H$2,MODULY_CBA!$B$3:$L$23,8,0)=$D66,SUMIF('Rozpocet - Vyvoj aplikacii'!$B$3:$B$179,'TCO TO BE- SW'!H$2,'Rozpocet - Vyvoj aplikacii'!$I$3:$I$179),0),0)</f>
        <v>0</v>
      </c>
      <c r="I66" s="580">
        <f>IFERROR(IF(VLOOKUP(I$2,MODULY_CBA!$B$3:$L$23,8,0)=$D66,SUMIF('Rozpocet - Vyvoj aplikacii'!$B$3:$B$179,'TCO TO BE- SW'!I$2,'Rozpocet - Vyvoj aplikacii'!$I$3:$I$179),0),0)</f>
        <v>0</v>
      </c>
      <c r="J66" s="580">
        <f>IFERROR(IF(VLOOKUP(J$2,MODULY_CBA!$B$3:$L$23,8,0)=$D66,SUMIF('Rozpocet - Vyvoj aplikacii'!$B$3:$B$179,'TCO TO BE- SW'!J$2,'Rozpocet - Vyvoj aplikacii'!$I$3:$I$179),0),0)</f>
        <v>0</v>
      </c>
      <c r="K66" s="580">
        <f>IFERROR(IF(VLOOKUP(K$2,MODULY_CBA!$B$3:$L$23,8,0)=$D66,SUMIF('Rozpocet - Vyvoj aplikacii'!$B$3:$B$179,'TCO TO BE- SW'!K$2,'Rozpocet - Vyvoj aplikacii'!$I$3:$I$179),0),0)</f>
        <v>0</v>
      </c>
      <c r="L66" s="580">
        <f>IFERROR(IF(VLOOKUP(L$2,MODULY_CBA!$B$3:$L$23,8,0)=$D66,SUMIF('Rozpocet - Vyvoj aplikacii'!$B$3:$B$179,'TCO TO BE- SW'!L$2,'Rozpocet - Vyvoj aplikacii'!$I$3:$I$179),0),0)</f>
        <v>0</v>
      </c>
      <c r="M66" s="580">
        <f>IFERROR(IF(VLOOKUP(M$2,MODULY_CBA!$B$3:$L$23,8,0)=$D66,SUMIF('Rozpocet - Vyvoj aplikacii'!$B$3:$B$179,'TCO TO BE- SW'!M$2,'Rozpocet - Vyvoj aplikacii'!$I$3:$I$179),0),0)</f>
        <v>0</v>
      </c>
      <c r="N66" s="580">
        <f>IFERROR(IF(VLOOKUP(N$2,MODULY_CBA!$B$3:$L$23,8,0)=$D66,SUMIF('Rozpocet - Vyvoj aplikacii'!$B$3:$B$179,'TCO TO BE- SW'!N$2,'Rozpocet - Vyvoj aplikacii'!$I$3:$I$179),0),0)</f>
        <v>0</v>
      </c>
      <c r="O66" s="580">
        <f>IFERROR(IF(VLOOKUP(O$2,MODULY_CBA!$B$3:$L$23,8,0)=$D66,SUMIF('Rozpocet - Vyvoj aplikacii'!$B$3:$B$179,'TCO TO BE- SW'!O$2,'Rozpocet - Vyvoj aplikacii'!$I$3:$I$179),0),0)</f>
        <v>0</v>
      </c>
      <c r="P66" s="580">
        <f>IFERROR(IF(VLOOKUP(P$2,MODULY_CBA!$B$3:$L$23,8,0)=$D66,SUMIF('Rozpocet - Vyvoj aplikacii'!$B$3:$B$179,'TCO TO BE- SW'!P$2,'Rozpocet - Vyvoj aplikacii'!$I$3:$I$179),0),0)</f>
        <v>0</v>
      </c>
      <c r="Q66" s="580">
        <f>IFERROR(IF(VLOOKUP(Q$2,MODULY_CBA!$B$3:$L$23,8,0)=$D66,SUMIF('Rozpocet - Vyvoj aplikacii'!$B$3:$B$179,'TCO TO BE- SW'!Q$2,'Rozpocet - Vyvoj aplikacii'!$I$3:$I$179),0),0)</f>
        <v>0</v>
      </c>
      <c r="R66" s="580">
        <f>IFERROR(IF(VLOOKUP(R$2,MODULY_CBA!$B$3:$L$23,8,0)=$D66,SUMIF('Rozpocet - Vyvoj aplikacii'!$B$3:$B$179,'TCO TO BE- SW'!R$2,'Rozpocet - Vyvoj aplikacii'!$I$3:$I$179),0),0)</f>
        <v>0</v>
      </c>
      <c r="S66" s="580">
        <f>IFERROR(IF(VLOOKUP(S$2,MODULY_CBA!$B$3:$L$23,8,0)=$D66,SUMIF('Rozpocet - Vyvoj aplikacii'!$B$3:$B$179,'TCO TO BE- SW'!S$2,'Rozpocet - Vyvoj aplikacii'!$I$3:$I$179),0),0)</f>
        <v>0</v>
      </c>
      <c r="T66" s="580">
        <f>IFERROR(IF(VLOOKUP(T$2,MODULY_CBA!$B$3:$L$23,8,0)=$D66,SUMIF('Rozpocet - Vyvoj aplikacii'!$B$3:$B$179,'TCO TO BE- SW'!T$2,'Rozpocet - Vyvoj aplikacii'!$I$3:$I$179),0),0)</f>
        <v>0</v>
      </c>
      <c r="U66" s="580">
        <f>IFERROR(IF(VLOOKUP(U$2,MODULY_CBA!$B$3:$L$23,8,0)=$D66,SUMIF('Rozpocet - Vyvoj aplikacii'!$B$3:$B$179,'TCO TO BE- SW'!U$2,'Rozpocet - Vyvoj aplikacii'!$I$3:$I$179),0),0)</f>
        <v>0</v>
      </c>
      <c r="V66" s="580">
        <f>IFERROR(IF(VLOOKUP(V$2,MODULY_CBA!$B$3:$L$23,8,0)=$D66,SUMIF('Rozpocet - Vyvoj aplikacii'!$B$3:$B$179,'TCO TO BE- SW'!V$2,'Rozpocet - Vyvoj aplikacii'!$I$3:$I$179),0),0)</f>
        <v>0</v>
      </c>
      <c r="W66" s="580">
        <f>IFERROR(IF(VLOOKUP(W$2,MODULY_CBA!$B$3:$L$23,8,0)=$D66,SUMIF('Rozpocet - Vyvoj aplikacii'!$B$3:$B$179,'TCO TO BE- SW'!W$2,'Rozpocet - Vyvoj aplikacii'!$I$3:$I$179),0),0)</f>
        <v>0</v>
      </c>
      <c r="X66" s="580">
        <f>IFERROR(IF(VLOOKUP(X$2,MODULY_CBA!$B$3:$L$23,8,0)=$D66,SUMIF('Rozpocet - Vyvoj aplikacii'!$B$3:$B$179,'TCO TO BE- SW'!X$2,'Rozpocet - Vyvoj aplikacii'!$I$3:$I$179),0),0)</f>
        <v>0</v>
      </c>
      <c r="Y66" s="580">
        <f>IFERROR(IF(VLOOKUP(Y$2,MODULY_CBA!$B$3:$L$23,8,0)=$D66,SUMIF('Rozpocet - Vyvoj aplikacii'!$B$3:$B$179,'TCO TO BE- SW'!Y$2,'Rozpocet - Vyvoj aplikacii'!$I$3:$I$179),0),0)</f>
        <v>0</v>
      </c>
      <c r="Z66" s="580">
        <f>IFERROR(IF(VLOOKUP(Z$2,MODULY_CBA!$B$3:$L$23,8,0)=$D66,SUMIF('Rozpocet - Vyvoj aplikacii'!$B$3:$B$179,'TCO TO BE- SW'!Z$2,'Rozpocet - Vyvoj aplikacii'!$I$3:$I$179),0),0)</f>
        <v>0</v>
      </c>
    </row>
    <row r="67" spans="1:26" outlineLevel="2" x14ac:dyDescent="0.2">
      <c r="A67" s="1390" t="s">
        <v>75</v>
      </c>
      <c r="B67" s="1391" t="s">
        <v>76</v>
      </c>
      <c r="C67" s="1391">
        <v>637040</v>
      </c>
      <c r="D67" s="63">
        <v>1</v>
      </c>
      <c r="E67" s="68">
        <f t="shared" si="6"/>
        <v>0</v>
      </c>
      <c r="F67" s="581">
        <v>0</v>
      </c>
      <c r="G67" s="581">
        <v>0</v>
      </c>
      <c r="H67" s="581">
        <v>0</v>
      </c>
      <c r="I67" s="581">
        <v>0</v>
      </c>
      <c r="J67" s="581">
        <v>0</v>
      </c>
      <c r="K67" s="581">
        <v>0</v>
      </c>
      <c r="L67" s="581">
        <v>0</v>
      </c>
      <c r="M67" s="581">
        <v>0</v>
      </c>
      <c r="N67" s="581">
        <v>0</v>
      </c>
      <c r="O67" s="581">
        <v>0</v>
      </c>
      <c r="P67" s="581">
        <v>0</v>
      </c>
      <c r="Q67" s="581">
        <v>0</v>
      </c>
      <c r="R67" s="581">
        <v>0</v>
      </c>
      <c r="S67" s="581">
        <v>0</v>
      </c>
      <c r="T67" s="581">
        <v>0</v>
      </c>
      <c r="U67" s="581">
        <v>0</v>
      </c>
      <c r="V67" s="581">
        <v>0</v>
      </c>
      <c r="W67" s="581">
        <v>0</v>
      </c>
      <c r="X67" s="581">
        <v>0</v>
      </c>
      <c r="Y67" s="581">
        <v>0</v>
      </c>
      <c r="Z67" s="581">
        <v>0</v>
      </c>
    </row>
    <row r="68" spans="1:26" outlineLevel="2" x14ac:dyDescent="0.2">
      <c r="A68" s="1390"/>
      <c r="B68" s="1391"/>
      <c r="C68" s="1391"/>
      <c r="D68" s="64">
        <v>2</v>
      </c>
      <c r="E68" s="68">
        <f t="shared" si="6"/>
        <v>0</v>
      </c>
      <c r="F68" s="582">
        <v>0</v>
      </c>
      <c r="G68" s="582">
        <v>0</v>
      </c>
      <c r="H68" s="582">
        <v>0</v>
      </c>
      <c r="I68" s="582">
        <v>0</v>
      </c>
      <c r="J68" s="582">
        <v>0</v>
      </c>
      <c r="K68" s="582">
        <v>0</v>
      </c>
      <c r="L68" s="582">
        <v>0</v>
      </c>
      <c r="M68" s="582">
        <v>0</v>
      </c>
      <c r="N68" s="582">
        <v>0</v>
      </c>
      <c r="O68" s="582">
        <v>0</v>
      </c>
      <c r="P68" s="582">
        <v>0</v>
      </c>
      <c r="Q68" s="582">
        <v>0</v>
      </c>
      <c r="R68" s="582">
        <v>0</v>
      </c>
      <c r="S68" s="582">
        <v>0</v>
      </c>
      <c r="T68" s="582">
        <v>0</v>
      </c>
      <c r="U68" s="582">
        <v>0</v>
      </c>
      <c r="V68" s="582">
        <v>0</v>
      </c>
      <c r="W68" s="582">
        <v>0</v>
      </c>
      <c r="X68" s="582">
        <v>0</v>
      </c>
      <c r="Y68" s="582">
        <v>0</v>
      </c>
      <c r="Z68" s="582">
        <v>0</v>
      </c>
    </row>
    <row r="69" spans="1:26" outlineLevel="2" x14ac:dyDescent="0.2">
      <c r="A69" s="1390"/>
      <c r="B69" s="1391"/>
      <c r="C69" s="1391"/>
      <c r="D69" s="64">
        <v>3</v>
      </c>
      <c r="E69" s="68">
        <f t="shared" si="6"/>
        <v>0</v>
      </c>
      <c r="F69" s="582">
        <v>0</v>
      </c>
      <c r="G69" s="582">
        <v>0</v>
      </c>
      <c r="H69" s="582">
        <v>0</v>
      </c>
      <c r="I69" s="582">
        <v>0</v>
      </c>
      <c r="J69" s="582">
        <v>0</v>
      </c>
      <c r="K69" s="582">
        <v>0</v>
      </c>
      <c r="L69" s="582">
        <v>0</v>
      </c>
      <c r="M69" s="582">
        <v>0</v>
      </c>
      <c r="N69" s="582">
        <v>0</v>
      </c>
      <c r="O69" s="582">
        <v>0</v>
      </c>
      <c r="P69" s="582">
        <v>0</v>
      </c>
      <c r="Q69" s="582">
        <v>0</v>
      </c>
      <c r="R69" s="582">
        <v>0</v>
      </c>
      <c r="S69" s="582">
        <v>0</v>
      </c>
      <c r="T69" s="582">
        <v>0</v>
      </c>
      <c r="U69" s="582">
        <v>0</v>
      </c>
      <c r="V69" s="582">
        <v>0</v>
      </c>
      <c r="W69" s="582">
        <v>0</v>
      </c>
      <c r="X69" s="582">
        <v>0</v>
      </c>
      <c r="Y69" s="582">
        <v>0</v>
      </c>
      <c r="Z69" s="582">
        <v>0</v>
      </c>
    </row>
    <row r="70" spans="1:26" outlineLevel="2" x14ac:dyDescent="0.2">
      <c r="A70" s="1390"/>
      <c r="B70" s="1391"/>
      <c r="C70" s="1391"/>
      <c r="D70" s="64">
        <v>4</v>
      </c>
      <c r="E70" s="68">
        <f t="shared" si="6"/>
        <v>0</v>
      </c>
      <c r="F70" s="582">
        <v>0</v>
      </c>
      <c r="G70" s="582">
        <v>0</v>
      </c>
      <c r="H70" s="582">
        <v>0</v>
      </c>
      <c r="I70" s="582">
        <v>0</v>
      </c>
      <c r="J70" s="582">
        <v>0</v>
      </c>
      <c r="K70" s="582">
        <v>0</v>
      </c>
      <c r="L70" s="582">
        <v>0</v>
      </c>
      <c r="M70" s="582">
        <v>0</v>
      </c>
      <c r="N70" s="582">
        <v>0</v>
      </c>
      <c r="O70" s="582">
        <v>0</v>
      </c>
      <c r="P70" s="582">
        <v>0</v>
      </c>
      <c r="Q70" s="582">
        <v>0</v>
      </c>
      <c r="R70" s="582">
        <v>0</v>
      </c>
      <c r="S70" s="582">
        <v>0</v>
      </c>
      <c r="T70" s="582">
        <v>0</v>
      </c>
      <c r="U70" s="582">
        <v>0</v>
      </c>
      <c r="V70" s="582">
        <v>0</v>
      </c>
      <c r="W70" s="582">
        <v>0</v>
      </c>
      <c r="X70" s="582">
        <v>0</v>
      </c>
      <c r="Y70" s="582">
        <v>0</v>
      </c>
      <c r="Z70" s="582">
        <v>0</v>
      </c>
    </row>
    <row r="71" spans="1:26" outlineLevel="2" x14ac:dyDescent="0.2">
      <c r="A71" s="1390"/>
      <c r="B71" s="1391"/>
      <c r="C71" s="1391"/>
      <c r="D71" s="64">
        <v>5</v>
      </c>
      <c r="E71" s="68">
        <f t="shared" si="6"/>
        <v>0</v>
      </c>
      <c r="F71" s="582">
        <v>0</v>
      </c>
      <c r="G71" s="582">
        <v>0</v>
      </c>
      <c r="H71" s="582">
        <v>0</v>
      </c>
      <c r="I71" s="582">
        <v>0</v>
      </c>
      <c r="J71" s="582">
        <v>0</v>
      </c>
      <c r="K71" s="582">
        <v>0</v>
      </c>
      <c r="L71" s="582">
        <v>0</v>
      </c>
      <c r="M71" s="582">
        <v>0</v>
      </c>
      <c r="N71" s="582">
        <v>0</v>
      </c>
      <c r="O71" s="582">
        <v>0</v>
      </c>
      <c r="P71" s="582">
        <v>0</v>
      </c>
      <c r="Q71" s="582">
        <v>0</v>
      </c>
      <c r="R71" s="582">
        <v>0</v>
      </c>
      <c r="S71" s="582">
        <v>0</v>
      </c>
      <c r="T71" s="582">
        <v>0</v>
      </c>
      <c r="U71" s="582">
        <v>0</v>
      </c>
      <c r="V71" s="582">
        <v>0</v>
      </c>
      <c r="W71" s="582">
        <v>0</v>
      </c>
      <c r="X71" s="582">
        <v>0</v>
      </c>
      <c r="Y71" s="582">
        <v>0</v>
      </c>
      <c r="Z71" s="582">
        <v>0</v>
      </c>
    </row>
    <row r="72" spans="1:26" outlineLevel="2" x14ac:dyDescent="0.2">
      <c r="A72" s="1390"/>
      <c r="B72" s="1391"/>
      <c r="C72" s="1391"/>
      <c r="D72" s="64">
        <v>6</v>
      </c>
      <c r="E72" s="68">
        <f t="shared" si="6"/>
        <v>0</v>
      </c>
      <c r="F72" s="582">
        <v>0</v>
      </c>
      <c r="G72" s="582">
        <v>0</v>
      </c>
      <c r="H72" s="582">
        <v>0</v>
      </c>
      <c r="I72" s="582">
        <v>0</v>
      </c>
      <c r="J72" s="582">
        <v>0</v>
      </c>
      <c r="K72" s="582">
        <v>0</v>
      </c>
      <c r="L72" s="582">
        <v>0</v>
      </c>
      <c r="M72" s="582">
        <v>0</v>
      </c>
      <c r="N72" s="582">
        <v>0</v>
      </c>
      <c r="O72" s="582">
        <v>0</v>
      </c>
      <c r="P72" s="582">
        <v>0</v>
      </c>
      <c r="Q72" s="582">
        <v>0</v>
      </c>
      <c r="R72" s="582">
        <v>0</v>
      </c>
      <c r="S72" s="582">
        <v>0</v>
      </c>
      <c r="T72" s="582">
        <v>0</v>
      </c>
      <c r="U72" s="582">
        <v>0</v>
      </c>
      <c r="V72" s="582">
        <v>0</v>
      </c>
      <c r="W72" s="582">
        <v>0</v>
      </c>
      <c r="X72" s="582">
        <v>0</v>
      </c>
      <c r="Y72" s="582">
        <v>0</v>
      </c>
      <c r="Z72" s="582">
        <v>0</v>
      </c>
    </row>
    <row r="73" spans="1:26" outlineLevel="2" x14ac:dyDescent="0.2">
      <c r="A73" s="1390"/>
      <c r="B73" s="1391"/>
      <c r="C73" s="1391"/>
      <c r="D73" s="64">
        <v>7</v>
      </c>
      <c r="E73" s="68">
        <f t="shared" si="6"/>
        <v>0</v>
      </c>
      <c r="F73" s="582">
        <v>0</v>
      </c>
      <c r="G73" s="582">
        <v>0</v>
      </c>
      <c r="H73" s="582">
        <v>0</v>
      </c>
      <c r="I73" s="582">
        <v>0</v>
      </c>
      <c r="J73" s="582">
        <v>0</v>
      </c>
      <c r="K73" s="582">
        <v>0</v>
      </c>
      <c r="L73" s="582">
        <v>0</v>
      </c>
      <c r="M73" s="582">
        <v>0</v>
      </c>
      <c r="N73" s="582">
        <v>0</v>
      </c>
      <c r="O73" s="582">
        <v>0</v>
      </c>
      <c r="P73" s="582">
        <v>0</v>
      </c>
      <c r="Q73" s="582">
        <v>0</v>
      </c>
      <c r="R73" s="582">
        <v>0</v>
      </c>
      <c r="S73" s="582">
        <v>0</v>
      </c>
      <c r="T73" s="582">
        <v>0</v>
      </c>
      <c r="U73" s="582">
        <v>0</v>
      </c>
      <c r="V73" s="582">
        <v>0</v>
      </c>
      <c r="W73" s="582">
        <v>0</v>
      </c>
      <c r="X73" s="582">
        <v>0</v>
      </c>
      <c r="Y73" s="582">
        <v>0</v>
      </c>
      <c r="Z73" s="582">
        <v>0</v>
      </c>
    </row>
    <row r="74" spans="1:26" outlineLevel="2" x14ac:dyDescent="0.2">
      <c r="A74" s="1390"/>
      <c r="B74" s="1391"/>
      <c r="C74" s="1391"/>
      <c r="D74" s="64">
        <v>8</v>
      </c>
      <c r="E74" s="68">
        <f t="shared" si="6"/>
        <v>0</v>
      </c>
      <c r="F74" s="582">
        <v>0</v>
      </c>
      <c r="G74" s="582">
        <v>0</v>
      </c>
      <c r="H74" s="582">
        <v>0</v>
      </c>
      <c r="I74" s="582">
        <v>0</v>
      </c>
      <c r="J74" s="582">
        <v>0</v>
      </c>
      <c r="K74" s="582">
        <v>0</v>
      </c>
      <c r="L74" s="582">
        <v>0</v>
      </c>
      <c r="M74" s="582">
        <v>0</v>
      </c>
      <c r="N74" s="582">
        <v>0</v>
      </c>
      <c r="O74" s="582">
        <v>0</v>
      </c>
      <c r="P74" s="582">
        <v>0</v>
      </c>
      <c r="Q74" s="582">
        <v>0</v>
      </c>
      <c r="R74" s="582">
        <v>0</v>
      </c>
      <c r="S74" s="582">
        <v>0</v>
      </c>
      <c r="T74" s="582">
        <v>0</v>
      </c>
      <c r="U74" s="582">
        <v>0</v>
      </c>
      <c r="V74" s="582">
        <v>0</v>
      </c>
      <c r="W74" s="582">
        <v>0</v>
      </c>
      <c r="X74" s="582">
        <v>0</v>
      </c>
      <c r="Y74" s="582">
        <v>0</v>
      </c>
      <c r="Z74" s="582">
        <v>0</v>
      </c>
    </row>
    <row r="75" spans="1:26" outlineLevel="2" x14ac:dyDescent="0.2">
      <c r="A75" s="1390"/>
      <c r="B75" s="1391"/>
      <c r="C75" s="1391"/>
      <c r="D75" s="64">
        <v>9</v>
      </c>
      <c r="E75" s="68">
        <f t="shared" si="6"/>
        <v>0</v>
      </c>
      <c r="F75" s="582">
        <v>0</v>
      </c>
      <c r="G75" s="582">
        <v>0</v>
      </c>
      <c r="H75" s="582">
        <v>0</v>
      </c>
      <c r="I75" s="582">
        <v>0</v>
      </c>
      <c r="J75" s="582">
        <v>0</v>
      </c>
      <c r="K75" s="582">
        <v>0</v>
      </c>
      <c r="L75" s="582">
        <v>0</v>
      </c>
      <c r="M75" s="582">
        <v>0</v>
      </c>
      <c r="N75" s="582">
        <v>0</v>
      </c>
      <c r="O75" s="582">
        <v>0</v>
      </c>
      <c r="P75" s="582">
        <v>0</v>
      </c>
      <c r="Q75" s="582">
        <v>0</v>
      </c>
      <c r="R75" s="582">
        <v>0</v>
      </c>
      <c r="S75" s="582">
        <v>0</v>
      </c>
      <c r="T75" s="582">
        <v>0</v>
      </c>
      <c r="U75" s="582">
        <v>0</v>
      </c>
      <c r="V75" s="582">
        <v>0</v>
      </c>
      <c r="W75" s="582">
        <v>0</v>
      </c>
      <c r="X75" s="582">
        <v>0</v>
      </c>
      <c r="Y75" s="582">
        <v>0</v>
      </c>
      <c r="Z75" s="582">
        <v>0</v>
      </c>
    </row>
    <row r="76" spans="1:26" ht="16" outlineLevel="2" thickBot="1" x14ac:dyDescent="0.25">
      <c r="A76" s="1390"/>
      <c r="B76" s="1391"/>
      <c r="C76" s="1391"/>
      <c r="D76" s="65">
        <v>10</v>
      </c>
      <c r="E76" s="69">
        <f t="shared" si="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row>
    <row r="77" spans="1:26" ht="16" thickBot="1" x14ac:dyDescent="0.25">
      <c r="A77" s="1397" t="s">
        <v>77</v>
      </c>
      <c r="B77" s="1398"/>
      <c r="C77" s="1398"/>
      <c r="D77" s="75"/>
      <c r="E77" s="72">
        <f t="shared" ref="E77:F77" si="8">E78+E99</f>
        <v>351597.6158253061</v>
      </c>
      <c r="F77" s="73">
        <f t="shared" si="8"/>
        <v>2544.7300310204082</v>
      </c>
      <c r="G77" s="73">
        <f t="shared" ref="G77:Z77" si="9">G78+G99</f>
        <v>2544.7300310204082</v>
      </c>
      <c r="H77" s="73">
        <f t="shared" si="9"/>
        <v>5852.8790713469407</v>
      </c>
      <c r="I77" s="73">
        <f t="shared" si="9"/>
        <v>44280</v>
      </c>
      <c r="J77" s="73">
        <f t="shared" si="9"/>
        <v>61330.822847999996</v>
      </c>
      <c r="K77" s="73">
        <f t="shared" si="9"/>
        <v>0</v>
      </c>
      <c r="L77" s="73">
        <f t="shared" si="9"/>
        <v>4113.980216816326</v>
      </c>
      <c r="M77" s="73">
        <f t="shared" si="9"/>
        <v>131483.37647020406</v>
      </c>
      <c r="N77" s="73">
        <f t="shared" si="9"/>
        <v>8782.1999999999989</v>
      </c>
      <c r="O77" s="73">
        <f t="shared" si="9"/>
        <v>0</v>
      </c>
      <c r="P77" s="73">
        <f t="shared" si="9"/>
        <v>90664.897156897947</v>
      </c>
      <c r="Q77" s="73">
        <f t="shared" si="9"/>
        <v>0</v>
      </c>
      <c r="R77" s="73">
        <f t="shared" si="9"/>
        <v>0</v>
      </c>
      <c r="S77" s="73">
        <f t="shared" si="9"/>
        <v>0</v>
      </c>
      <c r="T77" s="73">
        <f t="shared" si="9"/>
        <v>0</v>
      </c>
      <c r="U77" s="73">
        <f t="shared" si="9"/>
        <v>0</v>
      </c>
      <c r="V77" s="73">
        <f t="shared" si="9"/>
        <v>0</v>
      </c>
      <c r="W77" s="73">
        <f t="shared" si="9"/>
        <v>0</v>
      </c>
      <c r="X77" s="73">
        <f t="shared" si="9"/>
        <v>0</v>
      </c>
      <c r="Y77" s="73">
        <f t="shared" si="9"/>
        <v>0</v>
      </c>
      <c r="Z77" s="73">
        <f t="shared" si="9"/>
        <v>0</v>
      </c>
    </row>
    <row r="78" spans="1:26" ht="16" outlineLevel="1" thickBot="1" x14ac:dyDescent="0.25">
      <c r="A78" s="17" t="s">
        <v>103</v>
      </c>
      <c r="B78" s="17"/>
      <c r="C78" s="17"/>
      <c r="D78" s="27"/>
      <c r="E78" s="108">
        <f t="shared" ref="E78:F78" si="10">SUM(E79:E98)</f>
        <v>247687.80622530609</v>
      </c>
      <c r="F78" s="109">
        <f t="shared" si="10"/>
        <v>0</v>
      </c>
      <c r="G78" s="109">
        <f t="shared" ref="G78:Z78" si="11">SUM(G79:G98)</f>
        <v>0</v>
      </c>
      <c r="H78" s="109">
        <f t="shared" si="11"/>
        <v>0</v>
      </c>
      <c r="I78" s="109">
        <f t="shared" si="11"/>
        <v>44280</v>
      </c>
      <c r="J78" s="109">
        <f t="shared" si="11"/>
        <v>36392.468543999996</v>
      </c>
      <c r="K78" s="109">
        <f t="shared" si="11"/>
        <v>0</v>
      </c>
      <c r="L78" s="109">
        <f t="shared" si="11"/>
        <v>0</v>
      </c>
      <c r="M78" s="109">
        <f t="shared" si="11"/>
        <v>99250.129410612237</v>
      </c>
      <c r="N78" s="109">
        <f t="shared" si="11"/>
        <v>8782.1999999999989</v>
      </c>
      <c r="O78" s="109">
        <f t="shared" si="11"/>
        <v>0</v>
      </c>
      <c r="P78" s="109">
        <f t="shared" si="11"/>
        <v>58983.008270693863</v>
      </c>
      <c r="Q78" s="109">
        <f t="shared" si="11"/>
        <v>0</v>
      </c>
      <c r="R78" s="109">
        <f t="shared" si="11"/>
        <v>0</v>
      </c>
      <c r="S78" s="109">
        <f t="shared" si="11"/>
        <v>0</v>
      </c>
      <c r="T78" s="109">
        <f t="shared" si="11"/>
        <v>0</v>
      </c>
      <c r="U78" s="109">
        <f t="shared" si="11"/>
        <v>0</v>
      </c>
      <c r="V78" s="109">
        <f t="shared" si="11"/>
        <v>0</v>
      </c>
      <c r="W78" s="109">
        <f t="shared" si="11"/>
        <v>0</v>
      </c>
      <c r="X78" s="109">
        <f t="shared" si="11"/>
        <v>0</v>
      </c>
      <c r="Y78" s="109">
        <f t="shared" si="11"/>
        <v>0</v>
      </c>
      <c r="Z78" s="109">
        <f t="shared" si="11"/>
        <v>0</v>
      </c>
    </row>
    <row r="79" spans="1:26" outlineLevel="2" x14ac:dyDescent="0.2">
      <c r="A79" s="1390" t="s">
        <v>78</v>
      </c>
      <c r="B79" s="1391" t="s">
        <v>79</v>
      </c>
      <c r="C79" s="1391">
        <v>635009</v>
      </c>
      <c r="D79" s="63">
        <v>1</v>
      </c>
      <c r="E79" s="60">
        <f t="shared" ref="E79:E98" si="12">SUM(F79:Z79)</f>
        <v>0</v>
      </c>
      <c r="F79" s="587">
        <f>IFERROR(IF(VLOOKUP(F$2,MODULY_CBA!$B$3:$N$23,13,0)&lt;='TCO TO BE- SW'!$D79,SUM('TCO TO BE- SW'!F$6:F$15)*VLOOKUP('TCO TO BE- SW'!F$2,MODULY_CBA!$B$3:$M$23,12,0),0),0)</f>
        <v>0</v>
      </c>
      <c r="G79" s="587">
        <f>IFERROR(IF(VLOOKUP(G$2,MODULY_CBA!$B$3:$N$23,13,0)&lt;='TCO TO BE- SW'!$D79,SUM('TCO TO BE- SW'!G$6:G$15)*VLOOKUP('TCO TO BE- SW'!G$2,MODULY_CBA!$B$3:$M$23,12,0),0),0)</f>
        <v>0</v>
      </c>
      <c r="H79" s="587">
        <f>IFERROR(IF(VLOOKUP(H$2,MODULY_CBA!$B$3:$N$23,13,0)&lt;='TCO TO BE- SW'!$D79,SUM('TCO TO BE- SW'!H$6:H$15)*VLOOKUP('TCO TO BE- SW'!H$2,MODULY_CBA!$B$3:$M$23,12,0),0),0)</f>
        <v>0</v>
      </c>
      <c r="I79" s="587">
        <v>0</v>
      </c>
      <c r="J79" s="587">
        <v>0</v>
      </c>
      <c r="K79" s="587">
        <v>0</v>
      </c>
      <c r="L79" s="587">
        <v>0</v>
      </c>
      <c r="M79" s="587">
        <v>0</v>
      </c>
      <c r="N79" s="587">
        <v>0</v>
      </c>
      <c r="O79" s="587">
        <v>0</v>
      </c>
      <c r="P79" s="587">
        <v>0</v>
      </c>
      <c r="Q79" s="587">
        <f>IFERROR(IF(VLOOKUP(Q$2,MODULY_CBA!$B$3:$N$23,13,0)&lt;='TCO TO BE- SW'!$D79,SUM('TCO TO BE- SW'!Q$6:Q$15)*VLOOKUP('TCO TO BE- SW'!Q$2,MODULY_CBA!$B$3:$M$23,12,0),0),0)</f>
        <v>0</v>
      </c>
      <c r="R79" s="587">
        <f>IFERROR(IF(VLOOKUP(R$2,MODULY_CBA!$B$3:$N$23,13,0)&lt;='TCO TO BE- SW'!$D79,SUM('TCO TO BE- SW'!R$6:R$15)*VLOOKUP('TCO TO BE- SW'!R$2,MODULY_CBA!$B$3:$M$23,12,0),0),0)</f>
        <v>0</v>
      </c>
      <c r="S79" s="587">
        <f>IFERROR(IF(VLOOKUP(S$2,MODULY_CBA!$B$3:$N$23,13,0)&lt;='TCO TO BE- SW'!$D79,SUM('TCO TO BE- SW'!S$6:S$15)*VLOOKUP('TCO TO BE- SW'!S$2,MODULY_CBA!$B$3:$M$23,12,0),0),0)</f>
        <v>0</v>
      </c>
      <c r="T79" s="587">
        <f>IFERROR(IF(VLOOKUP(T$2,MODULY_CBA!$B$3:$N$23,13,0)&lt;='TCO TO BE- SW'!$D79,SUM('TCO TO BE- SW'!T$6:T$15)*VLOOKUP('TCO TO BE- SW'!T$2,MODULY_CBA!$B$3:$M$23,12,0),0),0)</f>
        <v>0</v>
      </c>
      <c r="U79" s="587">
        <f>IFERROR(IF(VLOOKUP(U$2,MODULY_CBA!$B$3:$N$23,13,0)&lt;='TCO TO BE- SW'!$D79,SUM('TCO TO BE- SW'!U$6:U$15)*VLOOKUP('TCO TO BE- SW'!U$2,MODULY_CBA!$B$3:$M$23,12,0),0),0)</f>
        <v>0</v>
      </c>
      <c r="V79" s="587">
        <f>IFERROR(IF(VLOOKUP(V$2,MODULY_CBA!$B$3:$N$23,13,0)&lt;='TCO TO BE- SW'!$D79,SUM('TCO TO BE- SW'!V$6:V$15)*VLOOKUP('TCO TO BE- SW'!V$2,MODULY_CBA!$B$3:$M$23,12,0),0),0)</f>
        <v>0</v>
      </c>
      <c r="W79" s="587">
        <f>IFERROR(IF(VLOOKUP(W$2,MODULY_CBA!$B$3:$N$23,13,0)&lt;='TCO TO BE- SW'!$D79,SUM('TCO TO BE- SW'!W$6:W$15)*VLOOKUP('TCO TO BE- SW'!W$2,MODULY_CBA!$B$3:$M$23,12,0),0),0)</f>
        <v>0</v>
      </c>
      <c r="X79" s="587">
        <f>IFERROR(IF(VLOOKUP(X$2,MODULY_CBA!$B$3:$N$23,13,0)&lt;='TCO TO BE- SW'!$D79,SUM('TCO TO BE- SW'!X$6:X$15)*VLOOKUP('TCO TO BE- SW'!X$2,MODULY_CBA!$B$3:$M$23,12,0),0),0)</f>
        <v>0</v>
      </c>
      <c r="Y79" s="587">
        <f>IFERROR(IF(VLOOKUP(Y$2,MODULY_CBA!$B$3:$N$23,13,0)&lt;='TCO TO BE- SW'!$D79,SUM('TCO TO BE- SW'!Y$6:Y$15)*VLOOKUP('TCO TO BE- SW'!Y$2,MODULY_CBA!$B$3:$M$23,12,0),0),0)</f>
        <v>0</v>
      </c>
      <c r="Z79" s="587">
        <f>IFERROR(IF(VLOOKUP(Z$2,MODULY_CBA!$B$3:$N$23,13,0)&lt;='TCO TO BE- SW'!$D79,SUM('TCO TO BE- SW'!Z$6:Z$15)*VLOOKUP('TCO TO BE- SW'!Z$2,MODULY_CBA!$B$3:$M$23,12,0),0),0)</f>
        <v>0</v>
      </c>
    </row>
    <row r="80" spans="1:26" outlineLevel="2" x14ac:dyDescent="0.2">
      <c r="A80" s="1390"/>
      <c r="B80" s="1391"/>
      <c r="C80" s="1391"/>
      <c r="D80" s="64">
        <v>2</v>
      </c>
      <c r="E80" s="61">
        <f t="shared" si="12"/>
        <v>0</v>
      </c>
      <c r="F80" s="588">
        <f>IFERROR(IF(VLOOKUP(F$2,MODULY_CBA!$B$3:$N$23,13,0)&lt;='TCO TO BE- SW'!$D80,SUM('TCO TO BE- SW'!F$6:F$15)*VLOOKUP('TCO TO BE- SW'!F$2,MODULY_CBA!$B$3:$M$23,12,0),0),0)</f>
        <v>0</v>
      </c>
      <c r="G80" s="588">
        <f>IFERROR(IF(VLOOKUP(G$2,MODULY_CBA!$B$3:$N$23,13,0)&lt;='TCO TO BE- SW'!$D80,SUM('TCO TO BE- SW'!G$6:G$15)*VLOOKUP('TCO TO BE- SW'!G$2,MODULY_CBA!$B$3:$M$23,12,0),0),0)</f>
        <v>0</v>
      </c>
      <c r="H80" s="588">
        <f>IFERROR(IF(VLOOKUP(H$2,MODULY_CBA!$B$3:$N$23,13,0)&lt;='TCO TO BE- SW'!$D80,SUM('TCO TO BE- SW'!H$6:H$15)*VLOOKUP('TCO TO BE- SW'!H$2,MODULY_CBA!$B$3:$M$23,12,0),0),0)</f>
        <v>0</v>
      </c>
      <c r="I80" s="588">
        <v>0</v>
      </c>
      <c r="J80" s="588">
        <v>0</v>
      </c>
      <c r="K80" s="588">
        <v>0</v>
      </c>
      <c r="L80" s="588">
        <v>0</v>
      </c>
      <c r="M80" s="588">
        <v>0</v>
      </c>
      <c r="N80" s="588">
        <v>0</v>
      </c>
      <c r="O80" s="588">
        <v>0</v>
      </c>
      <c r="P80" s="588">
        <v>0</v>
      </c>
      <c r="Q80" s="588">
        <f>IFERROR(IF(VLOOKUP(Q$2,MODULY_CBA!$B$3:$N$23,13,0)&lt;='TCO TO BE- SW'!$D80,SUM('TCO TO BE- SW'!Q$6:Q$15)*VLOOKUP('TCO TO BE- SW'!Q$2,MODULY_CBA!$B$3:$M$23,12,0),0),0)</f>
        <v>0</v>
      </c>
      <c r="R80" s="588">
        <f>IFERROR(IF(VLOOKUP(R$2,MODULY_CBA!$B$3:$N$23,13,0)&lt;='TCO TO BE- SW'!$D80,SUM('TCO TO BE- SW'!R$6:R$15)*VLOOKUP('TCO TO BE- SW'!R$2,MODULY_CBA!$B$3:$M$23,12,0),0),0)</f>
        <v>0</v>
      </c>
      <c r="S80" s="588">
        <f>IFERROR(IF(VLOOKUP(S$2,MODULY_CBA!$B$3:$N$23,13,0)&lt;='TCO TO BE- SW'!$D80,SUM('TCO TO BE- SW'!S$6:S$15)*VLOOKUP('TCO TO BE- SW'!S$2,MODULY_CBA!$B$3:$M$23,12,0),0),0)</f>
        <v>0</v>
      </c>
      <c r="T80" s="588">
        <f>IFERROR(IF(VLOOKUP(T$2,MODULY_CBA!$B$3:$N$23,13,0)&lt;='TCO TO BE- SW'!$D80,SUM('TCO TO BE- SW'!T$6:T$15)*VLOOKUP('TCO TO BE- SW'!T$2,MODULY_CBA!$B$3:$M$23,12,0),0),0)</f>
        <v>0</v>
      </c>
      <c r="U80" s="588">
        <f>IFERROR(IF(VLOOKUP(U$2,MODULY_CBA!$B$3:$N$23,13,0)&lt;='TCO TO BE- SW'!$D80,SUM('TCO TO BE- SW'!U$6:U$15)*VLOOKUP('TCO TO BE- SW'!U$2,MODULY_CBA!$B$3:$M$23,12,0),0),0)</f>
        <v>0</v>
      </c>
      <c r="V80" s="588">
        <f>IFERROR(IF(VLOOKUP(V$2,MODULY_CBA!$B$3:$N$23,13,0)&lt;='TCO TO BE- SW'!$D80,SUM('TCO TO BE- SW'!V$6:V$15)*VLOOKUP('TCO TO BE- SW'!V$2,MODULY_CBA!$B$3:$M$23,12,0),0),0)</f>
        <v>0</v>
      </c>
      <c r="W80" s="588">
        <f>IFERROR(IF(VLOOKUP(W$2,MODULY_CBA!$B$3:$N$23,13,0)&lt;='TCO TO BE- SW'!$D80,SUM('TCO TO BE- SW'!W$6:W$15)*VLOOKUP('TCO TO BE- SW'!W$2,MODULY_CBA!$B$3:$M$23,12,0),0),0)</f>
        <v>0</v>
      </c>
      <c r="X80" s="588">
        <f>IFERROR(IF(VLOOKUP(X$2,MODULY_CBA!$B$3:$N$23,13,0)&lt;='TCO TO BE- SW'!$D80,SUM('TCO TO BE- SW'!X$6:X$15)*VLOOKUP('TCO TO BE- SW'!X$2,MODULY_CBA!$B$3:$M$23,12,0),0),0)</f>
        <v>0</v>
      </c>
      <c r="Y80" s="588">
        <f>IFERROR(IF(VLOOKUP(Y$2,MODULY_CBA!$B$3:$N$23,13,0)&lt;='TCO TO BE- SW'!$D80,SUM('TCO TO BE- SW'!Y$6:Y$15)*VLOOKUP('TCO TO BE- SW'!Y$2,MODULY_CBA!$B$3:$M$23,12,0),0),0)</f>
        <v>0</v>
      </c>
      <c r="Z80" s="588">
        <f>IFERROR(IF(VLOOKUP(Z$2,MODULY_CBA!$B$3:$N$23,13,0)&lt;='TCO TO BE- SW'!$D80,SUM('TCO TO BE- SW'!Z$6:Z$15)*VLOOKUP('TCO TO BE- SW'!Z$2,MODULY_CBA!$B$3:$M$23,12,0),0),0)</f>
        <v>0</v>
      </c>
    </row>
    <row r="81" spans="1:26" outlineLevel="2" x14ac:dyDescent="0.2">
      <c r="A81" s="1390"/>
      <c r="B81" s="1391"/>
      <c r="C81" s="1391"/>
      <c r="D81" s="64">
        <v>3</v>
      </c>
      <c r="E81" s="61">
        <f t="shared" si="12"/>
        <v>0</v>
      </c>
      <c r="F81" s="589">
        <f>IFERROR(IF(VLOOKUP(F$2,MODULY_CBA!$B$3:$N$23,13,0)&lt;='TCO TO BE- SW'!$D81,SUM('TCO TO BE- SW'!F$6:F$15)*VLOOKUP('TCO TO BE- SW'!F$2,MODULY_CBA!$B$3:$M$23,12,0),0),0)</f>
        <v>0</v>
      </c>
      <c r="G81" s="589">
        <f>IFERROR(IF(VLOOKUP(G$2,MODULY_CBA!$B$3:$N$23,13,0)&lt;='TCO TO BE- SW'!$D81,SUM('TCO TO BE- SW'!G$6:G$15)*VLOOKUP('TCO TO BE- SW'!G$2,MODULY_CBA!$B$3:$M$23,12,0),0),0)</f>
        <v>0</v>
      </c>
      <c r="H81" s="589">
        <f>IFERROR(IF(VLOOKUP(H$2,MODULY_CBA!$B$3:$N$23,13,0)&lt;='TCO TO BE- SW'!$D81,SUM('TCO TO BE- SW'!H$6:H$15)*VLOOKUP('TCO TO BE- SW'!H$2,MODULY_CBA!$B$3:$M$23,12,0),0),0)</f>
        <v>0</v>
      </c>
      <c r="I81" s="588">
        <v>0</v>
      </c>
      <c r="J81" s="588">
        <v>0</v>
      </c>
      <c r="K81" s="588">
        <v>0</v>
      </c>
      <c r="L81" s="588">
        <v>0</v>
      </c>
      <c r="M81" s="588">
        <v>0</v>
      </c>
      <c r="N81" s="588">
        <v>0</v>
      </c>
      <c r="O81" s="588">
        <v>0</v>
      </c>
      <c r="P81" s="588">
        <v>0</v>
      </c>
      <c r="Q81" s="589">
        <f>IFERROR(IF(VLOOKUP(Q$2,MODULY_CBA!$B$3:$N$23,13,0)&lt;='TCO TO BE- SW'!$D81,SUM('TCO TO BE- SW'!Q$6:Q$15)*VLOOKUP('TCO TO BE- SW'!Q$2,MODULY_CBA!$B$3:$M$23,12,0),0),0)</f>
        <v>0</v>
      </c>
      <c r="R81" s="589">
        <f>IFERROR(IF(VLOOKUP(R$2,MODULY_CBA!$B$3:$N$23,13,0)&lt;='TCO TO BE- SW'!$D81,SUM('TCO TO BE- SW'!R$6:R$15)*VLOOKUP('TCO TO BE- SW'!R$2,MODULY_CBA!$B$3:$M$23,12,0),0),0)</f>
        <v>0</v>
      </c>
      <c r="S81" s="589">
        <f>IFERROR(IF(VLOOKUP(S$2,MODULY_CBA!$B$3:$N$23,13,0)&lt;='TCO TO BE- SW'!$D81,SUM('TCO TO BE- SW'!S$6:S$15)*VLOOKUP('TCO TO BE- SW'!S$2,MODULY_CBA!$B$3:$M$23,12,0),0),0)</f>
        <v>0</v>
      </c>
      <c r="T81" s="589">
        <f>IFERROR(IF(VLOOKUP(T$2,MODULY_CBA!$B$3:$N$23,13,0)&lt;='TCO TO BE- SW'!$D81,SUM('TCO TO BE- SW'!T$6:T$15)*VLOOKUP('TCO TO BE- SW'!T$2,MODULY_CBA!$B$3:$M$23,12,0),0),0)</f>
        <v>0</v>
      </c>
      <c r="U81" s="589">
        <f>IFERROR(IF(VLOOKUP(U$2,MODULY_CBA!$B$3:$N$23,13,0)&lt;='TCO TO BE- SW'!$D81,SUM('TCO TO BE- SW'!U$6:U$15)*VLOOKUP('TCO TO BE- SW'!U$2,MODULY_CBA!$B$3:$M$23,12,0),0),0)</f>
        <v>0</v>
      </c>
      <c r="V81" s="589">
        <f>IFERROR(IF(VLOOKUP(V$2,MODULY_CBA!$B$3:$N$23,13,0)&lt;='TCO TO BE- SW'!$D81,SUM('TCO TO BE- SW'!V$6:V$15)*VLOOKUP('TCO TO BE- SW'!V$2,MODULY_CBA!$B$3:$M$23,12,0),0),0)</f>
        <v>0</v>
      </c>
      <c r="W81" s="589">
        <f>IFERROR(IF(VLOOKUP(W$2,MODULY_CBA!$B$3:$N$23,13,0)&lt;='TCO TO BE- SW'!$D81,SUM('TCO TO BE- SW'!W$6:W$15)*VLOOKUP('TCO TO BE- SW'!W$2,MODULY_CBA!$B$3:$M$23,12,0),0),0)</f>
        <v>0</v>
      </c>
      <c r="X81" s="589">
        <f>IFERROR(IF(VLOOKUP(X$2,MODULY_CBA!$B$3:$N$23,13,0)&lt;='TCO TO BE- SW'!$D81,SUM('TCO TO BE- SW'!X$6:X$15)*VLOOKUP('TCO TO BE- SW'!X$2,MODULY_CBA!$B$3:$M$23,12,0),0),0)</f>
        <v>0</v>
      </c>
      <c r="Y81" s="589">
        <f>IFERROR(IF(VLOOKUP(Y$2,MODULY_CBA!$B$3:$N$23,13,0)&lt;='TCO TO BE- SW'!$D81,SUM('TCO TO BE- SW'!Y$6:Y$15)*VLOOKUP('TCO TO BE- SW'!Y$2,MODULY_CBA!$B$3:$M$23,12,0),0),0)</f>
        <v>0</v>
      </c>
      <c r="Z81" s="589">
        <f>IFERROR(IF(VLOOKUP(Z$2,MODULY_CBA!$B$3:$N$23,13,0)&lt;='TCO TO BE- SW'!$D81,SUM('TCO TO BE- SW'!Z$6:Z$15)*VLOOKUP('TCO TO BE- SW'!Z$2,MODULY_CBA!$B$3:$M$23,12,0),0),0)</f>
        <v>0</v>
      </c>
    </row>
    <row r="82" spans="1:26" outlineLevel="2" x14ac:dyDescent="0.2">
      <c r="A82" s="1390"/>
      <c r="B82" s="1391"/>
      <c r="C82" s="1391"/>
      <c r="D82" s="64">
        <v>4</v>
      </c>
      <c r="E82" s="61">
        <f t="shared" si="12"/>
        <v>0</v>
      </c>
      <c r="F82" s="589">
        <f>IFERROR(IF(VLOOKUP(F$2,MODULY_CBA!$B$3:$N$23,13,0)&lt;='TCO TO BE- SW'!$D82,SUM('TCO TO BE- SW'!F$6:F$15)*VLOOKUP('TCO TO BE- SW'!F$2,MODULY_CBA!$B$3:$M$23,12,0),0),0)</f>
        <v>0</v>
      </c>
      <c r="G82" s="589">
        <f>IFERROR(IF(VLOOKUP(G$2,MODULY_CBA!$B$3:$N$23,13,0)&lt;='TCO TO BE- SW'!$D82,SUM('TCO TO BE- SW'!G$6:G$15)*VLOOKUP('TCO TO BE- SW'!G$2,MODULY_CBA!$B$3:$M$23,12,0),0),0)</f>
        <v>0</v>
      </c>
      <c r="H82" s="589">
        <f>IFERROR(IF(VLOOKUP(H$2,MODULY_CBA!$B$3:$N$23,13,0)&lt;='TCO TO BE- SW'!$D82,SUM('TCO TO BE- SW'!H$6:H$15)*VLOOKUP('TCO TO BE- SW'!H$2,MODULY_CBA!$B$3:$M$23,12,0),0),0)</f>
        <v>0</v>
      </c>
      <c r="I82" s="588">
        <v>0</v>
      </c>
      <c r="J82" s="588">
        <v>0</v>
      </c>
      <c r="K82" s="588">
        <v>0</v>
      </c>
      <c r="L82" s="588">
        <v>0</v>
      </c>
      <c r="M82" s="588">
        <v>0</v>
      </c>
      <c r="N82" s="588">
        <v>0</v>
      </c>
      <c r="O82" s="588">
        <v>0</v>
      </c>
      <c r="P82" s="588">
        <v>0</v>
      </c>
      <c r="Q82" s="589">
        <f>IFERROR(IF(VLOOKUP(Q$2,MODULY_CBA!$B$3:$N$23,13,0)&lt;='TCO TO BE- SW'!$D82,SUM('TCO TO BE- SW'!Q$6:Q$15)*VLOOKUP('TCO TO BE- SW'!Q$2,MODULY_CBA!$B$3:$M$23,12,0),0),0)</f>
        <v>0</v>
      </c>
      <c r="R82" s="589">
        <f>IFERROR(IF(VLOOKUP(R$2,MODULY_CBA!$B$3:$N$23,13,0)&lt;='TCO TO BE- SW'!$D82,SUM('TCO TO BE- SW'!R$6:R$15)*VLOOKUP('TCO TO BE- SW'!R$2,MODULY_CBA!$B$3:$M$23,12,0),0),0)</f>
        <v>0</v>
      </c>
      <c r="S82" s="589">
        <f>IFERROR(IF(VLOOKUP(S$2,MODULY_CBA!$B$3:$N$23,13,0)&lt;='TCO TO BE- SW'!$D82,SUM('TCO TO BE- SW'!S$6:S$15)*VLOOKUP('TCO TO BE- SW'!S$2,MODULY_CBA!$B$3:$M$23,12,0),0),0)</f>
        <v>0</v>
      </c>
      <c r="T82" s="589">
        <f>IFERROR(IF(VLOOKUP(T$2,MODULY_CBA!$B$3:$N$23,13,0)&lt;='TCO TO BE- SW'!$D82,SUM('TCO TO BE- SW'!T$6:T$15)*VLOOKUP('TCO TO BE- SW'!T$2,MODULY_CBA!$B$3:$M$23,12,0),0),0)</f>
        <v>0</v>
      </c>
      <c r="U82" s="589">
        <f>IFERROR(IF(VLOOKUP(U$2,MODULY_CBA!$B$3:$N$23,13,0)&lt;='TCO TO BE- SW'!$D82,SUM('TCO TO BE- SW'!U$6:U$15)*VLOOKUP('TCO TO BE- SW'!U$2,MODULY_CBA!$B$3:$M$23,12,0),0),0)</f>
        <v>0</v>
      </c>
      <c r="V82" s="589">
        <f>IFERROR(IF(VLOOKUP(V$2,MODULY_CBA!$B$3:$N$23,13,0)&lt;='TCO TO BE- SW'!$D82,SUM('TCO TO BE- SW'!V$6:V$15)*VLOOKUP('TCO TO BE- SW'!V$2,MODULY_CBA!$B$3:$M$23,12,0),0),0)</f>
        <v>0</v>
      </c>
      <c r="W82" s="589">
        <f>IFERROR(IF(VLOOKUP(W$2,MODULY_CBA!$B$3:$N$23,13,0)&lt;='TCO TO BE- SW'!$D82,SUM('TCO TO BE- SW'!W$6:W$15)*VLOOKUP('TCO TO BE- SW'!W$2,MODULY_CBA!$B$3:$M$23,12,0),0),0)</f>
        <v>0</v>
      </c>
      <c r="X82" s="589">
        <f>IFERROR(IF(VLOOKUP(X$2,MODULY_CBA!$B$3:$N$23,13,0)&lt;='TCO TO BE- SW'!$D82,SUM('TCO TO BE- SW'!X$6:X$15)*VLOOKUP('TCO TO BE- SW'!X$2,MODULY_CBA!$B$3:$M$23,12,0),0),0)</f>
        <v>0</v>
      </c>
      <c r="Y82" s="589">
        <f>IFERROR(IF(VLOOKUP(Y$2,MODULY_CBA!$B$3:$N$23,13,0)&lt;='TCO TO BE- SW'!$D82,SUM('TCO TO BE- SW'!Y$6:Y$15)*VLOOKUP('TCO TO BE- SW'!Y$2,MODULY_CBA!$B$3:$M$23,12,0),0),0)</f>
        <v>0</v>
      </c>
      <c r="Z82" s="589">
        <f>IFERROR(IF(VLOOKUP(Z$2,MODULY_CBA!$B$3:$N$23,13,0)&lt;='TCO TO BE- SW'!$D82,SUM('TCO TO BE- SW'!Z$6:Z$15)*VLOOKUP('TCO TO BE- SW'!Z$2,MODULY_CBA!$B$3:$M$23,12,0),0),0)</f>
        <v>0</v>
      </c>
    </row>
    <row r="83" spans="1:26" outlineLevel="2" x14ac:dyDescent="0.2">
      <c r="A83" s="1390"/>
      <c r="B83" s="1391"/>
      <c r="C83" s="1391"/>
      <c r="D83" s="64">
        <v>5</v>
      </c>
      <c r="E83" s="61">
        <f t="shared" si="12"/>
        <v>0</v>
      </c>
      <c r="F83" s="589">
        <f>IFERROR(IF(VLOOKUP(F$2,MODULY_CBA!$B$3:$N$23,13,0)&lt;='TCO TO BE- SW'!$D83,SUM('TCO TO BE- SW'!F$6:F$15)*VLOOKUP('TCO TO BE- SW'!F$2,MODULY_CBA!$B$3:$M$23,12,0),0),0)</f>
        <v>0</v>
      </c>
      <c r="G83" s="589">
        <f>IFERROR(IF(VLOOKUP(G$2,MODULY_CBA!$B$3:$N$23,13,0)&lt;='TCO TO BE- SW'!$D83,SUM('TCO TO BE- SW'!G$6:G$15)*VLOOKUP('TCO TO BE- SW'!G$2,MODULY_CBA!$B$3:$M$23,12,0),0),0)</f>
        <v>0</v>
      </c>
      <c r="H83" s="589">
        <f>IFERROR(IF(VLOOKUP(H$2,MODULY_CBA!$B$3:$N$23,13,0)&lt;='TCO TO BE- SW'!$D83,SUM('TCO TO BE- SW'!H$6:H$15)*VLOOKUP('TCO TO BE- SW'!H$2,MODULY_CBA!$B$3:$M$23,12,0),0),0)</f>
        <v>0</v>
      </c>
      <c r="I83" s="588">
        <v>0</v>
      </c>
      <c r="J83" s="588">
        <v>0</v>
      </c>
      <c r="K83" s="588">
        <v>0</v>
      </c>
      <c r="L83" s="588">
        <v>0</v>
      </c>
      <c r="M83" s="588">
        <v>0</v>
      </c>
      <c r="N83" s="588">
        <v>0</v>
      </c>
      <c r="O83" s="588">
        <v>0</v>
      </c>
      <c r="P83" s="588">
        <v>0</v>
      </c>
      <c r="Q83" s="589">
        <f>IFERROR(IF(VLOOKUP(Q$2,MODULY_CBA!$B$3:$N$23,13,0)&lt;='TCO TO BE- SW'!$D83,SUM('TCO TO BE- SW'!Q$6:Q$15)*VLOOKUP('TCO TO BE- SW'!Q$2,MODULY_CBA!$B$3:$M$23,12,0),0),0)</f>
        <v>0</v>
      </c>
      <c r="R83" s="589">
        <f>IFERROR(IF(VLOOKUP(R$2,MODULY_CBA!$B$3:$N$23,13,0)&lt;='TCO TO BE- SW'!$D83,SUM('TCO TO BE- SW'!R$6:R$15)*VLOOKUP('TCO TO BE- SW'!R$2,MODULY_CBA!$B$3:$M$23,12,0),0),0)</f>
        <v>0</v>
      </c>
      <c r="S83" s="589">
        <f>IFERROR(IF(VLOOKUP(S$2,MODULY_CBA!$B$3:$N$23,13,0)&lt;='TCO TO BE- SW'!$D83,SUM('TCO TO BE- SW'!S$6:S$15)*VLOOKUP('TCO TO BE- SW'!S$2,MODULY_CBA!$B$3:$M$23,12,0),0),0)</f>
        <v>0</v>
      </c>
      <c r="T83" s="589">
        <f>IFERROR(IF(VLOOKUP(T$2,MODULY_CBA!$B$3:$N$23,13,0)&lt;='TCO TO BE- SW'!$D83,SUM('TCO TO BE- SW'!T$6:T$15)*VLOOKUP('TCO TO BE- SW'!T$2,MODULY_CBA!$B$3:$M$23,12,0),0),0)</f>
        <v>0</v>
      </c>
      <c r="U83" s="589">
        <f>IFERROR(IF(VLOOKUP(U$2,MODULY_CBA!$B$3:$N$23,13,0)&lt;='TCO TO BE- SW'!$D83,SUM('TCO TO BE- SW'!U$6:U$15)*VLOOKUP('TCO TO BE- SW'!U$2,MODULY_CBA!$B$3:$M$23,12,0),0),0)</f>
        <v>0</v>
      </c>
      <c r="V83" s="589">
        <f>IFERROR(IF(VLOOKUP(V$2,MODULY_CBA!$B$3:$N$23,13,0)&lt;='TCO TO BE- SW'!$D83,SUM('TCO TO BE- SW'!V$6:V$15)*VLOOKUP('TCO TO BE- SW'!V$2,MODULY_CBA!$B$3:$M$23,12,0),0),0)</f>
        <v>0</v>
      </c>
      <c r="W83" s="589">
        <f>IFERROR(IF(VLOOKUP(W$2,MODULY_CBA!$B$3:$N$23,13,0)&lt;='TCO TO BE- SW'!$D83,SUM('TCO TO BE- SW'!W$6:W$15)*VLOOKUP('TCO TO BE- SW'!W$2,MODULY_CBA!$B$3:$M$23,12,0),0),0)</f>
        <v>0</v>
      </c>
      <c r="X83" s="589">
        <f>IFERROR(IF(VLOOKUP(X$2,MODULY_CBA!$B$3:$N$23,13,0)&lt;='TCO TO BE- SW'!$D83,SUM('TCO TO BE- SW'!X$6:X$15)*VLOOKUP('TCO TO BE- SW'!X$2,MODULY_CBA!$B$3:$M$23,12,0),0),0)</f>
        <v>0</v>
      </c>
      <c r="Y83" s="589">
        <f>IFERROR(IF(VLOOKUP(Y$2,MODULY_CBA!$B$3:$N$23,13,0)&lt;='TCO TO BE- SW'!$D83,SUM('TCO TO BE- SW'!Y$6:Y$15)*VLOOKUP('TCO TO BE- SW'!Y$2,MODULY_CBA!$B$3:$M$23,12,0),0),0)</f>
        <v>0</v>
      </c>
      <c r="Z83" s="589">
        <f>IFERROR(IF(VLOOKUP(Z$2,MODULY_CBA!$B$3:$N$23,13,0)&lt;='TCO TO BE- SW'!$D83,SUM('TCO TO BE- SW'!Z$6:Z$15)*VLOOKUP('TCO TO BE- SW'!Z$2,MODULY_CBA!$B$3:$M$23,12,0),0),0)</f>
        <v>0</v>
      </c>
    </row>
    <row r="84" spans="1:26" outlineLevel="2" x14ac:dyDescent="0.2">
      <c r="A84" s="1390"/>
      <c r="B84" s="1391"/>
      <c r="C84" s="1391"/>
      <c r="D84" s="64">
        <v>6</v>
      </c>
      <c r="E84" s="61">
        <f t="shared" si="12"/>
        <v>0</v>
      </c>
      <c r="F84" s="589">
        <f>IFERROR(IF(VLOOKUP(F$2,MODULY_CBA!$B$3:$N$23,13,0)&lt;='TCO TO BE- SW'!$D84,SUM('TCO TO BE- SW'!F$6:F$15)*VLOOKUP('TCO TO BE- SW'!F$2,MODULY_CBA!$B$3:$M$23,12,0),0),0)</f>
        <v>0</v>
      </c>
      <c r="G84" s="589">
        <f>IFERROR(IF(VLOOKUP(G$2,MODULY_CBA!$B$3:$N$23,13,0)&lt;='TCO TO BE- SW'!$D84,SUM('TCO TO BE- SW'!G$6:G$15)*VLOOKUP('TCO TO BE- SW'!G$2,MODULY_CBA!$B$3:$M$23,12,0),0),0)</f>
        <v>0</v>
      </c>
      <c r="H84" s="589">
        <f>IFERROR(IF(VLOOKUP(H$2,MODULY_CBA!$B$3:$N$23,13,0)&lt;='TCO TO BE- SW'!$D84,SUM('TCO TO BE- SW'!H$6:H$15)*VLOOKUP('TCO TO BE- SW'!H$2,MODULY_CBA!$B$3:$M$23,12,0),0),0)</f>
        <v>0</v>
      </c>
      <c r="I84" s="588">
        <v>0</v>
      </c>
      <c r="J84" s="588">
        <v>0</v>
      </c>
      <c r="K84" s="588">
        <v>0</v>
      </c>
      <c r="L84" s="588">
        <v>0</v>
      </c>
      <c r="M84" s="588">
        <v>0</v>
      </c>
      <c r="N84" s="588">
        <v>0</v>
      </c>
      <c r="O84" s="588">
        <v>0</v>
      </c>
      <c r="P84" s="588">
        <v>0</v>
      </c>
      <c r="Q84" s="589">
        <f>IFERROR(IF(VLOOKUP(Q$2,MODULY_CBA!$B$3:$N$23,13,0)&lt;='TCO TO BE- SW'!$D84,SUM('TCO TO BE- SW'!Q$6:Q$15)*VLOOKUP('TCO TO BE- SW'!Q$2,MODULY_CBA!$B$3:$M$23,12,0),0),0)</f>
        <v>0</v>
      </c>
      <c r="R84" s="589">
        <f>IFERROR(IF(VLOOKUP(R$2,MODULY_CBA!$B$3:$N$23,13,0)&lt;='TCO TO BE- SW'!$D84,SUM('TCO TO BE- SW'!R$6:R$15)*VLOOKUP('TCO TO BE- SW'!R$2,MODULY_CBA!$B$3:$M$23,12,0),0),0)</f>
        <v>0</v>
      </c>
      <c r="S84" s="589">
        <f>IFERROR(IF(VLOOKUP(S$2,MODULY_CBA!$B$3:$N$23,13,0)&lt;='TCO TO BE- SW'!$D84,SUM('TCO TO BE- SW'!S$6:S$15)*VLOOKUP('TCO TO BE- SW'!S$2,MODULY_CBA!$B$3:$M$23,12,0),0),0)</f>
        <v>0</v>
      </c>
      <c r="T84" s="589">
        <f>IFERROR(IF(VLOOKUP(T$2,MODULY_CBA!$B$3:$N$23,13,0)&lt;='TCO TO BE- SW'!$D84,SUM('TCO TO BE- SW'!T$6:T$15)*VLOOKUP('TCO TO BE- SW'!T$2,MODULY_CBA!$B$3:$M$23,12,0),0),0)</f>
        <v>0</v>
      </c>
      <c r="U84" s="589">
        <f>IFERROR(IF(VLOOKUP(U$2,MODULY_CBA!$B$3:$N$23,13,0)&lt;='TCO TO BE- SW'!$D84,SUM('TCO TO BE- SW'!U$6:U$15)*VLOOKUP('TCO TO BE- SW'!U$2,MODULY_CBA!$B$3:$M$23,12,0),0),0)</f>
        <v>0</v>
      </c>
      <c r="V84" s="589">
        <f>IFERROR(IF(VLOOKUP(V$2,MODULY_CBA!$B$3:$N$23,13,0)&lt;='TCO TO BE- SW'!$D84,SUM('TCO TO BE- SW'!V$6:V$15)*VLOOKUP('TCO TO BE- SW'!V$2,MODULY_CBA!$B$3:$M$23,12,0),0),0)</f>
        <v>0</v>
      </c>
      <c r="W84" s="589">
        <f>IFERROR(IF(VLOOKUP(W$2,MODULY_CBA!$B$3:$N$23,13,0)&lt;='TCO TO BE- SW'!$D84,SUM('TCO TO BE- SW'!W$6:W$15)*VLOOKUP('TCO TO BE- SW'!W$2,MODULY_CBA!$B$3:$M$23,12,0),0),0)</f>
        <v>0</v>
      </c>
      <c r="X84" s="589">
        <f>IFERROR(IF(VLOOKUP(X$2,MODULY_CBA!$B$3:$N$23,13,0)&lt;='TCO TO BE- SW'!$D84,SUM('TCO TO BE- SW'!X$6:X$15)*VLOOKUP('TCO TO BE- SW'!X$2,MODULY_CBA!$B$3:$M$23,12,0),0),0)</f>
        <v>0</v>
      </c>
      <c r="Y84" s="589">
        <f>IFERROR(IF(VLOOKUP(Y$2,MODULY_CBA!$B$3:$N$23,13,0)&lt;='TCO TO BE- SW'!$D84,SUM('TCO TO BE- SW'!Y$6:Y$15)*VLOOKUP('TCO TO BE- SW'!Y$2,MODULY_CBA!$B$3:$M$23,12,0),0),0)</f>
        <v>0</v>
      </c>
      <c r="Z84" s="589">
        <f>IFERROR(IF(VLOOKUP(Z$2,MODULY_CBA!$B$3:$N$23,13,0)&lt;='TCO TO BE- SW'!$D84,SUM('TCO TO BE- SW'!Z$6:Z$15)*VLOOKUP('TCO TO BE- SW'!Z$2,MODULY_CBA!$B$3:$M$23,12,0),0),0)</f>
        <v>0</v>
      </c>
    </row>
    <row r="85" spans="1:26" outlineLevel="2" x14ac:dyDescent="0.2">
      <c r="A85" s="1390"/>
      <c r="B85" s="1391"/>
      <c r="C85" s="1391"/>
      <c r="D85" s="64">
        <v>7</v>
      </c>
      <c r="E85" s="61">
        <f t="shared" si="12"/>
        <v>0</v>
      </c>
      <c r="F85" s="589">
        <f>IFERROR(IF(VLOOKUP(F$2,MODULY_CBA!$B$3:$N$23,13,0)&lt;='TCO TO BE- SW'!$D85,SUM('TCO TO BE- SW'!F$6:F$15)*VLOOKUP('TCO TO BE- SW'!F$2,MODULY_CBA!$B$3:$M$23,12,0),0),0)</f>
        <v>0</v>
      </c>
      <c r="G85" s="589">
        <f>IFERROR(IF(VLOOKUP(G$2,MODULY_CBA!$B$3:$N$23,13,0)&lt;='TCO TO BE- SW'!$D85,SUM('TCO TO BE- SW'!G$6:G$15)*VLOOKUP('TCO TO BE- SW'!G$2,MODULY_CBA!$B$3:$M$23,12,0),0),0)</f>
        <v>0</v>
      </c>
      <c r="H85" s="589">
        <f>IFERROR(IF(VLOOKUP(H$2,MODULY_CBA!$B$3:$N$23,13,0)&lt;='TCO TO BE- SW'!$D85,SUM('TCO TO BE- SW'!H$6:H$15)*VLOOKUP('TCO TO BE- SW'!H$2,MODULY_CBA!$B$3:$M$23,12,0),0),0)</f>
        <v>0</v>
      </c>
      <c r="I85" s="588">
        <v>0</v>
      </c>
      <c r="J85" s="588">
        <v>0</v>
      </c>
      <c r="K85" s="588">
        <v>0</v>
      </c>
      <c r="L85" s="588">
        <v>0</v>
      </c>
      <c r="M85" s="588">
        <v>0</v>
      </c>
      <c r="N85" s="588">
        <v>0</v>
      </c>
      <c r="O85" s="588">
        <v>0</v>
      </c>
      <c r="P85" s="588">
        <v>0</v>
      </c>
      <c r="Q85" s="589">
        <f>IFERROR(IF(VLOOKUP(Q$2,MODULY_CBA!$B$3:$N$23,13,0)&lt;='TCO TO BE- SW'!$D85,SUM('TCO TO BE- SW'!Q$6:Q$15)*VLOOKUP('TCO TO BE- SW'!Q$2,MODULY_CBA!$B$3:$M$23,12,0),0),0)</f>
        <v>0</v>
      </c>
      <c r="R85" s="589">
        <f>IFERROR(IF(VLOOKUP(R$2,MODULY_CBA!$B$3:$N$23,13,0)&lt;='TCO TO BE- SW'!$D85,SUM('TCO TO BE- SW'!R$6:R$15)*VLOOKUP('TCO TO BE- SW'!R$2,MODULY_CBA!$B$3:$M$23,12,0),0),0)</f>
        <v>0</v>
      </c>
      <c r="S85" s="589">
        <f>IFERROR(IF(VLOOKUP(S$2,MODULY_CBA!$B$3:$N$23,13,0)&lt;='TCO TO BE- SW'!$D85,SUM('TCO TO BE- SW'!S$6:S$15)*VLOOKUP('TCO TO BE- SW'!S$2,MODULY_CBA!$B$3:$M$23,12,0),0),0)</f>
        <v>0</v>
      </c>
      <c r="T85" s="589">
        <f>IFERROR(IF(VLOOKUP(T$2,MODULY_CBA!$B$3:$N$23,13,0)&lt;='TCO TO BE- SW'!$D85,SUM('TCO TO BE- SW'!T$6:T$15)*VLOOKUP('TCO TO BE- SW'!T$2,MODULY_CBA!$B$3:$M$23,12,0),0),0)</f>
        <v>0</v>
      </c>
      <c r="U85" s="589">
        <f>IFERROR(IF(VLOOKUP(U$2,MODULY_CBA!$B$3:$N$23,13,0)&lt;='TCO TO BE- SW'!$D85,SUM('TCO TO BE- SW'!U$6:U$15)*VLOOKUP('TCO TO BE- SW'!U$2,MODULY_CBA!$B$3:$M$23,12,0),0),0)</f>
        <v>0</v>
      </c>
      <c r="V85" s="589">
        <f>IFERROR(IF(VLOOKUP(V$2,MODULY_CBA!$B$3:$N$23,13,0)&lt;='TCO TO BE- SW'!$D85,SUM('TCO TO BE- SW'!V$6:V$15)*VLOOKUP('TCO TO BE- SW'!V$2,MODULY_CBA!$B$3:$M$23,12,0),0),0)</f>
        <v>0</v>
      </c>
      <c r="W85" s="589">
        <f>IFERROR(IF(VLOOKUP(W$2,MODULY_CBA!$B$3:$N$23,13,0)&lt;='TCO TO BE- SW'!$D85,SUM('TCO TO BE- SW'!W$6:W$15)*VLOOKUP('TCO TO BE- SW'!W$2,MODULY_CBA!$B$3:$M$23,12,0),0),0)</f>
        <v>0</v>
      </c>
      <c r="X85" s="589">
        <f>IFERROR(IF(VLOOKUP(X$2,MODULY_CBA!$B$3:$N$23,13,0)&lt;='TCO TO BE- SW'!$D85,SUM('TCO TO BE- SW'!X$6:X$15)*VLOOKUP('TCO TO BE- SW'!X$2,MODULY_CBA!$B$3:$M$23,12,0),0),0)</f>
        <v>0</v>
      </c>
      <c r="Y85" s="589">
        <f>IFERROR(IF(VLOOKUP(Y$2,MODULY_CBA!$B$3:$N$23,13,0)&lt;='TCO TO BE- SW'!$D85,SUM('TCO TO BE- SW'!Y$6:Y$15)*VLOOKUP('TCO TO BE- SW'!Y$2,MODULY_CBA!$B$3:$M$23,12,0),0),0)</f>
        <v>0</v>
      </c>
      <c r="Z85" s="589">
        <f>IFERROR(IF(VLOOKUP(Z$2,MODULY_CBA!$B$3:$N$23,13,0)&lt;='TCO TO BE- SW'!$D85,SUM('TCO TO BE- SW'!Z$6:Z$15)*VLOOKUP('TCO TO BE- SW'!Z$2,MODULY_CBA!$B$3:$M$23,12,0),0),0)</f>
        <v>0</v>
      </c>
    </row>
    <row r="86" spans="1:26" outlineLevel="2" x14ac:dyDescent="0.2">
      <c r="A86" s="1390"/>
      <c r="B86" s="1391"/>
      <c r="C86" s="1391"/>
      <c r="D86" s="64">
        <v>8</v>
      </c>
      <c r="E86" s="61">
        <f t="shared" si="12"/>
        <v>0</v>
      </c>
      <c r="F86" s="589">
        <f>IFERROR(IF(VLOOKUP(F$2,MODULY_CBA!$B$3:$N$23,13,0)&lt;='TCO TO BE- SW'!$D86,SUM('TCO TO BE- SW'!F$6:F$15)*VLOOKUP('TCO TO BE- SW'!F$2,MODULY_CBA!$B$3:$M$23,12,0),0),0)</f>
        <v>0</v>
      </c>
      <c r="G86" s="589">
        <f>IFERROR(IF(VLOOKUP(G$2,MODULY_CBA!$B$3:$N$23,13,0)&lt;='TCO TO BE- SW'!$D86,SUM('TCO TO BE- SW'!G$6:G$15)*VLOOKUP('TCO TO BE- SW'!G$2,MODULY_CBA!$B$3:$M$23,12,0),0),0)</f>
        <v>0</v>
      </c>
      <c r="H86" s="589">
        <f>IFERROR(IF(VLOOKUP(H$2,MODULY_CBA!$B$3:$N$23,13,0)&lt;='TCO TO BE- SW'!$D86,SUM('TCO TO BE- SW'!H$6:H$15)*VLOOKUP('TCO TO BE- SW'!H$2,MODULY_CBA!$B$3:$M$23,12,0),0),0)</f>
        <v>0</v>
      </c>
      <c r="I86" s="588">
        <v>0</v>
      </c>
      <c r="J86" s="588">
        <v>0</v>
      </c>
      <c r="K86" s="588">
        <v>0</v>
      </c>
      <c r="L86" s="588">
        <v>0</v>
      </c>
      <c r="M86" s="588">
        <v>0</v>
      </c>
      <c r="N86" s="588">
        <v>0</v>
      </c>
      <c r="O86" s="588">
        <v>0</v>
      </c>
      <c r="P86" s="588">
        <v>0</v>
      </c>
      <c r="Q86" s="589">
        <f>IFERROR(IF(VLOOKUP(Q$2,MODULY_CBA!$B$3:$N$23,13,0)&lt;='TCO TO BE- SW'!$D86,SUM('TCO TO BE- SW'!Q$6:Q$15)*VLOOKUP('TCO TO BE- SW'!Q$2,MODULY_CBA!$B$3:$M$23,12,0),0),0)</f>
        <v>0</v>
      </c>
      <c r="R86" s="589">
        <f>IFERROR(IF(VLOOKUP(R$2,MODULY_CBA!$B$3:$N$23,13,0)&lt;='TCO TO BE- SW'!$D86,SUM('TCO TO BE- SW'!R$6:R$15)*VLOOKUP('TCO TO BE- SW'!R$2,MODULY_CBA!$B$3:$M$23,12,0),0),0)</f>
        <v>0</v>
      </c>
      <c r="S86" s="589">
        <f>IFERROR(IF(VLOOKUP(S$2,MODULY_CBA!$B$3:$N$23,13,0)&lt;='TCO TO BE- SW'!$D86,SUM('TCO TO BE- SW'!S$6:S$15)*VLOOKUP('TCO TO BE- SW'!S$2,MODULY_CBA!$B$3:$M$23,12,0),0),0)</f>
        <v>0</v>
      </c>
      <c r="T86" s="589">
        <f>IFERROR(IF(VLOOKUP(T$2,MODULY_CBA!$B$3:$N$23,13,0)&lt;='TCO TO BE- SW'!$D86,SUM('TCO TO BE- SW'!T$6:T$15)*VLOOKUP('TCO TO BE- SW'!T$2,MODULY_CBA!$B$3:$M$23,12,0),0),0)</f>
        <v>0</v>
      </c>
      <c r="U86" s="589">
        <f>IFERROR(IF(VLOOKUP(U$2,MODULY_CBA!$B$3:$N$23,13,0)&lt;='TCO TO BE- SW'!$D86,SUM('TCO TO BE- SW'!U$6:U$15)*VLOOKUP('TCO TO BE- SW'!U$2,MODULY_CBA!$B$3:$M$23,12,0),0),0)</f>
        <v>0</v>
      </c>
      <c r="V86" s="589">
        <f>IFERROR(IF(VLOOKUP(V$2,MODULY_CBA!$B$3:$N$23,13,0)&lt;='TCO TO BE- SW'!$D86,SUM('TCO TO BE- SW'!V$6:V$15)*VLOOKUP('TCO TO BE- SW'!V$2,MODULY_CBA!$B$3:$M$23,12,0),0),0)</f>
        <v>0</v>
      </c>
      <c r="W86" s="589">
        <f>IFERROR(IF(VLOOKUP(W$2,MODULY_CBA!$B$3:$N$23,13,0)&lt;='TCO TO BE- SW'!$D86,SUM('TCO TO BE- SW'!W$6:W$15)*VLOOKUP('TCO TO BE- SW'!W$2,MODULY_CBA!$B$3:$M$23,12,0),0),0)</f>
        <v>0</v>
      </c>
      <c r="X86" s="589">
        <f>IFERROR(IF(VLOOKUP(X$2,MODULY_CBA!$B$3:$N$23,13,0)&lt;='TCO TO BE- SW'!$D86,SUM('TCO TO BE- SW'!X$6:X$15)*VLOOKUP('TCO TO BE- SW'!X$2,MODULY_CBA!$B$3:$M$23,12,0),0),0)</f>
        <v>0</v>
      </c>
      <c r="Y86" s="589">
        <f>IFERROR(IF(VLOOKUP(Y$2,MODULY_CBA!$B$3:$N$23,13,0)&lt;='TCO TO BE- SW'!$D86,SUM('TCO TO BE- SW'!Y$6:Y$15)*VLOOKUP('TCO TO BE- SW'!Y$2,MODULY_CBA!$B$3:$M$23,12,0),0),0)</f>
        <v>0</v>
      </c>
      <c r="Z86" s="589">
        <f>IFERROR(IF(VLOOKUP(Z$2,MODULY_CBA!$B$3:$N$23,13,0)&lt;='TCO TO BE- SW'!$D86,SUM('TCO TO BE- SW'!Z$6:Z$15)*VLOOKUP('TCO TO BE- SW'!Z$2,MODULY_CBA!$B$3:$M$23,12,0),0),0)</f>
        <v>0</v>
      </c>
    </row>
    <row r="87" spans="1:26" outlineLevel="2" x14ac:dyDescent="0.2">
      <c r="A87" s="1390"/>
      <c r="B87" s="1391"/>
      <c r="C87" s="1391"/>
      <c r="D87" s="64">
        <v>9</v>
      </c>
      <c r="E87" s="61">
        <f t="shared" si="12"/>
        <v>0</v>
      </c>
      <c r="F87" s="589">
        <f>IFERROR(IF(VLOOKUP(F$2,MODULY_CBA!$B$3:$N$23,13,0)&lt;='TCO TO BE- SW'!$D87,SUM('TCO TO BE- SW'!F$6:F$15)*VLOOKUP('TCO TO BE- SW'!F$2,MODULY_CBA!$B$3:$M$23,12,0),0),0)</f>
        <v>0</v>
      </c>
      <c r="G87" s="589">
        <f>IFERROR(IF(VLOOKUP(G$2,MODULY_CBA!$B$3:$N$23,13,0)&lt;='TCO TO BE- SW'!$D87,SUM('TCO TO BE- SW'!G$6:G$15)*VLOOKUP('TCO TO BE- SW'!G$2,MODULY_CBA!$B$3:$M$23,12,0),0),0)</f>
        <v>0</v>
      </c>
      <c r="H87" s="589">
        <f>IFERROR(IF(VLOOKUP(H$2,MODULY_CBA!$B$3:$N$23,13,0)&lt;='TCO TO BE- SW'!$D87,SUM('TCO TO BE- SW'!H$6:H$15)*VLOOKUP('TCO TO BE- SW'!H$2,MODULY_CBA!$B$3:$M$23,12,0),0),0)</f>
        <v>0</v>
      </c>
      <c r="I87" s="588">
        <v>0</v>
      </c>
      <c r="J87" s="588">
        <v>0</v>
      </c>
      <c r="K87" s="588">
        <v>0</v>
      </c>
      <c r="L87" s="588">
        <v>0</v>
      </c>
      <c r="M87" s="588">
        <v>0</v>
      </c>
      <c r="N87" s="588">
        <v>0</v>
      </c>
      <c r="O87" s="588">
        <v>0</v>
      </c>
      <c r="P87" s="588">
        <v>0</v>
      </c>
      <c r="Q87" s="589">
        <f>IFERROR(IF(VLOOKUP(Q$2,MODULY_CBA!$B$3:$N$23,13,0)&lt;='TCO TO BE- SW'!$D87,SUM('TCO TO BE- SW'!Q$6:Q$15)*VLOOKUP('TCO TO BE- SW'!Q$2,MODULY_CBA!$B$3:$M$23,12,0),0),0)</f>
        <v>0</v>
      </c>
      <c r="R87" s="589">
        <f>IFERROR(IF(VLOOKUP(R$2,MODULY_CBA!$B$3:$N$23,13,0)&lt;='TCO TO BE- SW'!$D87,SUM('TCO TO BE- SW'!R$6:R$15)*VLOOKUP('TCO TO BE- SW'!R$2,MODULY_CBA!$B$3:$M$23,12,0),0),0)</f>
        <v>0</v>
      </c>
      <c r="S87" s="589">
        <f>IFERROR(IF(VLOOKUP(S$2,MODULY_CBA!$B$3:$N$23,13,0)&lt;='TCO TO BE- SW'!$D87,SUM('TCO TO BE- SW'!S$6:S$15)*VLOOKUP('TCO TO BE- SW'!S$2,MODULY_CBA!$B$3:$M$23,12,0),0),0)</f>
        <v>0</v>
      </c>
      <c r="T87" s="589">
        <f>IFERROR(IF(VLOOKUP(T$2,MODULY_CBA!$B$3:$N$23,13,0)&lt;='TCO TO BE- SW'!$D87,SUM('TCO TO BE- SW'!T$6:T$15)*VLOOKUP('TCO TO BE- SW'!T$2,MODULY_CBA!$B$3:$M$23,12,0),0),0)</f>
        <v>0</v>
      </c>
      <c r="U87" s="589">
        <f>IFERROR(IF(VLOOKUP(U$2,MODULY_CBA!$B$3:$N$23,13,0)&lt;='TCO TO BE- SW'!$D87,SUM('TCO TO BE- SW'!U$6:U$15)*VLOOKUP('TCO TO BE- SW'!U$2,MODULY_CBA!$B$3:$M$23,12,0),0),0)</f>
        <v>0</v>
      </c>
      <c r="V87" s="589">
        <f>IFERROR(IF(VLOOKUP(V$2,MODULY_CBA!$B$3:$N$23,13,0)&lt;='TCO TO BE- SW'!$D87,SUM('TCO TO BE- SW'!V$6:V$15)*VLOOKUP('TCO TO BE- SW'!V$2,MODULY_CBA!$B$3:$M$23,12,0),0),0)</f>
        <v>0</v>
      </c>
      <c r="W87" s="589">
        <f>IFERROR(IF(VLOOKUP(W$2,MODULY_CBA!$B$3:$N$23,13,0)&lt;='TCO TO BE- SW'!$D87,SUM('TCO TO BE- SW'!W$6:W$15)*VLOOKUP('TCO TO BE- SW'!W$2,MODULY_CBA!$B$3:$M$23,12,0),0),0)</f>
        <v>0</v>
      </c>
      <c r="X87" s="589">
        <f>IFERROR(IF(VLOOKUP(X$2,MODULY_CBA!$B$3:$N$23,13,0)&lt;='TCO TO BE- SW'!$D87,SUM('TCO TO BE- SW'!X$6:X$15)*VLOOKUP('TCO TO BE- SW'!X$2,MODULY_CBA!$B$3:$M$23,12,0),0),0)</f>
        <v>0</v>
      </c>
      <c r="Y87" s="589">
        <f>IFERROR(IF(VLOOKUP(Y$2,MODULY_CBA!$B$3:$N$23,13,0)&lt;='TCO TO BE- SW'!$D87,SUM('TCO TO BE- SW'!Y$6:Y$15)*VLOOKUP('TCO TO BE- SW'!Y$2,MODULY_CBA!$B$3:$M$23,12,0),0),0)</f>
        <v>0</v>
      </c>
      <c r="Z87" s="589">
        <f>IFERROR(IF(VLOOKUP(Z$2,MODULY_CBA!$B$3:$N$23,13,0)&lt;='TCO TO BE- SW'!$D87,SUM('TCO TO BE- SW'!Z$6:Z$15)*VLOOKUP('TCO TO BE- SW'!Z$2,MODULY_CBA!$B$3:$M$23,12,0),0),0)</f>
        <v>0</v>
      </c>
    </row>
    <row r="88" spans="1:26" ht="16" outlineLevel="2" thickBot="1" x14ac:dyDescent="0.25">
      <c r="A88" s="1390"/>
      <c r="B88" s="1391"/>
      <c r="C88" s="1391"/>
      <c r="D88" s="65">
        <v>10</v>
      </c>
      <c r="E88" s="62">
        <f t="shared" si="12"/>
        <v>0</v>
      </c>
      <c r="F88" s="589">
        <f>IFERROR(IF(VLOOKUP(F$2,MODULY_CBA!$B$3:$N$23,13,0)&lt;='TCO TO BE- SW'!$D88,SUM('TCO TO BE- SW'!F$6:F$15)*VLOOKUP('TCO TO BE- SW'!F$2,MODULY_CBA!$B$3:$M$23,12,0),0),0)</f>
        <v>0</v>
      </c>
      <c r="G88" s="589">
        <f>IFERROR(IF(VLOOKUP(G$2,MODULY_CBA!$B$3:$N$23,13,0)&lt;='TCO TO BE- SW'!$D88,SUM('TCO TO BE- SW'!G$6:G$15)*VLOOKUP('TCO TO BE- SW'!G$2,MODULY_CBA!$B$3:$M$23,12,0),0),0)</f>
        <v>0</v>
      </c>
      <c r="H88" s="589">
        <f>IFERROR(IF(VLOOKUP(H$2,MODULY_CBA!$B$3:$N$23,13,0)&lt;='TCO TO BE- SW'!$D88,SUM('TCO TO BE- SW'!H$6:H$15)*VLOOKUP('TCO TO BE- SW'!H$2,MODULY_CBA!$B$3:$M$23,12,0),0),0)</f>
        <v>0</v>
      </c>
      <c r="I88" s="589">
        <v>0</v>
      </c>
      <c r="J88" s="589">
        <v>0</v>
      </c>
      <c r="K88" s="589">
        <v>0</v>
      </c>
      <c r="L88" s="589">
        <v>0</v>
      </c>
      <c r="M88" s="589">
        <v>0</v>
      </c>
      <c r="N88" s="589">
        <v>0</v>
      </c>
      <c r="O88" s="589">
        <v>0</v>
      </c>
      <c r="P88" s="589">
        <v>0</v>
      </c>
      <c r="Q88" s="589">
        <f>IFERROR(IF(VLOOKUP(Q$2,MODULY_CBA!$B$3:$N$23,13,0)&lt;='TCO TO BE- SW'!$D88,SUM('TCO TO BE- SW'!Q$6:Q$15)*VLOOKUP('TCO TO BE- SW'!Q$2,MODULY_CBA!$B$3:$M$23,12,0),0),0)</f>
        <v>0</v>
      </c>
      <c r="R88" s="589">
        <f>IFERROR(IF(VLOOKUP(R$2,MODULY_CBA!$B$3:$N$23,13,0)&lt;='TCO TO BE- SW'!$D88,SUM('TCO TO BE- SW'!R$6:R$15)*VLOOKUP('TCO TO BE- SW'!R$2,MODULY_CBA!$B$3:$M$23,12,0),0),0)</f>
        <v>0</v>
      </c>
      <c r="S88" s="589">
        <f>IFERROR(IF(VLOOKUP(S$2,MODULY_CBA!$B$3:$N$23,13,0)&lt;='TCO TO BE- SW'!$D88,SUM('TCO TO BE- SW'!S$6:S$15)*VLOOKUP('TCO TO BE- SW'!S$2,MODULY_CBA!$B$3:$M$23,12,0),0),0)</f>
        <v>0</v>
      </c>
      <c r="T88" s="589">
        <f>IFERROR(IF(VLOOKUP(T$2,MODULY_CBA!$B$3:$N$23,13,0)&lt;='TCO TO BE- SW'!$D88,SUM('TCO TO BE- SW'!T$6:T$15)*VLOOKUP('TCO TO BE- SW'!T$2,MODULY_CBA!$B$3:$M$23,12,0),0),0)</f>
        <v>0</v>
      </c>
      <c r="U88" s="589">
        <f>IFERROR(IF(VLOOKUP(U$2,MODULY_CBA!$B$3:$N$23,13,0)&lt;='TCO TO BE- SW'!$D88,SUM('TCO TO BE- SW'!U$6:U$15)*VLOOKUP('TCO TO BE- SW'!U$2,MODULY_CBA!$B$3:$M$23,12,0),0),0)</f>
        <v>0</v>
      </c>
      <c r="V88" s="589">
        <f>IFERROR(IF(VLOOKUP(V$2,MODULY_CBA!$B$3:$N$23,13,0)&lt;='TCO TO BE- SW'!$D88,SUM('TCO TO BE- SW'!V$6:V$15)*VLOOKUP('TCO TO BE- SW'!V$2,MODULY_CBA!$B$3:$M$23,12,0),0),0)</f>
        <v>0</v>
      </c>
      <c r="W88" s="589">
        <f>IFERROR(IF(VLOOKUP(W$2,MODULY_CBA!$B$3:$N$23,13,0)&lt;='TCO TO BE- SW'!$D88,SUM('TCO TO BE- SW'!W$6:W$15)*VLOOKUP('TCO TO BE- SW'!W$2,MODULY_CBA!$B$3:$M$23,12,0),0),0)</f>
        <v>0</v>
      </c>
      <c r="X88" s="589">
        <f>IFERROR(IF(VLOOKUP(X$2,MODULY_CBA!$B$3:$N$23,13,0)&lt;='TCO TO BE- SW'!$D88,SUM('TCO TO BE- SW'!X$6:X$15)*VLOOKUP('TCO TO BE- SW'!X$2,MODULY_CBA!$B$3:$M$23,12,0),0),0)</f>
        <v>0</v>
      </c>
      <c r="Y88" s="589">
        <f>IFERROR(IF(VLOOKUP(Y$2,MODULY_CBA!$B$3:$N$23,13,0)&lt;='TCO TO BE- SW'!$D88,SUM('TCO TO BE- SW'!Y$6:Y$15)*VLOOKUP('TCO TO BE- SW'!Y$2,MODULY_CBA!$B$3:$M$23,12,0),0),0)</f>
        <v>0</v>
      </c>
      <c r="Z88" s="589">
        <f>IFERROR(IF(VLOOKUP(Z$2,MODULY_CBA!$B$3:$N$23,13,0)&lt;='TCO TO BE- SW'!$D88,SUM('TCO TO BE- SW'!Z$6:Z$15)*VLOOKUP('TCO TO BE- SW'!Z$2,MODULY_CBA!$B$3:$M$23,12,0),0),0)</f>
        <v>0</v>
      </c>
    </row>
    <row r="89" spans="1:26" outlineLevel="2" x14ac:dyDescent="0.2">
      <c r="A89" s="1390" t="s">
        <v>80</v>
      </c>
      <c r="B89" s="1391" t="s">
        <v>71</v>
      </c>
      <c r="C89" s="1391">
        <v>718006</v>
      </c>
      <c r="D89" s="63">
        <v>1</v>
      </c>
      <c r="E89" s="61">
        <f t="shared" si="12"/>
        <v>0</v>
      </c>
      <c r="F89" s="590">
        <f>IFERROR(IF(VLOOKUP(F$2,MODULY_CBA!$B$3:$N$23,13,0)&lt;='TCO TO BE- SW'!$D89,SUM('TCO TO BE- SW'!F$6:F$15)*VLOOKUP('TCO TO BE- SW'!F$2,MODULY_CBA!$B$3:$L$23,11,0),0),0)</f>
        <v>0</v>
      </c>
      <c r="G89" s="590">
        <f>IFERROR(IF(VLOOKUP(G$2,MODULY_CBA!$B$3:$N$23,13,0)&lt;='TCO TO BE- SW'!$D89,SUM('TCO TO BE- SW'!G$6:G$15)*VLOOKUP('TCO TO BE- SW'!G$2,MODULY_CBA!$B$3:$L$23,11,0),0),0)</f>
        <v>0</v>
      </c>
      <c r="H89" s="590">
        <f>IFERROR(IF(VLOOKUP(H$2,MODULY_CBA!$B$3:$N$23,13,0)&lt;='TCO TO BE- SW'!$D89,SUM('TCO TO BE- SW'!H$6:H$15)*VLOOKUP('TCO TO BE- SW'!H$2,MODULY_CBA!$B$3:$L$23,11,0),0),0)</f>
        <v>0</v>
      </c>
      <c r="I89" s="590">
        <f>IFERROR(IF(VLOOKUP(I$2,MODULY_CBA!$B$3:$N$23,13,0)&lt;='TCO TO BE- SW'!$D79,SUM('TCO TO BE- SW'!I$6:I$15)*VLOOKUP('TCO TO BE- SW'!I$2,MODULY_CBA!$B$3:$M$23,12,0),0),0)</f>
        <v>0</v>
      </c>
      <c r="J89" s="590">
        <f>IFERROR(IF(VLOOKUP(J$2,MODULY_CBA!$B$3:$N$23,13,0)&lt;='TCO TO BE- SW'!$D79,SUM('TCO TO BE- SW'!J$6:J$15)*VLOOKUP('TCO TO BE- SW'!J$2,MODULY_CBA!$B$3:$M$23,12,0),0),0)</f>
        <v>0</v>
      </c>
      <c r="K89" s="590">
        <f>IFERROR(IF(VLOOKUP(K$2,MODULY_CBA!$B$3:$N$23,13,0)&lt;='TCO TO BE- SW'!$D79,SUM('TCO TO BE- SW'!K$6:K$15)*VLOOKUP('TCO TO BE- SW'!K$2,MODULY_CBA!$B$3:$M$23,12,0),0),0)</f>
        <v>0</v>
      </c>
      <c r="L89" s="590">
        <f>IFERROR(IF(VLOOKUP(L$2,MODULY_CBA!$B$3:$N$23,13,0)&lt;='TCO TO BE- SW'!$D79,SUM('TCO TO BE- SW'!L$6:L$15)*VLOOKUP('TCO TO BE- SW'!L$2,MODULY_CBA!$B$3:$M$23,12,0),0),0)</f>
        <v>0</v>
      </c>
      <c r="M89" s="590">
        <f>IFERROR(IF(VLOOKUP(M$2,MODULY_CBA!$B$3:$N$23,13,0)&lt;='TCO TO BE- SW'!$D79,SUM('TCO TO BE- SW'!M$6:M$15)*VLOOKUP('TCO TO BE- SW'!M$2,MODULY_CBA!$B$3:$M$23,12,0),0),0)</f>
        <v>0</v>
      </c>
      <c r="N89" s="590">
        <f>IFERROR(IF(VLOOKUP(N$2,MODULY_CBA!$B$3:$N$23,13,0)&lt;='TCO TO BE- SW'!$D79,SUM('TCO TO BE- SW'!N$6:N$15)*VLOOKUP('TCO TO BE- SW'!N$2,MODULY_CBA!$B$3:$M$23,12,0),0),0)</f>
        <v>0</v>
      </c>
      <c r="O89" s="590">
        <f>IFERROR(IF(VLOOKUP(O$2,MODULY_CBA!$B$3:$N$23,13,0)&lt;='TCO TO BE- SW'!$D79,SUM('TCO TO BE- SW'!O$6:O$15)*VLOOKUP('TCO TO BE- SW'!O$2,MODULY_CBA!$B$3:$M$23,12,0),0),0)</f>
        <v>0</v>
      </c>
      <c r="P89" s="590">
        <f>IFERROR(IF(VLOOKUP(P$2,MODULY_CBA!$B$3:$N$23,13,0)&lt;='TCO TO BE- SW'!$D79,SUM('TCO TO BE- SW'!P$6:P$15)*VLOOKUP('TCO TO BE- SW'!P$2,MODULY_CBA!$B$3:$M$23,12,0),0),0)</f>
        <v>0</v>
      </c>
      <c r="Q89" s="590">
        <f>IFERROR(IF(VLOOKUP(Q$2,MODULY_CBA!$B$3:$N$23,13,0)&lt;='TCO TO BE- SW'!$D89,SUM('TCO TO BE- SW'!Q$6:Q$15)*VLOOKUP('TCO TO BE- SW'!Q$2,MODULY_CBA!$B$3:$L$23,11,0),0),0)</f>
        <v>0</v>
      </c>
      <c r="R89" s="590">
        <f>IFERROR(IF(VLOOKUP(R$2,MODULY_CBA!$B$3:$N$23,13,0)&lt;='TCO TO BE- SW'!$D89,SUM('TCO TO BE- SW'!R$6:R$15)*VLOOKUP('TCO TO BE- SW'!R$2,MODULY_CBA!$B$3:$L$23,11,0),0),0)</f>
        <v>0</v>
      </c>
      <c r="S89" s="590">
        <f>IFERROR(IF(VLOOKUP(S$2,MODULY_CBA!$B$3:$N$23,13,0)&lt;='TCO TO BE- SW'!$D89,SUM('TCO TO BE- SW'!S$6:S$15)*VLOOKUP('TCO TO BE- SW'!S$2,MODULY_CBA!$B$3:$L$23,11,0),0),0)</f>
        <v>0</v>
      </c>
      <c r="T89" s="590">
        <f>IFERROR(IF(VLOOKUP(T$2,MODULY_CBA!$B$3:$N$23,13,0)&lt;='TCO TO BE- SW'!$D89,SUM('TCO TO BE- SW'!T$6:T$15)*VLOOKUP('TCO TO BE- SW'!T$2,MODULY_CBA!$B$3:$L$23,11,0),0),0)</f>
        <v>0</v>
      </c>
      <c r="U89" s="590">
        <f>IFERROR(IF(VLOOKUP(U$2,MODULY_CBA!$B$3:$N$23,13,0)&lt;='TCO TO BE- SW'!$D89,SUM('TCO TO BE- SW'!U$6:U$15)*VLOOKUP('TCO TO BE- SW'!U$2,MODULY_CBA!$B$3:$L$23,11,0),0),0)</f>
        <v>0</v>
      </c>
      <c r="V89" s="590">
        <f>IFERROR(IF(VLOOKUP(V$2,MODULY_CBA!$B$3:$N$23,13,0)&lt;='TCO TO BE- SW'!$D89,SUM('TCO TO BE- SW'!V$6:V$15)*VLOOKUP('TCO TO BE- SW'!V$2,MODULY_CBA!$B$3:$L$23,11,0),0),0)</f>
        <v>0</v>
      </c>
      <c r="W89" s="590">
        <f>IFERROR(IF(VLOOKUP(W$2,MODULY_CBA!$B$3:$N$23,13,0)&lt;='TCO TO BE- SW'!$D89,SUM('TCO TO BE- SW'!W$6:W$15)*VLOOKUP('TCO TO BE- SW'!W$2,MODULY_CBA!$B$3:$L$23,11,0),0),0)</f>
        <v>0</v>
      </c>
      <c r="X89" s="590">
        <f>IFERROR(IF(VLOOKUP(X$2,MODULY_CBA!$B$3:$N$23,13,0)&lt;='TCO TO BE- SW'!$D89,SUM('TCO TO BE- SW'!X$6:X$15)*VLOOKUP('TCO TO BE- SW'!X$2,MODULY_CBA!$B$3:$L$23,11,0),0),0)</f>
        <v>0</v>
      </c>
      <c r="Y89" s="590">
        <f>IFERROR(IF(VLOOKUP(Y$2,MODULY_CBA!$B$3:$N$23,13,0)&lt;='TCO TO BE- SW'!$D89,SUM('TCO TO BE- SW'!Y$6:Y$15)*VLOOKUP('TCO TO BE- SW'!Y$2,MODULY_CBA!$B$3:$L$23,11,0),0),0)</f>
        <v>0</v>
      </c>
      <c r="Z89" s="590">
        <f>IFERROR(IF(VLOOKUP(Z$2,MODULY_CBA!$B$3:$N$23,13,0)&lt;='TCO TO BE- SW'!$D89,SUM('TCO TO BE- SW'!Z$6:Z$15)*VLOOKUP('TCO TO BE- SW'!Z$2,MODULY_CBA!$B$3:$L$23,11,0),0),0)</f>
        <v>0</v>
      </c>
    </row>
    <row r="90" spans="1:26" outlineLevel="2" x14ac:dyDescent="0.2">
      <c r="A90" s="1390"/>
      <c r="B90" s="1391"/>
      <c r="C90" s="1391"/>
      <c r="D90" s="64">
        <v>2</v>
      </c>
      <c r="E90" s="61">
        <f t="shared" si="12"/>
        <v>0</v>
      </c>
      <c r="F90" s="589">
        <f>IFERROR(IF(VLOOKUP(F$2,MODULY_CBA!$B$3:$N$23,13,0)&lt;='TCO TO BE- SW'!$D90,SUM('TCO TO BE- SW'!F$6:F$15)*VLOOKUP('TCO TO BE- SW'!F$2,MODULY_CBA!$B$3:$L$23,11,0),0),0)</f>
        <v>0</v>
      </c>
      <c r="G90" s="589">
        <f>IFERROR(IF(VLOOKUP(G$2,MODULY_CBA!$B$3:$N$23,13,0)&lt;='TCO TO BE- SW'!$D90,SUM('TCO TO BE- SW'!G$6:G$15)*VLOOKUP('TCO TO BE- SW'!G$2,MODULY_CBA!$B$3:$L$23,11,0),0),0)</f>
        <v>0</v>
      </c>
      <c r="H90" s="589">
        <f>IFERROR(IF(VLOOKUP(H$2,MODULY_CBA!$B$3:$N$23,13,0)&lt;='TCO TO BE- SW'!$D90,SUM('TCO TO BE- SW'!H$6:H$15)*VLOOKUP('TCO TO BE- SW'!H$2,MODULY_CBA!$B$3:$L$23,11,0),0),0)</f>
        <v>0</v>
      </c>
      <c r="I90" s="589">
        <f>IFERROR(IF(VLOOKUP(I$2,MODULY_CBA!$B$3:$N$23,13,0)&lt;='TCO TO BE- SW'!$D80,SUM('TCO TO BE- SW'!I$6:I$15)*VLOOKUP('TCO TO BE- SW'!I$2,MODULY_CBA!$B$3:$M$23,12,0),0),0)</f>
        <v>0</v>
      </c>
      <c r="J90" s="589">
        <f>IFERROR(IF(VLOOKUP(J$2,MODULY_CBA!$B$3:$N$23,13,0)&lt;='TCO TO BE- SW'!$D80,SUM('TCO TO BE- SW'!J$6:J$15)*VLOOKUP('TCO TO BE- SW'!J$2,MODULY_CBA!$B$3:$M$23,12,0),0),0)</f>
        <v>0</v>
      </c>
      <c r="K90" s="589">
        <f>IFERROR(IF(VLOOKUP(K$2,MODULY_CBA!$B$3:$N$23,13,0)&lt;='TCO TO BE- SW'!$D80,SUM('TCO TO BE- SW'!K$6:K$15)*VLOOKUP('TCO TO BE- SW'!K$2,MODULY_CBA!$B$3:$M$23,12,0),0),0)</f>
        <v>0</v>
      </c>
      <c r="L90" s="589">
        <f>IFERROR(IF(VLOOKUP(L$2,MODULY_CBA!$B$3:$N$23,13,0)&lt;='TCO TO BE- SW'!$D80,SUM('TCO TO BE- SW'!L$6:L$15)*VLOOKUP('TCO TO BE- SW'!L$2,MODULY_CBA!$B$3:$M$23,12,0),0),0)</f>
        <v>0</v>
      </c>
      <c r="M90" s="589">
        <f>IFERROR(IF(VLOOKUP(M$2,MODULY_CBA!$B$3:$N$23,13,0)&lt;='TCO TO BE- SW'!$D80,SUM('TCO TO BE- SW'!M$6:M$15)*VLOOKUP('TCO TO BE- SW'!M$2,MODULY_CBA!$B$3:$M$23,12,0),0),0)</f>
        <v>0</v>
      </c>
      <c r="N90" s="589">
        <f>IFERROR(IF(VLOOKUP(N$2,MODULY_CBA!$B$3:$N$23,13,0)&lt;='TCO TO BE- SW'!$D80,SUM('TCO TO BE- SW'!N$6:N$15)*VLOOKUP('TCO TO BE- SW'!N$2,MODULY_CBA!$B$3:$M$23,12,0),0),0)</f>
        <v>0</v>
      </c>
      <c r="O90" s="589">
        <f>IFERROR(IF(VLOOKUP(O$2,MODULY_CBA!$B$3:$N$23,13,0)&lt;='TCO TO BE- SW'!$D80,SUM('TCO TO BE- SW'!O$6:O$15)*VLOOKUP('TCO TO BE- SW'!O$2,MODULY_CBA!$B$3:$M$23,12,0),0),0)</f>
        <v>0</v>
      </c>
      <c r="P90" s="589">
        <f>IFERROR(IF(VLOOKUP(P$2,MODULY_CBA!$B$3:$N$23,13,0)&lt;='TCO TO BE- SW'!$D80,SUM('TCO TO BE- SW'!P$6:P$15)*VLOOKUP('TCO TO BE- SW'!P$2,MODULY_CBA!$B$3:$M$23,12,0),0),0)</f>
        <v>0</v>
      </c>
      <c r="Q90" s="589">
        <f>IFERROR(IF(VLOOKUP(Q$2,MODULY_CBA!$B$3:$N$23,13,0)&lt;='TCO TO BE- SW'!$D90,SUM('TCO TO BE- SW'!Q$6:Q$15)*VLOOKUP('TCO TO BE- SW'!Q$2,MODULY_CBA!$B$3:$L$23,11,0),0),0)</f>
        <v>0</v>
      </c>
      <c r="R90" s="589">
        <f>IFERROR(IF(VLOOKUP(R$2,MODULY_CBA!$B$3:$N$23,13,0)&lt;='TCO TO BE- SW'!$D90,SUM('TCO TO BE- SW'!R$6:R$15)*VLOOKUP('TCO TO BE- SW'!R$2,MODULY_CBA!$B$3:$L$23,11,0),0),0)</f>
        <v>0</v>
      </c>
      <c r="S90" s="589">
        <f>IFERROR(IF(VLOOKUP(S$2,MODULY_CBA!$B$3:$N$23,13,0)&lt;='TCO TO BE- SW'!$D90,SUM('TCO TO BE- SW'!S$6:S$15)*VLOOKUP('TCO TO BE- SW'!S$2,MODULY_CBA!$B$3:$L$23,11,0),0),0)</f>
        <v>0</v>
      </c>
      <c r="T90" s="589">
        <f>IFERROR(IF(VLOOKUP(T$2,MODULY_CBA!$B$3:$N$23,13,0)&lt;='TCO TO BE- SW'!$D90,SUM('TCO TO BE- SW'!T$6:T$15)*VLOOKUP('TCO TO BE- SW'!T$2,MODULY_CBA!$B$3:$L$23,11,0),0),0)</f>
        <v>0</v>
      </c>
      <c r="U90" s="589">
        <f>IFERROR(IF(VLOOKUP(U$2,MODULY_CBA!$B$3:$N$23,13,0)&lt;='TCO TO BE- SW'!$D90,SUM('TCO TO BE- SW'!U$6:U$15)*VLOOKUP('TCO TO BE- SW'!U$2,MODULY_CBA!$B$3:$L$23,11,0),0),0)</f>
        <v>0</v>
      </c>
      <c r="V90" s="589">
        <f>IFERROR(IF(VLOOKUP(V$2,MODULY_CBA!$B$3:$N$23,13,0)&lt;='TCO TO BE- SW'!$D90,SUM('TCO TO BE- SW'!V$6:V$15)*VLOOKUP('TCO TO BE- SW'!V$2,MODULY_CBA!$B$3:$L$23,11,0),0),0)</f>
        <v>0</v>
      </c>
      <c r="W90" s="589">
        <f>IFERROR(IF(VLOOKUP(W$2,MODULY_CBA!$B$3:$N$23,13,0)&lt;='TCO TO BE- SW'!$D90,SUM('TCO TO BE- SW'!W$6:W$15)*VLOOKUP('TCO TO BE- SW'!W$2,MODULY_CBA!$B$3:$L$23,11,0),0),0)</f>
        <v>0</v>
      </c>
      <c r="X90" s="589">
        <f>IFERROR(IF(VLOOKUP(X$2,MODULY_CBA!$B$3:$N$23,13,0)&lt;='TCO TO BE- SW'!$D90,SUM('TCO TO BE- SW'!X$6:X$15)*VLOOKUP('TCO TO BE- SW'!X$2,MODULY_CBA!$B$3:$L$23,11,0),0),0)</f>
        <v>0</v>
      </c>
      <c r="Y90" s="589">
        <f>IFERROR(IF(VLOOKUP(Y$2,MODULY_CBA!$B$3:$N$23,13,0)&lt;='TCO TO BE- SW'!$D90,SUM('TCO TO BE- SW'!Y$6:Y$15)*VLOOKUP('TCO TO BE- SW'!Y$2,MODULY_CBA!$B$3:$L$23,11,0),0),0)</f>
        <v>0</v>
      </c>
      <c r="Z90" s="589">
        <f>IFERROR(IF(VLOOKUP(Z$2,MODULY_CBA!$B$3:$N$23,13,0)&lt;='TCO TO BE- SW'!$D90,SUM('TCO TO BE- SW'!Z$6:Z$15)*VLOOKUP('TCO TO BE- SW'!Z$2,MODULY_CBA!$B$3:$L$23,11,0),0),0)</f>
        <v>0</v>
      </c>
    </row>
    <row r="91" spans="1:26" outlineLevel="2" x14ac:dyDescent="0.2">
      <c r="A91" s="1390"/>
      <c r="B91" s="1391"/>
      <c r="C91" s="1391"/>
      <c r="D91" s="64">
        <v>3</v>
      </c>
      <c r="E91" s="61">
        <f t="shared" si="12"/>
        <v>0</v>
      </c>
      <c r="F91" s="589">
        <f>IFERROR(IF(VLOOKUP(F$2,MODULY_CBA!$B$3:$N$23,13,0)&lt;='TCO TO BE- SW'!$D91,SUM('TCO TO BE- SW'!F$6:F$15)*VLOOKUP('TCO TO BE- SW'!F$2,MODULY_CBA!$B$3:$L$23,11,0),0),0)</f>
        <v>0</v>
      </c>
      <c r="G91" s="589">
        <f>IFERROR(IF(VLOOKUP(G$2,MODULY_CBA!$B$3:$N$23,13,0)&lt;='TCO TO BE- SW'!$D91,SUM('TCO TO BE- SW'!G$6:G$15)*VLOOKUP('TCO TO BE- SW'!G$2,MODULY_CBA!$B$3:$L$23,11,0),0),0)</f>
        <v>0</v>
      </c>
      <c r="H91" s="589">
        <f>IFERROR(IF(VLOOKUP(H$2,MODULY_CBA!$B$3:$N$23,13,0)&lt;='TCO TO BE- SW'!$D91,SUM('TCO TO BE- SW'!H$6:H$15)*VLOOKUP('TCO TO BE- SW'!H$2,MODULY_CBA!$B$3:$L$23,11,0),0),0)</f>
        <v>0</v>
      </c>
      <c r="I91" s="589">
        <f>IFERROR(IF(VLOOKUP(I$2,MODULY_CBA!$B$3:$N$23,13,0)&lt;='TCO TO BE- SW'!$D81,SUM('TCO TO BE- SW'!I$6:I$15)*VLOOKUP('TCO TO BE- SW'!I$2,MODULY_CBA!$B$3:$M$23,12,0),0),0)</f>
        <v>0</v>
      </c>
      <c r="J91" s="589">
        <f>IFERROR(IF(VLOOKUP(J$2,MODULY_CBA!$B$3:$N$23,13,0)&lt;='TCO TO BE- SW'!$D81,SUM('TCO TO BE- SW'!J$6:J$15)*VLOOKUP('TCO TO BE- SW'!J$2,MODULY_CBA!$B$3:$M$23,12,0),0),0)</f>
        <v>0</v>
      </c>
      <c r="K91" s="589">
        <f>IFERROR(IF(VLOOKUP(K$2,MODULY_CBA!$B$3:$N$23,13,0)&lt;='TCO TO BE- SW'!$D81,SUM('TCO TO BE- SW'!K$6:K$15)*VLOOKUP('TCO TO BE- SW'!K$2,MODULY_CBA!$B$3:$M$23,12,0),0),0)</f>
        <v>0</v>
      </c>
      <c r="L91" s="589">
        <f>IFERROR(IF(VLOOKUP(L$2,MODULY_CBA!$B$3:$N$23,13,0)&lt;='TCO TO BE- SW'!$D81,SUM('TCO TO BE- SW'!L$6:L$15)*VLOOKUP('TCO TO BE- SW'!L$2,MODULY_CBA!$B$3:$M$23,12,0),0),0)</f>
        <v>0</v>
      </c>
      <c r="M91" s="589">
        <f>IFERROR(IF(VLOOKUP(M$2,MODULY_CBA!$B$3:$N$23,13,0)&lt;='TCO TO BE- SW'!$D81,SUM('TCO TO BE- SW'!M$6:M$15)*VLOOKUP('TCO TO BE- SW'!M$2,MODULY_CBA!$B$3:$M$23,12,0),0),0)</f>
        <v>0</v>
      </c>
      <c r="N91" s="589">
        <f>IFERROR(IF(VLOOKUP(N$2,MODULY_CBA!$B$3:$N$23,13,0)&lt;='TCO TO BE- SW'!$D81,SUM('TCO TO BE- SW'!N$6:N$15)*VLOOKUP('TCO TO BE- SW'!N$2,MODULY_CBA!$B$3:$M$23,12,0),0),0)</f>
        <v>0</v>
      </c>
      <c r="O91" s="589">
        <f>IFERROR(IF(VLOOKUP(O$2,MODULY_CBA!$B$3:$N$23,13,0)&lt;='TCO TO BE- SW'!$D81,SUM('TCO TO BE- SW'!O$6:O$15)*VLOOKUP('TCO TO BE- SW'!O$2,MODULY_CBA!$B$3:$M$23,12,0),0),0)</f>
        <v>0</v>
      </c>
      <c r="P91" s="589">
        <f>IFERROR(IF(VLOOKUP(P$2,MODULY_CBA!$B$3:$N$23,13,0)&lt;='TCO TO BE- SW'!$D81,SUM('TCO TO BE- SW'!P$6:P$15)*VLOOKUP('TCO TO BE- SW'!P$2,MODULY_CBA!$B$3:$M$23,12,0),0),0)</f>
        <v>0</v>
      </c>
      <c r="Q91" s="589">
        <f>IFERROR(IF(VLOOKUP(Q$2,MODULY_CBA!$B$3:$N$23,13,0)&lt;='TCO TO BE- SW'!$D91,SUM('TCO TO BE- SW'!Q$6:Q$15)*VLOOKUP('TCO TO BE- SW'!Q$2,MODULY_CBA!$B$3:$L$23,11,0),0),0)</f>
        <v>0</v>
      </c>
      <c r="R91" s="589">
        <f>IFERROR(IF(VLOOKUP(R$2,MODULY_CBA!$B$3:$N$23,13,0)&lt;='TCO TO BE- SW'!$D91,SUM('TCO TO BE- SW'!R$6:R$15)*VLOOKUP('TCO TO BE- SW'!R$2,MODULY_CBA!$B$3:$L$23,11,0),0),0)</f>
        <v>0</v>
      </c>
      <c r="S91" s="589">
        <f>IFERROR(IF(VLOOKUP(S$2,MODULY_CBA!$B$3:$N$23,13,0)&lt;='TCO TO BE- SW'!$D91,SUM('TCO TO BE- SW'!S$6:S$15)*VLOOKUP('TCO TO BE- SW'!S$2,MODULY_CBA!$B$3:$L$23,11,0),0),0)</f>
        <v>0</v>
      </c>
      <c r="T91" s="589">
        <f>IFERROR(IF(VLOOKUP(T$2,MODULY_CBA!$B$3:$N$23,13,0)&lt;='TCO TO BE- SW'!$D91,SUM('TCO TO BE- SW'!T$6:T$15)*VLOOKUP('TCO TO BE- SW'!T$2,MODULY_CBA!$B$3:$L$23,11,0),0),0)</f>
        <v>0</v>
      </c>
      <c r="U91" s="589">
        <f>IFERROR(IF(VLOOKUP(U$2,MODULY_CBA!$B$3:$N$23,13,0)&lt;='TCO TO BE- SW'!$D91,SUM('TCO TO BE- SW'!U$6:U$15)*VLOOKUP('TCO TO BE- SW'!U$2,MODULY_CBA!$B$3:$L$23,11,0),0),0)</f>
        <v>0</v>
      </c>
      <c r="V91" s="589">
        <f>IFERROR(IF(VLOOKUP(V$2,MODULY_CBA!$B$3:$N$23,13,0)&lt;='TCO TO BE- SW'!$D91,SUM('TCO TO BE- SW'!V$6:V$15)*VLOOKUP('TCO TO BE- SW'!V$2,MODULY_CBA!$B$3:$L$23,11,0),0),0)</f>
        <v>0</v>
      </c>
      <c r="W91" s="589">
        <f>IFERROR(IF(VLOOKUP(W$2,MODULY_CBA!$B$3:$N$23,13,0)&lt;='TCO TO BE- SW'!$D91,SUM('TCO TO BE- SW'!W$6:W$15)*VLOOKUP('TCO TO BE- SW'!W$2,MODULY_CBA!$B$3:$L$23,11,0),0),0)</f>
        <v>0</v>
      </c>
      <c r="X91" s="589">
        <f>IFERROR(IF(VLOOKUP(X$2,MODULY_CBA!$B$3:$N$23,13,0)&lt;='TCO TO BE- SW'!$D91,SUM('TCO TO BE- SW'!X$6:X$15)*VLOOKUP('TCO TO BE- SW'!X$2,MODULY_CBA!$B$3:$L$23,11,0),0),0)</f>
        <v>0</v>
      </c>
      <c r="Y91" s="589">
        <f>IFERROR(IF(VLOOKUP(Y$2,MODULY_CBA!$B$3:$N$23,13,0)&lt;='TCO TO BE- SW'!$D91,SUM('TCO TO BE- SW'!Y$6:Y$15)*VLOOKUP('TCO TO BE- SW'!Y$2,MODULY_CBA!$B$3:$L$23,11,0),0),0)</f>
        <v>0</v>
      </c>
      <c r="Z91" s="589">
        <f>IFERROR(IF(VLOOKUP(Z$2,MODULY_CBA!$B$3:$N$23,13,0)&lt;='TCO TO BE- SW'!$D91,SUM('TCO TO BE- SW'!Z$6:Z$15)*VLOOKUP('TCO TO BE- SW'!Z$2,MODULY_CBA!$B$3:$L$23,11,0),0),0)</f>
        <v>0</v>
      </c>
    </row>
    <row r="92" spans="1:26" outlineLevel="2" x14ac:dyDescent="0.2">
      <c r="A92" s="1390"/>
      <c r="B92" s="1391"/>
      <c r="C92" s="1391"/>
      <c r="D92" s="64">
        <v>4</v>
      </c>
      <c r="E92" s="61">
        <f t="shared" si="12"/>
        <v>0</v>
      </c>
      <c r="F92" s="589">
        <f>IFERROR(IF(VLOOKUP(F$2,MODULY_CBA!$B$3:$N$23,13,0)&lt;='TCO TO BE- SW'!$D92,SUM('TCO TO BE- SW'!F$6:F$15)*VLOOKUP('TCO TO BE- SW'!F$2,MODULY_CBA!$B$3:$L$23,11,0),0),0)</f>
        <v>0</v>
      </c>
      <c r="G92" s="589">
        <f>IFERROR(IF(VLOOKUP(G$2,MODULY_CBA!$B$3:$N$23,13,0)&lt;='TCO TO BE- SW'!$D92,SUM('TCO TO BE- SW'!G$6:G$15)*VLOOKUP('TCO TO BE- SW'!G$2,MODULY_CBA!$B$3:$L$23,11,0),0),0)</f>
        <v>0</v>
      </c>
      <c r="H92" s="589">
        <f>IFERROR(IF(VLOOKUP(H$2,MODULY_CBA!$B$3:$N$23,13,0)&lt;='TCO TO BE- SW'!$D92,SUM('TCO TO BE- SW'!H$6:H$15)*VLOOKUP('TCO TO BE- SW'!H$2,MODULY_CBA!$B$3:$L$23,11,0),0),0)</f>
        <v>0</v>
      </c>
      <c r="I92" s="589">
        <f>IFERROR(IF(VLOOKUP(I$2,MODULY_CBA!$B$3:$N$23,13,0)&lt;='TCO TO BE- SW'!$D82,SUM('TCO TO BE- SW'!I$6:I$15)*VLOOKUP('TCO TO BE- SW'!I$2,MODULY_CBA!$B$3:$M$23,12,0),0),0)</f>
        <v>0</v>
      </c>
      <c r="J92" s="589">
        <f>IFERROR(IF(VLOOKUP(J$2,MODULY_CBA!$B$3:$N$23,13,0)&lt;='TCO TO BE- SW'!$D82,SUM('TCO TO BE- SW'!J$6:J$15)*VLOOKUP('TCO TO BE- SW'!J$2,MODULY_CBA!$B$3:$M$23,12,0),0),0)</f>
        <v>0</v>
      </c>
      <c r="K92" s="589">
        <f>IFERROR(IF(VLOOKUP(K$2,MODULY_CBA!$B$3:$N$23,13,0)&lt;='TCO TO BE- SW'!$D82,SUM('TCO TO BE- SW'!K$6:K$15)*VLOOKUP('TCO TO BE- SW'!K$2,MODULY_CBA!$B$3:$M$23,12,0),0),0)</f>
        <v>0</v>
      </c>
      <c r="L92" s="589">
        <f>IFERROR(IF(VLOOKUP(L$2,MODULY_CBA!$B$3:$N$23,13,0)&lt;='TCO TO BE- SW'!$D82,SUM('TCO TO BE- SW'!L$6:L$15)*VLOOKUP('TCO TO BE- SW'!L$2,MODULY_CBA!$B$3:$M$23,12,0),0),0)</f>
        <v>0</v>
      </c>
      <c r="M92" s="589">
        <f>IFERROR(IF(VLOOKUP(M$2,MODULY_CBA!$B$3:$N$23,13,0)&lt;='TCO TO BE- SW'!$D82,SUM('TCO TO BE- SW'!M$6:M$15)*VLOOKUP('TCO TO BE- SW'!M$2,MODULY_CBA!$B$3:$M$23,12,0),0),0)</f>
        <v>0</v>
      </c>
      <c r="N92" s="589">
        <f>IFERROR(IF(VLOOKUP(N$2,MODULY_CBA!$B$3:$N$23,13,0)&lt;='TCO TO BE- SW'!$D82,SUM('TCO TO BE- SW'!N$6:N$15)*VLOOKUP('TCO TO BE- SW'!N$2,MODULY_CBA!$B$3:$M$23,12,0),0),0)</f>
        <v>0</v>
      </c>
      <c r="O92" s="589">
        <f>IFERROR(IF(VLOOKUP(O$2,MODULY_CBA!$B$3:$N$23,13,0)&lt;='TCO TO BE- SW'!$D82,SUM('TCO TO BE- SW'!O$6:O$15)*VLOOKUP('TCO TO BE- SW'!O$2,MODULY_CBA!$B$3:$M$23,12,0),0),0)</f>
        <v>0</v>
      </c>
      <c r="P92" s="589">
        <f>IFERROR(IF(VLOOKUP(P$2,MODULY_CBA!$B$3:$N$23,13,0)&lt;='TCO TO BE- SW'!$D82,SUM('TCO TO BE- SW'!P$6:P$15)*VLOOKUP('TCO TO BE- SW'!P$2,MODULY_CBA!$B$3:$M$23,12,0),0),0)</f>
        <v>0</v>
      </c>
      <c r="Q92" s="589">
        <f>IFERROR(IF(VLOOKUP(Q$2,MODULY_CBA!$B$3:$N$23,13,0)&lt;='TCO TO BE- SW'!$D92,SUM('TCO TO BE- SW'!Q$6:Q$15)*VLOOKUP('TCO TO BE- SW'!Q$2,MODULY_CBA!$B$3:$L$23,11,0),0),0)</f>
        <v>0</v>
      </c>
      <c r="R92" s="589">
        <f>IFERROR(IF(VLOOKUP(R$2,MODULY_CBA!$B$3:$N$23,13,0)&lt;='TCO TO BE- SW'!$D92,SUM('TCO TO BE- SW'!R$6:R$15)*VLOOKUP('TCO TO BE- SW'!R$2,MODULY_CBA!$B$3:$L$23,11,0),0),0)</f>
        <v>0</v>
      </c>
      <c r="S92" s="589">
        <f>IFERROR(IF(VLOOKUP(S$2,MODULY_CBA!$B$3:$N$23,13,0)&lt;='TCO TO BE- SW'!$D92,SUM('TCO TO BE- SW'!S$6:S$15)*VLOOKUP('TCO TO BE- SW'!S$2,MODULY_CBA!$B$3:$L$23,11,0),0),0)</f>
        <v>0</v>
      </c>
      <c r="T92" s="589">
        <f>IFERROR(IF(VLOOKUP(T$2,MODULY_CBA!$B$3:$N$23,13,0)&lt;='TCO TO BE- SW'!$D92,SUM('TCO TO BE- SW'!T$6:T$15)*VLOOKUP('TCO TO BE- SW'!T$2,MODULY_CBA!$B$3:$L$23,11,0),0),0)</f>
        <v>0</v>
      </c>
      <c r="U92" s="589">
        <f>IFERROR(IF(VLOOKUP(U$2,MODULY_CBA!$B$3:$N$23,13,0)&lt;='TCO TO BE- SW'!$D92,SUM('TCO TO BE- SW'!U$6:U$15)*VLOOKUP('TCO TO BE- SW'!U$2,MODULY_CBA!$B$3:$L$23,11,0),0),0)</f>
        <v>0</v>
      </c>
      <c r="V92" s="589">
        <f>IFERROR(IF(VLOOKUP(V$2,MODULY_CBA!$B$3:$N$23,13,0)&lt;='TCO TO BE- SW'!$D92,SUM('TCO TO BE- SW'!V$6:V$15)*VLOOKUP('TCO TO BE- SW'!V$2,MODULY_CBA!$B$3:$L$23,11,0),0),0)</f>
        <v>0</v>
      </c>
      <c r="W92" s="589">
        <f>IFERROR(IF(VLOOKUP(W$2,MODULY_CBA!$B$3:$N$23,13,0)&lt;='TCO TO BE- SW'!$D92,SUM('TCO TO BE- SW'!W$6:W$15)*VLOOKUP('TCO TO BE- SW'!W$2,MODULY_CBA!$B$3:$L$23,11,0),0),0)</f>
        <v>0</v>
      </c>
      <c r="X92" s="589">
        <f>IFERROR(IF(VLOOKUP(X$2,MODULY_CBA!$B$3:$N$23,13,0)&lt;='TCO TO BE- SW'!$D92,SUM('TCO TO BE- SW'!X$6:X$15)*VLOOKUP('TCO TO BE- SW'!X$2,MODULY_CBA!$B$3:$L$23,11,0),0),0)</f>
        <v>0</v>
      </c>
      <c r="Y92" s="589">
        <f>IFERROR(IF(VLOOKUP(Y$2,MODULY_CBA!$B$3:$N$23,13,0)&lt;='TCO TO BE- SW'!$D92,SUM('TCO TO BE- SW'!Y$6:Y$15)*VLOOKUP('TCO TO BE- SW'!Y$2,MODULY_CBA!$B$3:$L$23,11,0),0),0)</f>
        <v>0</v>
      </c>
      <c r="Z92" s="589">
        <f>IFERROR(IF(VLOOKUP(Z$2,MODULY_CBA!$B$3:$N$23,13,0)&lt;='TCO TO BE- SW'!$D92,SUM('TCO TO BE- SW'!Z$6:Z$15)*VLOOKUP('TCO TO BE- SW'!Z$2,MODULY_CBA!$B$3:$L$23,11,0),0),0)</f>
        <v>0</v>
      </c>
    </row>
    <row r="93" spans="1:26" outlineLevel="2" x14ac:dyDescent="0.2">
      <c r="A93" s="1390"/>
      <c r="B93" s="1391"/>
      <c r="C93" s="1391"/>
      <c r="D93" s="64">
        <v>5</v>
      </c>
      <c r="E93" s="61">
        <f t="shared" si="12"/>
        <v>0</v>
      </c>
      <c r="F93" s="589">
        <f>IFERROR(IF(VLOOKUP(F$2,MODULY_CBA!$B$3:$N$23,13,0)&lt;='TCO TO BE- SW'!$D93,SUM('TCO TO BE- SW'!F$6:F$15)*VLOOKUP('TCO TO BE- SW'!F$2,MODULY_CBA!$B$3:$L$23,11,0),0),0)</f>
        <v>0</v>
      </c>
      <c r="G93" s="589">
        <f>IFERROR(IF(VLOOKUP(G$2,MODULY_CBA!$B$3:$N$23,13,0)&lt;='TCO TO BE- SW'!$D93,SUM('TCO TO BE- SW'!G$6:G$15)*VLOOKUP('TCO TO BE- SW'!G$2,MODULY_CBA!$B$3:$L$23,11,0),0),0)</f>
        <v>0</v>
      </c>
      <c r="H93" s="589">
        <f>IFERROR(IF(VLOOKUP(H$2,MODULY_CBA!$B$3:$N$23,13,0)&lt;='TCO TO BE- SW'!$D93,SUM('TCO TO BE- SW'!H$6:H$15)*VLOOKUP('TCO TO BE- SW'!H$2,MODULY_CBA!$B$3:$L$23,11,0),0),0)</f>
        <v>0</v>
      </c>
      <c r="I93" s="589">
        <f>IFERROR(IF(VLOOKUP(I$2,MODULY_CBA!$B$3:$N$23,13,0)&lt;='TCO TO BE- SW'!$D83,SUM('TCO TO BE- SW'!I$6:I$15)*VLOOKUP('TCO TO BE- SW'!I$2,MODULY_CBA!$B$3:$M$23,12,0),0),0)</f>
        <v>0</v>
      </c>
      <c r="J93" s="589">
        <f>IFERROR(IF(VLOOKUP(J$2,MODULY_CBA!$B$3:$N$23,13,0)&lt;='TCO TO BE- SW'!$D83,SUM('TCO TO BE- SW'!J$6:J$15)*VLOOKUP('TCO TO BE- SW'!J$2,MODULY_CBA!$B$3:$M$23,12,0),0),0)</f>
        <v>0</v>
      </c>
      <c r="K93" s="589">
        <f>IFERROR(IF(VLOOKUP(K$2,MODULY_CBA!$B$3:$N$23,13,0)&lt;='TCO TO BE- SW'!$D83,SUM('TCO TO BE- SW'!K$6:K$15)*VLOOKUP('TCO TO BE- SW'!K$2,MODULY_CBA!$B$3:$M$23,12,0),0),0)</f>
        <v>0</v>
      </c>
      <c r="L93" s="589">
        <f>IFERROR(IF(VLOOKUP(L$2,MODULY_CBA!$B$3:$N$23,13,0)&lt;='TCO TO BE- SW'!$D83,SUM('TCO TO BE- SW'!L$6:L$15)*VLOOKUP('TCO TO BE- SW'!L$2,MODULY_CBA!$B$3:$M$23,12,0),0),0)</f>
        <v>0</v>
      </c>
      <c r="M93" s="589">
        <f>IFERROR(IF(VLOOKUP(M$2,MODULY_CBA!$B$3:$N$23,13,0)&lt;='TCO TO BE- SW'!$D83,SUM('TCO TO BE- SW'!M$6:M$15)*VLOOKUP('TCO TO BE- SW'!M$2,MODULY_CBA!$B$3:$M$23,12,0),0),0)</f>
        <v>0</v>
      </c>
      <c r="N93" s="589">
        <f>IFERROR(IF(VLOOKUP(N$2,MODULY_CBA!$B$3:$N$23,13,0)&lt;='TCO TO BE- SW'!$D83,SUM('TCO TO BE- SW'!N$6:N$15)*VLOOKUP('TCO TO BE- SW'!N$2,MODULY_CBA!$B$3:$M$23,12,0),0),0)</f>
        <v>0</v>
      </c>
      <c r="O93" s="589">
        <f>IFERROR(IF(VLOOKUP(O$2,MODULY_CBA!$B$3:$N$23,13,0)&lt;='TCO TO BE- SW'!$D83,SUM('TCO TO BE- SW'!O$6:O$15)*VLOOKUP('TCO TO BE- SW'!O$2,MODULY_CBA!$B$3:$M$23,12,0),0),0)</f>
        <v>0</v>
      </c>
      <c r="P93" s="589">
        <f>IFERROR(IF(VLOOKUP(P$2,MODULY_CBA!$B$3:$N$23,13,0)&lt;='TCO TO BE- SW'!$D83,SUM('TCO TO BE- SW'!P$6:P$15)*VLOOKUP('TCO TO BE- SW'!P$2,MODULY_CBA!$B$3:$M$23,12,0),0),0)</f>
        <v>0</v>
      </c>
      <c r="Q93" s="589">
        <f>IFERROR(IF(VLOOKUP(Q$2,MODULY_CBA!$B$3:$N$23,13,0)&lt;='TCO TO BE- SW'!$D93,SUM('TCO TO BE- SW'!Q$6:Q$15)*VLOOKUP('TCO TO BE- SW'!Q$2,MODULY_CBA!$B$3:$L$23,11,0),0),0)</f>
        <v>0</v>
      </c>
      <c r="R93" s="589">
        <f>IFERROR(IF(VLOOKUP(R$2,MODULY_CBA!$B$3:$N$23,13,0)&lt;='TCO TO BE- SW'!$D93,SUM('TCO TO BE- SW'!R$6:R$15)*VLOOKUP('TCO TO BE- SW'!R$2,MODULY_CBA!$B$3:$L$23,11,0),0),0)</f>
        <v>0</v>
      </c>
      <c r="S93" s="589">
        <f>IFERROR(IF(VLOOKUP(S$2,MODULY_CBA!$B$3:$N$23,13,0)&lt;='TCO TO BE- SW'!$D93,SUM('TCO TO BE- SW'!S$6:S$15)*VLOOKUP('TCO TO BE- SW'!S$2,MODULY_CBA!$B$3:$L$23,11,0),0),0)</f>
        <v>0</v>
      </c>
      <c r="T93" s="589">
        <f>IFERROR(IF(VLOOKUP(T$2,MODULY_CBA!$B$3:$N$23,13,0)&lt;='TCO TO BE- SW'!$D93,SUM('TCO TO BE- SW'!T$6:T$15)*VLOOKUP('TCO TO BE- SW'!T$2,MODULY_CBA!$B$3:$L$23,11,0),0),0)</f>
        <v>0</v>
      </c>
      <c r="U93" s="589">
        <f>IFERROR(IF(VLOOKUP(U$2,MODULY_CBA!$B$3:$N$23,13,0)&lt;='TCO TO BE- SW'!$D93,SUM('TCO TO BE- SW'!U$6:U$15)*VLOOKUP('TCO TO BE- SW'!U$2,MODULY_CBA!$B$3:$L$23,11,0),0),0)</f>
        <v>0</v>
      </c>
      <c r="V93" s="589">
        <f>IFERROR(IF(VLOOKUP(V$2,MODULY_CBA!$B$3:$N$23,13,0)&lt;='TCO TO BE- SW'!$D93,SUM('TCO TO BE- SW'!V$6:V$15)*VLOOKUP('TCO TO BE- SW'!V$2,MODULY_CBA!$B$3:$L$23,11,0),0),0)</f>
        <v>0</v>
      </c>
      <c r="W93" s="589">
        <f>IFERROR(IF(VLOOKUP(W$2,MODULY_CBA!$B$3:$N$23,13,0)&lt;='TCO TO BE- SW'!$D93,SUM('TCO TO BE- SW'!W$6:W$15)*VLOOKUP('TCO TO BE- SW'!W$2,MODULY_CBA!$B$3:$L$23,11,0),0),0)</f>
        <v>0</v>
      </c>
      <c r="X93" s="589">
        <f>IFERROR(IF(VLOOKUP(X$2,MODULY_CBA!$B$3:$N$23,13,0)&lt;='TCO TO BE- SW'!$D93,SUM('TCO TO BE- SW'!X$6:X$15)*VLOOKUP('TCO TO BE- SW'!X$2,MODULY_CBA!$B$3:$L$23,11,0),0),0)</f>
        <v>0</v>
      </c>
      <c r="Y93" s="589">
        <f>IFERROR(IF(VLOOKUP(Y$2,MODULY_CBA!$B$3:$N$23,13,0)&lt;='TCO TO BE- SW'!$D93,SUM('TCO TO BE- SW'!Y$6:Y$15)*VLOOKUP('TCO TO BE- SW'!Y$2,MODULY_CBA!$B$3:$L$23,11,0),0),0)</f>
        <v>0</v>
      </c>
      <c r="Z93" s="589">
        <f>IFERROR(IF(VLOOKUP(Z$2,MODULY_CBA!$B$3:$N$23,13,0)&lt;='TCO TO BE- SW'!$D93,SUM('TCO TO BE- SW'!Z$6:Z$15)*VLOOKUP('TCO TO BE- SW'!Z$2,MODULY_CBA!$B$3:$L$23,11,0),0),0)</f>
        <v>0</v>
      </c>
    </row>
    <row r="94" spans="1:26" outlineLevel="2" x14ac:dyDescent="0.2">
      <c r="A94" s="1390"/>
      <c r="B94" s="1391"/>
      <c r="C94" s="1391"/>
      <c r="D94" s="64">
        <v>6</v>
      </c>
      <c r="E94" s="61">
        <f t="shared" si="12"/>
        <v>0</v>
      </c>
      <c r="F94" s="589">
        <f>IFERROR(IF(VLOOKUP(F$2,MODULY_CBA!$B$3:$N$23,13,0)&lt;='TCO TO BE- SW'!$D94,SUM('TCO TO BE- SW'!F$6:F$15)*VLOOKUP('TCO TO BE- SW'!F$2,MODULY_CBA!$B$3:$L$23,11,0),0),0)</f>
        <v>0</v>
      </c>
      <c r="G94" s="589">
        <f>IFERROR(IF(VLOOKUP(G$2,MODULY_CBA!$B$3:$N$23,13,0)&lt;='TCO TO BE- SW'!$D94,SUM('TCO TO BE- SW'!G$6:G$15)*VLOOKUP('TCO TO BE- SW'!G$2,MODULY_CBA!$B$3:$L$23,11,0),0),0)</f>
        <v>0</v>
      </c>
      <c r="H94" s="589">
        <f>IFERROR(IF(VLOOKUP(H$2,MODULY_CBA!$B$3:$N$23,13,0)&lt;='TCO TO BE- SW'!$D94,SUM('TCO TO BE- SW'!H$6:H$15)*VLOOKUP('TCO TO BE- SW'!H$2,MODULY_CBA!$B$3:$L$23,11,0),0),0)</f>
        <v>0</v>
      </c>
      <c r="I94" s="589">
        <f>IFERROR(IF(VLOOKUP(I$2,MODULY_CBA!$B$3:$N$23,13,0)&lt;='TCO TO BE- SW'!$D84,SUM('TCO TO BE- SW'!I$6:I$15)*VLOOKUP('TCO TO BE- SW'!I$2,MODULY_CBA!$B$3:$M$23,12,0),0),0)</f>
        <v>0</v>
      </c>
      <c r="J94" s="589">
        <f>IFERROR(IF(VLOOKUP(J$2,MODULY_CBA!$B$3:$N$23,13,0)&lt;='TCO TO BE- SW'!$D84,SUM('TCO TO BE- SW'!J$6:J$15)*VLOOKUP('TCO TO BE- SW'!J$2,MODULY_CBA!$B$3:$M$23,12,0),0),0)</f>
        <v>0</v>
      </c>
      <c r="K94" s="589">
        <f>IFERROR(IF(VLOOKUP(K$2,MODULY_CBA!$B$3:$N$23,13,0)&lt;='TCO TO BE- SW'!$D84,SUM('TCO TO BE- SW'!K$6:K$15)*VLOOKUP('TCO TO BE- SW'!K$2,MODULY_CBA!$B$3:$M$23,12,0),0),0)</f>
        <v>0</v>
      </c>
      <c r="L94" s="589">
        <f>IFERROR(IF(VLOOKUP(L$2,MODULY_CBA!$B$3:$N$23,13,0)&lt;='TCO TO BE- SW'!$D84,SUM('TCO TO BE- SW'!L$6:L$15)*VLOOKUP('TCO TO BE- SW'!L$2,MODULY_CBA!$B$3:$M$23,12,0),0),0)</f>
        <v>0</v>
      </c>
      <c r="M94" s="589">
        <f>IFERROR(IF(VLOOKUP(M$2,MODULY_CBA!$B$3:$N$23,13,0)&lt;='TCO TO BE- SW'!$D84,SUM('TCO TO BE- SW'!M$6:M$15)*VLOOKUP('TCO TO BE- SW'!M$2,MODULY_CBA!$B$3:$M$23,12,0),0),0)</f>
        <v>0</v>
      </c>
      <c r="N94" s="589">
        <f>IFERROR(IF(VLOOKUP(N$2,MODULY_CBA!$B$3:$N$23,13,0)&lt;='TCO TO BE- SW'!$D84,SUM('TCO TO BE- SW'!N$6:N$15)*VLOOKUP('TCO TO BE- SW'!N$2,MODULY_CBA!$B$3:$M$23,12,0),0),0)</f>
        <v>0</v>
      </c>
      <c r="O94" s="589">
        <f>IFERROR(IF(VLOOKUP(O$2,MODULY_CBA!$B$3:$N$23,13,0)&lt;='TCO TO BE- SW'!$D84,SUM('TCO TO BE- SW'!O$6:O$15)*VLOOKUP('TCO TO BE- SW'!O$2,MODULY_CBA!$B$3:$M$23,12,0),0),0)</f>
        <v>0</v>
      </c>
      <c r="P94" s="589">
        <f>IFERROR(IF(VLOOKUP(P$2,MODULY_CBA!$B$3:$N$23,13,0)&lt;='TCO TO BE- SW'!$D84,SUM('TCO TO BE- SW'!P$6:P$15)*VLOOKUP('TCO TO BE- SW'!P$2,MODULY_CBA!$B$3:$M$23,12,0),0),0)</f>
        <v>0</v>
      </c>
      <c r="Q94" s="589">
        <f>IFERROR(IF(VLOOKUP(Q$2,MODULY_CBA!$B$3:$N$23,13,0)&lt;='TCO TO BE- SW'!$D94,SUM('TCO TO BE- SW'!Q$6:Q$15)*VLOOKUP('TCO TO BE- SW'!Q$2,MODULY_CBA!$B$3:$L$23,11,0),0),0)</f>
        <v>0</v>
      </c>
      <c r="R94" s="589">
        <f>IFERROR(IF(VLOOKUP(R$2,MODULY_CBA!$B$3:$N$23,13,0)&lt;='TCO TO BE- SW'!$D94,SUM('TCO TO BE- SW'!R$6:R$15)*VLOOKUP('TCO TO BE- SW'!R$2,MODULY_CBA!$B$3:$L$23,11,0),0),0)</f>
        <v>0</v>
      </c>
      <c r="S94" s="589">
        <f>IFERROR(IF(VLOOKUP(S$2,MODULY_CBA!$B$3:$N$23,13,0)&lt;='TCO TO BE- SW'!$D94,SUM('TCO TO BE- SW'!S$6:S$15)*VLOOKUP('TCO TO BE- SW'!S$2,MODULY_CBA!$B$3:$L$23,11,0),0),0)</f>
        <v>0</v>
      </c>
      <c r="T94" s="589">
        <f>IFERROR(IF(VLOOKUP(T$2,MODULY_CBA!$B$3:$N$23,13,0)&lt;='TCO TO BE- SW'!$D94,SUM('TCO TO BE- SW'!T$6:T$15)*VLOOKUP('TCO TO BE- SW'!T$2,MODULY_CBA!$B$3:$L$23,11,0),0),0)</f>
        <v>0</v>
      </c>
      <c r="U94" s="589">
        <f>IFERROR(IF(VLOOKUP(U$2,MODULY_CBA!$B$3:$N$23,13,0)&lt;='TCO TO BE- SW'!$D94,SUM('TCO TO BE- SW'!U$6:U$15)*VLOOKUP('TCO TO BE- SW'!U$2,MODULY_CBA!$B$3:$L$23,11,0),0),0)</f>
        <v>0</v>
      </c>
      <c r="V94" s="589">
        <f>IFERROR(IF(VLOOKUP(V$2,MODULY_CBA!$B$3:$N$23,13,0)&lt;='TCO TO BE- SW'!$D94,SUM('TCO TO BE- SW'!V$6:V$15)*VLOOKUP('TCO TO BE- SW'!V$2,MODULY_CBA!$B$3:$L$23,11,0),0),0)</f>
        <v>0</v>
      </c>
      <c r="W94" s="589">
        <f>IFERROR(IF(VLOOKUP(W$2,MODULY_CBA!$B$3:$N$23,13,0)&lt;='TCO TO BE- SW'!$D94,SUM('TCO TO BE- SW'!W$6:W$15)*VLOOKUP('TCO TO BE- SW'!W$2,MODULY_CBA!$B$3:$L$23,11,0),0),0)</f>
        <v>0</v>
      </c>
      <c r="X94" s="589">
        <f>IFERROR(IF(VLOOKUP(X$2,MODULY_CBA!$B$3:$N$23,13,0)&lt;='TCO TO BE- SW'!$D94,SUM('TCO TO BE- SW'!X$6:X$15)*VLOOKUP('TCO TO BE- SW'!X$2,MODULY_CBA!$B$3:$L$23,11,0),0),0)</f>
        <v>0</v>
      </c>
      <c r="Y94" s="589">
        <f>IFERROR(IF(VLOOKUP(Y$2,MODULY_CBA!$B$3:$N$23,13,0)&lt;='TCO TO BE- SW'!$D94,SUM('TCO TO BE- SW'!Y$6:Y$15)*VLOOKUP('TCO TO BE- SW'!Y$2,MODULY_CBA!$B$3:$L$23,11,0),0),0)</f>
        <v>0</v>
      </c>
      <c r="Z94" s="589">
        <f>IFERROR(IF(VLOOKUP(Z$2,MODULY_CBA!$B$3:$N$23,13,0)&lt;='TCO TO BE- SW'!$D94,SUM('TCO TO BE- SW'!Z$6:Z$15)*VLOOKUP('TCO TO BE- SW'!Z$2,MODULY_CBA!$B$3:$L$23,11,0),0),0)</f>
        <v>0</v>
      </c>
    </row>
    <row r="95" spans="1:26" outlineLevel="2" x14ac:dyDescent="0.2">
      <c r="A95" s="1390"/>
      <c r="B95" s="1391"/>
      <c r="C95" s="1391"/>
      <c r="D95" s="64">
        <v>7</v>
      </c>
      <c r="E95" s="61">
        <f t="shared" si="12"/>
        <v>61921.951556326523</v>
      </c>
      <c r="F95" s="589">
        <f>IFERROR(IF(VLOOKUP(F$2,MODULY_CBA!$B$3:$N$23,13,0)&lt;='TCO TO BE- SW'!$D95,SUM('TCO TO BE- SW'!F$6:F$15)*VLOOKUP('TCO TO BE- SW'!F$2,MODULY_CBA!$B$3:$L$23,11,0),0),0)</f>
        <v>0</v>
      </c>
      <c r="G95" s="589">
        <f>IFERROR(IF(VLOOKUP(G$2,MODULY_CBA!$B$3:$N$23,13,0)&lt;='TCO TO BE- SW'!$D95,SUM('TCO TO BE- SW'!G$6:G$15)*VLOOKUP('TCO TO BE- SW'!G$2,MODULY_CBA!$B$3:$L$23,11,0),0),0)</f>
        <v>0</v>
      </c>
      <c r="H95" s="589">
        <f>IFERROR(IF(VLOOKUP(H$2,MODULY_CBA!$B$3:$N$23,13,0)&lt;='TCO TO BE- SW'!$D95,SUM('TCO TO BE- SW'!H$6:H$15)*VLOOKUP('TCO TO BE- SW'!H$2,MODULY_CBA!$B$3:$L$23,11,0),0),0)</f>
        <v>0</v>
      </c>
      <c r="I95" s="589">
        <f>IFERROR(IF(VLOOKUP(I$2,MODULY_CBA!$B$3:$N$23,13,0)&lt;='TCO TO BE- SW'!$D85,SUM('TCO TO BE- SW'!I$6:I$15)*VLOOKUP('TCO TO BE- SW'!I$2,MODULY_CBA!$B$3:$M$23,12,0),0),0)</f>
        <v>11070</v>
      </c>
      <c r="J95" s="589">
        <f>IFERROR(IF(VLOOKUP(J$2,MODULY_CBA!$B$3:$N$23,13,0)&lt;='TCO TO BE- SW'!$D85,SUM('TCO TO BE- SW'!J$6:J$15)*VLOOKUP('TCO TO BE- SW'!J$2,MODULY_CBA!$B$3:$M$23,12,0),0),0)</f>
        <v>9098.1171359999989</v>
      </c>
      <c r="K95" s="589">
        <f>IFERROR(IF(VLOOKUP(K$2,MODULY_CBA!$B$3:$N$23,13,0)&lt;='TCO TO BE- SW'!$D85,SUM('TCO TO BE- SW'!K$6:K$15)*VLOOKUP('TCO TO BE- SW'!K$2,MODULY_CBA!$B$3:$M$23,12,0),0),0)</f>
        <v>0</v>
      </c>
      <c r="L95" s="589">
        <f>IFERROR(IF(VLOOKUP(L$2,MODULY_CBA!$B$3:$N$23,13,0)&lt;='TCO TO BE- SW'!$D85,SUM('TCO TO BE- SW'!L$6:L$15)*VLOOKUP('TCO TO BE- SW'!L$2,MODULY_CBA!$B$3:$M$23,12,0),0),0)</f>
        <v>0</v>
      </c>
      <c r="M95" s="589">
        <f>IFERROR(IF(VLOOKUP(M$2,MODULY_CBA!$B$3:$N$23,13,0)&lt;='TCO TO BE- SW'!$D85,SUM('TCO TO BE- SW'!M$6:M$15)*VLOOKUP('TCO TO BE- SW'!M$2,MODULY_CBA!$B$3:$M$23,12,0),0),0)</f>
        <v>24812.532352653059</v>
      </c>
      <c r="N95" s="589">
        <f>IFERROR(IF(VLOOKUP(N$2,MODULY_CBA!$B$3:$N$23,13,0)&lt;='TCO TO BE- SW'!$D85,SUM('TCO TO BE- SW'!N$6:N$15)*VLOOKUP('TCO TO BE- SW'!N$2,MODULY_CBA!$B$3:$M$23,12,0),0),0)</f>
        <v>2195.5499999999997</v>
      </c>
      <c r="O95" s="589">
        <f>IFERROR(IF(VLOOKUP(O$2,MODULY_CBA!$B$3:$N$23,13,0)&lt;='TCO TO BE- SW'!$D85,SUM('TCO TO BE- SW'!O$6:O$15)*VLOOKUP('TCO TO BE- SW'!O$2,MODULY_CBA!$B$3:$M$23,12,0),0),0)</f>
        <v>0</v>
      </c>
      <c r="P95" s="589">
        <f>IFERROR(IF(VLOOKUP(P$2,MODULY_CBA!$B$3:$N$23,13,0)&lt;='TCO TO BE- SW'!$D85,SUM('TCO TO BE- SW'!P$6:P$15)*VLOOKUP('TCO TO BE- SW'!P$2,MODULY_CBA!$B$3:$M$23,12,0),0),0)</f>
        <v>14745.752067673466</v>
      </c>
      <c r="Q95" s="589">
        <f>IFERROR(IF(VLOOKUP(Q$2,MODULY_CBA!$B$3:$N$23,13,0)&lt;='TCO TO BE- SW'!$D95,SUM('TCO TO BE- SW'!Q$6:Q$15)*VLOOKUP('TCO TO BE- SW'!Q$2,MODULY_CBA!$B$3:$L$23,11,0),0),0)</f>
        <v>0</v>
      </c>
      <c r="R95" s="589">
        <f>IFERROR(IF(VLOOKUP(R$2,MODULY_CBA!$B$3:$N$23,13,0)&lt;='TCO TO BE- SW'!$D95,SUM('TCO TO BE- SW'!R$6:R$15)*VLOOKUP('TCO TO BE- SW'!R$2,MODULY_CBA!$B$3:$L$23,11,0),0),0)</f>
        <v>0</v>
      </c>
      <c r="S95" s="589">
        <f>IFERROR(IF(VLOOKUP(S$2,MODULY_CBA!$B$3:$N$23,13,0)&lt;='TCO TO BE- SW'!$D95,SUM('TCO TO BE- SW'!S$6:S$15)*VLOOKUP('TCO TO BE- SW'!S$2,MODULY_CBA!$B$3:$L$23,11,0),0),0)</f>
        <v>0</v>
      </c>
      <c r="T95" s="589">
        <f>IFERROR(IF(VLOOKUP(T$2,MODULY_CBA!$B$3:$N$23,13,0)&lt;='TCO TO BE- SW'!$D95,SUM('TCO TO BE- SW'!T$6:T$15)*VLOOKUP('TCO TO BE- SW'!T$2,MODULY_CBA!$B$3:$L$23,11,0),0),0)</f>
        <v>0</v>
      </c>
      <c r="U95" s="589">
        <f>IFERROR(IF(VLOOKUP(U$2,MODULY_CBA!$B$3:$N$23,13,0)&lt;='TCO TO BE- SW'!$D95,SUM('TCO TO BE- SW'!U$6:U$15)*VLOOKUP('TCO TO BE- SW'!U$2,MODULY_CBA!$B$3:$L$23,11,0),0),0)</f>
        <v>0</v>
      </c>
      <c r="V95" s="589">
        <f>IFERROR(IF(VLOOKUP(V$2,MODULY_CBA!$B$3:$N$23,13,0)&lt;='TCO TO BE- SW'!$D95,SUM('TCO TO BE- SW'!V$6:V$15)*VLOOKUP('TCO TO BE- SW'!V$2,MODULY_CBA!$B$3:$L$23,11,0),0),0)</f>
        <v>0</v>
      </c>
      <c r="W95" s="589">
        <f>IFERROR(IF(VLOOKUP(W$2,MODULY_CBA!$B$3:$N$23,13,0)&lt;='TCO TO BE- SW'!$D95,SUM('TCO TO BE- SW'!W$6:W$15)*VLOOKUP('TCO TO BE- SW'!W$2,MODULY_CBA!$B$3:$L$23,11,0),0),0)</f>
        <v>0</v>
      </c>
      <c r="X95" s="589">
        <f>IFERROR(IF(VLOOKUP(X$2,MODULY_CBA!$B$3:$N$23,13,0)&lt;='TCO TO BE- SW'!$D95,SUM('TCO TO BE- SW'!X$6:X$15)*VLOOKUP('TCO TO BE- SW'!X$2,MODULY_CBA!$B$3:$L$23,11,0),0),0)</f>
        <v>0</v>
      </c>
      <c r="Y95" s="589">
        <f>IFERROR(IF(VLOOKUP(Y$2,MODULY_CBA!$B$3:$N$23,13,0)&lt;='TCO TO BE- SW'!$D95,SUM('TCO TO BE- SW'!Y$6:Y$15)*VLOOKUP('TCO TO BE- SW'!Y$2,MODULY_CBA!$B$3:$L$23,11,0),0),0)</f>
        <v>0</v>
      </c>
      <c r="Z95" s="589">
        <f>IFERROR(IF(VLOOKUP(Z$2,MODULY_CBA!$B$3:$N$23,13,0)&lt;='TCO TO BE- SW'!$D95,SUM('TCO TO BE- SW'!Z$6:Z$15)*VLOOKUP('TCO TO BE- SW'!Z$2,MODULY_CBA!$B$3:$L$23,11,0),0),0)</f>
        <v>0</v>
      </c>
    </row>
    <row r="96" spans="1:26" outlineLevel="2" x14ac:dyDescent="0.2">
      <c r="A96" s="1390"/>
      <c r="B96" s="1391"/>
      <c r="C96" s="1391"/>
      <c r="D96" s="64">
        <v>8</v>
      </c>
      <c r="E96" s="61">
        <f t="shared" si="12"/>
        <v>61921.951556326523</v>
      </c>
      <c r="F96" s="589">
        <f>IFERROR(IF(VLOOKUP(F$2,MODULY_CBA!$B$3:$N$23,13,0)&lt;='TCO TO BE- SW'!$D96,SUM('TCO TO BE- SW'!F$6:F$15)*VLOOKUP('TCO TO BE- SW'!F$2,MODULY_CBA!$B$3:$L$23,11,0),0),0)</f>
        <v>0</v>
      </c>
      <c r="G96" s="589">
        <f>IFERROR(IF(VLOOKUP(G$2,MODULY_CBA!$B$3:$N$23,13,0)&lt;='TCO TO BE- SW'!$D96,SUM('TCO TO BE- SW'!G$6:G$15)*VLOOKUP('TCO TO BE- SW'!G$2,MODULY_CBA!$B$3:$L$23,11,0),0),0)</f>
        <v>0</v>
      </c>
      <c r="H96" s="589">
        <f>IFERROR(IF(VLOOKUP(H$2,MODULY_CBA!$B$3:$N$23,13,0)&lt;='TCO TO BE- SW'!$D96,SUM('TCO TO BE- SW'!H$6:H$15)*VLOOKUP('TCO TO BE- SW'!H$2,MODULY_CBA!$B$3:$L$23,11,0),0),0)</f>
        <v>0</v>
      </c>
      <c r="I96" s="589">
        <f>IFERROR(IF(VLOOKUP(I$2,MODULY_CBA!$B$3:$N$23,13,0)&lt;='TCO TO BE- SW'!$D86,SUM('TCO TO BE- SW'!I$6:I$15)*VLOOKUP('TCO TO BE- SW'!I$2,MODULY_CBA!$B$3:$M$23,12,0),0),0)</f>
        <v>11070</v>
      </c>
      <c r="J96" s="589">
        <f>IFERROR(IF(VLOOKUP(J$2,MODULY_CBA!$B$3:$N$23,13,0)&lt;='TCO TO BE- SW'!$D86,SUM('TCO TO BE- SW'!J$6:J$15)*VLOOKUP('TCO TO BE- SW'!J$2,MODULY_CBA!$B$3:$M$23,12,0),0),0)</f>
        <v>9098.1171359999989</v>
      </c>
      <c r="K96" s="589">
        <f>IFERROR(IF(VLOOKUP(K$2,MODULY_CBA!$B$3:$N$23,13,0)&lt;='TCO TO BE- SW'!$D86,SUM('TCO TO BE- SW'!K$6:K$15)*VLOOKUP('TCO TO BE- SW'!K$2,MODULY_CBA!$B$3:$M$23,12,0),0),0)</f>
        <v>0</v>
      </c>
      <c r="L96" s="589">
        <f>IFERROR(IF(VLOOKUP(L$2,MODULY_CBA!$B$3:$N$23,13,0)&lt;='TCO TO BE- SW'!$D86,SUM('TCO TO BE- SW'!L$6:L$15)*VLOOKUP('TCO TO BE- SW'!L$2,MODULY_CBA!$B$3:$M$23,12,0),0),0)</f>
        <v>0</v>
      </c>
      <c r="M96" s="589">
        <f>IFERROR(IF(VLOOKUP(M$2,MODULY_CBA!$B$3:$N$23,13,0)&lt;='TCO TO BE- SW'!$D86,SUM('TCO TO BE- SW'!M$6:M$15)*VLOOKUP('TCO TO BE- SW'!M$2,MODULY_CBA!$B$3:$M$23,12,0),0),0)</f>
        <v>24812.532352653059</v>
      </c>
      <c r="N96" s="589">
        <f>IFERROR(IF(VLOOKUP(N$2,MODULY_CBA!$B$3:$N$23,13,0)&lt;='TCO TO BE- SW'!$D86,SUM('TCO TO BE- SW'!N$6:N$15)*VLOOKUP('TCO TO BE- SW'!N$2,MODULY_CBA!$B$3:$M$23,12,0),0),0)</f>
        <v>2195.5499999999997</v>
      </c>
      <c r="O96" s="589">
        <f>IFERROR(IF(VLOOKUP(O$2,MODULY_CBA!$B$3:$N$23,13,0)&lt;='TCO TO BE- SW'!$D86,SUM('TCO TO BE- SW'!O$6:O$15)*VLOOKUP('TCO TO BE- SW'!O$2,MODULY_CBA!$B$3:$M$23,12,0),0),0)</f>
        <v>0</v>
      </c>
      <c r="P96" s="589">
        <f>IFERROR(IF(VLOOKUP(P$2,MODULY_CBA!$B$3:$N$23,13,0)&lt;='TCO TO BE- SW'!$D86,SUM('TCO TO BE- SW'!P$6:P$15)*VLOOKUP('TCO TO BE- SW'!P$2,MODULY_CBA!$B$3:$M$23,12,0),0),0)</f>
        <v>14745.752067673466</v>
      </c>
      <c r="Q96" s="589">
        <f>IFERROR(IF(VLOOKUP(Q$2,MODULY_CBA!$B$3:$N$23,13,0)&lt;='TCO TO BE- SW'!$D96,SUM('TCO TO BE- SW'!Q$6:Q$15)*VLOOKUP('TCO TO BE- SW'!Q$2,MODULY_CBA!$B$3:$L$23,11,0),0),0)</f>
        <v>0</v>
      </c>
      <c r="R96" s="589">
        <f>IFERROR(IF(VLOOKUP(R$2,MODULY_CBA!$B$3:$N$23,13,0)&lt;='TCO TO BE- SW'!$D96,SUM('TCO TO BE- SW'!R$6:R$15)*VLOOKUP('TCO TO BE- SW'!R$2,MODULY_CBA!$B$3:$L$23,11,0),0),0)</f>
        <v>0</v>
      </c>
      <c r="S96" s="589">
        <f>IFERROR(IF(VLOOKUP(S$2,MODULY_CBA!$B$3:$N$23,13,0)&lt;='TCO TO BE- SW'!$D96,SUM('TCO TO BE- SW'!S$6:S$15)*VLOOKUP('TCO TO BE- SW'!S$2,MODULY_CBA!$B$3:$L$23,11,0),0),0)</f>
        <v>0</v>
      </c>
      <c r="T96" s="589">
        <f>IFERROR(IF(VLOOKUP(T$2,MODULY_CBA!$B$3:$N$23,13,0)&lt;='TCO TO BE- SW'!$D96,SUM('TCO TO BE- SW'!T$6:T$15)*VLOOKUP('TCO TO BE- SW'!T$2,MODULY_CBA!$B$3:$L$23,11,0),0),0)</f>
        <v>0</v>
      </c>
      <c r="U96" s="589">
        <f>IFERROR(IF(VLOOKUP(U$2,MODULY_CBA!$B$3:$N$23,13,0)&lt;='TCO TO BE- SW'!$D96,SUM('TCO TO BE- SW'!U$6:U$15)*VLOOKUP('TCO TO BE- SW'!U$2,MODULY_CBA!$B$3:$L$23,11,0),0),0)</f>
        <v>0</v>
      </c>
      <c r="V96" s="589">
        <f>IFERROR(IF(VLOOKUP(V$2,MODULY_CBA!$B$3:$N$23,13,0)&lt;='TCO TO BE- SW'!$D96,SUM('TCO TO BE- SW'!V$6:V$15)*VLOOKUP('TCO TO BE- SW'!V$2,MODULY_CBA!$B$3:$L$23,11,0),0),0)</f>
        <v>0</v>
      </c>
      <c r="W96" s="589">
        <f>IFERROR(IF(VLOOKUP(W$2,MODULY_CBA!$B$3:$N$23,13,0)&lt;='TCO TO BE- SW'!$D96,SUM('TCO TO BE- SW'!W$6:W$15)*VLOOKUP('TCO TO BE- SW'!W$2,MODULY_CBA!$B$3:$L$23,11,0),0),0)</f>
        <v>0</v>
      </c>
      <c r="X96" s="589">
        <f>IFERROR(IF(VLOOKUP(X$2,MODULY_CBA!$B$3:$N$23,13,0)&lt;='TCO TO BE- SW'!$D96,SUM('TCO TO BE- SW'!X$6:X$15)*VLOOKUP('TCO TO BE- SW'!X$2,MODULY_CBA!$B$3:$L$23,11,0),0),0)</f>
        <v>0</v>
      </c>
      <c r="Y96" s="589">
        <f>IFERROR(IF(VLOOKUP(Y$2,MODULY_CBA!$B$3:$N$23,13,0)&lt;='TCO TO BE- SW'!$D96,SUM('TCO TO BE- SW'!Y$6:Y$15)*VLOOKUP('TCO TO BE- SW'!Y$2,MODULY_CBA!$B$3:$L$23,11,0),0),0)</f>
        <v>0</v>
      </c>
      <c r="Z96" s="589">
        <f>IFERROR(IF(VLOOKUP(Z$2,MODULY_CBA!$B$3:$N$23,13,0)&lt;='TCO TO BE- SW'!$D96,SUM('TCO TO BE- SW'!Z$6:Z$15)*VLOOKUP('TCO TO BE- SW'!Z$2,MODULY_CBA!$B$3:$L$23,11,0),0),0)</f>
        <v>0</v>
      </c>
    </row>
    <row r="97" spans="1:26" outlineLevel="2" x14ac:dyDescent="0.2">
      <c r="A97" s="1390"/>
      <c r="B97" s="1391"/>
      <c r="C97" s="1391"/>
      <c r="D97" s="64">
        <v>9</v>
      </c>
      <c r="E97" s="61">
        <f t="shared" si="12"/>
        <v>61921.951556326523</v>
      </c>
      <c r="F97" s="589">
        <f>IFERROR(IF(VLOOKUP(F$2,MODULY_CBA!$B$3:$N$23,13,0)&lt;='TCO TO BE- SW'!$D97,SUM('TCO TO BE- SW'!F$6:F$15)*VLOOKUP('TCO TO BE- SW'!F$2,MODULY_CBA!$B$3:$L$23,11,0),0),0)</f>
        <v>0</v>
      </c>
      <c r="G97" s="589">
        <f>IFERROR(IF(VLOOKUP(G$2,MODULY_CBA!$B$3:$N$23,13,0)&lt;='TCO TO BE- SW'!$D97,SUM('TCO TO BE- SW'!G$6:G$15)*VLOOKUP('TCO TO BE- SW'!G$2,MODULY_CBA!$B$3:$L$23,11,0),0),0)</f>
        <v>0</v>
      </c>
      <c r="H97" s="589">
        <f>IFERROR(IF(VLOOKUP(H$2,MODULY_CBA!$B$3:$N$23,13,0)&lt;='TCO TO BE- SW'!$D97,SUM('TCO TO BE- SW'!H$6:H$15)*VLOOKUP('TCO TO BE- SW'!H$2,MODULY_CBA!$B$3:$L$23,11,0),0),0)</f>
        <v>0</v>
      </c>
      <c r="I97" s="589">
        <f>IFERROR(IF(VLOOKUP(I$2,MODULY_CBA!$B$3:$N$23,13,0)&lt;='TCO TO BE- SW'!$D87,SUM('TCO TO BE- SW'!I$6:I$15)*VLOOKUP('TCO TO BE- SW'!I$2,MODULY_CBA!$B$3:$M$23,12,0),0),0)</f>
        <v>11070</v>
      </c>
      <c r="J97" s="589">
        <f>IFERROR(IF(VLOOKUP(J$2,MODULY_CBA!$B$3:$N$23,13,0)&lt;='TCO TO BE- SW'!$D87,SUM('TCO TO BE- SW'!J$6:J$15)*VLOOKUP('TCO TO BE- SW'!J$2,MODULY_CBA!$B$3:$M$23,12,0),0),0)</f>
        <v>9098.1171359999989</v>
      </c>
      <c r="K97" s="589">
        <f>IFERROR(IF(VLOOKUP(K$2,MODULY_CBA!$B$3:$N$23,13,0)&lt;='TCO TO BE- SW'!$D87,SUM('TCO TO BE- SW'!K$6:K$15)*VLOOKUP('TCO TO BE- SW'!K$2,MODULY_CBA!$B$3:$M$23,12,0),0),0)</f>
        <v>0</v>
      </c>
      <c r="L97" s="589">
        <f>IFERROR(IF(VLOOKUP(L$2,MODULY_CBA!$B$3:$N$23,13,0)&lt;='TCO TO BE- SW'!$D87,SUM('TCO TO BE- SW'!L$6:L$15)*VLOOKUP('TCO TO BE- SW'!L$2,MODULY_CBA!$B$3:$M$23,12,0),0),0)</f>
        <v>0</v>
      </c>
      <c r="M97" s="589">
        <f>IFERROR(IF(VLOOKUP(M$2,MODULY_CBA!$B$3:$N$23,13,0)&lt;='TCO TO BE- SW'!$D87,SUM('TCO TO BE- SW'!M$6:M$15)*VLOOKUP('TCO TO BE- SW'!M$2,MODULY_CBA!$B$3:$M$23,12,0),0),0)</f>
        <v>24812.532352653059</v>
      </c>
      <c r="N97" s="589">
        <f>IFERROR(IF(VLOOKUP(N$2,MODULY_CBA!$B$3:$N$23,13,0)&lt;='TCO TO BE- SW'!$D87,SUM('TCO TO BE- SW'!N$6:N$15)*VLOOKUP('TCO TO BE- SW'!N$2,MODULY_CBA!$B$3:$M$23,12,0),0),0)</f>
        <v>2195.5499999999997</v>
      </c>
      <c r="O97" s="589">
        <f>IFERROR(IF(VLOOKUP(O$2,MODULY_CBA!$B$3:$N$23,13,0)&lt;='TCO TO BE- SW'!$D87,SUM('TCO TO BE- SW'!O$6:O$15)*VLOOKUP('TCO TO BE- SW'!O$2,MODULY_CBA!$B$3:$M$23,12,0),0),0)</f>
        <v>0</v>
      </c>
      <c r="P97" s="589">
        <f>IFERROR(IF(VLOOKUP(P$2,MODULY_CBA!$B$3:$N$23,13,0)&lt;='TCO TO BE- SW'!$D87,SUM('TCO TO BE- SW'!P$6:P$15)*VLOOKUP('TCO TO BE- SW'!P$2,MODULY_CBA!$B$3:$M$23,12,0),0),0)</f>
        <v>14745.752067673466</v>
      </c>
      <c r="Q97" s="589">
        <f>IFERROR(IF(VLOOKUP(Q$2,MODULY_CBA!$B$3:$N$23,13,0)&lt;='TCO TO BE- SW'!$D97,SUM('TCO TO BE- SW'!Q$6:Q$15)*VLOOKUP('TCO TO BE- SW'!Q$2,MODULY_CBA!$B$3:$L$23,11,0),0),0)</f>
        <v>0</v>
      </c>
      <c r="R97" s="589">
        <f>IFERROR(IF(VLOOKUP(R$2,MODULY_CBA!$B$3:$N$23,13,0)&lt;='TCO TO BE- SW'!$D97,SUM('TCO TO BE- SW'!R$6:R$15)*VLOOKUP('TCO TO BE- SW'!R$2,MODULY_CBA!$B$3:$L$23,11,0),0),0)</f>
        <v>0</v>
      </c>
      <c r="S97" s="589">
        <f>IFERROR(IF(VLOOKUP(S$2,MODULY_CBA!$B$3:$N$23,13,0)&lt;='TCO TO BE- SW'!$D97,SUM('TCO TO BE- SW'!S$6:S$15)*VLOOKUP('TCO TO BE- SW'!S$2,MODULY_CBA!$B$3:$L$23,11,0),0),0)</f>
        <v>0</v>
      </c>
      <c r="T97" s="589">
        <f>IFERROR(IF(VLOOKUP(T$2,MODULY_CBA!$B$3:$N$23,13,0)&lt;='TCO TO BE- SW'!$D97,SUM('TCO TO BE- SW'!T$6:T$15)*VLOOKUP('TCO TO BE- SW'!T$2,MODULY_CBA!$B$3:$L$23,11,0),0),0)</f>
        <v>0</v>
      </c>
      <c r="U97" s="589">
        <f>IFERROR(IF(VLOOKUP(U$2,MODULY_CBA!$B$3:$N$23,13,0)&lt;='TCO TO BE- SW'!$D97,SUM('TCO TO BE- SW'!U$6:U$15)*VLOOKUP('TCO TO BE- SW'!U$2,MODULY_CBA!$B$3:$L$23,11,0),0),0)</f>
        <v>0</v>
      </c>
      <c r="V97" s="589">
        <f>IFERROR(IF(VLOOKUP(V$2,MODULY_CBA!$B$3:$N$23,13,0)&lt;='TCO TO BE- SW'!$D97,SUM('TCO TO BE- SW'!V$6:V$15)*VLOOKUP('TCO TO BE- SW'!V$2,MODULY_CBA!$B$3:$L$23,11,0),0),0)</f>
        <v>0</v>
      </c>
      <c r="W97" s="589">
        <f>IFERROR(IF(VLOOKUP(W$2,MODULY_CBA!$B$3:$N$23,13,0)&lt;='TCO TO BE- SW'!$D97,SUM('TCO TO BE- SW'!W$6:W$15)*VLOOKUP('TCO TO BE- SW'!W$2,MODULY_CBA!$B$3:$L$23,11,0),0),0)</f>
        <v>0</v>
      </c>
      <c r="X97" s="589">
        <f>IFERROR(IF(VLOOKUP(X$2,MODULY_CBA!$B$3:$N$23,13,0)&lt;='TCO TO BE- SW'!$D97,SUM('TCO TO BE- SW'!X$6:X$15)*VLOOKUP('TCO TO BE- SW'!X$2,MODULY_CBA!$B$3:$L$23,11,0),0),0)</f>
        <v>0</v>
      </c>
      <c r="Y97" s="589">
        <f>IFERROR(IF(VLOOKUP(Y$2,MODULY_CBA!$B$3:$N$23,13,0)&lt;='TCO TO BE- SW'!$D97,SUM('TCO TO BE- SW'!Y$6:Y$15)*VLOOKUP('TCO TO BE- SW'!Y$2,MODULY_CBA!$B$3:$L$23,11,0),0),0)</f>
        <v>0</v>
      </c>
      <c r="Z97" s="589">
        <f>IFERROR(IF(VLOOKUP(Z$2,MODULY_CBA!$B$3:$N$23,13,0)&lt;='TCO TO BE- SW'!$D97,SUM('TCO TO BE- SW'!Z$6:Z$15)*VLOOKUP('TCO TO BE- SW'!Z$2,MODULY_CBA!$B$3:$L$23,11,0),0),0)</f>
        <v>0</v>
      </c>
    </row>
    <row r="98" spans="1:26" ht="16" outlineLevel="2" thickBot="1" x14ac:dyDescent="0.25">
      <c r="A98" s="1390"/>
      <c r="B98" s="1391"/>
      <c r="C98" s="1391"/>
      <c r="D98" s="65">
        <v>10</v>
      </c>
      <c r="E98" s="61">
        <f t="shared" si="12"/>
        <v>61921.951556326523</v>
      </c>
      <c r="F98" s="591">
        <f>IFERROR(IF(VLOOKUP(F$2,MODULY_CBA!$B$3:$N$23,13,0)&lt;='TCO TO BE- SW'!$D98,SUM('TCO TO BE- SW'!F$6:F$15)*VLOOKUP('TCO TO BE- SW'!F$2,MODULY_CBA!$B$3:$L$23,11,0),0),0)</f>
        <v>0</v>
      </c>
      <c r="G98" s="591">
        <f>IFERROR(IF(VLOOKUP(G$2,MODULY_CBA!$B$3:$N$23,13,0)&lt;='TCO TO BE- SW'!$D98,SUM('TCO TO BE- SW'!G$6:G$15)*VLOOKUP('TCO TO BE- SW'!G$2,MODULY_CBA!$B$3:$L$23,11,0),0),0)</f>
        <v>0</v>
      </c>
      <c r="H98" s="591">
        <f>IFERROR(IF(VLOOKUP(H$2,MODULY_CBA!$B$3:$N$23,13,0)&lt;='TCO TO BE- SW'!$D98,SUM('TCO TO BE- SW'!H$6:H$15)*VLOOKUP('TCO TO BE- SW'!H$2,MODULY_CBA!$B$3:$L$23,11,0),0),0)</f>
        <v>0</v>
      </c>
      <c r="I98" s="591">
        <f>IFERROR(IF(VLOOKUP(I$2,MODULY_CBA!$B$3:$N$23,13,0)&lt;='TCO TO BE- SW'!$D88,SUM('TCO TO BE- SW'!I$6:I$15)*VLOOKUP('TCO TO BE- SW'!I$2,MODULY_CBA!$B$3:$M$23,12,0),0),0)</f>
        <v>11070</v>
      </c>
      <c r="J98" s="591">
        <f>IFERROR(IF(VLOOKUP(J$2,MODULY_CBA!$B$3:$N$23,13,0)&lt;='TCO TO BE- SW'!$D88,SUM('TCO TO BE- SW'!J$6:J$15)*VLOOKUP('TCO TO BE- SW'!J$2,MODULY_CBA!$B$3:$M$23,12,0),0),0)</f>
        <v>9098.1171359999989</v>
      </c>
      <c r="K98" s="591">
        <f>IFERROR(IF(VLOOKUP(K$2,MODULY_CBA!$B$3:$N$23,13,0)&lt;='TCO TO BE- SW'!$D88,SUM('TCO TO BE- SW'!K$6:K$15)*VLOOKUP('TCO TO BE- SW'!K$2,MODULY_CBA!$B$3:$M$23,12,0),0),0)</f>
        <v>0</v>
      </c>
      <c r="L98" s="591">
        <f>IFERROR(IF(VLOOKUP(L$2,MODULY_CBA!$B$3:$N$23,13,0)&lt;='TCO TO BE- SW'!$D88,SUM('TCO TO BE- SW'!L$6:L$15)*VLOOKUP('TCO TO BE- SW'!L$2,MODULY_CBA!$B$3:$M$23,12,0),0),0)</f>
        <v>0</v>
      </c>
      <c r="M98" s="591">
        <f>IFERROR(IF(VLOOKUP(M$2,MODULY_CBA!$B$3:$N$23,13,0)&lt;='TCO TO BE- SW'!$D88,SUM('TCO TO BE- SW'!M$6:M$15)*VLOOKUP('TCO TO BE- SW'!M$2,MODULY_CBA!$B$3:$M$23,12,0),0),0)</f>
        <v>24812.532352653059</v>
      </c>
      <c r="N98" s="591">
        <f>IFERROR(IF(VLOOKUP(N$2,MODULY_CBA!$B$3:$N$23,13,0)&lt;='TCO TO BE- SW'!$D88,SUM('TCO TO BE- SW'!N$6:N$15)*VLOOKUP('TCO TO BE- SW'!N$2,MODULY_CBA!$B$3:$M$23,12,0),0),0)</f>
        <v>2195.5499999999997</v>
      </c>
      <c r="O98" s="591">
        <f>IFERROR(IF(VLOOKUP(O$2,MODULY_CBA!$B$3:$N$23,13,0)&lt;='TCO TO BE- SW'!$D88,SUM('TCO TO BE- SW'!O$6:O$15)*VLOOKUP('TCO TO BE- SW'!O$2,MODULY_CBA!$B$3:$M$23,12,0),0),0)</f>
        <v>0</v>
      </c>
      <c r="P98" s="591">
        <f>IFERROR(IF(VLOOKUP(P$2,MODULY_CBA!$B$3:$N$23,13,0)&lt;='TCO TO BE- SW'!$D88,SUM('TCO TO BE- SW'!P$6:P$15)*VLOOKUP('TCO TO BE- SW'!P$2,MODULY_CBA!$B$3:$M$23,12,0),0),0)</f>
        <v>14745.752067673466</v>
      </c>
      <c r="Q98" s="591">
        <f>IFERROR(IF(VLOOKUP(Q$2,MODULY_CBA!$B$3:$N$23,13,0)&lt;='TCO TO BE- SW'!$D98,SUM('TCO TO BE- SW'!Q$6:Q$15)*VLOOKUP('TCO TO BE- SW'!Q$2,MODULY_CBA!$B$3:$L$23,11,0),0),0)</f>
        <v>0</v>
      </c>
      <c r="R98" s="591">
        <f>IFERROR(IF(VLOOKUP(R$2,MODULY_CBA!$B$3:$N$23,13,0)&lt;='TCO TO BE- SW'!$D98,SUM('TCO TO BE- SW'!R$6:R$15)*VLOOKUP('TCO TO BE- SW'!R$2,MODULY_CBA!$B$3:$L$23,11,0),0),0)</f>
        <v>0</v>
      </c>
      <c r="S98" s="591">
        <f>IFERROR(IF(VLOOKUP(S$2,MODULY_CBA!$B$3:$N$23,13,0)&lt;='TCO TO BE- SW'!$D98,SUM('TCO TO BE- SW'!S$6:S$15)*VLOOKUP('TCO TO BE- SW'!S$2,MODULY_CBA!$B$3:$L$23,11,0),0),0)</f>
        <v>0</v>
      </c>
      <c r="T98" s="591">
        <f>IFERROR(IF(VLOOKUP(T$2,MODULY_CBA!$B$3:$N$23,13,0)&lt;='TCO TO BE- SW'!$D98,SUM('TCO TO BE- SW'!T$6:T$15)*VLOOKUP('TCO TO BE- SW'!T$2,MODULY_CBA!$B$3:$L$23,11,0),0),0)</f>
        <v>0</v>
      </c>
      <c r="U98" s="591">
        <f>IFERROR(IF(VLOOKUP(U$2,MODULY_CBA!$B$3:$N$23,13,0)&lt;='TCO TO BE- SW'!$D98,SUM('TCO TO BE- SW'!U$6:U$15)*VLOOKUP('TCO TO BE- SW'!U$2,MODULY_CBA!$B$3:$L$23,11,0),0),0)</f>
        <v>0</v>
      </c>
      <c r="V98" s="591">
        <f>IFERROR(IF(VLOOKUP(V$2,MODULY_CBA!$B$3:$N$23,13,0)&lt;='TCO TO BE- SW'!$D98,SUM('TCO TO BE- SW'!V$6:V$15)*VLOOKUP('TCO TO BE- SW'!V$2,MODULY_CBA!$B$3:$L$23,11,0),0),0)</f>
        <v>0</v>
      </c>
      <c r="W98" s="591">
        <f>IFERROR(IF(VLOOKUP(W$2,MODULY_CBA!$B$3:$N$23,13,0)&lt;='TCO TO BE- SW'!$D98,SUM('TCO TO BE- SW'!W$6:W$15)*VLOOKUP('TCO TO BE- SW'!W$2,MODULY_CBA!$B$3:$L$23,11,0),0),0)</f>
        <v>0</v>
      </c>
      <c r="X98" s="591">
        <f>IFERROR(IF(VLOOKUP(X$2,MODULY_CBA!$B$3:$N$23,13,0)&lt;='TCO TO BE- SW'!$D98,SUM('TCO TO BE- SW'!X$6:X$15)*VLOOKUP('TCO TO BE- SW'!X$2,MODULY_CBA!$B$3:$L$23,11,0),0),0)</f>
        <v>0</v>
      </c>
      <c r="Y98" s="591">
        <f>IFERROR(IF(VLOOKUP(Y$2,MODULY_CBA!$B$3:$N$23,13,0)&lt;='TCO TO BE- SW'!$D98,SUM('TCO TO BE- SW'!Y$6:Y$15)*VLOOKUP('TCO TO BE- SW'!Y$2,MODULY_CBA!$B$3:$L$23,11,0),0),0)</f>
        <v>0</v>
      </c>
      <c r="Z98" s="591">
        <f>IFERROR(IF(VLOOKUP(Z$2,MODULY_CBA!$B$3:$N$23,13,0)&lt;='TCO TO BE- SW'!$D98,SUM('TCO TO BE- SW'!Z$6:Z$15)*VLOOKUP('TCO TO BE- SW'!Z$2,MODULY_CBA!$B$3:$L$23,11,0),0),0)</f>
        <v>0</v>
      </c>
    </row>
    <row r="99" spans="1:26" ht="16" outlineLevel="1" thickBot="1" x14ac:dyDescent="0.25">
      <c r="A99" s="17" t="s">
        <v>104</v>
      </c>
      <c r="B99" s="17"/>
      <c r="C99" s="17"/>
      <c r="D99" s="27"/>
      <c r="E99" s="451">
        <f t="shared" ref="E99:Z99" si="13">SUM(E100:E149)</f>
        <v>103909.80960000001</v>
      </c>
      <c r="F99" s="452">
        <f t="shared" si="13"/>
        <v>2544.7300310204082</v>
      </c>
      <c r="G99" s="452">
        <f t="shared" si="13"/>
        <v>2544.7300310204082</v>
      </c>
      <c r="H99" s="452">
        <f t="shared" si="13"/>
        <v>5852.8790713469407</v>
      </c>
      <c r="I99" s="452">
        <f t="shared" si="13"/>
        <v>0</v>
      </c>
      <c r="J99" s="452">
        <f t="shared" si="13"/>
        <v>24938.354304</v>
      </c>
      <c r="K99" s="452">
        <f t="shared" si="13"/>
        <v>0</v>
      </c>
      <c r="L99" s="452">
        <f t="shared" si="13"/>
        <v>4113.980216816326</v>
      </c>
      <c r="M99" s="452">
        <f t="shared" si="13"/>
        <v>32233.247059591838</v>
      </c>
      <c r="N99" s="452">
        <f t="shared" si="13"/>
        <v>0</v>
      </c>
      <c r="O99" s="452">
        <f t="shared" si="13"/>
        <v>0</v>
      </c>
      <c r="P99" s="452">
        <f t="shared" si="13"/>
        <v>31681.888886204084</v>
      </c>
      <c r="Q99" s="452">
        <f t="shared" si="13"/>
        <v>0</v>
      </c>
      <c r="R99" s="452">
        <f t="shared" si="13"/>
        <v>0</v>
      </c>
      <c r="S99" s="452">
        <f t="shared" si="13"/>
        <v>0</v>
      </c>
      <c r="T99" s="452">
        <f t="shared" si="13"/>
        <v>0</v>
      </c>
      <c r="U99" s="452">
        <f t="shared" si="13"/>
        <v>0</v>
      </c>
      <c r="V99" s="452">
        <f t="shared" si="13"/>
        <v>0</v>
      </c>
      <c r="W99" s="452">
        <f t="shared" si="13"/>
        <v>0</v>
      </c>
      <c r="X99" s="452">
        <f t="shared" si="13"/>
        <v>0</v>
      </c>
      <c r="Y99" s="452">
        <f t="shared" si="13"/>
        <v>0</v>
      </c>
      <c r="Z99" s="452">
        <f t="shared" si="13"/>
        <v>0</v>
      </c>
    </row>
    <row r="100" spans="1:26" outlineLevel="2" x14ac:dyDescent="0.2">
      <c r="A100" s="1390" t="s">
        <v>81</v>
      </c>
      <c r="B100" s="1391" t="s">
        <v>79</v>
      </c>
      <c r="C100" s="1391">
        <v>635009</v>
      </c>
      <c r="D100" s="63">
        <v>1</v>
      </c>
      <c r="E100" s="67">
        <f t="shared" ref="E100:E149" si="14">SUM(F100:Z100)</f>
        <v>0</v>
      </c>
      <c r="F100" s="591">
        <f>IFERROR(IF(VLOOKUP(F$2,MODULY_CBA!$B$3:$N$23,13,0)&lt;='TCO TO BE- SW'!$D100,SUM('TCO TO BE- SW'!F$37:F$46)*VLOOKUP('TCO TO BE- SW'!F$2,MODULY_CBA!$B$3:$L$23,10,0),0),0)</f>
        <v>0</v>
      </c>
      <c r="G100" s="591">
        <f>IFERROR(IF(VLOOKUP(G$2,MODULY_CBA!$B$3:$N$23,13,0)&lt;='TCO TO BE- SW'!$D100,SUM('TCO TO BE- SW'!G$37:G$46)*VLOOKUP('TCO TO BE- SW'!G$2,MODULY_CBA!$B$3:$L$23,10,0),0),0)</f>
        <v>0</v>
      </c>
      <c r="H100" s="591">
        <f>IFERROR(IF(VLOOKUP(H$2,MODULY_CBA!$B$3:$N$23,13,0)&lt;='TCO TO BE- SW'!$D100,SUM('TCO TO BE- SW'!H$37:H$46)*VLOOKUP('TCO TO BE- SW'!H$2,MODULY_CBA!$B$3:$L$23,10,0),0),0)</f>
        <v>0</v>
      </c>
      <c r="I100" s="591">
        <f>IFERROR(IF(VLOOKUP(I$2,MODULY_CBA!$B$3:$N$23,13,0)&lt;='TCO TO BE- SW'!$D100,SUM('TCO TO BE- SW'!I$37:I$46)*VLOOKUP('TCO TO BE- SW'!I$2,MODULY_CBA!$B$3:$L$23,10,0),0),0)</f>
        <v>0</v>
      </c>
      <c r="J100" s="591">
        <f>IFERROR(IF(VLOOKUP(J$2,MODULY_CBA!$B$3:$N$23,13,0)&lt;='TCO TO BE- SW'!$D100,SUM('TCO TO BE- SW'!J$37:J$46)*VLOOKUP('TCO TO BE- SW'!J$2,MODULY_CBA!$B$3:$L$23,10,0),0),0)</f>
        <v>0</v>
      </c>
      <c r="K100" s="591">
        <f>IFERROR(IF(VLOOKUP(K$2,MODULY_CBA!$B$3:$N$23,13,0)&lt;='TCO TO BE- SW'!$D100,SUM('TCO TO BE- SW'!K$37:K$46)*VLOOKUP('TCO TO BE- SW'!K$2,MODULY_CBA!$B$3:$L$23,10,0),0),0)</f>
        <v>0</v>
      </c>
      <c r="L100" s="591">
        <f>IFERROR(IF(VLOOKUP(L$2,MODULY_CBA!$B$3:$N$23,13,0)&lt;='TCO TO BE- SW'!$D100,SUM('TCO TO BE- SW'!L$37:L$46)*VLOOKUP('TCO TO BE- SW'!L$2,MODULY_CBA!$B$3:$L$23,10,0),0),0)</f>
        <v>0</v>
      </c>
      <c r="M100" s="591">
        <f>IFERROR(IF(VLOOKUP(M$2,MODULY_CBA!$B$3:$N$23,13,0)&lt;='TCO TO BE- SW'!$D100,SUM('TCO TO BE- SW'!M$37:M$46)*VLOOKUP('TCO TO BE- SW'!M$2,MODULY_CBA!$B$3:$L$23,10,0),0),0)</f>
        <v>0</v>
      </c>
      <c r="N100" s="591">
        <f>IFERROR(IF(VLOOKUP(N$2,MODULY_CBA!$B$3:$N$23,13,0)&lt;='TCO TO BE- SW'!$D100,SUM('TCO TO BE- SW'!N$37:N$46)*VLOOKUP('TCO TO BE- SW'!N$2,MODULY_CBA!$B$3:$L$23,10,0),0),0)</f>
        <v>0</v>
      </c>
      <c r="O100" s="591">
        <f>IFERROR(IF(VLOOKUP(O$2,MODULY_CBA!$B$3:$N$23,13,0)&lt;='TCO TO BE- SW'!$D100,SUM('TCO TO BE- SW'!O$37:O$46)*VLOOKUP('TCO TO BE- SW'!O$2,MODULY_CBA!$B$3:$L$23,10,0),0),0)</f>
        <v>0</v>
      </c>
      <c r="P100" s="591">
        <f>IFERROR(IF(VLOOKUP(P$2,MODULY_CBA!$B$3:$N$23,13,0)&lt;='TCO TO BE- SW'!$D100,SUM('TCO TO BE- SW'!P$37:P$46)*VLOOKUP('TCO TO BE- SW'!P$2,MODULY_CBA!$B$3:$L$23,10,0),0),0)</f>
        <v>0</v>
      </c>
      <c r="Q100" s="591">
        <f>IFERROR(IF(VLOOKUP(Q$2,MODULY_CBA!$B$3:$N$23,13,0)&lt;='TCO TO BE- SW'!$D100,SUM('TCO TO BE- SW'!Q$37:Q$46)*VLOOKUP('TCO TO BE- SW'!Q$2,MODULY_CBA!$B$3:$L$23,10,0),0),0)</f>
        <v>0</v>
      </c>
      <c r="R100" s="591">
        <f>IFERROR(IF(VLOOKUP(R$2,MODULY_CBA!$B$3:$N$23,13,0)&lt;='TCO TO BE- SW'!$D100,SUM('TCO TO BE- SW'!R$37:R$46)*VLOOKUP('TCO TO BE- SW'!R$2,MODULY_CBA!$B$3:$L$23,10,0),0),0)</f>
        <v>0</v>
      </c>
      <c r="S100" s="591">
        <f>IFERROR(IF(VLOOKUP(S$2,MODULY_CBA!$B$3:$N$23,13,0)&lt;='TCO TO BE- SW'!$D100,SUM('TCO TO BE- SW'!S$37:S$46)*VLOOKUP('TCO TO BE- SW'!S$2,MODULY_CBA!$B$3:$L$23,10,0),0),0)</f>
        <v>0</v>
      </c>
      <c r="T100" s="591">
        <f>IFERROR(IF(VLOOKUP(T$2,MODULY_CBA!$B$3:$N$23,13,0)&lt;='TCO TO BE- SW'!$D100,SUM('TCO TO BE- SW'!T$37:T$46)*VLOOKUP('TCO TO BE- SW'!T$2,MODULY_CBA!$B$3:$L$23,10,0),0),0)</f>
        <v>0</v>
      </c>
      <c r="U100" s="591">
        <f>IFERROR(IF(VLOOKUP(U$2,MODULY_CBA!$B$3:$N$23,13,0)&lt;='TCO TO BE- SW'!$D100,SUM('TCO TO BE- SW'!U$37:U$46)*VLOOKUP('TCO TO BE- SW'!U$2,MODULY_CBA!$B$3:$L$23,10,0),0),0)</f>
        <v>0</v>
      </c>
      <c r="V100" s="591">
        <f>IFERROR(IF(VLOOKUP(V$2,MODULY_CBA!$B$3:$N$23,13,0)&lt;='TCO TO BE- SW'!$D100,SUM('TCO TO BE- SW'!V$37:V$46)*VLOOKUP('TCO TO BE- SW'!V$2,MODULY_CBA!$B$3:$L$23,10,0),0),0)</f>
        <v>0</v>
      </c>
      <c r="W100" s="591">
        <f>IFERROR(IF(VLOOKUP(W$2,MODULY_CBA!$B$3:$N$23,13,0)&lt;='TCO TO BE- SW'!$D100,SUM('TCO TO BE- SW'!W$37:W$46)*VLOOKUP('TCO TO BE- SW'!W$2,MODULY_CBA!$B$3:$L$23,10,0),0),0)</f>
        <v>0</v>
      </c>
      <c r="X100" s="591">
        <f>IFERROR(IF(VLOOKUP(X$2,MODULY_CBA!$B$3:$N$23,13,0)&lt;='TCO TO BE- SW'!$D100,SUM('TCO TO BE- SW'!X$37:X$46)*VLOOKUP('TCO TO BE- SW'!X$2,MODULY_CBA!$B$3:$L$23,10,0),0),0)</f>
        <v>0</v>
      </c>
      <c r="Y100" s="591">
        <f>IFERROR(IF(VLOOKUP(Y$2,MODULY_CBA!$B$3:$N$23,13,0)&lt;='TCO TO BE- SW'!$D100,SUM('TCO TO BE- SW'!Y$37:Y$46)*VLOOKUP('TCO TO BE- SW'!Y$2,MODULY_CBA!$B$3:$L$23,10,0),0),0)</f>
        <v>0</v>
      </c>
      <c r="Z100" s="591">
        <f>IFERROR(IF(VLOOKUP(Z$2,MODULY_CBA!$B$3:$N$23,13,0)&lt;='TCO TO BE- SW'!$D100,SUM('TCO TO BE- SW'!Z$37:Z$46)*VLOOKUP('TCO TO BE- SW'!Z$2,MODULY_CBA!$B$3:$L$23,10,0),0),0)</f>
        <v>0</v>
      </c>
    </row>
    <row r="101" spans="1:26" outlineLevel="2" x14ac:dyDescent="0.2">
      <c r="A101" s="1390"/>
      <c r="B101" s="1391"/>
      <c r="C101" s="1391"/>
      <c r="D101" s="64">
        <v>2</v>
      </c>
      <c r="E101" s="68">
        <f t="shared" si="14"/>
        <v>0</v>
      </c>
      <c r="F101" s="591">
        <f>IFERROR(IF(VLOOKUP(F$2,MODULY_CBA!$B$3:$N$23,13,0)&lt;='TCO TO BE- SW'!$D101,SUM('TCO TO BE- SW'!F$37:F$46)*VLOOKUP('TCO TO BE- SW'!F$2,MODULY_CBA!$B$3:$L$23,10,0),0),0)</f>
        <v>0</v>
      </c>
      <c r="G101" s="591">
        <f>IFERROR(IF(VLOOKUP(G$2,MODULY_CBA!$B$3:$N$23,13,0)&lt;='TCO TO BE- SW'!$D101,SUM('TCO TO BE- SW'!G$37:G$46)*VLOOKUP('TCO TO BE- SW'!G$2,MODULY_CBA!$B$3:$L$23,10,0),0),0)</f>
        <v>0</v>
      </c>
      <c r="H101" s="591">
        <f>IFERROR(IF(VLOOKUP(H$2,MODULY_CBA!$B$3:$N$23,13,0)&lt;='TCO TO BE- SW'!$D101,SUM('TCO TO BE- SW'!H$37:H$46)*VLOOKUP('TCO TO BE- SW'!H$2,MODULY_CBA!$B$3:$L$23,10,0),0),0)</f>
        <v>0</v>
      </c>
      <c r="I101" s="591">
        <f>IFERROR(IF(VLOOKUP(I$2,MODULY_CBA!$B$3:$N$23,13,0)&lt;='TCO TO BE- SW'!$D101,SUM('TCO TO BE- SW'!I$37:I$46)*VLOOKUP('TCO TO BE- SW'!I$2,MODULY_CBA!$B$3:$L$23,10,0),0),0)</f>
        <v>0</v>
      </c>
      <c r="J101" s="591">
        <f>IFERROR(IF(VLOOKUP(J$2,MODULY_CBA!$B$3:$N$23,13,0)&lt;='TCO TO BE- SW'!$D101,SUM('TCO TO BE- SW'!J$37:J$46)*VLOOKUP('TCO TO BE- SW'!J$2,MODULY_CBA!$B$3:$L$23,10,0),0),0)</f>
        <v>0</v>
      </c>
      <c r="K101" s="591">
        <f>IFERROR(IF(VLOOKUP(K$2,MODULY_CBA!$B$3:$N$23,13,0)&lt;='TCO TO BE- SW'!$D101,SUM('TCO TO BE- SW'!K$37:K$46)*VLOOKUP('TCO TO BE- SW'!K$2,MODULY_CBA!$B$3:$L$23,10,0),0),0)</f>
        <v>0</v>
      </c>
      <c r="L101" s="591">
        <f>IFERROR(IF(VLOOKUP(L$2,MODULY_CBA!$B$3:$N$23,13,0)&lt;='TCO TO BE- SW'!$D101,SUM('TCO TO BE- SW'!L$37:L$46)*VLOOKUP('TCO TO BE- SW'!L$2,MODULY_CBA!$B$3:$L$23,10,0),0),0)</f>
        <v>0</v>
      </c>
      <c r="M101" s="591">
        <f>IFERROR(IF(VLOOKUP(M$2,MODULY_CBA!$B$3:$N$23,13,0)&lt;='TCO TO BE- SW'!$D101,SUM('TCO TO BE- SW'!M$37:M$46)*VLOOKUP('TCO TO BE- SW'!M$2,MODULY_CBA!$B$3:$L$23,10,0),0),0)</f>
        <v>0</v>
      </c>
      <c r="N101" s="591">
        <f>IFERROR(IF(VLOOKUP(N$2,MODULY_CBA!$B$3:$N$23,13,0)&lt;='TCO TO BE- SW'!$D101,SUM('TCO TO BE- SW'!N$37:N$46)*VLOOKUP('TCO TO BE- SW'!N$2,MODULY_CBA!$B$3:$L$23,10,0),0),0)</f>
        <v>0</v>
      </c>
      <c r="O101" s="591">
        <f>IFERROR(IF(VLOOKUP(O$2,MODULY_CBA!$B$3:$N$23,13,0)&lt;='TCO TO BE- SW'!$D101,SUM('TCO TO BE- SW'!O$37:O$46)*VLOOKUP('TCO TO BE- SW'!O$2,MODULY_CBA!$B$3:$L$23,10,0),0),0)</f>
        <v>0</v>
      </c>
      <c r="P101" s="591">
        <f>IFERROR(IF(VLOOKUP(P$2,MODULY_CBA!$B$3:$N$23,13,0)&lt;='TCO TO BE- SW'!$D101,SUM('TCO TO BE- SW'!P$37:P$46)*VLOOKUP('TCO TO BE- SW'!P$2,MODULY_CBA!$B$3:$L$23,10,0),0),0)</f>
        <v>0</v>
      </c>
      <c r="Q101" s="591">
        <f>IFERROR(IF(VLOOKUP(Q$2,MODULY_CBA!$B$3:$N$23,13,0)&lt;='TCO TO BE- SW'!$D101,SUM('TCO TO BE- SW'!Q$37:Q$46)*VLOOKUP('TCO TO BE- SW'!Q$2,MODULY_CBA!$B$3:$L$23,10,0),0),0)</f>
        <v>0</v>
      </c>
      <c r="R101" s="591">
        <f>IFERROR(IF(VLOOKUP(R$2,MODULY_CBA!$B$3:$N$23,13,0)&lt;='TCO TO BE- SW'!$D101,SUM('TCO TO BE- SW'!R$37:R$46)*VLOOKUP('TCO TO BE- SW'!R$2,MODULY_CBA!$B$3:$L$23,10,0),0),0)</f>
        <v>0</v>
      </c>
      <c r="S101" s="591">
        <f>IFERROR(IF(VLOOKUP(S$2,MODULY_CBA!$B$3:$N$23,13,0)&lt;='TCO TO BE- SW'!$D101,SUM('TCO TO BE- SW'!S$37:S$46)*VLOOKUP('TCO TO BE- SW'!S$2,MODULY_CBA!$B$3:$L$23,10,0),0),0)</f>
        <v>0</v>
      </c>
      <c r="T101" s="591">
        <f>IFERROR(IF(VLOOKUP(T$2,MODULY_CBA!$B$3:$N$23,13,0)&lt;='TCO TO BE- SW'!$D101,SUM('TCO TO BE- SW'!T$37:T$46)*VLOOKUP('TCO TO BE- SW'!T$2,MODULY_CBA!$B$3:$L$23,10,0),0),0)</f>
        <v>0</v>
      </c>
      <c r="U101" s="591">
        <f>IFERROR(IF(VLOOKUP(U$2,MODULY_CBA!$B$3:$N$23,13,0)&lt;='TCO TO BE- SW'!$D101,SUM('TCO TO BE- SW'!U$37:U$46)*VLOOKUP('TCO TO BE- SW'!U$2,MODULY_CBA!$B$3:$L$23,10,0),0),0)</f>
        <v>0</v>
      </c>
      <c r="V101" s="591">
        <f>IFERROR(IF(VLOOKUP(V$2,MODULY_CBA!$B$3:$N$23,13,0)&lt;='TCO TO BE- SW'!$D101,SUM('TCO TO BE- SW'!V$37:V$46)*VLOOKUP('TCO TO BE- SW'!V$2,MODULY_CBA!$B$3:$L$23,10,0),0),0)</f>
        <v>0</v>
      </c>
      <c r="W101" s="591">
        <f>IFERROR(IF(VLOOKUP(W$2,MODULY_CBA!$B$3:$N$23,13,0)&lt;='TCO TO BE- SW'!$D101,SUM('TCO TO BE- SW'!W$37:W$46)*VLOOKUP('TCO TO BE- SW'!W$2,MODULY_CBA!$B$3:$L$23,10,0),0),0)</f>
        <v>0</v>
      </c>
      <c r="X101" s="591">
        <f>IFERROR(IF(VLOOKUP(X$2,MODULY_CBA!$B$3:$N$23,13,0)&lt;='TCO TO BE- SW'!$D101,SUM('TCO TO BE- SW'!X$37:X$46)*VLOOKUP('TCO TO BE- SW'!X$2,MODULY_CBA!$B$3:$L$23,10,0),0),0)</f>
        <v>0</v>
      </c>
      <c r="Y101" s="591">
        <f>IFERROR(IF(VLOOKUP(Y$2,MODULY_CBA!$B$3:$N$23,13,0)&lt;='TCO TO BE- SW'!$D101,SUM('TCO TO BE- SW'!Y$37:Y$46)*VLOOKUP('TCO TO BE- SW'!Y$2,MODULY_CBA!$B$3:$L$23,10,0),0),0)</f>
        <v>0</v>
      </c>
      <c r="Z101" s="591">
        <f>IFERROR(IF(VLOOKUP(Z$2,MODULY_CBA!$B$3:$N$23,13,0)&lt;='TCO TO BE- SW'!$D101,SUM('TCO TO BE- SW'!Z$37:Z$46)*VLOOKUP('TCO TO BE- SW'!Z$2,MODULY_CBA!$B$3:$L$23,10,0),0),0)</f>
        <v>0</v>
      </c>
    </row>
    <row r="102" spans="1:26" outlineLevel="2" x14ac:dyDescent="0.2">
      <c r="A102" s="1390"/>
      <c r="B102" s="1391"/>
      <c r="C102" s="1391"/>
      <c r="D102" s="64">
        <v>3</v>
      </c>
      <c r="E102" s="68">
        <f t="shared" si="14"/>
        <v>0</v>
      </c>
      <c r="F102" s="591">
        <f>IFERROR(IF(VLOOKUP(F$2,MODULY_CBA!$B$3:$N$23,13,0)&lt;='TCO TO BE- SW'!$D102,SUM('TCO TO BE- SW'!F$37:F$46)*VLOOKUP('TCO TO BE- SW'!F$2,MODULY_CBA!$B$3:$L$23,10,0),0),0)</f>
        <v>0</v>
      </c>
      <c r="G102" s="591">
        <f>IFERROR(IF(VLOOKUP(G$2,MODULY_CBA!$B$3:$N$23,13,0)&lt;='TCO TO BE- SW'!$D102,SUM('TCO TO BE- SW'!G$37:G$46)*VLOOKUP('TCO TO BE- SW'!G$2,MODULY_CBA!$B$3:$L$23,10,0),0),0)</f>
        <v>0</v>
      </c>
      <c r="H102" s="591">
        <f>IFERROR(IF(VLOOKUP(H$2,MODULY_CBA!$B$3:$N$23,13,0)&lt;='TCO TO BE- SW'!$D102,SUM('TCO TO BE- SW'!H$37:H$46)*VLOOKUP('TCO TO BE- SW'!H$2,MODULY_CBA!$B$3:$L$23,10,0),0),0)</f>
        <v>0</v>
      </c>
      <c r="I102" s="591">
        <f>IFERROR(IF(VLOOKUP(I$2,MODULY_CBA!$B$3:$N$23,13,0)&lt;='TCO TO BE- SW'!$D102,SUM('TCO TO BE- SW'!I$37:I$46)*VLOOKUP('TCO TO BE- SW'!I$2,MODULY_CBA!$B$3:$L$23,10,0),0),0)</f>
        <v>0</v>
      </c>
      <c r="J102" s="591">
        <f>IFERROR(IF(VLOOKUP(J$2,MODULY_CBA!$B$3:$N$23,13,0)&lt;='TCO TO BE- SW'!$D102,SUM('TCO TO BE- SW'!J$37:J$46)*VLOOKUP('TCO TO BE- SW'!J$2,MODULY_CBA!$B$3:$L$23,10,0),0),0)</f>
        <v>0</v>
      </c>
      <c r="K102" s="591">
        <f>IFERROR(IF(VLOOKUP(K$2,MODULY_CBA!$B$3:$N$23,13,0)&lt;='TCO TO BE- SW'!$D102,SUM('TCO TO BE- SW'!K$37:K$46)*VLOOKUP('TCO TO BE- SW'!K$2,MODULY_CBA!$B$3:$L$23,10,0),0),0)</f>
        <v>0</v>
      </c>
      <c r="L102" s="591">
        <f>IFERROR(IF(VLOOKUP(L$2,MODULY_CBA!$B$3:$N$23,13,0)&lt;='TCO TO BE- SW'!$D102,SUM('TCO TO BE- SW'!L$37:L$46)*VLOOKUP('TCO TO BE- SW'!L$2,MODULY_CBA!$B$3:$L$23,10,0),0),0)</f>
        <v>0</v>
      </c>
      <c r="M102" s="591">
        <f>IFERROR(IF(VLOOKUP(M$2,MODULY_CBA!$B$3:$N$23,13,0)&lt;='TCO TO BE- SW'!$D102,SUM('TCO TO BE- SW'!M$37:M$46)*VLOOKUP('TCO TO BE- SW'!M$2,MODULY_CBA!$B$3:$L$23,10,0),0),0)</f>
        <v>0</v>
      </c>
      <c r="N102" s="591">
        <f>IFERROR(IF(VLOOKUP(N$2,MODULY_CBA!$B$3:$N$23,13,0)&lt;='TCO TO BE- SW'!$D102,SUM('TCO TO BE- SW'!N$37:N$46)*VLOOKUP('TCO TO BE- SW'!N$2,MODULY_CBA!$B$3:$L$23,10,0),0),0)</f>
        <v>0</v>
      </c>
      <c r="O102" s="591">
        <f>IFERROR(IF(VLOOKUP(O$2,MODULY_CBA!$B$3:$N$23,13,0)&lt;='TCO TO BE- SW'!$D102,SUM('TCO TO BE- SW'!O$37:O$46)*VLOOKUP('TCO TO BE- SW'!O$2,MODULY_CBA!$B$3:$L$23,10,0),0),0)</f>
        <v>0</v>
      </c>
      <c r="P102" s="591">
        <f>IFERROR(IF(VLOOKUP(P$2,MODULY_CBA!$B$3:$N$23,13,0)&lt;='TCO TO BE- SW'!$D102,SUM('TCO TO BE- SW'!P$37:P$46)*VLOOKUP('TCO TO BE- SW'!P$2,MODULY_CBA!$B$3:$L$23,10,0),0),0)</f>
        <v>0</v>
      </c>
      <c r="Q102" s="591">
        <f>IFERROR(IF(VLOOKUP(Q$2,MODULY_CBA!$B$3:$N$23,13,0)&lt;='TCO TO BE- SW'!$D102,SUM('TCO TO BE- SW'!Q$37:Q$46)*VLOOKUP('TCO TO BE- SW'!Q$2,MODULY_CBA!$B$3:$L$23,10,0),0),0)</f>
        <v>0</v>
      </c>
      <c r="R102" s="591">
        <f>IFERROR(IF(VLOOKUP(R$2,MODULY_CBA!$B$3:$N$23,13,0)&lt;='TCO TO BE- SW'!$D102,SUM('TCO TO BE- SW'!R$37:R$46)*VLOOKUP('TCO TO BE- SW'!R$2,MODULY_CBA!$B$3:$L$23,10,0),0),0)</f>
        <v>0</v>
      </c>
      <c r="S102" s="591">
        <f>IFERROR(IF(VLOOKUP(S$2,MODULY_CBA!$B$3:$N$23,13,0)&lt;='TCO TO BE- SW'!$D102,SUM('TCO TO BE- SW'!S$37:S$46)*VLOOKUP('TCO TO BE- SW'!S$2,MODULY_CBA!$B$3:$L$23,10,0),0),0)</f>
        <v>0</v>
      </c>
      <c r="T102" s="591">
        <f>IFERROR(IF(VLOOKUP(T$2,MODULY_CBA!$B$3:$N$23,13,0)&lt;='TCO TO BE- SW'!$D102,SUM('TCO TO BE- SW'!T$37:T$46)*VLOOKUP('TCO TO BE- SW'!T$2,MODULY_CBA!$B$3:$L$23,10,0),0),0)</f>
        <v>0</v>
      </c>
      <c r="U102" s="591">
        <f>IFERROR(IF(VLOOKUP(U$2,MODULY_CBA!$B$3:$N$23,13,0)&lt;='TCO TO BE- SW'!$D102,SUM('TCO TO BE- SW'!U$37:U$46)*VLOOKUP('TCO TO BE- SW'!U$2,MODULY_CBA!$B$3:$L$23,10,0),0),0)</f>
        <v>0</v>
      </c>
      <c r="V102" s="591">
        <f>IFERROR(IF(VLOOKUP(V$2,MODULY_CBA!$B$3:$N$23,13,0)&lt;='TCO TO BE- SW'!$D102,SUM('TCO TO BE- SW'!V$37:V$46)*VLOOKUP('TCO TO BE- SW'!V$2,MODULY_CBA!$B$3:$L$23,10,0),0),0)</f>
        <v>0</v>
      </c>
      <c r="W102" s="591">
        <f>IFERROR(IF(VLOOKUP(W$2,MODULY_CBA!$B$3:$N$23,13,0)&lt;='TCO TO BE- SW'!$D102,SUM('TCO TO BE- SW'!W$37:W$46)*VLOOKUP('TCO TO BE- SW'!W$2,MODULY_CBA!$B$3:$L$23,10,0),0),0)</f>
        <v>0</v>
      </c>
      <c r="X102" s="591">
        <f>IFERROR(IF(VLOOKUP(X$2,MODULY_CBA!$B$3:$N$23,13,0)&lt;='TCO TO BE- SW'!$D102,SUM('TCO TO BE- SW'!X$37:X$46)*VLOOKUP('TCO TO BE- SW'!X$2,MODULY_CBA!$B$3:$L$23,10,0),0),0)</f>
        <v>0</v>
      </c>
      <c r="Y102" s="591">
        <f>IFERROR(IF(VLOOKUP(Y$2,MODULY_CBA!$B$3:$N$23,13,0)&lt;='TCO TO BE- SW'!$D102,SUM('TCO TO BE- SW'!Y$37:Y$46)*VLOOKUP('TCO TO BE- SW'!Y$2,MODULY_CBA!$B$3:$L$23,10,0),0),0)</f>
        <v>0</v>
      </c>
      <c r="Z102" s="591">
        <f>IFERROR(IF(VLOOKUP(Z$2,MODULY_CBA!$B$3:$N$23,13,0)&lt;='TCO TO BE- SW'!$D102,SUM('TCO TO BE- SW'!Z$37:Z$46)*VLOOKUP('TCO TO BE- SW'!Z$2,MODULY_CBA!$B$3:$L$23,10,0),0),0)</f>
        <v>0</v>
      </c>
    </row>
    <row r="103" spans="1:26" outlineLevel="2" x14ac:dyDescent="0.2">
      <c r="A103" s="1390"/>
      <c r="B103" s="1391"/>
      <c r="C103" s="1391"/>
      <c r="D103" s="64">
        <v>4</v>
      </c>
      <c r="E103" s="68">
        <f t="shared" si="14"/>
        <v>0</v>
      </c>
      <c r="F103" s="591">
        <f>IFERROR(IF(VLOOKUP(F$2,MODULY_CBA!$B$3:$N$23,13,0)&lt;='TCO TO BE- SW'!$D103,SUM('TCO TO BE- SW'!F$37:F$46)*VLOOKUP('TCO TO BE- SW'!F$2,MODULY_CBA!$B$3:$L$23,10,0),0),0)</f>
        <v>0</v>
      </c>
      <c r="G103" s="591">
        <f>IFERROR(IF(VLOOKUP(G$2,MODULY_CBA!$B$3:$N$23,13,0)&lt;='TCO TO BE- SW'!$D103,SUM('TCO TO BE- SW'!G$37:G$46)*VLOOKUP('TCO TO BE- SW'!G$2,MODULY_CBA!$B$3:$L$23,10,0),0),0)</f>
        <v>0</v>
      </c>
      <c r="H103" s="591">
        <f>IFERROR(IF(VLOOKUP(H$2,MODULY_CBA!$B$3:$N$23,13,0)&lt;='TCO TO BE- SW'!$D103,SUM('TCO TO BE- SW'!H$37:H$46)*VLOOKUP('TCO TO BE- SW'!H$2,MODULY_CBA!$B$3:$L$23,10,0),0),0)</f>
        <v>0</v>
      </c>
      <c r="I103" s="591">
        <f>IFERROR(IF(VLOOKUP(I$2,MODULY_CBA!$B$3:$N$23,13,0)&lt;='TCO TO BE- SW'!$D103,SUM('TCO TO BE- SW'!I$37:I$46)*VLOOKUP('TCO TO BE- SW'!I$2,MODULY_CBA!$B$3:$L$23,10,0),0),0)</f>
        <v>0</v>
      </c>
      <c r="J103" s="591">
        <f>IFERROR(IF(VLOOKUP(J$2,MODULY_CBA!$B$3:$N$23,13,0)&lt;='TCO TO BE- SW'!$D103,SUM('TCO TO BE- SW'!J$37:J$46)*VLOOKUP('TCO TO BE- SW'!J$2,MODULY_CBA!$B$3:$L$23,10,0),0),0)</f>
        <v>0</v>
      </c>
      <c r="K103" s="591">
        <f>IFERROR(IF(VLOOKUP(K$2,MODULY_CBA!$B$3:$N$23,13,0)&lt;='TCO TO BE- SW'!$D103,SUM('TCO TO BE- SW'!K$37:K$46)*VLOOKUP('TCO TO BE- SW'!K$2,MODULY_CBA!$B$3:$L$23,10,0),0),0)</f>
        <v>0</v>
      </c>
      <c r="L103" s="591">
        <f>IFERROR(IF(VLOOKUP(L$2,MODULY_CBA!$B$3:$N$23,13,0)&lt;='TCO TO BE- SW'!$D103,SUM('TCO TO BE- SW'!L$37:L$46)*VLOOKUP('TCO TO BE- SW'!L$2,MODULY_CBA!$B$3:$L$23,10,0),0),0)</f>
        <v>0</v>
      </c>
      <c r="M103" s="591">
        <f>IFERROR(IF(VLOOKUP(M$2,MODULY_CBA!$B$3:$N$23,13,0)&lt;='TCO TO BE- SW'!$D103,SUM('TCO TO BE- SW'!M$37:M$46)*VLOOKUP('TCO TO BE- SW'!M$2,MODULY_CBA!$B$3:$L$23,10,0),0),0)</f>
        <v>0</v>
      </c>
      <c r="N103" s="591">
        <f>IFERROR(IF(VLOOKUP(N$2,MODULY_CBA!$B$3:$N$23,13,0)&lt;='TCO TO BE- SW'!$D103,SUM('TCO TO BE- SW'!N$37:N$46)*VLOOKUP('TCO TO BE- SW'!N$2,MODULY_CBA!$B$3:$L$23,10,0),0),0)</f>
        <v>0</v>
      </c>
      <c r="O103" s="591">
        <f>IFERROR(IF(VLOOKUP(O$2,MODULY_CBA!$B$3:$N$23,13,0)&lt;='TCO TO BE- SW'!$D103,SUM('TCO TO BE- SW'!O$37:O$46)*VLOOKUP('TCO TO BE- SW'!O$2,MODULY_CBA!$B$3:$L$23,10,0),0),0)</f>
        <v>0</v>
      </c>
      <c r="P103" s="591">
        <f>IFERROR(IF(VLOOKUP(P$2,MODULY_CBA!$B$3:$N$23,13,0)&lt;='TCO TO BE- SW'!$D103,SUM('TCO TO BE- SW'!P$37:P$46)*VLOOKUP('TCO TO BE- SW'!P$2,MODULY_CBA!$B$3:$L$23,10,0),0),0)</f>
        <v>0</v>
      </c>
      <c r="Q103" s="591">
        <f>IFERROR(IF(VLOOKUP(Q$2,MODULY_CBA!$B$3:$N$23,13,0)&lt;='TCO TO BE- SW'!$D103,SUM('TCO TO BE- SW'!Q$37:Q$46)*VLOOKUP('TCO TO BE- SW'!Q$2,MODULY_CBA!$B$3:$L$23,10,0),0),0)</f>
        <v>0</v>
      </c>
      <c r="R103" s="591">
        <f>IFERROR(IF(VLOOKUP(R$2,MODULY_CBA!$B$3:$N$23,13,0)&lt;='TCO TO BE- SW'!$D103,SUM('TCO TO BE- SW'!R$37:R$46)*VLOOKUP('TCO TO BE- SW'!R$2,MODULY_CBA!$B$3:$L$23,10,0),0),0)</f>
        <v>0</v>
      </c>
      <c r="S103" s="591">
        <f>IFERROR(IF(VLOOKUP(S$2,MODULY_CBA!$B$3:$N$23,13,0)&lt;='TCO TO BE- SW'!$D103,SUM('TCO TO BE- SW'!S$37:S$46)*VLOOKUP('TCO TO BE- SW'!S$2,MODULY_CBA!$B$3:$L$23,10,0),0),0)</f>
        <v>0</v>
      </c>
      <c r="T103" s="591">
        <f>IFERROR(IF(VLOOKUP(T$2,MODULY_CBA!$B$3:$N$23,13,0)&lt;='TCO TO BE- SW'!$D103,SUM('TCO TO BE- SW'!T$37:T$46)*VLOOKUP('TCO TO BE- SW'!T$2,MODULY_CBA!$B$3:$L$23,10,0),0),0)</f>
        <v>0</v>
      </c>
      <c r="U103" s="591">
        <f>IFERROR(IF(VLOOKUP(U$2,MODULY_CBA!$B$3:$N$23,13,0)&lt;='TCO TO BE- SW'!$D103,SUM('TCO TO BE- SW'!U$37:U$46)*VLOOKUP('TCO TO BE- SW'!U$2,MODULY_CBA!$B$3:$L$23,10,0),0),0)</f>
        <v>0</v>
      </c>
      <c r="V103" s="591">
        <f>IFERROR(IF(VLOOKUP(V$2,MODULY_CBA!$B$3:$N$23,13,0)&lt;='TCO TO BE- SW'!$D103,SUM('TCO TO BE- SW'!V$37:V$46)*VLOOKUP('TCO TO BE- SW'!V$2,MODULY_CBA!$B$3:$L$23,10,0),0),0)</f>
        <v>0</v>
      </c>
      <c r="W103" s="591">
        <f>IFERROR(IF(VLOOKUP(W$2,MODULY_CBA!$B$3:$N$23,13,0)&lt;='TCO TO BE- SW'!$D103,SUM('TCO TO BE- SW'!W$37:W$46)*VLOOKUP('TCO TO BE- SW'!W$2,MODULY_CBA!$B$3:$L$23,10,0),0),0)</f>
        <v>0</v>
      </c>
      <c r="X103" s="591">
        <f>IFERROR(IF(VLOOKUP(X$2,MODULY_CBA!$B$3:$N$23,13,0)&lt;='TCO TO BE- SW'!$D103,SUM('TCO TO BE- SW'!X$37:X$46)*VLOOKUP('TCO TO BE- SW'!X$2,MODULY_CBA!$B$3:$L$23,10,0),0),0)</f>
        <v>0</v>
      </c>
      <c r="Y103" s="591">
        <f>IFERROR(IF(VLOOKUP(Y$2,MODULY_CBA!$B$3:$N$23,13,0)&lt;='TCO TO BE- SW'!$D103,SUM('TCO TO BE- SW'!Y$37:Y$46)*VLOOKUP('TCO TO BE- SW'!Y$2,MODULY_CBA!$B$3:$L$23,10,0),0),0)</f>
        <v>0</v>
      </c>
      <c r="Z103" s="591">
        <f>IFERROR(IF(VLOOKUP(Z$2,MODULY_CBA!$B$3:$N$23,13,0)&lt;='TCO TO BE- SW'!$D103,SUM('TCO TO BE- SW'!Z$37:Z$46)*VLOOKUP('TCO TO BE- SW'!Z$2,MODULY_CBA!$B$3:$L$23,10,0),0),0)</f>
        <v>0</v>
      </c>
    </row>
    <row r="104" spans="1:26" outlineLevel="2" x14ac:dyDescent="0.2">
      <c r="A104" s="1390"/>
      <c r="B104" s="1391"/>
      <c r="C104" s="1391"/>
      <c r="D104" s="64">
        <v>5</v>
      </c>
      <c r="E104" s="68">
        <f t="shared" si="14"/>
        <v>0</v>
      </c>
      <c r="F104" s="591">
        <f>IFERROR(IF(VLOOKUP(F$2,MODULY_CBA!$B$3:$N$23,13,0)&lt;='TCO TO BE- SW'!$D104,SUM('TCO TO BE- SW'!F$37:F$46)*VLOOKUP('TCO TO BE- SW'!F$2,MODULY_CBA!$B$3:$L$23,10,0),0),0)</f>
        <v>0</v>
      </c>
      <c r="G104" s="591">
        <f>IFERROR(IF(VLOOKUP(G$2,MODULY_CBA!$B$3:$N$23,13,0)&lt;='TCO TO BE- SW'!$D104,SUM('TCO TO BE- SW'!G$37:G$46)*VLOOKUP('TCO TO BE- SW'!G$2,MODULY_CBA!$B$3:$L$23,10,0),0),0)</f>
        <v>0</v>
      </c>
      <c r="H104" s="591">
        <f>IFERROR(IF(VLOOKUP(H$2,MODULY_CBA!$B$3:$N$23,13,0)&lt;='TCO TO BE- SW'!$D104,SUM('TCO TO BE- SW'!H$37:H$46)*VLOOKUP('TCO TO BE- SW'!H$2,MODULY_CBA!$B$3:$L$23,10,0),0),0)</f>
        <v>0</v>
      </c>
      <c r="I104" s="591">
        <f>IFERROR(IF(VLOOKUP(I$2,MODULY_CBA!$B$3:$N$23,13,0)&lt;='TCO TO BE- SW'!$D104,SUM('TCO TO BE- SW'!I$37:I$46)*VLOOKUP('TCO TO BE- SW'!I$2,MODULY_CBA!$B$3:$L$23,10,0),0),0)</f>
        <v>0</v>
      </c>
      <c r="J104" s="591">
        <f>IFERROR(IF(VLOOKUP(J$2,MODULY_CBA!$B$3:$N$23,13,0)&lt;='TCO TO BE- SW'!$D104,SUM('TCO TO BE- SW'!J$37:J$46)*VLOOKUP('TCO TO BE- SW'!J$2,MODULY_CBA!$B$3:$L$23,10,0),0),0)</f>
        <v>0</v>
      </c>
      <c r="K104" s="591">
        <f>IFERROR(IF(VLOOKUP(K$2,MODULY_CBA!$B$3:$N$23,13,0)&lt;='TCO TO BE- SW'!$D104,SUM('TCO TO BE- SW'!K$37:K$46)*VLOOKUP('TCO TO BE- SW'!K$2,MODULY_CBA!$B$3:$L$23,10,0),0),0)</f>
        <v>0</v>
      </c>
      <c r="L104" s="591">
        <f>IFERROR(IF(VLOOKUP(L$2,MODULY_CBA!$B$3:$N$23,13,0)&lt;='TCO TO BE- SW'!$D104,SUM('TCO TO BE- SW'!L$37:L$46)*VLOOKUP('TCO TO BE- SW'!L$2,MODULY_CBA!$B$3:$L$23,10,0),0),0)</f>
        <v>0</v>
      </c>
      <c r="M104" s="591">
        <f>IFERROR(IF(VLOOKUP(M$2,MODULY_CBA!$B$3:$N$23,13,0)&lt;='TCO TO BE- SW'!$D104,SUM('TCO TO BE- SW'!M$37:M$46)*VLOOKUP('TCO TO BE- SW'!M$2,MODULY_CBA!$B$3:$L$23,10,0),0),0)</f>
        <v>0</v>
      </c>
      <c r="N104" s="591">
        <f>IFERROR(IF(VLOOKUP(N$2,MODULY_CBA!$B$3:$N$23,13,0)&lt;='TCO TO BE- SW'!$D104,SUM('TCO TO BE- SW'!N$37:N$46)*VLOOKUP('TCO TO BE- SW'!N$2,MODULY_CBA!$B$3:$L$23,10,0),0),0)</f>
        <v>0</v>
      </c>
      <c r="O104" s="591">
        <f>IFERROR(IF(VLOOKUP(O$2,MODULY_CBA!$B$3:$N$23,13,0)&lt;='TCO TO BE- SW'!$D104,SUM('TCO TO BE- SW'!O$37:O$46)*VLOOKUP('TCO TO BE- SW'!O$2,MODULY_CBA!$B$3:$L$23,10,0),0),0)</f>
        <v>0</v>
      </c>
      <c r="P104" s="591">
        <f>IFERROR(IF(VLOOKUP(P$2,MODULY_CBA!$B$3:$N$23,13,0)&lt;='TCO TO BE- SW'!$D104,SUM('TCO TO BE- SW'!P$37:P$46)*VLOOKUP('TCO TO BE- SW'!P$2,MODULY_CBA!$B$3:$L$23,10,0),0),0)</f>
        <v>0</v>
      </c>
      <c r="Q104" s="591">
        <f>IFERROR(IF(VLOOKUP(Q$2,MODULY_CBA!$B$3:$N$23,13,0)&lt;='TCO TO BE- SW'!$D104,SUM('TCO TO BE- SW'!Q$37:Q$46)*VLOOKUP('TCO TO BE- SW'!Q$2,MODULY_CBA!$B$3:$L$23,10,0),0),0)</f>
        <v>0</v>
      </c>
      <c r="R104" s="591">
        <f>IFERROR(IF(VLOOKUP(R$2,MODULY_CBA!$B$3:$N$23,13,0)&lt;='TCO TO BE- SW'!$D104,SUM('TCO TO BE- SW'!R$37:R$46)*VLOOKUP('TCO TO BE- SW'!R$2,MODULY_CBA!$B$3:$L$23,10,0),0),0)</f>
        <v>0</v>
      </c>
      <c r="S104" s="591">
        <f>IFERROR(IF(VLOOKUP(S$2,MODULY_CBA!$B$3:$N$23,13,0)&lt;='TCO TO BE- SW'!$D104,SUM('TCO TO BE- SW'!S$37:S$46)*VLOOKUP('TCO TO BE- SW'!S$2,MODULY_CBA!$B$3:$L$23,10,0),0),0)</f>
        <v>0</v>
      </c>
      <c r="T104" s="591">
        <f>IFERROR(IF(VLOOKUP(T$2,MODULY_CBA!$B$3:$N$23,13,0)&lt;='TCO TO BE- SW'!$D104,SUM('TCO TO BE- SW'!T$37:T$46)*VLOOKUP('TCO TO BE- SW'!T$2,MODULY_CBA!$B$3:$L$23,10,0),0),0)</f>
        <v>0</v>
      </c>
      <c r="U104" s="591">
        <f>IFERROR(IF(VLOOKUP(U$2,MODULY_CBA!$B$3:$N$23,13,0)&lt;='TCO TO BE- SW'!$D104,SUM('TCO TO BE- SW'!U$37:U$46)*VLOOKUP('TCO TO BE- SW'!U$2,MODULY_CBA!$B$3:$L$23,10,0),0),0)</f>
        <v>0</v>
      </c>
      <c r="V104" s="591">
        <f>IFERROR(IF(VLOOKUP(V$2,MODULY_CBA!$B$3:$N$23,13,0)&lt;='TCO TO BE- SW'!$D104,SUM('TCO TO BE- SW'!V$37:V$46)*VLOOKUP('TCO TO BE- SW'!V$2,MODULY_CBA!$B$3:$L$23,10,0),0),0)</f>
        <v>0</v>
      </c>
      <c r="W104" s="591">
        <f>IFERROR(IF(VLOOKUP(W$2,MODULY_CBA!$B$3:$N$23,13,0)&lt;='TCO TO BE- SW'!$D104,SUM('TCO TO BE- SW'!W$37:W$46)*VLOOKUP('TCO TO BE- SW'!W$2,MODULY_CBA!$B$3:$L$23,10,0),0),0)</f>
        <v>0</v>
      </c>
      <c r="X104" s="591">
        <f>IFERROR(IF(VLOOKUP(X$2,MODULY_CBA!$B$3:$N$23,13,0)&lt;='TCO TO BE- SW'!$D104,SUM('TCO TO BE- SW'!X$37:X$46)*VLOOKUP('TCO TO BE- SW'!X$2,MODULY_CBA!$B$3:$L$23,10,0),0),0)</f>
        <v>0</v>
      </c>
      <c r="Y104" s="591">
        <f>IFERROR(IF(VLOOKUP(Y$2,MODULY_CBA!$B$3:$N$23,13,0)&lt;='TCO TO BE- SW'!$D104,SUM('TCO TO BE- SW'!Y$37:Y$46)*VLOOKUP('TCO TO BE- SW'!Y$2,MODULY_CBA!$B$3:$L$23,10,0),0),0)</f>
        <v>0</v>
      </c>
      <c r="Z104" s="591">
        <f>IFERROR(IF(VLOOKUP(Z$2,MODULY_CBA!$B$3:$N$23,13,0)&lt;='TCO TO BE- SW'!$D104,SUM('TCO TO BE- SW'!Z$37:Z$46)*VLOOKUP('TCO TO BE- SW'!Z$2,MODULY_CBA!$B$3:$L$23,10,0),0),0)</f>
        <v>0</v>
      </c>
    </row>
    <row r="105" spans="1:26" outlineLevel="2" x14ac:dyDescent="0.2">
      <c r="A105" s="1390"/>
      <c r="B105" s="1391"/>
      <c r="C105" s="1391"/>
      <c r="D105" s="64">
        <v>6</v>
      </c>
      <c r="E105" s="68">
        <f t="shared" si="14"/>
        <v>0</v>
      </c>
      <c r="F105" s="591">
        <f>IFERROR(IF(VLOOKUP(F$2,MODULY_CBA!$B$3:$N$23,13,0)&lt;='TCO TO BE- SW'!$D105,SUM('TCO TO BE- SW'!F$37:F$46)*VLOOKUP('TCO TO BE- SW'!F$2,MODULY_CBA!$B$3:$L$23,10,0),0),0)</f>
        <v>0</v>
      </c>
      <c r="G105" s="591">
        <f>IFERROR(IF(VLOOKUP(G$2,MODULY_CBA!$B$3:$N$23,13,0)&lt;='TCO TO BE- SW'!$D105,SUM('TCO TO BE- SW'!G$37:G$46)*VLOOKUP('TCO TO BE- SW'!G$2,MODULY_CBA!$B$3:$L$23,10,0),0),0)</f>
        <v>0</v>
      </c>
      <c r="H105" s="591">
        <f>IFERROR(IF(VLOOKUP(H$2,MODULY_CBA!$B$3:$N$23,13,0)&lt;='TCO TO BE- SW'!$D105,SUM('TCO TO BE- SW'!H$37:H$46)*VLOOKUP('TCO TO BE- SW'!H$2,MODULY_CBA!$B$3:$L$23,10,0),0),0)</f>
        <v>0</v>
      </c>
      <c r="I105" s="591">
        <f>IFERROR(IF(VLOOKUP(I$2,MODULY_CBA!$B$3:$N$23,13,0)&lt;='TCO TO BE- SW'!$D105,SUM('TCO TO BE- SW'!I$37:I$46)*VLOOKUP('TCO TO BE- SW'!I$2,MODULY_CBA!$B$3:$L$23,10,0),0),0)</f>
        <v>0</v>
      </c>
      <c r="J105" s="591">
        <f>IFERROR(IF(VLOOKUP(J$2,MODULY_CBA!$B$3:$N$23,13,0)&lt;='TCO TO BE- SW'!$D105,SUM('TCO TO BE- SW'!J$37:J$46)*VLOOKUP('TCO TO BE- SW'!J$2,MODULY_CBA!$B$3:$L$23,10,0),0),0)</f>
        <v>0</v>
      </c>
      <c r="K105" s="591">
        <f>IFERROR(IF(VLOOKUP(K$2,MODULY_CBA!$B$3:$N$23,13,0)&lt;='TCO TO BE- SW'!$D105,SUM('TCO TO BE- SW'!K$37:K$46)*VLOOKUP('TCO TO BE- SW'!K$2,MODULY_CBA!$B$3:$L$23,10,0),0),0)</f>
        <v>0</v>
      </c>
      <c r="L105" s="591">
        <f>IFERROR(IF(VLOOKUP(L$2,MODULY_CBA!$B$3:$N$23,13,0)&lt;='TCO TO BE- SW'!$D105,SUM('TCO TO BE- SW'!L$37:L$46)*VLOOKUP('TCO TO BE- SW'!L$2,MODULY_CBA!$B$3:$L$23,10,0),0),0)</f>
        <v>0</v>
      </c>
      <c r="M105" s="591">
        <f>IFERROR(IF(VLOOKUP(M$2,MODULY_CBA!$B$3:$N$23,13,0)&lt;='TCO TO BE- SW'!$D105,SUM('TCO TO BE- SW'!M$37:M$46)*VLOOKUP('TCO TO BE- SW'!M$2,MODULY_CBA!$B$3:$L$23,10,0),0),0)</f>
        <v>0</v>
      </c>
      <c r="N105" s="591">
        <f>IFERROR(IF(VLOOKUP(N$2,MODULY_CBA!$B$3:$N$23,13,0)&lt;='TCO TO BE- SW'!$D105,SUM('TCO TO BE- SW'!N$37:N$46)*VLOOKUP('TCO TO BE- SW'!N$2,MODULY_CBA!$B$3:$L$23,10,0),0),0)</f>
        <v>0</v>
      </c>
      <c r="O105" s="591">
        <f>IFERROR(IF(VLOOKUP(O$2,MODULY_CBA!$B$3:$N$23,13,0)&lt;='TCO TO BE- SW'!$D105,SUM('TCO TO BE- SW'!O$37:O$46)*VLOOKUP('TCO TO BE- SW'!O$2,MODULY_CBA!$B$3:$L$23,10,0),0),0)</f>
        <v>0</v>
      </c>
      <c r="P105" s="591">
        <f>IFERROR(IF(VLOOKUP(P$2,MODULY_CBA!$B$3:$N$23,13,0)&lt;='TCO TO BE- SW'!$D105,SUM('TCO TO BE- SW'!P$37:P$46)*VLOOKUP('TCO TO BE- SW'!P$2,MODULY_CBA!$B$3:$L$23,10,0),0),0)</f>
        <v>0</v>
      </c>
      <c r="Q105" s="591">
        <f>IFERROR(IF(VLOOKUP(Q$2,MODULY_CBA!$B$3:$N$23,13,0)&lt;='TCO TO BE- SW'!$D105,SUM('TCO TO BE- SW'!Q$37:Q$46)*VLOOKUP('TCO TO BE- SW'!Q$2,MODULY_CBA!$B$3:$L$23,10,0),0),0)</f>
        <v>0</v>
      </c>
      <c r="R105" s="591">
        <f>IFERROR(IF(VLOOKUP(R$2,MODULY_CBA!$B$3:$N$23,13,0)&lt;='TCO TO BE- SW'!$D105,SUM('TCO TO BE- SW'!R$37:R$46)*VLOOKUP('TCO TO BE- SW'!R$2,MODULY_CBA!$B$3:$L$23,10,0),0),0)</f>
        <v>0</v>
      </c>
      <c r="S105" s="591">
        <f>IFERROR(IF(VLOOKUP(S$2,MODULY_CBA!$B$3:$N$23,13,0)&lt;='TCO TO BE- SW'!$D105,SUM('TCO TO BE- SW'!S$37:S$46)*VLOOKUP('TCO TO BE- SW'!S$2,MODULY_CBA!$B$3:$L$23,10,0),0),0)</f>
        <v>0</v>
      </c>
      <c r="T105" s="591">
        <f>IFERROR(IF(VLOOKUP(T$2,MODULY_CBA!$B$3:$N$23,13,0)&lt;='TCO TO BE- SW'!$D105,SUM('TCO TO BE- SW'!T$37:T$46)*VLOOKUP('TCO TO BE- SW'!T$2,MODULY_CBA!$B$3:$L$23,10,0),0),0)</f>
        <v>0</v>
      </c>
      <c r="U105" s="591">
        <f>IFERROR(IF(VLOOKUP(U$2,MODULY_CBA!$B$3:$N$23,13,0)&lt;='TCO TO BE- SW'!$D105,SUM('TCO TO BE- SW'!U$37:U$46)*VLOOKUP('TCO TO BE- SW'!U$2,MODULY_CBA!$B$3:$L$23,10,0),0),0)</f>
        <v>0</v>
      </c>
      <c r="V105" s="591">
        <f>IFERROR(IF(VLOOKUP(V$2,MODULY_CBA!$B$3:$N$23,13,0)&lt;='TCO TO BE- SW'!$D105,SUM('TCO TO BE- SW'!V$37:V$46)*VLOOKUP('TCO TO BE- SW'!V$2,MODULY_CBA!$B$3:$L$23,10,0),0),0)</f>
        <v>0</v>
      </c>
      <c r="W105" s="591">
        <f>IFERROR(IF(VLOOKUP(W$2,MODULY_CBA!$B$3:$N$23,13,0)&lt;='TCO TO BE- SW'!$D105,SUM('TCO TO BE- SW'!W$37:W$46)*VLOOKUP('TCO TO BE- SW'!W$2,MODULY_CBA!$B$3:$L$23,10,0),0),0)</f>
        <v>0</v>
      </c>
      <c r="X105" s="591">
        <f>IFERROR(IF(VLOOKUP(X$2,MODULY_CBA!$B$3:$N$23,13,0)&lt;='TCO TO BE- SW'!$D105,SUM('TCO TO BE- SW'!X$37:X$46)*VLOOKUP('TCO TO BE- SW'!X$2,MODULY_CBA!$B$3:$L$23,10,0),0),0)</f>
        <v>0</v>
      </c>
      <c r="Y105" s="591">
        <f>IFERROR(IF(VLOOKUP(Y$2,MODULY_CBA!$B$3:$N$23,13,0)&lt;='TCO TO BE- SW'!$D105,SUM('TCO TO BE- SW'!Y$37:Y$46)*VLOOKUP('TCO TO BE- SW'!Y$2,MODULY_CBA!$B$3:$L$23,10,0),0),0)</f>
        <v>0</v>
      </c>
      <c r="Z105" s="591">
        <f>IFERROR(IF(VLOOKUP(Z$2,MODULY_CBA!$B$3:$N$23,13,0)&lt;='TCO TO BE- SW'!$D105,SUM('TCO TO BE- SW'!Z$37:Z$46)*VLOOKUP('TCO TO BE- SW'!Z$2,MODULY_CBA!$B$3:$L$23,10,0),0),0)</f>
        <v>0</v>
      </c>
    </row>
    <row r="106" spans="1:26" outlineLevel="2" x14ac:dyDescent="0.2">
      <c r="A106" s="1390"/>
      <c r="B106" s="1391"/>
      <c r="C106" s="1391"/>
      <c r="D106" s="64">
        <v>7</v>
      </c>
      <c r="E106" s="68">
        <f t="shared" si="14"/>
        <v>25977.452400000002</v>
      </c>
      <c r="F106" s="591">
        <f>IFERROR(IF(VLOOKUP(F$2,MODULY_CBA!$B$3:$N$23,13,0)&lt;='TCO TO BE- SW'!$D106,SUM('TCO TO BE- SW'!F$37:F$46)*VLOOKUP('TCO TO BE- SW'!F$2,MODULY_CBA!$B$3:$L$23,10,0),0),0)</f>
        <v>636.18250775510205</v>
      </c>
      <c r="G106" s="591">
        <f>IFERROR(IF(VLOOKUP(G$2,MODULY_CBA!$B$3:$N$23,13,0)&lt;='TCO TO BE- SW'!$D106,SUM('TCO TO BE- SW'!G$37:G$46)*VLOOKUP('TCO TO BE- SW'!G$2,MODULY_CBA!$B$3:$L$23,10,0),0),0)</f>
        <v>636.18250775510205</v>
      </c>
      <c r="H106" s="591">
        <f>IFERROR(IF(VLOOKUP(H$2,MODULY_CBA!$B$3:$N$23,13,0)&lt;='TCO TO BE- SW'!$D106,SUM('TCO TO BE- SW'!H$37:H$46)*VLOOKUP('TCO TO BE- SW'!H$2,MODULY_CBA!$B$3:$L$23,10,0),0),0)</f>
        <v>1463.2197678367352</v>
      </c>
      <c r="I106" s="591">
        <f>IFERROR(IF(VLOOKUP(I$2,MODULY_CBA!$B$3:$N$23,13,0)&lt;='TCO TO BE- SW'!$D106,SUM('TCO TO BE- SW'!I$37:I$46)*VLOOKUP('TCO TO BE- SW'!I$2,MODULY_CBA!$B$3:$L$23,10,0),0),0)</f>
        <v>0</v>
      </c>
      <c r="J106" s="591">
        <f>IFERROR(IF(VLOOKUP(J$2,MODULY_CBA!$B$3:$N$23,13,0)&lt;='TCO TO BE- SW'!$D106,SUM('TCO TO BE- SW'!J$37:J$46)*VLOOKUP('TCO TO BE- SW'!J$2,MODULY_CBA!$B$3:$L$23,10,0),0),0)</f>
        <v>6234.5885760000001</v>
      </c>
      <c r="K106" s="591">
        <f>IFERROR(IF(VLOOKUP(K$2,MODULY_CBA!$B$3:$N$23,13,0)&lt;='TCO TO BE- SW'!$D106,SUM('TCO TO BE- SW'!K$37:K$46)*VLOOKUP('TCO TO BE- SW'!K$2,MODULY_CBA!$B$3:$L$23,10,0),0),0)</f>
        <v>0</v>
      </c>
      <c r="L106" s="591">
        <f>IFERROR(IF(VLOOKUP(L$2,MODULY_CBA!$B$3:$N$23,13,0)&lt;='TCO TO BE- SW'!$D106,SUM('TCO TO BE- SW'!L$37:L$46)*VLOOKUP('TCO TO BE- SW'!L$2,MODULY_CBA!$B$3:$L$23,10,0),0),0)</f>
        <v>1028.4950542040815</v>
      </c>
      <c r="M106" s="591">
        <f>IFERROR(IF(VLOOKUP(M$2,MODULY_CBA!$B$3:$N$23,13,0)&lt;='TCO TO BE- SW'!$D106,SUM('TCO TO BE- SW'!M$37:M$46)*VLOOKUP('TCO TO BE- SW'!M$2,MODULY_CBA!$B$3:$L$23,10,0),0),0)</f>
        <v>8058.3117648979596</v>
      </c>
      <c r="N106" s="591">
        <f>IFERROR(IF(VLOOKUP(N$2,MODULY_CBA!$B$3:$N$23,13,0)&lt;='TCO TO BE- SW'!$D106,SUM('TCO TO BE- SW'!N$37:N$46)*VLOOKUP('TCO TO BE- SW'!N$2,MODULY_CBA!$B$3:$L$23,10,0),0),0)</f>
        <v>0</v>
      </c>
      <c r="O106" s="591">
        <f>IFERROR(IF(VLOOKUP(O$2,MODULY_CBA!$B$3:$N$23,13,0)&lt;='TCO TO BE- SW'!$D106,SUM('TCO TO BE- SW'!O$37:O$46)*VLOOKUP('TCO TO BE- SW'!O$2,MODULY_CBA!$B$3:$L$23,10,0),0),0)</f>
        <v>0</v>
      </c>
      <c r="P106" s="591">
        <f>IFERROR(IF(VLOOKUP(P$2,MODULY_CBA!$B$3:$N$23,13,0)&lt;='TCO TO BE- SW'!$D106,SUM('TCO TO BE- SW'!P$37:P$46)*VLOOKUP('TCO TO BE- SW'!P$2,MODULY_CBA!$B$3:$L$23,10,0),0),0)</f>
        <v>7920.472221551021</v>
      </c>
      <c r="Q106" s="591">
        <f>IFERROR(IF(VLOOKUP(Q$2,MODULY_CBA!$B$3:$N$23,13,0)&lt;='TCO TO BE- SW'!$D106,SUM('TCO TO BE- SW'!Q$37:Q$46)*VLOOKUP('TCO TO BE- SW'!Q$2,MODULY_CBA!$B$3:$L$23,10,0),0),0)</f>
        <v>0</v>
      </c>
      <c r="R106" s="591">
        <f>IFERROR(IF(VLOOKUP(R$2,MODULY_CBA!$B$3:$N$23,13,0)&lt;='TCO TO BE- SW'!$D106,SUM('TCO TO BE- SW'!R$37:R$46)*VLOOKUP('TCO TO BE- SW'!R$2,MODULY_CBA!$B$3:$L$23,10,0),0),0)</f>
        <v>0</v>
      </c>
      <c r="S106" s="591">
        <f>IFERROR(IF(VLOOKUP(S$2,MODULY_CBA!$B$3:$N$23,13,0)&lt;='TCO TO BE- SW'!$D106,SUM('TCO TO BE- SW'!S$37:S$46)*VLOOKUP('TCO TO BE- SW'!S$2,MODULY_CBA!$B$3:$L$23,10,0),0),0)</f>
        <v>0</v>
      </c>
      <c r="T106" s="591">
        <f>IFERROR(IF(VLOOKUP(T$2,MODULY_CBA!$B$3:$N$23,13,0)&lt;='TCO TO BE- SW'!$D106,SUM('TCO TO BE- SW'!T$37:T$46)*VLOOKUP('TCO TO BE- SW'!T$2,MODULY_CBA!$B$3:$L$23,10,0),0),0)</f>
        <v>0</v>
      </c>
      <c r="U106" s="591">
        <f>IFERROR(IF(VLOOKUP(U$2,MODULY_CBA!$B$3:$N$23,13,0)&lt;='TCO TO BE- SW'!$D106,SUM('TCO TO BE- SW'!U$37:U$46)*VLOOKUP('TCO TO BE- SW'!U$2,MODULY_CBA!$B$3:$L$23,10,0),0),0)</f>
        <v>0</v>
      </c>
      <c r="V106" s="591">
        <f>IFERROR(IF(VLOOKUP(V$2,MODULY_CBA!$B$3:$N$23,13,0)&lt;='TCO TO BE- SW'!$D106,SUM('TCO TO BE- SW'!V$37:V$46)*VLOOKUP('TCO TO BE- SW'!V$2,MODULY_CBA!$B$3:$L$23,10,0),0),0)</f>
        <v>0</v>
      </c>
      <c r="W106" s="591">
        <f>IFERROR(IF(VLOOKUP(W$2,MODULY_CBA!$B$3:$N$23,13,0)&lt;='TCO TO BE- SW'!$D106,SUM('TCO TO BE- SW'!W$37:W$46)*VLOOKUP('TCO TO BE- SW'!W$2,MODULY_CBA!$B$3:$L$23,10,0),0),0)</f>
        <v>0</v>
      </c>
      <c r="X106" s="591">
        <f>IFERROR(IF(VLOOKUP(X$2,MODULY_CBA!$B$3:$N$23,13,0)&lt;='TCO TO BE- SW'!$D106,SUM('TCO TO BE- SW'!X$37:X$46)*VLOOKUP('TCO TO BE- SW'!X$2,MODULY_CBA!$B$3:$L$23,10,0),0),0)</f>
        <v>0</v>
      </c>
      <c r="Y106" s="591">
        <f>IFERROR(IF(VLOOKUP(Y$2,MODULY_CBA!$B$3:$N$23,13,0)&lt;='TCO TO BE- SW'!$D106,SUM('TCO TO BE- SW'!Y$37:Y$46)*VLOOKUP('TCO TO BE- SW'!Y$2,MODULY_CBA!$B$3:$L$23,10,0),0),0)</f>
        <v>0</v>
      </c>
      <c r="Z106" s="591">
        <f>IFERROR(IF(VLOOKUP(Z$2,MODULY_CBA!$B$3:$N$23,13,0)&lt;='TCO TO BE- SW'!$D106,SUM('TCO TO BE- SW'!Z$37:Z$46)*VLOOKUP('TCO TO BE- SW'!Z$2,MODULY_CBA!$B$3:$L$23,10,0),0),0)</f>
        <v>0</v>
      </c>
    </row>
    <row r="107" spans="1:26" outlineLevel="2" x14ac:dyDescent="0.2">
      <c r="A107" s="1390"/>
      <c r="B107" s="1391"/>
      <c r="C107" s="1391"/>
      <c r="D107" s="64">
        <v>8</v>
      </c>
      <c r="E107" s="68">
        <f t="shared" si="14"/>
        <v>25977.452400000002</v>
      </c>
      <c r="F107" s="591">
        <f>IFERROR(IF(VLOOKUP(F$2,MODULY_CBA!$B$3:$N$23,13,0)&lt;='TCO TO BE- SW'!$D107,SUM('TCO TO BE- SW'!F$37:F$46)*VLOOKUP('TCO TO BE- SW'!F$2,MODULY_CBA!$B$3:$L$23,10,0),0),0)</f>
        <v>636.18250775510205</v>
      </c>
      <c r="G107" s="591">
        <f>IFERROR(IF(VLOOKUP(G$2,MODULY_CBA!$B$3:$N$23,13,0)&lt;='TCO TO BE- SW'!$D107,SUM('TCO TO BE- SW'!G$37:G$46)*VLOOKUP('TCO TO BE- SW'!G$2,MODULY_CBA!$B$3:$L$23,10,0),0),0)</f>
        <v>636.18250775510205</v>
      </c>
      <c r="H107" s="591">
        <f>IFERROR(IF(VLOOKUP(H$2,MODULY_CBA!$B$3:$N$23,13,0)&lt;='TCO TO BE- SW'!$D107,SUM('TCO TO BE- SW'!H$37:H$46)*VLOOKUP('TCO TO BE- SW'!H$2,MODULY_CBA!$B$3:$L$23,10,0),0),0)</f>
        <v>1463.2197678367352</v>
      </c>
      <c r="I107" s="591">
        <f>IFERROR(IF(VLOOKUP(I$2,MODULY_CBA!$B$3:$N$23,13,0)&lt;='TCO TO BE- SW'!$D107,SUM('TCO TO BE- SW'!I$37:I$46)*VLOOKUP('TCO TO BE- SW'!I$2,MODULY_CBA!$B$3:$L$23,10,0),0),0)</f>
        <v>0</v>
      </c>
      <c r="J107" s="591">
        <f>IFERROR(IF(VLOOKUP(J$2,MODULY_CBA!$B$3:$N$23,13,0)&lt;='TCO TO BE- SW'!$D107,SUM('TCO TO BE- SW'!J$37:J$46)*VLOOKUP('TCO TO BE- SW'!J$2,MODULY_CBA!$B$3:$L$23,10,0),0),0)</f>
        <v>6234.5885760000001</v>
      </c>
      <c r="K107" s="591">
        <f>IFERROR(IF(VLOOKUP(K$2,MODULY_CBA!$B$3:$N$23,13,0)&lt;='TCO TO BE- SW'!$D107,SUM('TCO TO BE- SW'!K$37:K$46)*VLOOKUP('TCO TO BE- SW'!K$2,MODULY_CBA!$B$3:$L$23,10,0),0),0)</f>
        <v>0</v>
      </c>
      <c r="L107" s="591">
        <f>IFERROR(IF(VLOOKUP(L$2,MODULY_CBA!$B$3:$N$23,13,0)&lt;='TCO TO BE- SW'!$D107,SUM('TCO TO BE- SW'!L$37:L$46)*VLOOKUP('TCO TO BE- SW'!L$2,MODULY_CBA!$B$3:$L$23,10,0),0),0)</f>
        <v>1028.4950542040815</v>
      </c>
      <c r="M107" s="591">
        <f>IFERROR(IF(VLOOKUP(M$2,MODULY_CBA!$B$3:$N$23,13,0)&lt;='TCO TO BE- SW'!$D107,SUM('TCO TO BE- SW'!M$37:M$46)*VLOOKUP('TCO TO BE- SW'!M$2,MODULY_CBA!$B$3:$L$23,10,0),0),0)</f>
        <v>8058.3117648979596</v>
      </c>
      <c r="N107" s="591">
        <f>IFERROR(IF(VLOOKUP(N$2,MODULY_CBA!$B$3:$N$23,13,0)&lt;='TCO TO BE- SW'!$D107,SUM('TCO TO BE- SW'!N$37:N$46)*VLOOKUP('TCO TO BE- SW'!N$2,MODULY_CBA!$B$3:$L$23,10,0),0),0)</f>
        <v>0</v>
      </c>
      <c r="O107" s="591">
        <f>IFERROR(IF(VLOOKUP(O$2,MODULY_CBA!$B$3:$N$23,13,0)&lt;='TCO TO BE- SW'!$D107,SUM('TCO TO BE- SW'!O$37:O$46)*VLOOKUP('TCO TO BE- SW'!O$2,MODULY_CBA!$B$3:$L$23,10,0),0),0)</f>
        <v>0</v>
      </c>
      <c r="P107" s="591">
        <f>IFERROR(IF(VLOOKUP(P$2,MODULY_CBA!$B$3:$N$23,13,0)&lt;='TCO TO BE- SW'!$D107,SUM('TCO TO BE- SW'!P$37:P$46)*VLOOKUP('TCO TO BE- SW'!P$2,MODULY_CBA!$B$3:$L$23,10,0),0),0)</f>
        <v>7920.472221551021</v>
      </c>
      <c r="Q107" s="591">
        <f>IFERROR(IF(VLOOKUP(Q$2,MODULY_CBA!$B$3:$N$23,13,0)&lt;='TCO TO BE- SW'!$D107,SUM('TCO TO BE- SW'!Q$37:Q$46)*VLOOKUP('TCO TO BE- SW'!Q$2,MODULY_CBA!$B$3:$L$23,10,0),0),0)</f>
        <v>0</v>
      </c>
      <c r="R107" s="591">
        <f>IFERROR(IF(VLOOKUP(R$2,MODULY_CBA!$B$3:$N$23,13,0)&lt;='TCO TO BE- SW'!$D107,SUM('TCO TO BE- SW'!R$37:R$46)*VLOOKUP('TCO TO BE- SW'!R$2,MODULY_CBA!$B$3:$L$23,10,0),0),0)</f>
        <v>0</v>
      </c>
      <c r="S107" s="591">
        <f>IFERROR(IF(VLOOKUP(S$2,MODULY_CBA!$B$3:$N$23,13,0)&lt;='TCO TO BE- SW'!$D107,SUM('TCO TO BE- SW'!S$37:S$46)*VLOOKUP('TCO TO BE- SW'!S$2,MODULY_CBA!$B$3:$L$23,10,0),0),0)</f>
        <v>0</v>
      </c>
      <c r="T107" s="591">
        <f>IFERROR(IF(VLOOKUP(T$2,MODULY_CBA!$B$3:$N$23,13,0)&lt;='TCO TO BE- SW'!$D107,SUM('TCO TO BE- SW'!T$37:T$46)*VLOOKUP('TCO TO BE- SW'!T$2,MODULY_CBA!$B$3:$L$23,10,0),0),0)</f>
        <v>0</v>
      </c>
      <c r="U107" s="591">
        <f>IFERROR(IF(VLOOKUP(U$2,MODULY_CBA!$B$3:$N$23,13,0)&lt;='TCO TO BE- SW'!$D107,SUM('TCO TO BE- SW'!U$37:U$46)*VLOOKUP('TCO TO BE- SW'!U$2,MODULY_CBA!$B$3:$L$23,10,0),0),0)</f>
        <v>0</v>
      </c>
      <c r="V107" s="591">
        <f>IFERROR(IF(VLOOKUP(V$2,MODULY_CBA!$B$3:$N$23,13,0)&lt;='TCO TO BE- SW'!$D107,SUM('TCO TO BE- SW'!V$37:V$46)*VLOOKUP('TCO TO BE- SW'!V$2,MODULY_CBA!$B$3:$L$23,10,0),0),0)</f>
        <v>0</v>
      </c>
      <c r="W107" s="591">
        <f>IFERROR(IF(VLOOKUP(W$2,MODULY_CBA!$B$3:$N$23,13,0)&lt;='TCO TO BE- SW'!$D107,SUM('TCO TO BE- SW'!W$37:W$46)*VLOOKUP('TCO TO BE- SW'!W$2,MODULY_CBA!$B$3:$L$23,10,0),0),0)</f>
        <v>0</v>
      </c>
      <c r="X107" s="591">
        <f>IFERROR(IF(VLOOKUP(X$2,MODULY_CBA!$B$3:$N$23,13,0)&lt;='TCO TO BE- SW'!$D107,SUM('TCO TO BE- SW'!X$37:X$46)*VLOOKUP('TCO TO BE- SW'!X$2,MODULY_CBA!$B$3:$L$23,10,0),0),0)</f>
        <v>0</v>
      </c>
      <c r="Y107" s="591">
        <f>IFERROR(IF(VLOOKUP(Y$2,MODULY_CBA!$B$3:$N$23,13,0)&lt;='TCO TO BE- SW'!$D107,SUM('TCO TO BE- SW'!Y$37:Y$46)*VLOOKUP('TCO TO BE- SW'!Y$2,MODULY_CBA!$B$3:$L$23,10,0),0),0)</f>
        <v>0</v>
      </c>
      <c r="Z107" s="591">
        <f>IFERROR(IF(VLOOKUP(Z$2,MODULY_CBA!$B$3:$N$23,13,0)&lt;='TCO TO BE- SW'!$D107,SUM('TCO TO BE- SW'!Z$37:Z$46)*VLOOKUP('TCO TO BE- SW'!Z$2,MODULY_CBA!$B$3:$L$23,10,0),0),0)</f>
        <v>0</v>
      </c>
    </row>
    <row r="108" spans="1:26" outlineLevel="2" x14ac:dyDescent="0.2">
      <c r="A108" s="1390"/>
      <c r="B108" s="1391"/>
      <c r="C108" s="1391"/>
      <c r="D108" s="64">
        <v>9</v>
      </c>
      <c r="E108" s="68">
        <f t="shared" si="14"/>
        <v>25977.452400000002</v>
      </c>
      <c r="F108" s="591">
        <f>IFERROR(IF(VLOOKUP(F$2,MODULY_CBA!$B$3:$N$23,13,0)&lt;='TCO TO BE- SW'!$D108,SUM('TCO TO BE- SW'!F$37:F$46)*VLOOKUP('TCO TO BE- SW'!F$2,MODULY_CBA!$B$3:$L$23,10,0),0),0)</f>
        <v>636.18250775510205</v>
      </c>
      <c r="G108" s="591">
        <f>IFERROR(IF(VLOOKUP(G$2,MODULY_CBA!$B$3:$N$23,13,0)&lt;='TCO TO BE- SW'!$D108,SUM('TCO TO BE- SW'!G$37:G$46)*VLOOKUP('TCO TO BE- SW'!G$2,MODULY_CBA!$B$3:$L$23,10,0),0),0)</f>
        <v>636.18250775510205</v>
      </c>
      <c r="H108" s="591">
        <f>IFERROR(IF(VLOOKUP(H$2,MODULY_CBA!$B$3:$N$23,13,0)&lt;='TCO TO BE- SW'!$D108,SUM('TCO TO BE- SW'!H$37:H$46)*VLOOKUP('TCO TO BE- SW'!H$2,MODULY_CBA!$B$3:$L$23,10,0),0),0)</f>
        <v>1463.2197678367352</v>
      </c>
      <c r="I108" s="591">
        <f>IFERROR(IF(VLOOKUP(I$2,MODULY_CBA!$B$3:$N$23,13,0)&lt;='TCO TO BE- SW'!$D108,SUM('TCO TO BE- SW'!I$37:I$46)*VLOOKUP('TCO TO BE- SW'!I$2,MODULY_CBA!$B$3:$L$23,10,0),0),0)</f>
        <v>0</v>
      </c>
      <c r="J108" s="591">
        <f>IFERROR(IF(VLOOKUP(J$2,MODULY_CBA!$B$3:$N$23,13,0)&lt;='TCO TO BE- SW'!$D108,SUM('TCO TO BE- SW'!J$37:J$46)*VLOOKUP('TCO TO BE- SW'!J$2,MODULY_CBA!$B$3:$L$23,10,0),0),0)</f>
        <v>6234.5885760000001</v>
      </c>
      <c r="K108" s="591">
        <f>IFERROR(IF(VLOOKUP(K$2,MODULY_CBA!$B$3:$N$23,13,0)&lt;='TCO TO BE- SW'!$D108,SUM('TCO TO BE- SW'!K$37:K$46)*VLOOKUP('TCO TO BE- SW'!K$2,MODULY_CBA!$B$3:$L$23,10,0),0),0)</f>
        <v>0</v>
      </c>
      <c r="L108" s="591">
        <f>IFERROR(IF(VLOOKUP(L$2,MODULY_CBA!$B$3:$N$23,13,0)&lt;='TCO TO BE- SW'!$D108,SUM('TCO TO BE- SW'!L$37:L$46)*VLOOKUP('TCO TO BE- SW'!L$2,MODULY_CBA!$B$3:$L$23,10,0),0),0)</f>
        <v>1028.4950542040815</v>
      </c>
      <c r="M108" s="591">
        <f>IFERROR(IF(VLOOKUP(M$2,MODULY_CBA!$B$3:$N$23,13,0)&lt;='TCO TO BE- SW'!$D108,SUM('TCO TO BE- SW'!M$37:M$46)*VLOOKUP('TCO TO BE- SW'!M$2,MODULY_CBA!$B$3:$L$23,10,0),0),0)</f>
        <v>8058.3117648979596</v>
      </c>
      <c r="N108" s="591">
        <f>IFERROR(IF(VLOOKUP(N$2,MODULY_CBA!$B$3:$N$23,13,0)&lt;='TCO TO BE- SW'!$D108,SUM('TCO TO BE- SW'!N$37:N$46)*VLOOKUP('TCO TO BE- SW'!N$2,MODULY_CBA!$B$3:$L$23,10,0),0),0)</f>
        <v>0</v>
      </c>
      <c r="O108" s="591">
        <f>IFERROR(IF(VLOOKUP(O$2,MODULY_CBA!$B$3:$N$23,13,0)&lt;='TCO TO BE- SW'!$D108,SUM('TCO TO BE- SW'!O$37:O$46)*VLOOKUP('TCO TO BE- SW'!O$2,MODULY_CBA!$B$3:$L$23,10,0),0),0)</f>
        <v>0</v>
      </c>
      <c r="P108" s="591">
        <f>IFERROR(IF(VLOOKUP(P$2,MODULY_CBA!$B$3:$N$23,13,0)&lt;='TCO TO BE- SW'!$D108,SUM('TCO TO BE- SW'!P$37:P$46)*VLOOKUP('TCO TO BE- SW'!P$2,MODULY_CBA!$B$3:$L$23,10,0),0),0)</f>
        <v>7920.472221551021</v>
      </c>
      <c r="Q108" s="591">
        <f>IFERROR(IF(VLOOKUP(Q$2,MODULY_CBA!$B$3:$N$23,13,0)&lt;='TCO TO BE- SW'!$D108,SUM('TCO TO BE- SW'!Q$37:Q$46)*VLOOKUP('TCO TO BE- SW'!Q$2,MODULY_CBA!$B$3:$L$23,10,0),0),0)</f>
        <v>0</v>
      </c>
      <c r="R108" s="591">
        <f>IFERROR(IF(VLOOKUP(R$2,MODULY_CBA!$B$3:$N$23,13,0)&lt;='TCO TO BE- SW'!$D108,SUM('TCO TO BE- SW'!R$37:R$46)*VLOOKUP('TCO TO BE- SW'!R$2,MODULY_CBA!$B$3:$L$23,10,0),0),0)</f>
        <v>0</v>
      </c>
      <c r="S108" s="591">
        <f>IFERROR(IF(VLOOKUP(S$2,MODULY_CBA!$B$3:$N$23,13,0)&lt;='TCO TO BE- SW'!$D108,SUM('TCO TO BE- SW'!S$37:S$46)*VLOOKUP('TCO TO BE- SW'!S$2,MODULY_CBA!$B$3:$L$23,10,0),0),0)</f>
        <v>0</v>
      </c>
      <c r="T108" s="591">
        <f>IFERROR(IF(VLOOKUP(T$2,MODULY_CBA!$B$3:$N$23,13,0)&lt;='TCO TO BE- SW'!$D108,SUM('TCO TO BE- SW'!T$37:T$46)*VLOOKUP('TCO TO BE- SW'!T$2,MODULY_CBA!$B$3:$L$23,10,0),0),0)</f>
        <v>0</v>
      </c>
      <c r="U108" s="591">
        <f>IFERROR(IF(VLOOKUP(U$2,MODULY_CBA!$B$3:$N$23,13,0)&lt;='TCO TO BE- SW'!$D108,SUM('TCO TO BE- SW'!U$37:U$46)*VLOOKUP('TCO TO BE- SW'!U$2,MODULY_CBA!$B$3:$L$23,10,0),0),0)</f>
        <v>0</v>
      </c>
      <c r="V108" s="591">
        <f>IFERROR(IF(VLOOKUP(V$2,MODULY_CBA!$B$3:$N$23,13,0)&lt;='TCO TO BE- SW'!$D108,SUM('TCO TO BE- SW'!V$37:V$46)*VLOOKUP('TCO TO BE- SW'!V$2,MODULY_CBA!$B$3:$L$23,10,0),0),0)</f>
        <v>0</v>
      </c>
      <c r="W108" s="591">
        <f>IFERROR(IF(VLOOKUP(W$2,MODULY_CBA!$B$3:$N$23,13,0)&lt;='TCO TO BE- SW'!$D108,SUM('TCO TO BE- SW'!W$37:W$46)*VLOOKUP('TCO TO BE- SW'!W$2,MODULY_CBA!$B$3:$L$23,10,0),0),0)</f>
        <v>0</v>
      </c>
      <c r="X108" s="591">
        <f>IFERROR(IF(VLOOKUP(X$2,MODULY_CBA!$B$3:$N$23,13,0)&lt;='TCO TO BE- SW'!$D108,SUM('TCO TO BE- SW'!X$37:X$46)*VLOOKUP('TCO TO BE- SW'!X$2,MODULY_CBA!$B$3:$L$23,10,0),0),0)</f>
        <v>0</v>
      </c>
      <c r="Y108" s="591">
        <f>IFERROR(IF(VLOOKUP(Y$2,MODULY_CBA!$B$3:$N$23,13,0)&lt;='TCO TO BE- SW'!$D108,SUM('TCO TO BE- SW'!Y$37:Y$46)*VLOOKUP('TCO TO BE- SW'!Y$2,MODULY_CBA!$B$3:$L$23,10,0),0),0)</f>
        <v>0</v>
      </c>
      <c r="Z108" s="591">
        <f>IFERROR(IF(VLOOKUP(Z$2,MODULY_CBA!$B$3:$N$23,13,0)&lt;='TCO TO BE- SW'!$D108,SUM('TCO TO BE- SW'!Z$37:Z$46)*VLOOKUP('TCO TO BE- SW'!Z$2,MODULY_CBA!$B$3:$L$23,10,0),0),0)</f>
        <v>0</v>
      </c>
    </row>
    <row r="109" spans="1:26" ht="16" outlineLevel="2" thickBot="1" x14ac:dyDescent="0.25">
      <c r="A109" s="1390"/>
      <c r="B109" s="1391"/>
      <c r="C109" s="1391"/>
      <c r="D109" s="65">
        <v>10</v>
      </c>
      <c r="E109" s="69">
        <f t="shared" si="14"/>
        <v>25977.452400000002</v>
      </c>
      <c r="F109" s="591">
        <f>IFERROR(IF(VLOOKUP(F$2,MODULY_CBA!$B$3:$N$23,13,0)&lt;='TCO TO BE- SW'!$D109,SUM('TCO TO BE- SW'!F$37:F$46)*VLOOKUP('TCO TO BE- SW'!F$2,MODULY_CBA!$B$3:$L$23,10,0),0),0)</f>
        <v>636.18250775510205</v>
      </c>
      <c r="G109" s="591">
        <f>IFERROR(IF(VLOOKUP(G$2,MODULY_CBA!$B$3:$N$23,13,0)&lt;='TCO TO BE- SW'!$D109,SUM('TCO TO BE- SW'!G$37:G$46)*VLOOKUP('TCO TO BE- SW'!G$2,MODULY_CBA!$B$3:$L$23,10,0),0),0)</f>
        <v>636.18250775510205</v>
      </c>
      <c r="H109" s="591">
        <f>IFERROR(IF(VLOOKUP(H$2,MODULY_CBA!$B$3:$N$23,13,0)&lt;='TCO TO BE- SW'!$D109,SUM('TCO TO BE- SW'!H$37:H$46)*VLOOKUP('TCO TO BE- SW'!H$2,MODULY_CBA!$B$3:$L$23,10,0),0),0)</f>
        <v>1463.2197678367352</v>
      </c>
      <c r="I109" s="591">
        <f>IFERROR(IF(VLOOKUP(I$2,MODULY_CBA!$B$3:$N$23,13,0)&lt;='TCO TO BE- SW'!$D109,SUM('TCO TO BE- SW'!I$37:I$46)*VLOOKUP('TCO TO BE- SW'!I$2,MODULY_CBA!$B$3:$L$23,10,0),0),0)</f>
        <v>0</v>
      </c>
      <c r="J109" s="591">
        <f>IFERROR(IF(VLOOKUP(J$2,MODULY_CBA!$B$3:$N$23,13,0)&lt;='TCO TO BE- SW'!$D109,SUM('TCO TO BE- SW'!J$37:J$46)*VLOOKUP('TCO TO BE- SW'!J$2,MODULY_CBA!$B$3:$L$23,10,0),0),0)</f>
        <v>6234.5885760000001</v>
      </c>
      <c r="K109" s="591">
        <f>IFERROR(IF(VLOOKUP(K$2,MODULY_CBA!$B$3:$N$23,13,0)&lt;='TCO TO BE- SW'!$D109,SUM('TCO TO BE- SW'!K$37:K$46)*VLOOKUP('TCO TO BE- SW'!K$2,MODULY_CBA!$B$3:$L$23,10,0),0),0)</f>
        <v>0</v>
      </c>
      <c r="L109" s="591">
        <f>IFERROR(IF(VLOOKUP(L$2,MODULY_CBA!$B$3:$N$23,13,0)&lt;='TCO TO BE- SW'!$D109,SUM('TCO TO BE- SW'!L$37:L$46)*VLOOKUP('TCO TO BE- SW'!L$2,MODULY_CBA!$B$3:$L$23,10,0),0),0)</f>
        <v>1028.4950542040815</v>
      </c>
      <c r="M109" s="591">
        <f>IFERROR(IF(VLOOKUP(M$2,MODULY_CBA!$B$3:$N$23,13,0)&lt;='TCO TO BE- SW'!$D109,SUM('TCO TO BE- SW'!M$37:M$46)*VLOOKUP('TCO TO BE- SW'!M$2,MODULY_CBA!$B$3:$L$23,10,0),0),0)</f>
        <v>8058.3117648979596</v>
      </c>
      <c r="N109" s="591">
        <f>IFERROR(IF(VLOOKUP(N$2,MODULY_CBA!$B$3:$N$23,13,0)&lt;='TCO TO BE- SW'!$D109,SUM('TCO TO BE- SW'!N$37:N$46)*VLOOKUP('TCO TO BE- SW'!N$2,MODULY_CBA!$B$3:$L$23,10,0),0),0)</f>
        <v>0</v>
      </c>
      <c r="O109" s="591">
        <f>IFERROR(IF(VLOOKUP(O$2,MODULY_CBA!$B$3:$N$23,13,0)&lt;='TCO TO BE- SW'!$D109,SUM('TCO TO BE- SW'!O$37:O$46)*VLOOKUP('TCO TO BE- SW'!O$2,MODULY_CBA!$B$3:$L$23,10,0),0),0)</f>
        <v>0</v>
      </c>
      <c r="P109" s="591">
        <f>IFERROR(IF(VLOOKUP(P$2,MODULY_CBA!$B$3:$N$23,13,0)&lt;='TCO TO BE- SW'!$D109,SUM('TCO TO BE- SW'!P$37:P$46)*VLOOKUP('TCO TO BE- SW'!P$2,MODULY_CBA!$B$3:$L$23,10,0),0),0)</f>
        <v>7920.472221551021</v>
      </c>
      <c r="Q109" s="591">
        <f>IFERROR(IF(VLOOKUP(Q$2,MODULY_CBA!$B$3:$N$23,13,0)&lt;='TCO TO BE- SW'!$D109,SUM('TCO TO BE- SW'!Q$37:Q$46)*VLOOKUP('TCO TO BE- SW'!Q$2,MODULY_CBA!$B$3:$L$23,10,0),0),0)</f>
        <v>0</v>
      </c>
      <c r="R109" s="591">
        <f>IFERROR(IF(VLOOKUP(R$2,MODULY_CBA!$B$3:$N$23,13,0)&lt;='TCO TO BE- SW'!$D109,SUM('TCO TO BE- SW'!R$37:R$46)*VLOOKUP('TCO TO BE- SW'!R$2,MODULY_CBA!$B$3:$L$23,10,0),0),0)</f>
        <v>0</v>
      </c>
      <c r="S109" s="591">
        <f>IFERROR(IF(VLOOKUP(S$2,MODULY_CBA!$B$3:$N$23,13,0)&lt;='TCO TO BE- SW'!$D109,SUM('TCO TO BE- SW'!S$37:S$46)*VLOOKUP('TCO TO BE- SW'!S$2,MODULY_CBA!$B$3:$L$23,10,0),0),0)</f>
        <v>0</v>
      </c>
      <c r="T109" s="591">
        <f>IFERROR(IF(VLOOKUP(T$2,MODULY_CBA!$B$3:$N$23,13,0)&lt;='TCO TO BE- SW'!$D109,SUM('TCO TO BE- SW'!T$37:T$46)*VLOOKUP('TCO TO BE- SW'!T$2,MODULY_CBA!$B$3:$L$23,10,0),0),0)</f>
        <v>0</v>
      </c>
      <c r="U109" s="591">
        <f>IFERROR(IF(VLOOKUP(U$2,MODULY_CBA!$B$3:$N$23,13,0)&lt;='TCO TO BE- SW'!$D109,SUM('TCO TO BE- SW'!U$37:U$46)*VLOOKUP('TCO TO BE- SW'!U$2,MODULY_CBA!$B$3:$L$23,10,0),0),0)</f>
        <v>0</v>
      </c>
      <c r="V109" s="591">
        <f>IFERROR(IF(VLOOKUP(V$2,MODULY_CBA!$B$3:$N$23,13,0)&lt;='TCO TO BE- SW'!$D109,SUM('TCO TO BE- SW'!V$37:V$46)*VLOOKUP('TCO TO BE- SW'!V$2,MODULY_CBA!$B$3:$L$23,10,0),0),0)</f>
        <v>0</v>
      </c>
      <c r="W109" s="591">
        <f>IFERROR(IF(VLOOKUP(W$2,MODULY_CBA!$B$3:$N$23,13,0)&lt;='TCO TO BE- SW'!$D109,SUM('TCO TO BE- SW'!W$37:W$46)*VLOOKUP('TCO TO BE- SW'!W$2,MODULY_CBA!$B$3:$L$23,10,0),0),0)</f>
        <v>0</v>
      </c>
      <c r="X109" s="591">
        <f>IFERROR(IF(VLOOKUP(X$2,MODULY_CBA!$B$3:$N$23,13,0)&lt;='TCO TO BE- SW'!$D109,SUM('TCO TO BE- SW'!X$37:X$46)*VLOOKUP('TCO TO BE- SW'!X$2,MODULY_CBA!$B$3:$L$23,10,0),0),0)</f>
        <v>0</v>
      </c>
      <c r="Y109" s="591">
        <f>IFERROR(IF(VLOOKUP(Y$2,MODULY_CBA!$B$3:$N$23,13,0)&lt;='TCO TO BE- SW'!$D109,SUM('TCO TO BE- SW'!Y$37:Y$46)*VLOOKUP('TCO TO BE- SW'!Y$2,MODULY_CBA!$B$3:$L$23,10,0),0),0)</f>
        <v>0</v>
      </c>
      <c r="Z109" s="591">
        <f>IFERROR(IF(VLOOKUP(Z$2,MODULY_CBA!$B$3:$N$23,13,0)&lt;='TCO TO BE- SW'!$D109,SUM('TCO TO BE- SW'!Z$37:Z$46)*VLOOKUP('TCO TO BE- SW'!Z$2,MODULY_CBA!$B$3:$L$23,10,0),0),0)</f>
        <v>0</v>
      </c>
    </row>
    <row r="110" spans="1:26" outlineLevel="2" x14ac:dyDescent="0.2">
      <c r="A110" s="1390" t="s">
        <v>82</v>
      </c>
      <c r="B110" s="1391" t="s">
        <v>79</v>
      </c>
      <c r="C110" s="1391">
        <v>635009</v>
      </c>
      <c r="D110" s="63">
        <v>1</v>
      </c>
      <c r="E110" s="68">
        <f t="shared" si="14"/>
        <v>0</v>
      </c>
      <c r="F110" s="581">
        <v>0</v>
      </c>
      <c r="G110" s="581">
        <v>0</v>
      </c>
      <c r="H110" s="581">
        <v>0</v>
      </c>
      <c r="I110" s="581">
        <v>0</v>
      </c>
      <c r="J110" s="581">
        <v>0</v>
      </c>
      <c r="K110" s="581">
        <v>0</v>
      </c>
      <c r="L110" s="581">
        <v>0</v>
      </c>
      <c r="M110" s="581">
        <v>0</v>
      </c>
      <c r="N110" s="581">
        <v>0</v>
      </c>
      <c r="O110" s="581">
        <v>0</v>
      </c>
      <c r="P110" s="581">
        <v>0</v>
      </c>
      <c r="Q110" s="581">
        <v>0</v>
      </c>
      <c r="R110" s="581">
        <v>0</v>
      </c>
      <c r="S110" s="581">
        <v>0</v>
      </c>
      <c r="T110" s="581">
        <v>0</v>
      </c>
      <c r="U110" s="581">
        <v>0</v>
      </c>
      <c r="V110" s="581">
        <v>0</v>
      </c>
      <c r="W110" s="581">
        <v>0</v>
      </c>
      <c r="X110" s="581">
        <v>0</v>
      </c>
      <c r="Y110" s="581">
        <v>0</v>
      </c>
      <c r="Z110" s="581">
        <v>0</v>
      </c>
    </row>
    <row r="111" spans="1:26" outlineLevel="2" x14ac:dyDescent="0.2">
      <c r="A111" s="1390"/>
      <c r="B111" s="1391"/>
      <c r="C111" s="1391"/>
      <c r="D111" s="64">
        <v>2</v>
      </c>
      <c r="E111" s="68">
        <f t="shared" si="14"/>
        <v>0</v>
      </c>
      <c r="F111" s="582">
        <v>0</v>
      </c>
      <c r="G111" s="582">
        <v>0</v>
      </c>
      <c r="H111" s="582">
        <v>0</v>
      </c>
      <c r="I111" s="582">
        <v>0</v>
      </c>
      <c r="J111" s="582">
        <v>0</v>
      </c>
      <c r="K111" s="582">
        <v>0</v>
      </c>
      <c r="L111" s="582">
        <v>0</v>
      </c>
      <c r="M111" s="582">
        <v>0</v>
      </c>
      <c r="N111" s="582">
        <v>0</v>
      </c>
      <c r="O111" s="582">
        <v>0</v>
      </c>
      <c r="P111" s="582">
        <v>0</v>
      </c>
      <c r="Q111" s="582">
        <v>0</v>
      </c>
      <c r="R111" s="582">
        <v>0</v>
      </c>
      <c r="S111" s="582">
        <v>0</v>
      </c>
      <c r="T111" s="582">
        <v>0</v>
      </c>
      <c r="U111" s="582">
        <v>0</v>
      </c>
      <c r="V111" s="582">
        <v>0</v>
      </c>
      <c r="W111" s="582">
        <v>0</v>
      </c>
      <c r="X111" s="582">
        <v>0</v>
      </c>
      <c r="Y111" s="582">
        <v>0</v>
      </c>
      <c r="Z111" s="582">
        <v>0</v>
      </c>
    </row>
    <row r="112" spans="1:26" outlineLevel="2" x14ac:dyDescent="0.2">
      <c r="A112" s="1390"/>
      <c r="B112" s="1391"/>
      <c r="C112" s="1391"/>
      <c r="D112" s="64">
        <v>3</v>
      </c>
      <c r="E112" s="68">
        <f t="shared" si="14"/>
        <v>0</v>
      </c>
      <c r="F112" s="582">
        <v>0</v>
      </c>
      <c r="G112" s="582">
        <v>0</v>
      </c>
      <c r="H112" s="582">
        <v>0</v>
      </c>
      <c r="I112" s="582">
        <v>0</v>
      </c>
      <c r="J112" s="582">
        <v>0</v>
      </c>
      <c r="K112" s="582">
        <v>0</v>
      </c>
      <c r="L112" s="582">
        <v>0</v>
      </c>
      <c r="M112" s="582">
        <v>0</v>
      </c>
      <c r="N112" s="582">
        <v>0</v>
      </c>
      <c r="O112" s="582">
        <v>0</v>
      </c>
      <c r="P112" s="582">
        <v>0</v>
      </c>
      <c r="Q112" s="582">
        <v>0</v>
      </c>
      <c r="R112" s="582">
        <v>0</v>
      </c>
      <c r="S112" s="582">
        <v>0</v>
      </c>
      <c r="T112" s="582">
        <v>0</v>
      </c>
      <c r="U112" s="582">
        <v>0</v>
      </c>
      <c r="V112" s="582">
        <v>0</v>
      </c>
      <c r="W112" s="582">
        <v>0</v>
      </c>
      <c r="X112" s="582">
        <v>0</v>
      </c>
      <c r="Y112" s="582">
        <v>0</v>
      </c>
      <c r="Z112" s="582">
        <v>0</v>
      </c>
    </row>
    <row r="113" spans="1:26" outlineLevel="2" x14ac:dyDescent="0.2">
      <c r="A113" s="1390"/>
      <c r="B113" s="1391"/>
      <c r="C113" s="1391"/>
      <c r="D113" s="64">
        <v>4</v>
      </c>
      <c r="E113" s="68">
        <f t="shared" si="14"/>
        <v>0</v>
      </c>
      <c r="F113" s="582">
        <v>0</v>
      </c>
      <c r="G113" s="582">
        <v>0</v>
      </c>
      <c r="H113" s="582">
        <v>0</v>
      </c>
      <c r="I113" s="582">
        <v>0</v>
      </c>
      <c r="J113" s="582">
        <v>0</v>
      </c>
      <c r="K113" s="582">
        <v>0</v>
      </c>
      <c r="L113" s="582">
        <v>0</v>
      </c>
      <c r="M113" s="582">
        <v>0</v>
      </c>
      <c r="N113" s="582">
        <v>0</v>
      </c>
      <c r="O113" s="582">
        <v>0</v>
      </c>
      <c r="P113" s="582">
        <v>0</v>
      </c>
      <c r="Q113" s="582">
        <v>0</v>
      </c>
      <c r="R113" s="582">
        <v>0</v>
      </c>
      <c r="S113" s="582">
        <v>0</v>
      </c>
      <c r="T113" s="582">
        <v>0</v>
      </c>
      <c r="U113" s="582">
        <v>0</v>
      </c>
      <c r="V113" s="582">
        <v>0</v>
      </c>
      <c r="W113" s="582">
        <v>0</v>
      </c>
      <c r="X113" s="582">
        <v>0</v>
      </c>
      <c r="Y113" s="582">
        <v>0</v>
      </c>
      <c r="Z113" s="582">
        <v>0</v>
      </c>
    </row>
    <row r="114" spans="1:26" outlineLevel="2" x14ac:dyDescent="0.2">
      <c r="A114" s="1390"/>
      <c r="B114" s="1391"/>
      <c r="C114" s="1391"/>
      <c r="D114" s="64">
        <v>5</v>
      </c>
      <c r="E114" s="68">
        <f t="shared" si="14"/>
        <v>0</v>
      </c>
      <c r="F114" s="582">
        <v>0</v>
      </c>
      <c r="G114" s="582">
        <v>0</v>
      </c>
      <c r="H114" s="582">
        <v>0</v>
      </c>
      <c r="I114" s="582">
        <v>0</v>
      </c>
      <c r="J114" s="582">
        <v>0</v>
      </c>
      <c r="K114" s="582">
        <v>0</v>
      </c>
      <c r="L114" s="582">
        <v>0</v>
      </c>
      <c r="M114" s="582">
        <v>0</v>
      </c>
      <c r="N114" s="582">
        <v>0</v>
      </c>
      <c r="O114" s="582">
        <v>0</v>
      </c>
      <c r="P114" s="582">
        <v>0</v>
      </c>
      <c r="Q114" s="582">
        <v>0</v>
      </c>
      <c r="R114" s="582">
        <v>0</v>
      </c>
      <c r="S114" s="582">
        <v>0</v>
      </c>
      <c r="T114" s="582">
        <v>0</v>
      </c>
      <c r="U114" s="582">
        <v>0</v>
      </c>
      <c r="V114" s="582">
        <v>0</v>
      </c>
      <c r="W114" s="582">
        <v>0</v>
      </c>
      <c r="X114" s="582">
        <v>0</v>
      </c>
      <c r="Y114" s="582">
        <v>0</v>
      </c>
      <c r="Z114" s="582">
        <v>0</v>
      </c>
    </row>
    <row r="115" spans="1:26" outlineLevel="2" x14ac:dyDescent="0.2">
      <c r="A115" s="1390"/>
      <c r="B115" s="1391"/>
      <c r="C115" s="1391"/>
      <c r="D115" s="64">
        <v>6</v>
      </c>
      <c r="E115" s="68">
        <f t="shared" si="14"/>
        <v>0</v>
      </c>
      <c r="F115" s="582">
        <v>0</v>
      </c>
      <c r="G115" s="582">
        <v>0</v>
      </c>
      <c r="H115" s="582">
        <v>0</v>
      </c>
      <c r="I115" s="582">
        <v>0</v>
      </c>
      <c r="J115" s="582">
        <v>0</v>
      </c>
      <c r="K115" s="582">
        <v>0</v>
      </c>
      <c r="L115" s="582">
        <v>0</v>
      </c>
      <c r="M115" s="582">
        <v>0</v>
      </c>
      <c r="N115" s="582">
        <v>0</v>
      </c>
      <c r="O115" s="582">
        <v>0</v>
      </c>
      <c r="P115" s="582">
        <v>0</v>
      </c>
      <c r="Q115" s="582">
        <v>0</v>
      </c>
      <c r="R115" s="582">
        <v>0</v>
      </c>
      <c r="S115" s="582">
        <v>0</v>
      </c>
      <c r="T115" s="582">
        <v>0</v>
      </c>
      <c r="U115" s="582">
        <v>0</v>
      </c>
      <c r="V115" s="582">
        <v>0</v>
      </c>
      <c r="W115" s="582">
        <v>0</v>
      </c>
      <c r="X115" s="582">
        <v>0</v>
      </c>
      <c r="Y115" s="582">
        <v>0</v>
      </c>
      <c r="Z115" s="582">
        <v>0</v>
      </c>
    </row>
    <row r="116" spans="1:26" outlineLevel="2" x14ac:dyDescent="0.2">
      <c r="A116" s="1390"/>
      <c r="B116" s="1391"/>
      <c r="C116" s="1391"/>
      <c r="D116" s="64">
        <v>7</v>
      </c>
      <c r="E116" s="68">
        <f t="shared" si="14"/>
        <v>0</v>
      </c>
      <c r="F116" s="582">
        <v>0</v>
      </c>
      <c r="G116" s="582">
        <v>0</v>
      </c>
      <c r="H116" s="582">
        <v>0</v>
      </c>
      <c r="I116" s="582">
        <v>0</v>
      </c>
      <c r="J116" s="582">
        <v>0</v>
      </c>
      <c r="K116" s="582">
        <v>0</v>
      </c>
      <c r="L116" s="582">
        <v>0</v>
      </c>
      <c r="M116" s="582">
        <v>0</v>
      </c>
      <c r="N116" s="582">
        <v>0</v>
      </c>
      <c r="O116" s="582">
        <v>0</v>
      </c>
      <c r="P116" s="582">
        <v>0</v>
      </c>
      <c r="Q116" s="582">
        <v>0</v>
      </c>
      <c r="R116" s="582">
        <v>0</v>
      </c>
      <c r="S116" s="582">
        <v>0</v>
      </c>
      <c r="T116" s="582">
        <v>0</v>
      </c>
      <c r="U116" s="582">
        <v>0</v>
      </c>
      <c r="V116" s="582">
        <v>0</v>
      </c>
      <c r="W116" s="582">
        <v>0</v>
      </c>
      <c r="X116" s="582">
        <v>0</v>
      </c>
      <c r="Y116" s="582">
        <v>0</v>
      </c>
      <c r="Z116" s="582">
        <v>0</v>
      </c>
    </row>
    <row r="117" spans="1:26" outlineLevel="2" x14ac:dyDescent="0.2">
      <c r="A117" s="1390"/>
      <c r="B117" s="1391"/>
      <c r="C117" s="1391"/>
      <c r="D117" s="64">
        <v>8</v>
      </c>
      <c r="E117" s="68">
        <f t="shared" si="14"/>
        <v>0</v>
      </c>
      <c r="F117" s="582">
        <v>0</v>
      </c>
      <c r="G117" s="582">
        <v>0</v>
      </c>
      <c r="H117" s="582">
        <v>0</v>
      </c>
      <c r="I117" s="582">
        <v>0</v>
      </c>
      <c r="J117" s="582">
        <v>0</v>
      </c>
      <c r="K117" s="582">
        <v>0</v>
      </c>
      <c r="L117" s="582">
        <v>0</v>
      </c>
      <c r="M117" s="582">
        <v>0</v>
      </c>
      <c r="N117" s="582">
        <v>0</v>
      </c>
      <c r="O117" s="582">
        <v>0</v>
      </c>
      <c r="P117" s="582">
        <v>0</v>
      </c>
      <c r="Q117" s="582">
        <v>0</v>
      </c>
      <c r="R117" s="582">
        <v>0</v>
      </c>
      <c r="S117" s="582">
        <v>0</v>
      </c>
      <c r="T117" s="582">
        <v>0</v>
      </c>
      <c r="U117" s="582">
        <v>0</v>
      </c>
      <c r="V117" s="582">
        <v>0</v>
      </c>
      <c r="W117" s="582">
        <v>0</v>
      </c>
      <c r="X117" s="582">
        <v>0</v>
      </c>
      <c r="Y117" s="582">
        <v>0</v>
      </c>
      <c r="Z117" s="582">
        <v>0</v>
      </c>
    </row>
    <row r="118" spans="1:26" outlineLevel="2" x14ac:dyDescent="0.2">
      <c r="A118" s="1390"/>
      <c r="B118" s="1391"/>
      <c r="C118" s="1391"/>
      <c r="D118" s="64">
        <v>9</v>
      </c>
      <c r="E118" s="68">
        <f t="shared" si="14"/>
        <v>0</v>
      </c>
      <c r="F118" s="582">
        <v>0</v>
      </c>
      <c r="G118" s="582">
        <v>0</v>
      </c>
      <c r="H118" s="582">
        <v>0</v>
      </c>
      <c r="I118" s="582">
        <v>0</v>
      </c>
      <c r="J118" s="582">
        <v>0</v>
      </c>
      <c r="K118" s="582">
        <v>0</v>
      </c>
      <c r="L118" s="582">
        <v>0</v>
      </c>
      <c r="M118" s="582">
        <v>0</v>
      </c>
      <c r="N118" s="582">
        <v>0</v>
      </c>
      <c r="O118" s="582">
        <v>0</v>
      </c>
      <c r="P118" s="582">
        <v>0</v>
      </c>
      <c r="Q118" s="582">
        <v>0</v>
      </c>
      <c r="R118" s="582">
        <v>0</v>
      </c>
      <c r="S118" s="582">
        <v>0</v>
      </c>
      <c r="T118" s="582">
        <v>0</v>
      </c>
      <c r="U118" s="582">
        <v>0</v>
      </c>
      <c r="V118" s="582">
        <v>0</v>
      </c>
      <c r="W118" s="582">
        <v>0</v>
      </c>
      <c r="X118" s="582">
        <v>0</v>
      </c>
      <c r="Y118" s="582">
        <v>0</v>
      </c>
      <c r="Z118" s="582">
        <v>0</v>
      </c>
    </row>
    <row r="119" spans="1:26" ht="16" outlineLevel="2" thickBot="1" x14ac:dyDescent="0.25">
      <c r="A119" s="1390"/>
      <c r="B119" s="1391"/>
      <c r="C119" s="1391"/>
      <c r="D119" s="65">
        <v>10</v>
      </c>
      <c r="E119" s="69">
        <f t="shared" si="14"/>
        <v>0</v>
      </c>
      <c r="F119" s="586">
        <v>0</v>
      </c>
      <c r="G119" s="586">
        <v>0</v>
      </c>
      <c r="H119" s="586">
        <v>0</v>
      </c>
      <c r="I119" s="586">
        <v>0</v>
      </c>
      <c r="J119" s="586">
        <v>0</v>
      </c>
      <c r="K119" s="586">
        <v>0</v>
      </c>
      <c r="L119" s="586">
        <v>0</v>
      </c>
      <c r="M119" s="586">
        <v>0</v>
      </c>
      <c r="N119" s="586">
        <v>0</v>
      </c>
      <c r="O119" s="586">
        <v>0</v>
      </c>
      <c r="P119" s="586">
        <v>0</v>
      </c>
      <c r="Q119" s="586">
        <v>0</v>
      </c>
      <c r="R119" s="586">
        <v>0</v>
      </c>
      <c r="S119" s="586">
        <v>0</v>
      </c>
      <c r="T119" s="586">
        <v>0</v>
      </c>
      <c r="U119" s="586">
        <v>0</v>
      </c>
      <c r="V119" s="586">
        <v>0</v>
      </c>
      <c r="W119" s="586">
        <v>0</v>
      </c>
      <c r="X119" s="586">
        <v>0</v>
      </c>
      <c r="Y119" s="586">
        <v>0</v>
      </c>
      <c r="Z119" s="586">
        <v>0</v>
      </c>
    </row>
    <row r="120" spans="1:26" outlineLevel="2" x14ac:dyDescent="0.2">
      <c r="A120" s="1390" t="s">
        <v>83</v>
      </c>
      <c r="B120" s="1391" t="s">
        <v>71</v>
      </c>
      <c r="C120" s="1391">
        <v>718006</v>
      </c>
      <c r="D120" s="63">
        <v>1</v>
      </c>
      <c r="E120" s="68">
        <f t="shared" si="14"/>
        <v>0</v>
      </c>
      <c r="F120" s="591">
        <f>IFERROR(IF(VLOOKUP(F$2,MODULY_CBA!$B$3:$N$23,13,0)&lt;='TCO TO BE- SW'!$D120,SUM('TCO TO BE- SW'!F$37:F$46)*VLOOKUP('TCO TO BE- SW'!F$2,MODULY_CBA!$B$3:$L$23,11,0),0),0)</f>
        <v>0</v>
      </c>
      <c r="G120" s="591">
        <f>IFERROR(IF(VLOOKUP(G$2,MODULY_CBA!$B$3:$N$23,13,0)&lt;='TCO TO BE- SW'!$D120,SUM('TCO TO BE- SW'!G$37:G$46)*VLOOKUP('TCO TO BE- SW'!G$2,MODULY_CBA!$B$3:$L$23,11,0),0),0)</f>
        <v>0</v>
      </c>
      <c r="H120" s="591">
        <f>IFERROR(IF(VLOOKUP(H$2,MODULY_CBA!$B$3:$N$23,13,0)&lt;='TCO TO BE- SW'!$D120,SUM('TCO TO BE- SW'!H$37:H$46)*VLOOKUP('TCO TO BE- SW'!H$2,MODULY_CBA!$B$3:$L$23,11,0),0),0)</f>
        <v>0</v>
      </c>
      <c r="I120" s="591">
        <f>IFERROR(IF(VLOOKUP(I$2,MODULY_CBA!$B$3:$N$23,13,0)&lt;='TCO TO BE- SW'!$D120,SUM('TCO TO BE- SW'!I$37:I$46)*VLOOKUP('TCO TO BE- SW'!I$2,MODULY_CBA!$B$3:$L$23,11,0),0),0)</f>
        <v>0</v>
      </c>
      <c r="J120" s="591">
        <f>IFERROR(IF(VLOOKUP(J$2,MODULY_CBA!$B$3:$N$23,13,0)&lt;='TCO TO BE- SW'!$D120,SUM('TCO TO BE- SW'!J$37:J$46)*VLOOKUP('TCO TO BE- SW'!J$2,MODULY_CBA!$B$3:$L$23,11,0),0),0)</f>
        <v>0</v>
      </c>
      <c r="K120" s="591">
        <f>IFERROR(IF(VLOOKUP(K$2,MODULY_CBA!$B$3:$N$23,13,0)&lt;='TCO TO BE- SW'!$D120,SUM('TCO TO BE- SW'!K$37:K$46)*VLOOKUP('TCO TO BE- SW'!K$2,MODULY_CBA!$B$3:$L$23,11,0),0),0)</f>
        <v>0</v>
      </c>
      <c r="L120" s="591">
        <f>IFERROR(IF(VLOOKUP(L$2,MODULY_CBA!$B$3:$N$23,13,0)&lt;='TCO TO BE- SW'!$D120,SUM('TCO TO BE- SW'!L$37:L$46)*VLOOKUP('TCO TO BE- SW'!L$2,MODULY_CBA!$B$3:$L$23,11,0),0),0)</f>
        <v>0</v>
      </c>
      <c r="M120" s="591">
        <f>IFERROR(IF(VLOOKUP(M$2,MODULY_CBA!$B$3:$N$23,13,0)&lt;='TCO TO BE- SW'!$D120,SUM('TCO TO BE- SW'!M$37:M$46)*VLOOKUP('TCO TO BE- SW'!M$2,MODULY_CBA!$B$3:$L$23,11,0),0),0)</f>
        <v>0</v>
      </c>
      <c r="N120" s="591">
        <f>IFERROR(IF(VLOOKUP(N$2,MODULY_CBA!$B$3:$N$23,13,0)&lt;='TCO TO BE- SW'!$D120,SUM('TCO TO BE- SW'!N$37:N$46)*VLOOKUP('TCO TO BE- SW'!N$2,MODULY_CBA!$B$3:$L$23,11,0),0),0)</f>
        <v>0</v>
      </c>
      <c r="O120" s="591">
        <f>IFERROR(IF(VLOOKUP(O$2,MODULY_CBA!$B$3:$N$23,13,0)&lt;='TCO TO BE- SW'!$D120,SUM('TCO TO BE- SW'!O$37:O$46)*VLOOKUP('TCO TO BE- SW'!O$2,MODULY_CBA!$B$3:$L$23,11,0),0),0)</f>
        <v>0</v>
      </c>
      <c r="P120" s="591">
        <f>IFERROR(IF(VLOOKUP(P$2,MODULY_CBA!$B$3:$N$23,13,0)&lt;='TCO TO BE- SW'!$D120,SUM('TCO TO BE- SW'!P$37:P$46)*VLOOKUP('TCO TO BE- SW'!P$2,MODULY_CBA!$B$3:$L$23,11,0),0),0)</f>
        <v>0</v>
      </c>
      <c r="Q120" s="591">
        <f>IFERROR(IF(VLOOKUP(Q$2,MODULY_CBA!$B$3:$N$23,13,0)&lt;='TCO TO BE- SW'!$D120,SUM('TCO TO BE- SW'!Q$37:Q$46)*VLOOKUP('TCO TO BE- SW'!Q$2,MODULY_CBA!$B$3:$L$23,11,0),0),0)</f>
        <v>0</v>
      </c>
      <c r="R120" s="591">
        <f>IFERROR(IF(VLOOKUP(R$2,MODULY_CBA!$B$3:$N$23,13,0)&lt;='TCO TO BE- SW'!$D120,SUM('TCO TO BE- SW'!R$37:R$46)*VLOOKUP('TCO TO BE- SW'!R$2,MODULY_CBA!$B$3:$L$23,11,0),0),0)</f>
        <v>0</v>
      </c>
      <c r="S120" s="591">
        <f>IFERROR(IF(VLOOKUP(S$2,MODULY_CBA!$B$3:$N$23,13,0)&lt;='TCO TO BE- SW'!$D120,SUM('TCO TO BE- SW'!S$37:S$46)*VLOOKUP('TCO TO BE- SW'!S$2,MODULY_CBA!$B$3:$L$23,11,0),0),0)</f>
        <v>0</v>
      </c>
      <c r="T120" s="591">
        <f>IFERROR(IF(VLOOKUP(T$2,MODULY_CBA!$B$3:$N$23,13,0)&lt;='TCO TO BE- SW'!$D120,SUM('TCO TO BE- SW'!T$37:T$46)*VLOOKUP('TCO TO BE- SW'!T$2,MODULY_CBA!$B$3:$L$23,11,0),0),0)</f>
        <v>0</v>
      </c>
      <c r="U120" s="591">
        <f>IFERROR(IF(VLOOKUP(U$2,MODULY_CBA!$B$3:$N$23,13,0)&lt;='TCO TO BE- SW'!$D120,SUM('TCO TO BE- SW'!U$37:U$46)*VLOOKUP('TCO TO BE- SW'!U$2,MODULY_CBA!$B$3:$L$23,11,0),0),0)</f>
        <v>0</v>
      </c>
      <c r="V120" s="591">
        <f>IFERROR(IF(VLOOKUP(V$2,MODULY_CBA!$B$3:$N$23,13,0)&lt;='TCO TO BE- SW'!$D120,SUM('TCO TO BE- SW'!V$37:V$46)*VLOOKUP('TCO TO BE- SW'!V$2,MODULY_CBA!$B$3:$L$23,11,0),0),0)</f>
        <v>0</v>
      </c>
      <c r="W120" s="591">
        <f>IFERROR(IF(VLOOKUP(W$2,MODULY_CBA!$B$3:$N$23,13,0)&lt;='TCO TO BE- SW'!$D120,SUM('TCO TO BE- SW'!W$37:W$46)*VLOOKUP('TCO TO BE- SW'!W$2,MODULY_CBA!$B$3:$L$23,11,0),0),0)</f>
        <v>0</v>
      </c>
      <c r="X120" s="591">
        <f>IFERROR(IF(VLOOKUP(X$2,MODULY_CBA!$B$3:$N$23,13,0)&lt;='TCO TO BE- SW'!$D120,SUM('TCO TO BE- SW'!X$37:X$46)*VLOOKUP('TCO TO BE- SW'!X$2,MODULY_CBA!$B$3:$L$23,11,0),0),0)</f>
        <v>0</v>
      </c>
      <c r="Y120" s="591">
        <f>IFERROR(IF(VLOOKUP(Y$2,MODULY_CBA!$B$3:$N$23,13,0)&lt;='TCO TO BE- SW'!$D120,SUM('TCO TO BE- SW'!Y$37:Y$46)*VLOOKUP('TCO TO BE- SW'!Y$2,MODULY_CBA!$B$3:$L$23,11,0),0),0)</f>
        <v>0</v>
      </c>
      <c r="Z120" s="591">
        <f>IFERROR(IF(VLOOKUP(Z$2,MODULY_CBA!$B$3:$N$23,13,0)&lt;='TCO TO BE- SW'!$D120,SUM('TCO TO BE- SW'!Z$37:Z$46)*VLOOKUP('TCO TO BE- SW'!Z$2,MODULY_CBA!$B$3:$L$23,11,0),0),0)</f>
        <v>0</v>
      </c>
    </row>
    <row r="121" spans="1:26" outlineLevel="2" x14ac:dyDescent="0.2">
      <c r="A121" s="1390"/>
      <c r="B121" s="1391"/>
      <c r="C121" s="1391"/>
      <c r="D121" s="64">
        <v>2</v>
      </c>
      <c r="E121" s="68">
        <f t="shared" si="14"/>
        <v>0</v>
      </c>
      <c r="F121" s="591">
        <f>IFERROR(IF(VLOOKUP(F$2,MODULY_CBA!$B$3:$N$23,13,0)&lt;='TCO TO BE- SW'!$D121,SUM('TCO TO BE- SW'!F$37:F$46)*VLOOKUP('TCO TO BE- SW'!F$2,MODULY_CBA!$B$3:$L$23,11,0),0),0)</f>
        <v>0</v>
      </c>
      <c r="G121" s="591">
        <f>IFERROR(IF(VLOOKUP(G$2,MODULY_CBA!$B$3:$N$23,13,0)&lt;='TCO TO BE- SW'!$D121,SUM('TCO TO BE- SW'!G$37:G$46)*VLOOKUP('TCO TO BE- SW'!G$2,MODULY_CBA!$B$3:$L$23,11,0),0),0)</f>
        <v>0</v>
      </c>
      <c r="H121" s="591">
        <f>IFERROR(IF(VLOOKUP(H$2,MODULY_CBA!$B$3:$N$23,13,0)&lt;='TCO TO BE- SW'!$D121,SUM('TCO TO BE- SW'!H$37:H$46)*VLOOKUP('TCO TO BE- SW'!H$2,MODULY_CBA!$B$3:$L$23,11,0),0),0)</f>
        <v>0</v>
      </c>
      <c r="I121" s="591">
        <f>IFERROR(IF(VLOOKUP(I$2,MODULY_CBA!$B$3:$N$23,13,0)&lt;='TCO TO BE- SW'!$D121,SUM('TCO TO BE- SW'!I$37:I$46)*VLOOKUP('TCO TO BE- SW'!I$2,MODULY_CBA!$B$3:$L$23,11,0),0),0)</f>
        <v>0</v>
      </c>
      <c r="J121" s="591">
        <f>IFERROR(IF(VLOOKUP(J$2,MODULY_CBA!$B$3:$N$23,13,0)&lt;='TCO TO BE- SW'!$D121,SUM('TCO TO BE- SW'!J$37:J$46)*VLOOKUP('TCO TO BE- SW'!J$2,MODULY_CBA!$B$3:$L$23,11,0),0),0)</f>
        <v>0</v>
      </c>
      <c r="K121" s="591">
        <f>IFERROR(IF(VLOOKUP(K$2,MODULY_CBA!$B$3:$N$23,13,0)&lt;='TCO TO BE- SW'!$D121,SUM('TCO TO BE- SW'!K$37:K$46)*VLOOKUP('TCO TO BE- SW'!K$2,MODULY_CBA!$B$3:$L$23,11,0),0),0)</f>
        <v>0</v>
      </c>
      <c r="L121" s="591">
        <f>IFERROR(IF(VLOOKUP(L$2,MODULY_CBA!$B$3:$N$23,13,0)&lt;='TCO TO BE- SW'!$D121,SUM('TCO TO BE- SW'!L$37:L$46)*VLOOKUP('TCO TO BE- SW'!L$2,MODULY_CBA!$B$3:$L$23,11,0),0),0)</f>
        <v>0</v>
      </c>
      <c r="M121" s="591">
        <f>IFERROR(IF(VLOOKUP(M$2,MODULY_CBA!$B$3:$N$23,13,0)&lt;='TCO TO BE- SW'!$D121,SUM('TCO TO BE- SW'!M$37:M$46)*VLOOKUP('TCO TO BE- SW'!M$2,MODULY_CBA!$B$3:$L$23,11,0),0),0)</f>
        <v>0</v>
      </c>
      <c r="N121" s="591">
        <f>IFERROR(IF(VLOOKUP(N$2,MODULY_CBA!$B$3:$N$23,13,0)&lt;='TCO TO BE- SW'!$D121,SUM('TCO TO BE- SW'!N$37:N$46)*VLOOKUP('TCO TO BE- SW'!N$2,MODULY_CBA!$B$3:$L$23,11,0),0),0)</f>
        <v>0</v>
      </c>
      <c r="O121" s="591">
        <f>IFERROR(IF(VLOOKUP(O$2,MODULY_CBA!$B$3:$N$23,13,0)&lt;='TCO TO BE- SW'!$D121,SUM('TCO TO BE- SW'!O$37:O$46)*VLOOKUP('TCO TO BE- SW'!O$2,MODULY_CBA!$B$3:$L$23,11,0),0),0)</f>
        <v>0</v>
      </c>
      <c r="P121" s="591">
        <f>IFERROR(IF(VLOOKUP(P$2,MODULY_CBA!$B$3:$N$23,13,0)&lt;='TCO TO BE- SW'!$D121,SUM('TCO TO BE- SW'!P$37:P$46)*VLOOKUP('TCO TO BE- SW'!P$2,MODULY_CBA!$B$3:$L$23,11,0),0),0)</f>
        <v>0</v>
      </c>
      <c r="Q121" s="591">
        <f>IFERROR(IF(VLOOKUP(Q$2,MODULY_CBA!$B$3:$N$23,13,0)&lt;='TCO TO BE- SW'!$D121,SUM('TCO TO BE- SW'!Q$37:Q$46)*VLOOKUP('TCO TO BE- SW'!Q$2,MODULY_CBA!$B$3:$L$23,11,0),0),0)</f>
        <v>0</v>
      </c>
      <c r="R121" s="591">
        <f>IFERROR(IF(VLOOKUP(R$2,MODULY_CBA!$B$3:$N$23,13,0)&lt;='TCO TO BE- SW'!$D121,SUM('TCO TO BE- SW'!R$37:R$46)*VLOOKUP('TCO TO BE- SW'!R$2,MODULY_CBA!$B$3:$L$23,11,0),0),0)</f>
        <v>0</v>
      </c>
      <c r="S121" s="591">
        <f>IFERROR(IF(VLOOKUP(S$2,MODULY_CBA!$B$3:$N$23,13,0)&lt;='TCO TO BE- SW'!$D121,SUM('TCO TO BE- SW'!S$37:S$46)*VLOOKUP('TCO TO BE- SW'!S$2,MODULY_CBA!$B$3:$L$23,11,0),0),0)</f>
        <v>0</v>
      </c>
      <c r="T121" s="591">
        <f>IFERROR(IF(VLOOKUP(T$2,MODULY_CBA!$B$3:$N$23,13,0)&lt;='TCO TO BE- SW'!$D121,SUM('TCO TO BE- SW'!T$37:T$46)*VLOOKUP('TCO TO BE- SW'!T$2,MODULY_CBA!$B$3:$L$23,11,0),0),0)</f>
        <v>0</v>
      </c>
      <c r="U121" s="591">
        <f>IFERROR(IF(VLOOKUP(U$2,MODULY_CBA!$B$3:$N$23,13,0)&lt;='TCO TO BE- SW'!$D121,SUM('TCO TO BE- SW'!U$37:U$46)*VLOOKUP('TCO TO BE- SW'!U$2,MODULY_CBA!$B$3:$L$23,11,0),0),0)</f>
        <v>0</v>
      </c>
      <c r="V121" s="591">
        <f>IFERROR(IF(VLOOKUP(V$2,MODULY_CBA!$B$3:$N$23,13,0)&lt;='TCO TO BE- SW'!$D121,SUM('TCO TO BE- SW'!V$37:V$46)*VLOOKUP('TCO TO BE- SW'!V$2,MODULY_CBA!$B$3:$L$23,11,0),0),0)</f>
        <v>0</v>
      </c>
      <c r="W121" s="591">
        <f>IFERROR(IF(VLOOKUP(W$2,MODULY_CBA!$B$3:$N$23,13,0)&lt;='TCO TO BE- SW'!$D121,SUM('TCO TO BE- SW'!W$37:W$46)*VLOOKUP('TCO TO BE- SW'!W$2,MODULY_CBA!$B$3:$L$23,11,0),0),0)</f>
        <v>0</v>
      </c>
      <c r="X121" s="591">
        <f>IFERROR(IF(VLOOKUP(X$2,MODULY_CBA!$B$3:$N$23,13,0)&lt;='TCO TO BE- SW'!$D121,SUM('TCO TO BE- SW'!X$37:X$46)*VLOOKUP('TCO TO BE- SW'!X$2,MODULY_CBA!$B$3:$L$23,11,0),0),0)</f>
        <v>0</v>
      </c>
      <c r="Y121" s="591">
        <f>IFERROR(IF(VLOOKUP(Y$2,MODULY_CBA!$B$3:$N$23,13,0)&lt;='TCO TO BE- SW'!$D121,SUM('TCO TO BE- SW'!Y$37:Y$46)*VLOOKUP('TCO TO BE- SW'!Y$2,MODULY_CBA!$B$3:$L$23,11,0),0),0)</f>
        <v>0</v>
      </c>
      <c r="Z121" s="591">
        <f>IFERROR(IF(VLOOKUP(Z$2,MODULY_CBA!$B$3:$N$23,13,0)&lt;='TCO TO BE- SW'!$D121,SUM('TCO TO BE- SW'!Z$37:Z$46)*VLOOKUP('TCO TO BE- SW'!Z$2,MODULY_CBA!$B$3:$L$23,11,0),0),0)</f>
        <v>0</v>
      </c>
    </row>
    <row r="122" spans="1:26" outlineLevel="2" x14ac:dyDescent="0.2">
      <c r="A122" s="1390"/>
      <c r="B122" s="1391"/>
      <c r="C122" s="1391"/>
      <c r="D122" s="64">
        <v>3</v>
      </c>
      <c r="E122" s="68">
        <f t="shared" si="14"/>
        <v>0</v>
      </c>
      <c r="F122" s="591">
        <f>IFERROR(IF(VLOOKUP(F$2,MODULY_CBA!$B$3:$N$23,13,0)&lt;='TCO TO BE- SW'!$D122,SUM('TCO TO BE- SW'!F$37:F$46)*VLOOKUP('TCO TO BE- SW'!F$2,MODULY_CBA!$B$3:$L$23,11,0),0),0)</f>
        <v>0</v>
      </c>
      <c r="G122" s="591">
        <f>IFERROR(IF(VLOOKUP(G$2,MODULY_CBA!$B$3:$N$23,13,0)&lt;='TCO TO BE- SW'!$D122,SUM('TCO TO BE- SW'!G$37:G$46)*VLOOKUP('TCO TO BE- SW'!G$2,MODULY_CBA!$B$3:$L$23,11,0),0),0)</f>
        <v>0</v>
      </c>
      <c r="H122" s="591">
        <f>IFERROR(IF(VLOOKUP(H$2,MODULY_CBA!$B$3:$N$23,13,0)&lt;='TCO TO BE- SW'!$D122,SUM('TCO TO BE- SW'!H$37:H$46)*VLOOKUP('TCO TO BE- SW'!H$2,MODULY_CBA!$B$3:$L$23,11,0),0),0)</f>
        <v>0</v>
      </c>
      <c r="I122" s="591">
        <f>IFERROR(IF(VLOOKUP(I$2,MODULY_CBA!$B$3:$N$23,13,0)&lt;='TCO TO BE- SW'!$D122,SUM('TCO TO BE- SW'!I$37:I$46)*VLOOKUP('TCO TO BE- SW'!I$2,MODULY_CBA!$B$3:$L$23,11,0),0),0)</f>
        <v>0</v>
      </c>
      <c r="J122" s="591">
        <f>IFERROR(IF(VLOOKUP(J$2,MODULY_CBA!$B$3:$N$23,13,0)&lt;='TCO TO BE- SW'!$D122,SUM('TCO TO BE- SW'!J$37:J$46)*VLOOKUP('TCO TO BE- SW'!J$2,MODULY_CBA!$B$3:$L$23,11,0),0),0)</f>
        <v>0</v>
      </c>
      <c r="K122" s="591">
        <f>IFERROR(IF(VLOOKUP(K$2,MODULY_CBA!$B$3:$N$23,13,0)&lt;='TCO TO BE- SW'!$D122,SUM('TCO TO BE- SW'!K$37:K$46)*VLOOKUP('TCO TO BE- SW'!K$2,MODULY_CBA!$B$3:$L$23,11,0),0),0)</f>
        <v>0</v>
      </c>
      <c r="L122" s="591">
        <f>IFERROR(IF(VLOOKUP(L$2,MODULY_CBA!$B$3:$N$23,13,0)&lt;='TCO TO BE- SW'!$D122,SUM('TCO TO BE- SW'!L$37:L$46)*VLOOKUP('TCO TO BE- SW'!L$2,MODULY_CBA!$B$3:$L$23,11,0),0),0)</f>
        <v>0</v>
      </c>
      <c r="M122" s="591">
        <f>IFERROR(IF(VLOOKUP(M$2,MODULY_CBA!$B$3:$N$23,13,0)&lt;='TCO TO BE- SW'!$D122,SUM('TCO TO BE- SW'!M$37:M$46)*VLOOKUP('TCO TO BE- SW'!M$2,MODULY_CBA!$B$3:$L$23,11,0),0),0)</f>
        <v>0</v>
      </c>
      <c r="N122" s="591">
        <f>IFERROR(IF(VLOOKUP(N$2,MODULY_CBA!$B$3:$N$23,13,0)&lt;='TCO TO BE- SW'!$D122,SUM('TCO TO BE- SW'!N$37:N$46)*VLOOKUP('TCO TO BE- SW'!N$2,MODULY_CBA!$B$3:$L$23,11,0),0),0)</f>
        <v>0</v>
      </c>
      <c r="O122" s="591">
        <f>IFERROR(IF(VLOOKUP(O$2,MODULY_CBA!$B$3:$N$23,13,0)&lt;='TCO TO BE- SW'!$D122,SUM('TCO TO BE- SW'!O$37:O$46)*VLOOKUP('TCO TO BE- SW'!O$2,MODULY_CBA!$B$3:$L$23,11,0),0),0)</f>
        <v>0</v>
      </c>
      <c r="P122" s="591">
        <f>IFERROR(IF(VLOOKUP(P$2,MODULY_CBA!$B$3:$N$23,13,0)&lt;='TCO TO BE- SW'!$D122,SUM('TCO TO BE- SW'!P$37:P$46)*VLOOKUP('TCO TO BE- SW'!P$2,MODULY_CBA!$B$3:$L$23,11,0),0),0)</f>
        <v>0</v>
      </c>
      <c r="Q122" s="591">
        <f>IFERROR(IF(VLOOKUP(Q$2,MODULY_CBA!$B$3:$N$23,13,0)&lt;='TCO TO BE- SW'!$D122,SUM('TCO TO BE- SW'!Q$37:Q$46)*VLOOKUP('TCO TO BE- SW'!Q$2,MODULY_CBA!$B$3:$L$23,11,0),0),0)</f>
        <v>0</v>
      </c>
      <c r="R122" s="591">
        <f>IFERROR(IF(VLOOKUP(R$2,MODULY_CBA!$B$3:$N$23,13,0)&lt;='TCO TO BE- SW'!$D122,SUM('TCO TO BE- SW'!R$37:R$46)*VLOOKUP('TCO TO BE- SW'!R$2,MODULY_CBA!$B$3:$L$23,11,0),0),0)</f>
        <v>0</v>
      </c>
      <c r="S122" s="591">
        <f>IFERROR(IF(VLOOKUP(S$2,MODULY_CBA!$B$3:$N$23,13,0)&lt;='TCO TO BE- SW'!$D122,SUM('TCO TO BE- SW'!S$37:S$46)*VLOOKUP('TCO TO BE- SW'!S$2,MODULY_CBA!$B$3:$L$23,11,0),0),0)</f>
        <v>0</v>
      </c>
      <c r="T122" s="591">
        <f>IFERROR(IF(VLOOKUP(T$2,MODULY_CBA!$B$3:$N$23,13,0)&lt;='TCO TO BE- SW'!$D122,SUM('TCO TO BE- SW'!T$37:T$46)*VLOOKUP('TCO TO BE- SW'!T$2,MODULY_CBA!$B$3:$L$23,11,0),0),0)</f>
        <v>0</v>
      </c>
      <c r="U122" s="591">
        <f>IFERROR(IF(VLOOKUP(U$2,MODULY_CBA!$B$3:$N$23,13,0)&lt;='TCO TO BE- SW'!$D122,SUM('TCO TO BE- SW'!U$37:U$46)*VLOOKUP('TCO TO BE- SW'!U$2,MODULY_CBA!$B$3:$L$23,11,0),0),0)</f>
        <v>0</v>
      </c>
      <c r="V122" s="591">
        <f>IFERROR(IF(VLOOKUP(V$2,MODULY_CBA!$B$3:$N$23,13,0)&lt;='TCO TO BE- SW'!$D122,SUM('TCO TO BE- SW'!V$37:V$46)*VLOOKUP('TCO TO BE- SW'!V$2,MODULY_CBA!$B$3:$L$23,11,0),0),0)</f>
        <v>0</v>
      </c>
      <c r="W122" s="591">
        <f>IFERROR(IF(VLOOKUP(W$2,MODULY_CBA!$B$3:$N$23,13,0)&lt;='TCO TO BE- SW'!$D122,SUM('TCO TO BE- SW'!W$37:W$46)*VLOOKUP('TCO TO BE- SW'!W$2,MODULY_CBA!$B$3:$L$23,11,0),0),0)</f>
        <v>0</v>
      </c>
      <c r="X122" s="591">
        <f>IFERROR(IF(VLOOKUP(X$2,MODULY_CBA!$B$3:$N$23,13,0)&lt;='TCO TO BE- SW'!$D122,SUM('TCO TO BE- SW'!X$37:X$46)*VLOOKUP('TCO TO BE- SW'!X$2,MODULY_CBA!$B$3:$L$23,11,0),0),0)</f>
        <v>0</v>
      </c>
      <c r="Y122" s="591">
        <f>IFERROR(IF(VLOOKUP(Y$2,MODULY_CBA!$B$3:$N$23,13,0)&lt;='TCO TO BE- SW'!$D122,SUM('TCO TO BE- SW'!Y$37:Y$46)*VLOOKUP('TCO TO BE- SW'!Y$2,MODULY_CBA!$B$3:$L$23,11,0),0),0)</f>
        <v>0</v>
      </c>
      <c r="Z122" s="591">
        <f>IFERROR(IF(VLOOKUP(Z$2,MODULY_CBA!$B$3:$N$23,13,0)&lt;='TCO TO BE- SW'!$D122,SUM('TCO TO BE- SW'!Z$37:Z$46)*VLOOKUP('TCO TO BE- SW'!Z$2,MODULY_CBA!$B$3:$L$23,11,0),0),0)</f>
        <v>0</v>
      </c>
    </row>
    <row r="123" spans="1:26" outlineLevel="2" x14ac:dyDescent="0.2">
      <c r="A123" s="1390"/>
      <c r="B123" s="1391"/>
      <c r="C123" s="1391"/>
      <c r="D123" s="64">
        <v>4</v>
      </c>
      <c r="E123" s="68">
        <f t="shared" si="14"/>
        <v>0</v>
      </c>
      <c r="F123" s="591">
        <f>IFERROR(IF(VLOOKUP(F$2,MODULY_CBA!$B$3:$N$23,13,0)&lt;='TCO TO BE- SW'!$D123,SUM('TCO TO BE- SW'!F$37:F$46)*VLOOKUP('TCO TO BE- SW'!F$2,MODULY_CBA!$B$3:$L$23,11,0),0),0)</f>
        <v>0</v>
      </c>
      <c r="G123" s="591">
        <f>IFERROR(IF(VLOOKUP(G$2,MODULY_CBA!$B$3:$N$23,13,0)&lt;='TCO TO BE- SW'!$D123,SUM('TCO TO BE- SW'!G$37:G$46)*VLOOKUP('TCO TO BE- SW'!G$2,MODULY_CBA!$B$3:$L$23,11,0),0),0)</f>
        <v>0</v>
      </c>
      <c r="H123" s="591">
        <f>IFERROR(IF(VLOOKUP(H$2,MODULY_CBA!$B$3:$N$23,13,0)&lt;='TCO TO BE- SW'!$D123,SUM('TCO TO BE- SW'!H$37:H$46)*VLOOKUP('TCO TO BE- SW'!H$2,MODULY_CBA!$B$3:$L$23,11,0),0),0)</f>
        <v>0</v>
      </c>
      <c r="I123" s="591">
        <f>IFERROR(IF(VLOOKUP(I$2,MODULY_CBA!$B$3:$N$23,13,0)&lt;='TCO TO BE- SW'!$D123,SUM('TCO TO BE- SW'!I$37:I$46)*VLOOKUP('TCO TO BE- SW'!I$2,MODULY_CBA!$B$3:$L$23,11,0),0),0)</f>
        <v>0</v>
      </c>
      <c r="J123" s="591">
        <f>IFERROR(IF(VLOOKUP(J$2,MODULY_CBA!$B$3:$N$23,13,0)&lt;='TCO TO BE- SW'!$D123,SUM('TCO TO BE- SW'!J$37:J$46)*VLOOKUP('TCO TO BE- SW'!J$2,MODULY_CBA!$B$3:$L$23,11,0),0),0)</f>
        <v>0</v>
      </c>
      <c r="K123" s="591">
        <f>IFERROR(IF(VLOOKUP(K$2,MODULY_CBA!$B$3:$N$23,13,0)&lt;='TCO TO BE- SW'!$D123,SUM('TCO TO BE- SW'!K$37:K$46)*VLOOKUP('TCO TO BE- SW'!K$2,MODULY_CBA!$B$3:$L$23,11,0),0),0)</f>
        <v>0</v>
      </c>
      <c r="L123" s="591">
        <f>IFERROR(IF(VLOOKUP(L$2,MODULY_CBA!$B$3:$N$23,13,0)&lt;='TCO TO BE- SW'!$D123,SUM('TCO TO BE- SW'!L$37:L$46)*VLOOKUP('TCO TO BE- SW'!L$2,MODULY_CBA!$B$3:$L$23,11,0),0),0)</f>
        <v>0</v>
      </c>
      <c r="M123" s="591">
        <f>IFERROR(IF(VLOOKUP(M$2,MODULY_CBA!$B$3:$N$23,13,0)&lt;='TCO TO BE- SW'!$D123,SUM('TCO TO BE- SW'!M$37:M$46)*VLOOKUP('TCO TO BE- SW'!M$2,MODULY_CBA!$B$3:$L$23,11,0),0),0)</f>
        <v>0</v>
      </c>
      <c r="N123" s="591">
        <f>IFERROR(IF(VLOOKUP(N$2,MODULY_CBA!$B$3:$N$23,13,0)&lt;='TCO TO BE- SW'!$D123,SUM('TCO TO BE- SW'!N$37:N$46)*VLOOKUP('TCO TO BE- SW'!N$2,MODULY_CBA!$B$3:$L$23,11,0),0),0)</f>
        <v>0</v>
      </c>
      <c r="O123" s="591">
        <f>IFERROR(IF(VLOOKUP(O$2,MODULY_CBA!$B$3:$N$23,13,0)&lt;='TCO TO BE- SW'!$D123,SUM('TCO TO BE- SW'!O$37:O$46)*VLOOKUP('TCO TO BE- SW'!O$2,MODULY_CBA!$B$3:$L$23,11,0),0),0)</f>
        <v>0</v>
      </c>
      <c r="P123" s="591">
        <f>IFERROR(IF(VLOOKUP(P$2,MODULY_CBA!$B$3:$N$23,13,0)&lt;='TCO TO BE- SW'!$D123,SUM('TCO TO BE- SW'!P$37:P$46)*VLOOKUP('TCO TO BE- SW'!P$2,MODULY_CBA!$B$3:$L$23,11,0),0),0)</f>
        <v>0</v>
      </c>
      <c r="Q123" s="591">
        <f>IFERROR(IF(VLOOKUP(Q$2,MODULY_CBA!$B$3:$N$23,13,0)&lt;='TCO TO BE- SW'!$D123,SUM('TCO TO BE- SW'!Q$37:Q$46)*VLOOKUP('TCO TO BE- SW'!Q$2,MODULY_CBA!$B$3:$L$23,11,0),0),0)</f>
        <v>0</v>
      </c>
      <c r="R123" s="591">
        <f>IFERROR(IF(VLOOKUP(R$2,MODULY_CBA!$B$3:$N$23,13,0)&lt;='TCO TO BE- SW'!$D123,SUM('TCO TO BE- SW'!R$37:R$46)*VLOOKUP('TCO TO BE- SW'!R$2,MODULY_CBA!$B$3:$L$23,11,0),0),0)</f>
        <v>0</v>
      </c>
      <c r="S123" s="591">
        <f>IFERROR(IF(VLOOKUP(S$2,MODULY_CBA!$B$3:$N$23,13,0)&lt;='TCO TO BE- SW'!$D123,SUM('TCO TO BE- SW'!S$37:S$46)*VLOOKUP('TCO TO BE- SW'!S$2,MODULY_CBA!$B$3:$L$23,11,0),0),0)</f>
        <v>0</v>
      </c>
      <c r="T123" s="591">
        <f>IFERROR(IF(VLOOKUP(T$2,MODULY_CBA!$B$3:$N$23,13,0)&lt;='TCO TO BE- SW'!$D123,SUM('TCO TO BE- SW'!T$37:T$46)*VLOOKUP('TCO TO BE- SW'!T$2,MODULY_CBA!$B$3:$L$23,11,0),0),0)</f>
        <v>0</v>
      </c>
      <c r="U123" s="591">
        <f>IFERROR(IF(VLOOKUP(U$2,MODULY_CBA!$B$3:$N$23,13,0)&lt;='TCO TO BE- SW'!$D123,SUM('TCO TO BE- SW'!U$37:U$46)*VLOOKUP('TCO TO BE- SW'!U$2,MODULY_CBA!$B$3:$L$23,11,0),0),0)</f>
        <v>0</v>
      </c>
      <c r="V123" s="591">
        <f>IFERROR(IF(VLOOKUP(V$2,MODULY_CBA!$B$3:$N$23,13,0)&lt;='TCO TO BE- SW'!$D123,SUM('TCO TO BE- SW'!V$37:V$46)*VLOOKUP('TCO TO BE- SW'!V$2,MODULY_CBA!$B$3:$L$23,11,0),0),0)</f>
        <v>0</v>
      </c>
      <c r="W123" s="591">
        <f>IFERROR(IF(VLOOKUP(W$2,MODULY_CBA!$B$3:$N$23,13,0)&lt;='TCO TO BE- SW'!$D123,SUM('TCO TO BE- SW'!W$37:W$46)*VLOOKUP('TCO TO BE- SW'!W$2,MODULY_CBA!$B$3:$L$23,11,0),0),0)</f>
        <v>0</v>
      </c>
      <c r="X123" s="591">
        <f>IFERROR(IF(VLOOKUP(X$2,MODULY_CBA!$B$3:$N$23,13,0)&lt;='TCO TO BE- SW'!$D123,SUM('TCO TO BE- SW'!X$37:X$46)*VLOOKUP('TCO TO BE- SW'!X$2,MODULY_CBA!$B$3:$L$23,11,0),0),0)</f>
        <v>0</v>
      </c>
      <c r="Y123" s="591">
        <f>IFERROR(IF(VLOOKUP(Y$2,MODULY_CBA!$B$3:$N$23,13,0)&lt;='TCO TO BE- SW'!$D123,SUM('TCO TO BE- SW'!Y$37:Y$46)*VLOOKUP('TCO TO BE- SW'!Y$2,MODULY_CBA!$B$3:$L$23,11,0),0),0)</f>
        <v>0</v>
      </c>
      <c r="Z123" s="591">
        <f>IFERROR(IF(VLOOKUP(Z$2,MODULY_CBA!$B$3:$N$23,13,0)&lt;='TCO TO BE- SW'!$D123,SUM('TCO TO BE- SW'!Z$37:Z$46)*VLOOKUP('TCO TO BE- SW'!Z$2,MODULY_CBA!$B$3:$L$23,11,0),0),0)</f>
        <v>0</v>
      </c>
    </row>
    <row r="124" spans="1:26" outlineLevel="2" x14ac:dyDescent="0.2">
      <c r="A124" s="1390"/>
      <c r="B124" s="1391"/>
      <c r="C124" s="1391"/>
      <c r="D124" s="64">
        <v>5</v>
      </c>
      <c r="E124" s="68">
        <f t="shared" si="14"/>
        <v>0</v>
      </c>
      <c r="F124" s="591">
        <f>IFERROR(IF(VLOOKUP(F$2,MODULY_CBA!$B$3:$N$23,13,0)&lt;='TCO TO BE- SW'!$D124,SUM('TCO TO BE- SW'!F$37:F$46)*VLOOKUP('TCO TO BE- SW'!F$2,MODULY_CBA!$B$3:$L$23,11,0),0),0)</f>
        <v>0</v>
      </c>
      <c r="G124" s="591">
        <f>IFERROR(IF(VLOOKUP(G$2,MODULY_CBA!$B$3:$N$23,13,0)&lt;='TCO TO BE- SW'!$D124,SUM('TCO TO BE- SW'!G$37:G$46)*VLOOKUP('TCO TO BE- SW'!G$2,MODULY_CBA!$B$3:$L$23,11,0),0),0)</f>
        <v>0</v>
      </c>
      <c r="H124" s="591">
        <f>IFERROR(IF(VLOOKUP(H$2,MODULY_CBA!$B$3:$N$23,13,0)&lt;='TCO TO BE- SW'!$D124,SUM('TCO TO BE- SW'!H$37:H$46)*VLOOKUP('TCO TO BE- SW'!H$2,MODULY_CBA!$B$3:$L$23,11,0),0),0)</f>
        <v>0</v>
      </c>
      <c r="I124" s="591">
        <f>IFERROR(IF(VLOOKUP(I$2,MODULY_CBA!$B$3:$N$23,13,0)&lt;='TCO TO BE- SW'!$D124,SUM('TCO TO BE- SW'!I$37:I$46)*VLOOKUP('TCO TO BE- SW'!I$2,MODULY_CBA!$B$3:$L$23,11,0),0),0)</f>
        <v>0</v>
      </c>
      <c r="J124" s="591">
        <f>IFERROR(IF(VLOOKUP(J$2,MODULY_CBA!$B$3:$N$23,13,0)&lt;='TCO TO BE- SW'!$D124,SUM('TCO TO BE- SW'!J$37:J$46)*VLOOKUP('TCO TO BE- SW'!J$2,MODULY_CBA!$B$3:$L$23,11,0),0),0)</f>
        <v>0</v>
      </c>
      <c r="K124" s="591">
        <f>IFERROR(IF(VLOOKUP(K$2,MODULY_CBA!$B$3:$N$23,13,0)&lt;='TCO TO BE- SW'!$D124,SUM('TCO TO BE- SW'!K$37:K$46)*VLOOKUP('TCO TO BE- SW'!K$2,MODULY_CBA!$B$3:$L$23,11,0),0),0)</f>
        <v>0</v>
      </c>
      <c r="L124" s="591">
        <f>IFERROR(IF(VLOOKUP(L$2,MODULY_CBA!$B$3:$N$23,13,0)&lt;='TCO TO BE- SW'!$D124,SUM('TCO TO BE- SW'!L$37:L$46)*VLOOKUP('TCO TO BE- SW'!L$2,MODULY_CBA!$B$3:$L$23,11,0),0),0)</f>
        <v>0</v>
      </c>
      <c r="M124" s="591">
        <f>IFERROR(IF(VLOOKUP(M$2,MODULY_CBA!$B$3:$N$23,13,0)&lt;='TCO TO BE- SW'!$D124,SUM('TCO TO BE- SW'!M$37:M$46)*VLOOKUP('TCO TO BE- SW'!M$2,MODULY_CBA!$B$3:$L$23,11,0),0),0)</f>
        <v>0</v>
      </c>
      <c r="N124" s="591">
        <f>IFERROR(IF(VLOOKUP(N$2,MODULY_CBA!$B$3:$N$23,13,0)&lt;='TCO TO BE- SW'!$D124,SUM('TCO TO BE- SW'!N$37:N$46)*VLOOKUP('TCO TO BE- SW'!N$2,MODULY_CBA!$B$3:$L$23,11,0),0),0)</f>
        <v>0</v>
      </c>
      <c r="O124" s="591">
        <f>IFERROR(IF(VLOOKUP(O$2,MODULY_CBA!$B$3:$N$23,13,0)&lt;='TCO TO BE- SW'!$D124,SUM('TCO TO BE- SW'!O$37:O$46)*VLOOKUP('TCO TO BE- SW'!O$2,MODULY_CBA!$B$3:$L$23,11,0),0),0)</f>
        <v>0</v>
      </c>
      <c r="P124" s="591">
        <f>IFERROR(IF(VLOOKUP(P$2,MODULY_CBA!$B$3:$N$23,13,0)&lt;='TCO TO BE- SW'!$D124,SUM('TCO TO BE- SW'!P$37:P$46)*VLOOKUP('TCO TO BE- SW'!P$2,MODULY_CBA!$B$3:$L$23,11,0),0),0)</f>
        <v>0</v>
      </c>
      <c r="Q124" s="591">
        <f>IFERROR(IF(VLOOKUP(Q$2,MODULY_CBA!$B$3:$N$23,13,0)&lt;='TCO TO BE- SW'!$D124,SUM('TCO TO BE- SW'!Q$37:Q$46)*VLOOKUP('TCO TO BE- SW'!Q$2,MODULY_CBA!$B$3:$L$23,11,0),0),0)</f>
        <v>0</v>
      </c>
      <c r="R124" s="591">
        <f>IFERROR(IF(VLOOKUP(R$2,MODULY_CBA!$B$3:$N$23,13,0)&lt;='TCO TO BE- SW'!$D124,SUM('TCO TO BE- SW'!R$37:R$46)*VLOOKUP('TCO TO BE- SW'!R$2,MODULY_CBA!$B$3:$L$23,11,0),0),0)</f>
        <v>0</v>
      </c>
      <c r="S124" s="591">
        <f>IFERROR(IF(VLOOKUP(S$2,MODULY_CBA!$B$3:$N$23,13,0)&lt;='TCO TO BE- SW'!$D124,SUM('TCO TO BE- SW'!S$37:S$46)*VLOOKUP('TCO TO BE- SW'!S$2,MODULY_CBA!$B$3:$L$23,11,0),0),0)</f>
        <v>0</v>
      </c>
      <c r="T124" s="591">
        <f>IFERROR(IF(VLOOKUP(T$2,MODULY_CBA!$B$3:$N$23,13,0)&lt;='TCO TO BE- SW'!$D124,SUM('TCO TO BE- SW'!T$37:T$46)*VLOOKUP('TCO TO BE- SW'!T$2,MODULY_CBA!$B$3:$L$23,11,0),0),0)</f>
        <v>0</v>
      </c>
      <c r="U124" s="591">
        <f>IFERROR(IF(VLOOKUP(U$2,MODULY_CBA!$B$3:$N$23,13,0)&lt;='TCO TO BE- SW'!$D124,SUM('TCO TO BE- SW'!U$37:U$46)*VLOOKUP('TCO TO BE- SW'!U$2,MODULY_CBA!$B$3:$L$23,11,0),0),0)</f>
        <v>0</v>
      </c>
      <c r="V124" s="591">
        <f>IFERROR(IF(VLOOKUP(V$2,MODULY_CBA!$B$3:$N$23,13,0)&lt;='TCO TO BE- SW'!$D124,SUM('TCO TO BE- SW'!V$37:V$46)*VLOOKUP('TCO TO BE- SW'!V$2,MODULY_CBA!$B$3:$L$23,11,0),0),0)</f>
        <v>0</v>
      </c>
      <c r="W124" s="591">
        <f>IFERROR(IF(VLOOKUP(W$2,MODULY_CBA!$B$3:$N$23,13,0)&lt;='TCO TO BE- SW'!$D124,SUM('TCO TO BE- SW'!W$37:W$46)*VLOOKUP('TCO TO BE- SW'!W$2,MODULY_CBA!$B$3:$L$23,11,0),0),0)</f>
        <v>0</v>
      </c>
      <c r="X124" s="591">
        <f>IFERROR(IF(VLOOKUP(X$2,MODULY_CBA!$B$3:$N$23,13,0)&lt;='TCO TO BE- SW'!$D124,SUM('TCO TO BE- SW'!X$37:X$46)*VLOOKUP('TCO TO BE- SW'!X$2,MODULY_CBA!$B$3:$L$23,11,0),0),0)</f>
        <v>0</v>
      </c>
      <c r="Y124" s="591">
        <f>IFERROR(IF(VLOOKUP(Y$2,MODULY_CBA!$B$3:$N$23,13,0)&lt;='TCO TO BE- SW'!$D124,SUM('TCO TO BE- SW'!Y$37:Y$46)*VLOOKUP('TCO TO BE- SW'!Y$2,MODULY_CBA!$B$3:$L$23,11,0),0),0)</f>
        <v>0</v>
      </c>
      <c r="Z124" s="591">
        <f>IFERROR(IF(VLOOKUP(Z$2,MODULY_CBA!$B$3:$N$23,13,0)&lt;='TCO TO BE- SW'!$D124,SUM('TCO TO BE- SW'!Z$37:Z$46)*VLOOKUP('TCO TO BE- SW'!Z$2,MODULY_CBA!$B$3:$L$23,11,0),0),0)</f>
        <v>0</v>
      </c>
    </row>
    <row r="125" spans="1:26" outlineLevel="2" x14ac:dyDescent="0.2">
      <c r="A125" s="1390"/>
      <c r="B125" s="1391"/>
      <c r="C125" s="1391"/>
      <c r="D125" s="64">
        <v>6</v>
      </c>
      <c r="E125" s="68">
        <f t="shared" si="14"/>
        <v>0</v>
      </c>
      <c r="F125" s="591">
        <f>IFERROR(IF(VLOOKUP(F$2,MODULY_CBA!$B$3:$N$23,13,0)&lt;='TCO TO BE- SW'!$D125,SUM('TCO TO BE- SW'!F$37:F$46)*VLOOKUP('TCO TO BE- SW'!F$2,MODULY_CBA!$B$3:$L$23,11,0),0),0)</f>
        <v>0</v>
      </c>
      <c r="G125" s="591">
        <f>IFERROR(IF(VLOOKUP(G$2,MODULY_CBA!$B$3:$N$23,13,0)&lt;='TCO TO BE- SW'!$D125,SUM('TCO TO BE- SW'!G$37:G$46)*VLOOKUP('TCO TO BE- SW'!G$2,MODULY_CBA!$B$3:$L$23,11,0),0),0)</f>
        <v>0</v>
      </c>
      <c r="H125" s="591">
        <f>IFERROR(IF(VLOOKUP(H$2,MODULY_CBA!$B$3:$N$23,13,0)&lt;='TCO TO BE- SW'!$D125,SUM('TCO TO BE- SW'!H$37:H$46)*VLOOKUP('TCO TO BE- SW'!H$2,MODULY_CBA!$B$3:$L$23,11,0),0),0)</f>
        <v>0</v>
      </c>
      <c r="I125" s="591">
        <f>IFERROR(IF(VLOOKUP(I$2,MODULY_CBA!$B$3:$N$23,13,0)&lt;='TCO TO BE- SW'!$D125,SUM('TCO TO BE- SW'!I$37:I$46)*VLOOKUP('TCO TO BE- SW'!I$2,MODULY_CBA!$B$3:$L$23,11,0),0),0)</f>
        <v>0</v>
      </c>
      <c r="J125" s="591">
        <f>IFERROR(IF(VLOOKUP(J$2,MODULY_CBA!$B$3:$N$23,13,0)&lt;='TCO TO BE- SW'!$D125,SUM('TCO TO BE- SW'!J$37:J$46)*VLOOKUP('TCO TO BE- SW'!J$2,MODULY_CBA!$B$3:$L$23,11,0),0),0)</f>
        <v>0</v>
      </c>
      <c r="K125" s="591">
        <f>IFERROR(IF(VLOOKUP(K$2,MODULY_CBA!$B$3:$N$23,13,0)&lt;='TCO TO BE- SW'!$D125,SUM('TCO TO BE- SW'!K$37:K$46)*VLOOKUP('TCO TO BE- SW'!K$2,MODULY_CBA!$B$3:$L$23,11,0),0),0)</f>
        <v>0</v>
      </c>
      <c r="L125" s="591">
        <f>IFERROR(IF(VLOOKUP(L$2,MODULY_CBA!$B$3:$N$23,13,0)&lt;='TCO TO BE- SW'!$D125,SUM('TCO TO BE- SW'!L$37:L$46)*VLOOKUP('TCO TO BE- SW'!L$2,MODULY_CBA!$B$3:$L$23,11,0),0),0)</f>
        <v>0</v>
      </c>
      <c r="M125" s="591">
        <f>IFERROR(IF(VLOOKUP(M$2,MODULY_CBA!$B$3:$N$23,13,0)&lt;='TCO TO BE- SW'!$D125,SUM('TCO TO BE- SW'!M$37:M$46)*VLOOKUP('TCO TO BE- SW'!M$2,MODULY_CBA!$B$3:$L$23,11,0),0),0)</f>
        <v>0</v>
      </c>
      <c r="N125" s="591">
        <f>IFERROR(IF(VLOOKUP(N$2,MODULY_CBA!$B$3:$N$23,13,0)&lt;='TCO TO BE- SW'!$D125,SUM('TCO TO BE- SW'!N$37:N$46)*VLOOKUP('TCO TO BE- SW'!N$2,MODULY_CBA!$B$3:$L$23,11,0),0),0)</f>
        <v>0</v>
      </c>
      <c r="O125" s="591">
        <f>IFERROR(IF(VLOOKUP(O$2,MODULY_CBA!$B$3:$N$23,13,0)&lt;='TCO TO BE- SW'!$D125,SUM('TCO TO BE- SW'!O$37:O$46)*VLOOKUP('TCO TO BE- SW'!O$2,MODULY_CBA!$B$3:$L$23,11,0),0),0)</f>
        <v>0</v>
      </c>
      <c r="P125" s="591">
        <f>IFERROR(IF(VLOOKUP(P$2,MODULY_CBA!$B$3:$N$23,13,0)&lt;='TCO TO BE- SW'!$D125,SUM('TCO TO BE- SW'!P$37:P$46)*VLOOKUP('TCO TO BE- SW'!P$2,MODULY_CBA!$B$3:$L$23,11,0),0),0)</f>
        <v>0</v>
      </c>
      <c r="Q125" s="591">
        <f>IFERROR(IF(VLOOKUP(Q$2,MODULY_CBA!$B$3:$N$23,13,0)&lt;='TCO TO BE- SW'!$D125,SUM('TCO TO BE- SW'!Q$37:Q$46)*VLOOKUP('TCO TO BE- SW'!Q$2,MODULY_CBA!$B$3:$L$23,11,0),0),0)</f>
        <v>0</v>
      </c>
      <c r="R125" s="591">
        <f>IFERROR(IF(VLOOKUP(R$2,MODULY_CBA!$B$3:$N$23,13,0)&lt;='TCO TO BE- SW'!$D125,SUM('TCO TO BE- SW'!R$37:R$46)*VLOOKUP('TCO TO BE- SW'!R$2,MODULY_CBA!$B$3:$L$23,11,0),0),0)</f>
        <v>0</v>
      </c>
      <c r="S125" s="591">
        <f>IFERROR(IF(VLOOKUP(S$2,MODULY_CBA!$B$3:$N$23,13,0)&lt;='TCO TO BE- SW'!$D125,SUM('TCO TO BE- SW'!S$37:S$46)*VLOOKUP('TCO TO BE- SW'!S$2,MODULY_CBA!$B$3:$L$23,11,0),0),0)</f>
        <v>0</v>
      </c>
      <c r="T125" s="591">
        <f>IFERROR(IF(VLOOKUP(T$2,MODULY_CBA!$B$3:$N$23,13,0)&lt;='TCO TO BE- SW'!$D125,SUM('TCO TO BE- SW'!T$37:T$46)*VLOOKUP('TCO TO BE- SW'!T$2,MODULY_CBA!$B$3:$L$23,11,0),0),0)</f>
        <v>0</v>
      </c>
      <c r="U125" s="591">
        <f>IFERROR(IF(VLOOKUP(U$2,MODULY_CBA!$B$3:$N$23,13,0)&lt;='TCO TO BE- SW'!$D125,SUM('TCO TO BE- SW'!U$37:U$46)*VLOOKUP('TCO TO BE- SW'!U$2,MODULY_CBA!$B$3:$L$23,11,0),0),0)</f>
        <v>0</v>
      </c>
      <c r="V125" s="591">
        <f>IFERROR(IF(VLOOKUP(V$2,MODULY_CBA!$B$3:$N$23,13,0)&lt;='TCO TO BE- SW'!$D125,SUM('TCO TO BE- SW'!V$37:V$46)*VLOOKUP('TCO TO BE- SW'!V$2,MODULY_CBA!$B$3:$L$23,11,0),0),0)</f>
        <v>0</v>
      </c>
      <c r="W125" s="591">
        <f>IFERROR(IF(VLOOKUP(W$2,MODULY_CBA!$B$3:$N$23,13,0)&lt;='TCO TO BE- SW'!$D125,SUM('TCO TO BE- SW'!W$37:W$46)*VLOOKUP('TCO TO BE- SW'!W$2,MODULY_CBA!$B$3:$L$23,11,0),0),0)</f>
        <v>0</v>
      </c>
      <c r="X125" s="591">
        <f>IFERROR(IF(VLOOKUP(X$2,MODULY_CBA!$B$3:$N$23,13,0)&lt;='TCO TO BE- SW'!$D125,SUM('TCO TO BE- SW'!X$37:X$46)*VLOOKUP('TCO TO BE- SW'!X$2,MODULY_CBA!$B$3:$L$23,11,0),0),0)</f>
        <v>0</v>
      </c>
      <c r="Y125" s="591">
        <f>IFERROR(IF(VLOOKUP(Y$2,MODULY_CBA!$B$3:$N$23,13,0)&lt;='TCO TO BE- SW'!$D125,SUM('TCO TO BE- SW'!Y$37:Y$46)*VLOOKUP('TCO TO BE- SW'!Y$2,MODULY_CBA!$B$3:$L$23,11,0),0),0)</f>
        <v>0</v>
      </c>
      <c r="Z125" s="591">
        <f>IFERROR(IF(VLOOKUP(Z$2,MODULY_CBA!$B$3:$N$23,13,0)&lt;='TCO TO BE- SW'!$D125,SUM('TCO TO BE- SW'!Z$37:Z$46)*VLOOKUP('TCO TO BE- SW'!Z$2,MODULY_CBA!$B$3:$L$23,11,0),0),0)</f>
        <v>0</v>
      </c>
    </row>
    <row r="126" spans="1:26" outlineLevel="2" x14ac:dyDescent="0.2">
      <c r="A126" s="1390"/>
      <c r="B126" s="1391"/>
      <c r="C126" s="1391"/>
      <c r="D126" s="64">
        <v>7</v>
      </c>
      <c r="E126" s="68">
        <f t="shared" si="14"/>
        <v>0</v>
      </c>
      <c r="F126" s="591">
        <f>IFERROR(IF(VLOOKUP(F$2,MODULY_CBA!$B$3:$N$23,13,0)&lt;='TCO TO BE- SW'!$D126,SUM('TCO TO BE- SW'!F$37:F$46)*VLOOKUP('TCO TO BE- SW'!F$2,MODULY_CBA!$B$3:$L$23,11,0),0),0)</f>
        <v>0</v>
      </c>
      <c r="G126" s="591">
        <f>IFERROR(IF(VLOOKUP(G$2,MODULY_CBA!$B$3:$N$23,13,0)&lt;='TCO TO BE- SW'!$D126,SUM('TCO TO BE- SW'!G$37:G$46)*VLOOKUP('TCO TO BE- SW'!G$2,MODULY_CBA!$B$3:$L$23,11,0),0),0)</f>
        <v>0</v>
      </c>
      <c r="H126" s="591">
        <f>IFERROR(IF(VLOOKUP(H$2,MODULY_CBA!$B$3:$N$23,13,0)&lt;='TCO TO BE- SW'!$D126,SUM('TCO TO BE- SW'!H$37:H$46)*VLOOKUP('TCO TO BE- SW'!H$2,MODULY_CBA!$B$3:$L$23,11,0),0),0)</f>
        <v>0</v>
      </c>
      <c r="I126" s="591">
        <f>IFERROR(IF(VLOOKUP(I$2,MODULY_CBA!$B$3:$N$23,13,0)&lt;='TCO TO BE- SW'!$D126,SUM('TCO TO BE- SW'!I$37:I$46)*VLOOKUP('TCO TO BE- SW'!I$2,MODULY_CBA!$B$3:$L$23,11,0),0),0)</f>
        <v>0</v>
      </c>
      <c r="J126" s="591">
        <f>IFERROR(IF(VLOOKUP(J$2,MODULY_CBA!$B$3:$N$23,13,0)&lt;='TCO TO BE- SW'!$D126,SUM('TCO TO BE- SW'!J$37:J$46)*VLOOKUP('TCO TO BE- SW'!J$2,MODULY_CBA!$B$3:$L$23,11,0),0),0)</f>
        <v>0</v>
      </c>
      <c r="K126" s="591">
        <f>IFERROR(IF(VLOOKUP(K$2,MODULY_CBA!$B$3:$N$23,13,0)&lt;='TCO TO BE- SW'!$D126,SUM('TCO TO BE- SW'!K$37:K$46)*VLOOKUP('TCO TO BE- SW'!K$2,MODULY_CBA!$B$3:$L$23,11,0),0),0)</f>
        <v>0</v>
      </c>
      <c r="L126" s="591">
        <f>IFERROR(IF(VLOOKUP(L$2,MODULY_CBA!$B$3:$N$23,13,0)&lt;='TCO TO BE- SW'!$D126,SUM('TCO TO BE- SW'!L$37:L$46)*VLOOKUP('TCO TO BE- SW'!L$2,MODULY_CBA!$B$3:$L$23,11,0),0),0)</f>
        <v>0</v>
      </c>
      <c r="M126" s="591">
        <f>IFERROR(IF(VLOOKUP(M$2,MODULY_CBA!$B$3:$N$23,13,0)&lt;='TCO TO BE- SW'!$D126,SUM('TCO TO BE- SW'!M$37:M$46)*VLOOKUP('TCO TO BE- SW'!M$2,MODULY_CBA!$B$3:$L$23,11,0),0),0)</f>
        <v>0</v>
      </c>
      <c r="N126" s="591">
        <f>IFERROR(IF(VLOOKUP(N$2,MODULY_CBA!$B$3:$N$23,13,0)&lt;='TCO TO BE- SW'!$D126,SUM('TCO TO BE- SW'!N$37:N$46)*VLOOKUP('TCO TO BE- SW'!N$2,MODULY_CBA!$B$3:$L$23,11,0),0),0)</f>
        <v>0</v>
      </c>
      <c r="O126" s="591">
        <f>IFERROR(IF(VLOOKUP(O$2,MODULY_CBA!$B$3:$N$23,13,0)&lt;='TCO TO BE- SW'!$D126,SUM('TCO TO BE- SW'!O$37:O$46)*VLOOKUP('TCO TO BE- SW'!O$2,MODULY_CBA!$B$3:$L$23,11,0),0),0)</f>
        <v>0</v>
      </c>
      <c r="P126" s="591">
        <f>IFERROR(IF(VLOOKUP(P$2,MODULY_CBA!$B$3:$N$23,13,0)&lt;='TCO TO BE- SW'!$D126,SUM('TCO TO BE- SW'!P$37:P$46)*VLOOKUP('TCO TO BE- SW'!P$2,MODULY_CBA!$B$3:$L$23,11,0),0),0)</f>
        <v>0</v>
      </c>
      <c r="Q126" s="591">
        <f>IFERROR(IF(VLOOKUP(Q$2,MODULY_CBA!$B$3:$N$23,13,0)&lt;='TCO TO BE- SW'!$D126,SUM('TCO TO BE- SW'!Q$37:Q$46)*VLOOKUP('TCO TO BE- SW'!Q$2,MODULY_CBA!$B$3:$L$23,11,0),0),0)</f>
        <v>0</v>
      </c>
      <c r="R126" s="591">
        <f>IFERROR(IF(VLOOKUP(R$2,MODULY_CBA!$B$3:$N$23,13,0)&lt;='TCO TO BE- SW'!$D126,SUM('TCO TO BE- SW'!R$37:R$46)*VLOOKUP('TCO TO BE- SW'!R$2,MODULY_CBA!$B$3:$L$23,11,0),0),0)</f>
        <v>0</v>
      </c>
      <c r="S126" s="591">
        <f>IFERROR(IF(VLOOKUP(S$2,MODULY_CBA!$B$3:$N$23,13,0)&lt;='TCO TO BE- SW'!$D126,SUM('TCO TO BE- SW'!S$37:S$46)*VLOOKUP('TCO TO BE- SW'!S$2,MODULY_CBA!$B$3:$L$23,11,0),0),0)</f>
        <v>0</v>
      </c>
      <c r="T126" s="591">
        <f>IFERROR(IF(VLOOKUP(T$2,MODULY_CBA!$B$3:$N$23,13,0)&lt;='TCO TO BE- SW'!$D126,SUM('TCO TO BE- SW'!T$37:T$46)*VLOOKUP('TCO TO BE- SW'!T$2,MODULY_CBA!$B$3:$L$23,11,0),0),0)</f>
        <v>0</v>
      </c>
      <c r="U126" s="591">
        <f>IFERROR(IF(VLOOKUP(U$2,MODULY_CBA!$B$3:$N$23,13,0)&lt;='TCO TO BE- SW'!$D126,SUM('TCO TO BE- SW'!U$37:U$46)*VLOOKUP('TCO TO BE- SW'!U$2,MODULY_CBA!$B$3:$L$23,11,0),0),0)</f>
        <v>0</v>
      </c>
      <c r="V126" s="591">
        <f>IFERROR(IF(VLOOKUP(V$2,MODULY_CBA!$B$3:$N$23,13,0)&lt;='TCO TO BE- SW'!$D126,SUM('TCO TO BE- SW'!V$37:V$46)*VLOOKUP('TCO TO BE- SW'!V$2,MODULY_CBA!$B$3:$L$23,11,0),0),0)</f>
        <v>0</v>
      </c>
      <c r="W126" s="591">
        <f>IFERROR(IF(VLOOKUP(W$2,MODULY_CBA!$B$3:$N$23,13,0)&lt;='TCO TO BE- SW'!$D126,SUM('TCO TO BE- SW'!W$37:W$46)*VLOOKUP('TCO TO BE- SW'!W$2,MODULY_CBA!$B$3:$L$23,11,0),0),0)</f>
        <v>0</v>
      </c>
      <c r="X126" s="591">
        <f>IFERROR(IF(VLOOKUP(X$2,MODULY_CBA!$B$3:$N$23,13,0)&lt;='TCO TO BE- SW'!$D126,SUM('TCO TO BE- SW'!X$37:X$46)*VLOOKUP('TCO TO BE- SW'!X$2,MODULY_CBA!$B$3:$L$23,11,0),0),0)</f>
        <v>0</v>
      </c>
      <c r="Y126" s="591">
        <f>IFERROR(IF(VLOOKUP(Y$2,MODULY_CBA!$B$3:$N$23,13,0)&lt;='TCO TO BE- SW'!$D126,SUM('TCO TO BE- SW'!Y$37:Y$46)*VLOOKUP('TCO TO BE- SW'!Y$2,MODULY_CBA!$B$3:$L$23,11,0),0),0)</f>
        <v>0</v>
      </c>
      <c r="Z126" s="591">
        <f>IFERROR(IF(VLOOKUP(Z$2,MODULY_CBA!$B$3:$N$23,13,0)&lt;='TCO TO BE- SW'!$D126,SUM('TCO TO BE- SW'!Z$37:Z$46)*VLOOKUP('TCO TO BE- SW'!Z$2,MODULY_CBA!$B$3:$L$23,11,0),0),0)</f>
        <v>0</v>
      </c>
    </row>
    <row r="127" spans="1:26" outlineLevel="2" x14ac:dyDescent="0.2">
      <c r="A127" s="1390"/>
      <c r="B127" s="1391"/>
      <c r="C127" s="1391"/>
      <c r="D127" s="64">
        <v>8</v>
      </c>
      <c r="E127" s="68">
        <f t="shared" si="14"/>
        <v>0</v>
      </c>
      <c r="F127" s="591">
        <f>IFERROR(IF(VLOOKUP(F$2,MODULY_CBA!$B$3:$N$23,13,0)&lt;='TCO TO BE- SW'!$D127,SUM('TCO TO BE- SW'!F$37:F$46)*VLOOKUP('TCO TO BE- SW'!F$2,MODULY_CBA!$B$3:$L$23,11,0),0),0)</f>
        <v>0</v>
      </c>
      <c r="G127" s="591">
        <f>IFERROR(IF(VLOOKUP(G$2,MODULY_CBA!$B$3:$N$23,13,0)&lt;='TCO TO BE- SW'!$D127,SUM('TCO TO BE- SW'!G$37:G$46)*VLOOKUP('TCO TO BE- SW'!G$2,MODULY_CBA!$B$3:$L$23,11,0),0),0)</f>
        <v>0</v>
      </c>
      <c r="H127" s="591">
        <f>IFERROR(IF(VLOOKUP(H$2,MODULY_CBA!$B$3:$N$23,13,0)&lt;='TCO TO BE- SW'!$D127,SUM('TCO TO BE- SW'!H$37:H$46)*VLOOKUP('TCO TO BE- SW'!H$2,MODULY_CBA!$B$3:$L$23,11,0),0),0)</f>
        <v>0</v>
      </c>
      <c r="I127" s="591">
        <f>IFERROR(IF(VLOOKUP(I$2,MODULY_CBA!$B$3:$N$23,13,0)&lt;='TCO TO BE- SW'!$D127,SUM('TCO TO BE- SW'!I$37:I$46)*VLOOKUP('TCO TO BE- SW'!I$2,MODULY_CBA!$B$3:$L$23,11,0),0),0)</f>
        <v>0</v>
      </c>
      <c r="J127" s="591">
        <f>IFERROR(IF(VLOOKUP(J$2,MODULY_CBA!$B$3:$N$23,13,0)&lt;='TCO TO BE- SW'!$D127,SUM('TCO TO BE- SW'!J$37:J$46)*VLOOKUP('TCO TO BE- SW'!J$2,MODULY_CBA!$B$3:$L$23,11,0),0),0)</f>
        <v>0</v>
      </c>
      <c r="K127" s="591">
        <f>IFERROR(IF(VLOOKUP(K$2,MODULY_CBA!$B$3:$N$23,13,0)&lt;='TCO TO BE- SW'!$D127,SUM('TCO TO BE- SW'!K$37:K$46)*VLOOKUP('TCO TO BE- SW'!K$2,MODULY_CBA!$B$3:$L$23,11,0),0),0)</f>
        <v>0</v>
      </c>
      <c r="L127" s="591">
        <f>IFERROR(IF(VLOOKUP(L$2,MODULY_CBA!$B$3:$N$23,13,0)&lt;='TCO TO BE- SW'!$D127,SUM('TCO TO BE- SW'!L$37:L$46)*VLOOKUP('TCO TO BE- SW'!L$2,MODULY_CBA!$B$3:$L$23,11,0),0),0)</f>
        <v>0</v>
      </c>
      <c r="M127" s="591">
        <f>IFERROR(IF(VLOOKUP(M$2,MODULY_CBA!$B$3:$N$23,13,0)&lt;='TCO TO BE- SW'!$D127,SUM('TCO TO BE- SW'!M$37:M$46)*VLOOKUP('TCO TO BE- SW'!M$2,MODULY_CBA!$B$3:$L$23,11,0),0),0)</f>
        <v>0</v>
      </c>
      <c r="N127" s="591">
        <f>IFERROR(IF(VLOOKUP(N$2,MODULY_CBA!$B$3:$N$23,13,0)&lt;='TCO TO BE- SW'!$D127,SUM('TCO TO BE- SW'!N$37:N$46)*VLOOKUP('TCO TO BE- SW'!N$2,MODULY_CBA!$B$3:$L$23,11,0),0),0)</f>
        <v>0</v>
      </c>
      <c r="O127" s="591">
        <f>IFERROR(IF(VLOOKUP(O$2,MODULY_CBA!$B$3:$N$23,13,0)&lt;='TCO TO BE- SW'!$D127,SUM('TCO TO BE- SW'!O$37:O$46)*VLOOKUP('TCO TO BE- SW'!O$2,MODULY_CBA!$B$3:$L$23,11,0),0),0)</f>
        <v>0</v>
      </c>
      <c r="P127" s="591">
        <f>IFERROR(IF(VLOOKUP(P$2,MODULY_CBA!$B$3:$N$23,13,0)&lt;='TCO TO BE- SW'!$D127,SUM('TCO TO BE- SW'!P$37:P$46)*VLOOKUP('TCO TO BE- SW'!P$2,MODULY_CBA!$B$3:$L$23,11,0),0),0)</f>
        <v>0</v>
      </c>
      <c r="Q127" s="591">
        <f>IFERROR(IF(VLOOKUP(Q$2,MODULY_CBA!$B$3:$N$23,13,0)&lt;='TCO TO BE- SW'!$D127,SUM('TCO TO BE- SW'!Q$37:Q$46)*VLOOKUP('TCO TO BE- SW'!Q$2,MODULY_CBA!$B$3:$L$23,11,0),0),0)</f>
        <v>0</v>
      </c>
      <c r="R127" s="591">
        <f>IFERROR(IF(VLOOKUP(R$2,MODULY_CBA!$B$3:$N$23,13,0)&lt;='TCO TO BE- SW'!$D127,SUM('TCO TO BE- SW'!R$37:R$46)*VLOOKUP('TCO TO BE- SW'!R$2,MODULY_CBA!$B$3:$L$23,11,0),0),0)</f>
        <v>0</v>
      </c>
      <c r="S127" s="591">
        <f>IFERROR(IF(VLOOKUP(S$2,MODULY_CBA!$B$3:$N$23,13,0)&lt;='TCO TO BE- SW'!$D127,SUM('TCO TO BE- SW'!S$37:S$46)*VLOOKUP('TCO TO BE- SW'!S$2,MODULY_CBA!$B$3:$L$23,11,0),0),0)</f>
        <v>0</v>
      </c>
      <c r="T127" s="591">
        <f>IFERROR(IF(VLOOKUP(T$2,MODULY_CBA!$B$3:$N$23,13,0)&lt;='TCO TO BE- SW'!$D127,SUM('TCO TO BE- SW'!T$37:T$46)*VLOOKUP('TCO TO BE- SW'!T$2,MODULY_CBA!$B$3:$L$23,11,0),0),0)</f>
        <v>0</v>
      </c>
      <c r="U127" s="591">
        <f>IFERROR(IF(VLOOKUP(U$2,MODULY_CBA!$B$3:$N$23,13,0)&lt;='TCO TO BE- SW'!$D127,SUM('TCO TO BE- SW'!U$37:U$46)*VLOOKUP('TCO TO BE- SW'!U$2,MODULY_CBA!$B$3:$L$23,11,0),0),0)</f>
        <v>0</v>
      </c>
      <c r="V127" s="591">
        <f>IFERROR(IF(VLOOKUP(V$2,MODULY_CBA!$B$3:$N$23,13,0)&lt;='TCO TO BE- SW'!$D127,SUM('TCO TO BE- SW'!V$37:V$46)*VLOOKUP('TCO TO BE- SW'!V$2,MODULY_CBA!$B$3:$L$23,11,0),0),0)</f>
        <v>0</v>
      </c>
      <c r="W127" s="591">
        <f>IFERROR(IF(VLOOKUP(W$2,MODULY_CBA!$B$3:$N$23,13,0)&lt;='TCO TO BE- SW'!$D127,SUM('TCO TO BE- SW'!W$37:W$46)*VLOOKUP('TCO TO BE- SW'!W$2,MODULY_CBA!$B$3:$L$23,11,0),0),0)</f>
        <v>0</v>
      </c>
      <c r="X127" s="591">
        <f>IFERROR(IF(VLOOKUP(X$2,MODULY_CBA!$B$3:$N$23,13,0)&lt;='TCO TO BE- SW'!$D127,SUM('TCO TO BE- SW'!X$37:X$46)*VLOOKUP('TCO TO BE- SW'!X$2,MODULY_CBA!$B$3:$L$23,11,0),0),0)</f>
        <v>0</v>
      </c>
      <c r="Y127" s="591">
        <f>IFERROR(IF(VLOOKUP(Y$2,MODULY_CBA!$B$3:$N$23,13,0)&lt;='TCO TO BE- SW'!$D127,SUM('TCO TO BE- SW'!Y$37:Y$46)*VLOOKUP('TCO TO BE- SW'!Y$2,MODULY_CBA!$B$3:$L$23,11,0),0),0)</f>
        <v>0</v>
      </c>
      <c r="Z127" s="591">
        <f>IFERROR(IF(VLOOKUP(Z$2,MODULY_CBA!$B$3:$N$23,13,0)&lt;='TCO TO BE- SW'!$D127,SUM('TCO TO BE- SW'!Z$37:Z$46)*VLOOKUP('TCO TO BE- SW'!Z$2,MODULY_CBA!$B$3:$L$23,11,0),0),0)</f>
        <v>0</v>
      </c>
    </row>
    <row r="128" spans="1:26" outlineLevel="2" x14ac:dyDescent="0.2">
      <c r="A128" s="1390"/>
      <c r="B128" s="1391"/>
      <c r="C128" s="1391"/>
      <c r="D128" s="64">
        <v>9</v>
      </c>
      <c r="E128" s="68">
        <f t="shared" si="14"/>
        <v>0</v>
      </c>
      <c r="F128" s="591">
        <f>IFERROR(IF(VLOOKUP(F$2,MODULY_CBA!$B$3:$N$23,13,0)&lt;='TCO TO BE- SW'!$D128,SUM('TCO TO BE- SW'!F$37:F$46)*VLOOKUP('TCO TO BE- SW'!F$2,MODULY_CBA!$B$3:$L$23,11,0),0),0)</f>
        <v>0</v>
      </c>
      <c r="G128" s="591">
        <f>IFERROR(IF(VLOOKUP(G$2,MODULY_CBA!$B$3:$N$23,13,0)&lt;='TCO TO BE- SW'!$D128,SUM('TCO TO BE- SW'!G$37:G$46)*VLOOKUP('TCO TO BE- SW'!G$2,MODULY_CBA!$B$3:$L$23,11,0),0),0)</f>
        <v>0</v>
      </c>
      <c r="H128" s="591">
        <f>IFERROR(IF(VLOOKUP(H$2,MODULY_CBA!$B$3:$N$23,13,0)&lt;='TCO TO BE- SW'!$D128,SUM('TCO TO BE- SW'!H$37:H$46)*VLOOKUP('TCO TO BE- SW'!H$2,MODULY_CBA!$B$3:$L$23,11,0),0),0)</f>
        <v>0</v>
      </c>
      <c r="I128" s="591">
        <f>IFERROR(IF(VLOOKUP(I$2,MODULY_CBA!$B$3:$N$23,13,0)&lt;='TCO TO BE- SW'!$D128,SUM('TCO TO BE- SW'!I$37:I$46)*VLOOKUP('TCO TO BE- SW'!I$2,MODULY_CBA!$B$3:$L$23,11,0),0),0)</f>
        <v>0</v>
      </c>
      <c r="J128" s="591">
        <f>IFERROR(IF(VLOOKUP(J$2,MODULY_CBA!$B$3:$N$23,13,0)&lt;='TCO TO BE- SW'!$D128,SUM('TCO TO BE- SW'!J$37:J$46)*VLOOKUP('TCO TO BE- SW'!J$2,MODULY_CBA!$B$3:$L$23,11,0),0),0)</f>
        <v>0</v>
      </c>
      <c r="K128" s="591">
        <f>IFERROR(IF(VLOOKUP(K$2,MODULY_CBA!$B$3:$N$23,13,0)&lt;='TCO TO BE- SW'!$D128,SUM('TCO TO BE- SW'!K$37:K$46)*VLOOKUP('TCO TO BE- SW'!K$2,MODULY_CBA!$B$3:$L$23,11,0),0),0)</f>
        <v>0</v>
      </c>
      <c r="L128" s="591">
        <f>IFERROR(IF(VLOOKUP(L$2,MODULY_CBA!$B$3:$N$23,13,0)&lt;='TCO TO BE- SW'!$D128,SUM('TCO TO BE- SW'!L$37:L$46)*VLOOKUP('TCO TO BE- SW'!L$2,MODULY_CBA!$B$3:$L$23,11,0),0),0)</f>
        <v>0</v>
      </c>
      <c r="M128" s="591">
        <f>IFERROR(IF(VLOOKUP(M$2,MODULY_CBA!$B$3:$N$23,13,0)&lt;='TCO TO BE- SW'!$D128,SUM('TCO TO BE- SW'!M$37:M$46)*VLOOKUP('TCO TO BE- SW'!M$2,MODULY_CBA!$B$3:$L$23,11,0),0),0)</f>
        <v>0</v>
      </c>
      <c r="N128" s="591">
        <f>IFERROR(IF(VLOOKUP(N$2,MODULY_CBA!$B$3:$N$23,13,0)&lt;='TCO TO BE- SW'!$D128,SUM('TCO TO BE- SW'!N$37:N$46)*VLOOKUP('TCO TO BE- SW'!N$2,MODULY_CBA!$B$3:$L$23,11,0),0),0)</f>
        <v>0</v>
      </c>
      <c r="O128" s="591">
        <f>IFERROR(IF(VLOOKUP(O$2,MODULY_CBA!$B$3:$N$23,13,0)&lt;='TCO TO BE- SW'!$D128,SUM('TCO TO BE- SW'!O$37:O$46)*VLOOKUP('TCO TO BE- SW'!O$2,MODULY_CBA!$B$3:$L$23,11,0),0),0)</f>
        <v>0</v>
      </c>
      <c r="P128" s="591">
        <f>IFERROR(IF(VLOOKUP(P$2,MODULY_CBA!$B$3:$N$23,13,0)&lt;='TCO TO BE- SW'!$D128,SUM('TCO TO BE- SW'!P$37:P$46)*VLOOKUP('TCO TO BE- SW'!P$2,MODULY_CBA!$B$3:$L$23,11,0),0),0)</f>
        <v>0</v>
      </c>
      <c r="Q128" s="591">
        <f>IFERROR(IF(VLOOKUP(Q$2,MODULY_CBA!$B$3:$N$23,13,0)&lt;='TCO TO BE- SW'!$D128,SUM('TCO TO BE- SW'!Q$37:Q$46)*VLOOKUP('TCO TO BE- SW'!Q$2,MODULY_CBA!$B$3:$L$23,11,0),0),0)</f>
        <v>0</v>
      </c>
      <c r="R128" s="591">
        <f>IFERROR(IF(VLOOKUP(R$2,MODULY_CBA!$B$3:$N$23,13,0)&lt;='TCO TO BE- SW'!$D128,SUM('TCO TO BE- SW'!R$37:R$46)*VLOOKUP('TCO TO BE- SW'!R$2,MODULY_CBA!$B$3:$L$23,11,0),0),0)</f>
        <v>0</v>
      </c>
      <c r="S128" s="591">
        <f>IFERROR(IF(VLOOKUP(S$2,MODULY_CBA!$B$3:$N$23,13,0)&lt;='TCO TO BE- SW'!$D128,SUM('TCO TO BE- SW'!S$37:S$46)*VLOOKUP('TCO TO BE- SW'!S$2,MODULY_CBA!$B$3:$L$23,11,0),0),0)</f>
        <v>0</v>
      </c>
      <c r="T128" s="591">
        <f>IFERROR(IF(VLOOKUP(T$2,MODULY_CBA!$B$3:$N$23,13,0)&lt;='TCO TO BE- SW'!$D128,SUM('TCO TO BE- SW'!T$37:T$46)*VLOOKUP('TCO TO BE- SW'!T$2,MODULY_CBA!$B$3:$L$23,11,0),0),0)</f>
        <v>0</v>
      </c>
      <c r="U128" s="591">
        <f>IFERROR(IF(VLOOKUP(U$2,MODULY_CBA!$B$3:$N$23,13,0)&lt;='TCO TO BE- SW'!$D128,SUM('TCO TO BE- SW'!U$37:U$46)*VLOOKUP('TCO TO BE- SW'!U$2,MODULY_CBA!$B$3:$L$23,11,0),0),0)</f>
        <v>0</v>
      </c>
      <c r="V128" s="591">
        <f>IFERROR(IF(VLOOKUP(V$2,MODULY_CBA!$B$3:$N$23,13,0)&lt;='TCO TO BE- SW'!$D128,SUM('TCO TO BE- SW'!V$37:V$46)*VLOOKUP('TCO TO BE- SW'!V$2,MODULY_CBA!$B$3:$L$23,11,0),0),0)</f>
        <v>0</v>
      </c>
      <c r="W128" s="591">
        <f>IFERROR(IF(VLOOKUP(W$2,MODULY_CBA!$B$3:$N$23,13,0)&lt;='TCO TO BE- SW'!$D128,SUM('TCO TO BE- SW'!W$37:W$46)*VLOOKUP('TCO TO BE- SW'!W$2,MODULY_CBA!$B$3:$L$23,11,0),0),0)</f>
        <v>0</v>
      </c>
      <c r="X128" s="591">
        <f>IFERROR(IF(VLOOKUP(X$2,MODULY_CBA!$B$3:$N$23,13,0)&lt;='TCO TO BE- SW'!$D128,SUM('TCO TO BE- SW'!X$37:X$46)*VLOOKUP('TCO TO BE- SW'!X$2,MODULY_CBA!$B$3:$L$23,11,0),0),0)</f>
        <v>0</v>
      </c>
      <c r="Y128" s="591">
        <f>IFERROR(IF(VLOOKUP(Y$2,MODULY_CBA!$B$3:$N$23,13,0)&lt;='TCO TO BE- SW'!$D128,SUM('TCO TO BE- SW'!Y$37:Y$46)*VLOOKUP('TCO TO BE- SW'!Y$2,MODULY_CBA!$B$3:$L$23,11,0),0),0)</f>
        <v>0</v>
      </c>
      <c r="Z128" s="591">
        <f>IFERROR(IF(VLOOKUP(Z$2,MODULY_CBA!$B$3:$N$23,13,0)&lt;='TCO TO BE- SW'!$D128,SUM('TCO TO BE- SW'!Z$37:Z$46)*VLOOKUP('TCO TO BE- SW'!Z$2,MODULY_CBA!$B$3:$L$23,11,0),0),0)</f>
        <v>0</v>
      </c>
    </row>
    <row r="129" spans="1:27" ht="16" outlineLevel="2" thickBot="1" x14ac:dyDescent="0.25">
      <c r="A129" s="1390"/>
      <c r="B129" s="1391"/>
      <c r="C129" s="1391"/>
      <c r="D129" s="65">
        <v>10</v>
      </c>
      <c r="E129" s="69">
        <f t="shared" si="14"/>
        <v>0</v>
      </c>
      <c r="F129" s="591">
        <f>IFERROR(IF(VLOOKUP(F$2,MODULY_CBA!$B$3:$N$23,13,0)&lt;='TCO TO BE- SW'!$D129,SUM('TCO TO BE- SW'!F$37:F$46)*VLOOKUP('TCO TO BE- SW'!F$2,MODULY_CBA!$B$3:$L$23,11,0),0),0)</f>
        <v>0</v>
      </c>
      <c r="G129" s="591">
        <f>IFERROR(IF(VLOOKUP(G$2,MODULY_CBA!$B$3:$N$23,13,0)&lt;='TCO TO BE- SW'!$D129,SUM('TCO TO BE- SW'!G$37:G$46)*VLOOKUP('TCO TO BE- SW'!G$2,MODULY_CBA!$B$3:$L$23,11,0),0),0)</f>
        <v>0</v>
      </c>
      <c r="H129" s="591">
        <f>IFERROR(IF(VLOOKUP(H$2,MODULY_CBA!$B$3:$N$23,13,0)&lt;='TCO TO BE- SW'!$D129,SUM('TCO TO BE- SW'!H$37:H$46)*VLOOKUP('TCO TO BE- SW'!H$2,MODULY_CBA!$B$3:$L$23,11,0),0),0)</f>
        <v>0</v>
      </c>
      <c r="I129" s="591">
        <f>IFERROR(IF(VLOOKUP(I$2,MODULY_CBA!$B$3:$N$23,13,0)&lt;='TCO TO BE- SW'!$D129,SUM('TCO TO BE- SW'!I$37:I$46)*VLOOKUP('TCO TO BE- SW'!I$2,MODULY_CBA!$B$3:$L$23,11,0),0),0)</f>
        <v>0</v>
      </c>
      <c r="J129" s="591">
        <f>IFERROR(IF(VLOOKUP(J$2,MODULY_CBA!$B$3:$N$23,13,0)&lt;='TCO TO BE- SW'!$D129,SUM('TCO TO BE- SW'!J$37:J$46)*VLOOKUP('TCO TO BE- SW'!J$2,MODULY_CBA!$B$3:$L$23,11,0),0),0)</f>
        <v>0</v>
      </c>
      <c r="K129" s="591">
        <f>IFERROR(IF(VLOOKUP(K$2,MODULY_CBA!$B$3:$N$23,13,0)&lt;='TCO TO BE- SW'!$D129,SUM('TCO TO BE- SW'!K$37:K$46)*VLOOKUP('TCO TO BE- SW'!K$2,MODULY_CBA!$B$3:$L$23,11,0),0),0)</f>
        <v>0</v>
      </c>
      <c r="L129" s="591">
        <f>IFERROR(IF(VLOOKUP(L$2,MODULY_CBA!$B$3:$N$23,13,0)&lt;='TCO TO BE- SW'!$D129,SUM('TCO TO BE- SW'!L$37:L$46)*VLOOKUP('TCO TO BE- SW'!L$2,MODULY_CBA!$B$3:$L$23,11,0),0),0)</f>
        <v>0</v>
      </c>
      <c r="M129" s="591">
        <f>IFERROR(IF(VLOOKUP(M$2,MODULY_CBA!$B$3:$N$23,13,0)&lt;='TCO TO BE- SW'!$D129,SUM('TCO TO BE- SW'!M$37:M$46)*VLOOKUP('TCO TO BE- SW'!M$2,MODULY_CBA!$B$3:$L$23,11,0),0),0)</f>
        <v>0</v>
      </c>
      <c r="N129" s="591">
        <f>IFERROR(IF(VLOOKUP(N$2,MODULY_CBA!$B$3:$N$23,13,0)&lt;='TCO TO BE- SW'!$D129,SUM('TCO TO BE- SW'!N$37:N$46)*VLOOKUP('TCO TO BE- SW'!N$2,MODULY_CBA!$B$3:$L$23,11,0),0),0)</f>
        <v>0</v>
      </c>
      <c r="O129" s="591">
        <f>IFERROR(IF(VLOOKUP(O$2,MODULY_CBA!$B$3:$N$23,13,0)&lt;='TCO TO BE- SW'!$D129,SUM('TCO TO BE- SW'!O$37:O$46)*VLOOKUP('TCO TO BE- SW'!O$2,MODULY_CBA!$B$3:$L$23,11,0),0),0)</f>
        <v>0</v>
      </c>
      <c r="P129" s="591">
        <f>IFERROR(IF(VLOOKUP(P$2,MODULY_CBA!$B$3:$N$23,13,0)&lt;='TCO TO BE- SW'!$D129,SUM('TCO TO BE- SW'!P$37:P$46)*VLOOKUP('TCO TO BE- SW'!P$2,MODULY_CBA!$B$3:$L$23,11,0),0),0)</f>
        <v>0</v>
      </c>
      <c r="Q129" s="591">
        <f>IFERROR(IF(VLOOKUP(Q$2,MODULY_CBA!$B$3:$N$23,13,0)&lt;='TCO TO BE- SW'!$D129,SUM('TCO TO BE- SW'!Q$37:Q$46)*VLOOKUP('TCO TO BE- SW'!Q$2,MODULY_CBA!$B$3:$L$23,11,0),0),0)</f>
        <v>0</v>
      </c>
      <c r="R129" s="591">
        <f>IFERROR(IF(VLOOKUP(R$2,MODULY_CBA!$B$3:$N$23,13,0)&lt;='TCO TO BE- SW'!$D129,SUM('TCO TO BE- SW'!R$37:R$46)*VLOOKUP('TCO TO BE- SW'!R$2,MODULY_CBA!$B$3:$L$23,11,0),0),0)</f>
        <v>0</v>
      </c>
      <c r="S129" s="591">
        <f>IFERROR(IF(VLOOKUP(S$2,MODULY_CBA!$B$3:$N$23,13,0)&lt;='TCO TO BE- SW'!$D129,SUM('TCO TO BE- SW'!S$37:S$46)*VLOOKUP('TCO TO BE- SW'!S$2,MODULY_CBA!$B$3:$L$23,11,0),0),0)</f>
        <v>0</v>
      </c>
      <c r="T129" s="591">
        <f>IFERROR(IF(VLOOKUP(T$2,MODULY_CBA!$B$3:$N$23,13,0)&lt;='TCO TO BE- SW'!$D129,SUM('TCO TO BE- SW'!T$37:T$46)*VLOOKUP('TCO TO BE- SW'!T$2,MODULY_CBA!$B$3:$L$23,11,0),0),0)</f>
        <v>0</v>
      </c>
      <c r="U129" s="591">
        <f>IFERROR(IF(VLOOKUP(U$2,MODULY_CBA!$B$3:$N$23,13,0)&lt;='TCO TO BE- SW'!$D129,SUM('TCO TO BE- SW'!U$37:U$46)*VLOOKUP('TCO TO BE- SW'!U$2,MODULY_CBA!$B$3:$L$23,11,0),0),0)</f>
        <v>0</v>
      </c>
      <c r="V129" s="591">
        <f>IFERROR(IF(VLOOKUP(V$2,MODULY_CBA!$B$3:$N$23,13,0)&lt;='TCO TO BE- SW'!$D129,SUM('TCO TO BE- SW'!V$37:V$46)*VLOOKUP('TCO TO BE- SW'!V$2,MODULY_CBA!$B$3:$L$23,11,0),0),0)</f>
        <v>0</v>
      </c>
      <c r="W129" s="591">
        <f>IFERROR(IF(VLOOKUP(W$2,MODULY_CBA!$B$3:$N$23,13,0)&lt;='TCO TO BE- SW'!$D129,SUM('TCO TO BE- SW'!W$37:W$46)*VLOOKUP('TCO TO BE- SW'!W$2,MODULY_CBA!$B$3:$L$23,11,0),0),0)</f>
        <v>0</v>
      </c>
      <c r="X129" s="591">
        <f>IFERROR(IF(VLOOKUP(X$2,MODULY_CBA!$B$3:$N$23,13,0)&lt;='TCO TO BE- SW'!$D129,SUM('TCO TO BE- SW'!X$37:X$46)*VLOOKUP('TCO TO BE- SW'!X$2,MODULY_CBA!$B$3:$L$23,11,0),0),0)</f>
        <v>0</v>
      </c>
      <c r="Y129" s="591">
        <f>IFERROR(IF(VLOOKUP(Y$2,MODULY_CBA!$B$3:$N$23,13,0)&lt;='TCO TO BE- SW'!$D129,SUM('TCO TO BE- SW'!Y$37:Y$46)*VLOOKUP('TCO TO BE- SW'!Y$2,MODULY_CBA!$B$3:$L$23,11,0),0),0)</f>
        <v>0</v>
      </c>
      <c r="Z129" s="591">
        <f>IFERROR(IF(VLOOKUP(Z$2,MODULY_CBA!$B$3:$N$23,13,0)&lt;='TCO TO BE- SW'!$D129,SUM('TCO TO BE- SW'!Z$37:Z$46)*VLOOKUP('TCO TO BE- SW'!Z$2,MODULY_CBA!$B$3:$L$23,11,0),0),0)</f>
        <v>0</v>
      </c>
    </row>
    <row r="130" spans="1:27" outlineLevel="2" x14ac:dyDescent="0.2">
      <c r="A130" s="1390" t="s">
        <v>84</v>
      </c>
      <c r="B130" s="1391" t="s">
        <v>519</v>
      </c>
      <c r="C130" s="1391">
        <v>610</v>
      </c>
      <c r="D130" s="63">
        <v>1</v>
      </c>
      <c r="E130" s="68">
        <f t="shared" si="14"/>
        <v>0</v>
      </c>
      <c r="F130" s="581">
        <v>0</v>
      </c>
      <c r="G130" s="581">
        <v>0</v>
      </c>
      <c r="H130" s="581">
        <v>0</v>
      </c>
      <c r="I130" s="581">
        <v>0</v>
      </c>
      <c r="J130" s="581">
        <v>0</v>
      </c>
      <c r="K130" s="581">
        <v>0</v>
      </c>
      <c r="L130" s="581">
        <v>0</v>
      </c>
      <c r="M130" s="581">
        <v>0</v>
      </c>
      <c r="N130" s="581">
        <v>0</v>
      </c>
      <c r="O130" s="581">
        <v>0</v>
      </c>
      <c r="P130" s="581">
        <v>0</v>
      </c>
      <c r="Q130" s="581">
        <v>0</v>
      </c>
      <c r="R130" s="581">
        <v>0</v>
      </c>
      <c r="S130" s="581">
        <v>0</v>
      </c>
      <c r="T130" s="581">
        <v>0</v>
      </c>
      <c r="U130" s="581">
        <v>0</v>
      </c>
      <c r="V130" s="581">
        <v>0</v>
      </c>
      <c r="W130" s="581">
        <v>0</v>
      </c>
      <c r="X130" s="581">
        <v>0</v>
      </c>
      <c r="Y130" s="581">
        <v>0</v>
      </c>
      <c r="Z130" s="581">
        <v>0</v>
      </c>
    </row>
    <row r="131" spans="1:27" outlineLevel="2" x14ac:dyDescent="0.2">
      <c r="A131" s="1390"/>
      <c r="B131" s="1391"/>
      <c r="C131" s="1391"/>
      <c r="D131" s="64">
        <v>2</v>
      </c>
      <c r="E131" s="68">
        <f t="shared" si="14"/>
        <v>0</v>
      </c>
      <c r="F131" s="582">
        <v>0</v>
      </c>
      <c r="G131" s="582">
        <v>0</v>
      </c>
      <c r="H131" s="582">
        <v>0</v>
      </c>
      <c r="I131" s="582">
        <v>0</v>
      </c>
      <c r="J131" s="582">
        <v>0</v>
      </c>
      <c r="K131" s="582">
        <v>0</v>
      </c>
      <c r="L131" s="582">
        <v>0</v>
      </c>
      <c r="M131" s="582">
        <v>0</v>
      </c>
      <c r="N131" s="582">
        <v>0</v>
      </c>
      <c r="O131" s="582">
        <v>0</v>
      </c>
      <c r="P131" s="582">
        <v>0</v>
      </c>
      <c r="Q131" s="582">
        <v>0</v>
      </c>
      <c r="R131" s="582">
        <v>0</v>
      </c>
      <c r="S131" s="582">
        <v>0</v>
      </c>
      <c r="T131" s="582">
        <v>0</v>
      </c>
      <c r="U131" s="582">
        <v>0</v>
      </c>
      <c r="V131" s="582">
        <v>0</v>
      </c>
      <c r="W131" s="582">
        <v>0</v>
      </c>
      <c r="X131" s="582">
        <v>0</v>
      </c>
      <c r="Y131" s="582">
        <v>0</v>
      </c>
      <c r="Z131" s="582">
        <v>0</v>
      </c>
    </row>
    <row r="132" spans="1:27" outlineLevel="2" x14ac:dyDescent="0.2">
      <c r="A132" s="1390"/>
      <c r="B132" s="1391"/>
      <c r="C132" s="1391"/>
      <c r="D132" s="64">
        <v>3</v>
      </c>
      <c r="E132" s="68">
        <f t="shared" si="14"/>
        <v>0</v>
      </c>
      <c r="F132" s="582">
        <v>0</v>
      </c>
      <c r="G132" s="582">
        <v>0</v>
      </c>
      <c r="H132" s="582">
        <v>0</v>
      </c>
      <c r="I132" s="582">
        <v>0</v>
      </c>
      <c r="J132" s="582">
        <v>0</v>
      </c>
      <c r="K132" s="582">
        <v>0</v>
      </c>
      <c r="L132" s="582">
        <v>0</v>
      </c>
      <c r="M132" s="582">
        <v>0</v>
      </c>
      <c r="N132" s="582">
        <v>0</v>
      </c>
      <c r="O132" s="582">
        <v>0</v>
      </c>
      <c r="P132" s="582">
        <v>0</v>
      </c>
      <c r="Q132" s="582">
        <v>0</v>
      </c>
      <c r="R132" s="582">
        <v>0</v>
      </c>
      <c r="S132" s="582">
        <v>0</v>
      </c>
      <c r="T132" s="582">
        <v>0</v>
      </c>
      <c r="U132" s="582">
        <v>0</v>
      </c>
      <c r="V132" s="582">
        <v>0</v>
      </c>
      <c r="W132" s="582">
        <v>0</v>
      </c>
      <c r="X132" s="582">
        <v>0</v>
      </c>
      <c r="Y132" s="582">
        <v>0</v>
      </c>
      <c r="Z132" s="582">
        <v>0</v>
      </c>
    </row>
    <row r="133" spans="1:27" outlineLevel="2" x14ac:dyDescent="0.2">
      <c r="A133" s="1390"/>
      <c r="B133" s="1391"/>
      <c r="C133" s="1391"/>
      <c r="D133" s="64">
        <v>4</v>
      </c>
      <c r="E133" s="68">
        <f t="shared" si="14"/>
        <v>0</v>
      </c>
      <c r="F133" s="582">
        <v>0</v>
      </c>
      <c r="G133" s="582">
        <v>0</v>
      </c>
      <c r="H133" s="582">
        <v>0</v>
      </c>
      <c r="I133" s="582">
        <v>0</v>
      </c>
      <c r="J133" s="582">
        <v>0</v>
      </c>
      <c r="K133" s="582">
        <v>0</v>
      </c>
      <c r="L133" s="582">
        <v>0</v>
      </c>
      <c r="M133" s="582">
        <v>0</v>
      </c>
      <c r="N133" s="582">
        <v>0</v>
      </c>
      <c r="O133" s="582">
        <v>0</v>
      </c>
      <c r="P133" s="582">
        <v>0</v>
      </c>
      <c r="Q133" s="582">
        <v>0</v>
      </c>
      <c r="R133" s="582">
        <v>0</v>
      </c>
      <c r="S133" s="582">
        <v>0</v>
      </c>
      <c r="T133" s="582">
        <v>0</v>
      </c>
      <c r="U133" s="582">
        <v>0</v>
      </c>
      <c r="V133" s="582">
        <v>0</v>
      </c>
      <c r="W133" s="582">
        <v>0</v>
      </c>
      <c r="X133" s="582">
        <v>0</v>
      </c>
      <c r="Y133" s="582">
        <v>0</v>
      </c>
      <c r="Z133" s="582">
        <v>0</v>
      </c>
    </row>
    <row r="134" spans="1:27" outlineLevel="2" x14ac:dyDescent="0.2">
      <c r="A134" s="1390"/>
      <c r="B134" s="1391"/>
      <c r="C134" s="1391"/>
      <c r="D134" s="64">
        <v>5</v>
      </c>
      <c r="E134" s="68">
        <f t="shared" si="14"/>
        <v>0</v>
      </c>
      <c r="F134" s="582">
        <v>0</v>
      </c>
      <c r="G134" s="582">
        <v>0</v>
      </c>
      <c r="H134" s="582">
        <v>0</v>
      </c>
      <c r="I134" s="582">
        <v>0</v>
      </c>
      <c r="J134" s="582">
        <v>0</v>
      </c>
      <c r="K134" s="582">
        <v>0</v>
      </c>
      <c r="L134" s="582">
        <v>0</v>
      </c>
      <c r="M134" s="582">
        <v>0</v>
      </c>
      <c r="N134" s="582">
        <v>0</v>
      </c>
      <c r="O134" s="582">
        <v>0</v>
      </c>
      <c r="P134" s="582">
        <v>0</v>
      </c>
      <c r="Q134" s="582">
        <v>0</v>
      </c>
      <c r="R134" s="582">
        <v>0</v>
      </c>
      <c r="S134" s="582">
        <v>0</v>
      </c>
      <c r="T134" s="582">
        <v>0</v>
      </c>
      <c r="U134" s="582">
        <v>0</v>
      </c>
      <c r="V134" s="582">
        <v>0</v>
      </c>
      <c r="W134" s="582">
        <v>0</v>
      </c>
      <c r="X134" s="582">
        <v>0</v>
      </c>
      <c r="Y134" s="582">
        <v>0</v>
      </c>
      <c r="Z134" s="582">
        <v>0</v>
      </c>
    </row>
    <row r="135" spans="1:27" outlineLevel="2" x14ac:dyDescent="0.2">
      <c r="A135" s="1390"/>
      <c r="B135" s="1391"/>
      <c r="C135" s="1391"/>
      <c r="D135" s="64">
        <v>6</v>
      </c>
      <c r="E135" s="68">
        <f t="shared" si="14"/>
        <v>0</v>
      </c>
      <c r="F135" s="582">
        <v>0</v>
      </c>
      <c r="G135" s="582">
        <v>0</v>
      </c>
      <c r="H135" s="582">
        <v>0</v>
      </c>
      <c r="I135" s="582">
        <v>0</v>
      </c>
      <c r="J135" s="582">
        <v>0</v>
      </c>
      <c r="K135" s="582">
        <v>0</v>
      </c>
      <c r="L135" s="582">
        <v>0</v>
      </c>
      <c r="M135" s="582">
        <v>0</v>
      </c>
      <c r="N135" s="582">
        <v>0</v>
      </c>
      <c r="O135" s="582">
        <v>0</v>
      </c>
      <c r="P135" s="582">
        <v>0</v>
      </c>
      <c r="Q135" s="582">
        <v>0</v>
      </c>
      <c r="R135" s="582">
        <v>0</v>
      </c>
      <c r="S135" s="582">
        <v>0</v>
      </c>
      <c r="T135" s="582">
        <v>0</v>
      </c>
      <c r="U135" s="582">
        <v>0</v>
      </c>
      <c r="V135" s="582">
        <v>0</v>
      </c>
      <c r="W135" s="582">
        <v>0</v>
      </c>
      <c r="X135" s="582">
        <v>0</v>
      </c>
      <c r="Y135" s="582">
        <v>0</v>
      </c>
      <c r="Z135" s="582">
        <v>0</v>
      </c>
    </row>
    <row r="136" spans="1:27" outlineLevel="2" x14ac:dyDescent="0.2">
      <c r="A136" s="1390"/>
      <c r="B136" s="1391"/>
      <c r="C136" s="1391"/>
      <c r="D136" s="64">
        <v>7</v>
      </c>
      <c r="E136" s="68">
        <f t="shared" si="14"/>
        <v>0</v>
      </c>
      <c r="F136" s="582">
        <v>0</v>
      </c>
      <c r="G136" s="582">
        <v>0</v>
      </c>
      <c r="H136" s="582">
        <v>0</v>
      </c>
      <c r="I136" s="582">
        <v>0</v>
      </c>
      <c r="J136" s="582">
        <v>0</v>
      </c>
      <c r="K136" s="582">
        <v>0</v>
      </c>
      <c r="L136" s="582">
        <v>0</v>
      </c>
      <c r="M136" s="582">
        <v>0</v>
      </c>
      <c r="N136" s="582">
        <v>0</v>
      </c>
      <c r="O136" s="582">
        <v>0</v>
      </c>
      <c r="P136" s="582">
        <v>0</v>
      </c>
      <c r="Q136" s="582">
        <v>0</v>
      </c>
      <c r="R136" s="582">
        <v>0</v>
      </c>
      <c r="S136" s="582">
        <v>0</v>
      </c>
      <c r="T136" s="582">
        <v>0</v>
      </c>
      <c r="U136" s="582">
        <v>0</v>
      </c>
      <c r="V136" s="582">
        <v>0</v>
      </c>
      <c r="W136" s="582">
        <v>0</v>
      </c>
      <c r="X136" s="582">
        <v>0</v>
      </c>
      <c r="Y136" s="582">
        <v>0</v>
      </c>
      <c r="Z136" s="582">
        <v>0</v>
      </c>
    </row>
    <row r="137" spans="1:27" outlineLevel="2" x14ac:dyDescent="0.2">
      <c r="A137" s="1390"/>
      <c r="B137" s="1391"/>
      <c r="C137" s="1391"/>
      <c r="D137" s="64">
        <v>8</v>
      </c>
      <c r="E137" s="68">
        <f t="shared" si="14"/>
        <v>0</v>
      </c>
      <c r="F137" s="582">
        <v>0</v>
      </c>
      <c r="G137" s="582">
        <v>0</v>
      </c>
      <c r="H137" s="582">
        <v>0</v>
      </c>
      <c r="I137" s="582">
        <v>0</v>
      </c>
      <c r="J137" s="582">
        <v>0</v>
      </c>
      <c r="K137" s="582">
        <v>0</v>
      </c>
      <c r="L137" s="582">
        <v>0</v>
      </c>
      <c r="M137" s="582">
        <v>0</v>
      </c>
      <c r="N137" s="582">
        <v>0</v>
      </c>
      <c r="O137" s="582">
        <v>0</v>
      </c>
      <c r="P137" s="582">
        <v>0</v>
      </c>
      <c r="Q137" s="582">
        <v>0</v>
      </c>
      <c r="R137" s="582">
        <v>0</v>
      </c>
      <c r="S137" s="582">
        <v>0</v>
      </c>
      <c r="T137" s="582">
        <v>0</v>
      </c>
      <c r="U137" s="582">
        <v>0</v>
      </c>
      <c r="V137" s="582">
        <v>0</v>
      </c>
      <c r="W137" s="582">
        <v>0</v>
      </c>
      <c r="X137" s="582">
        <v>0</v>
      </c>
      <c r="Y137" s="582">
        <v>0</v>
      </c>
      <c r="Z137" s="582">
        <v>0</v>
      </c>
    </row>
    <row r="138" spans="1:27" outlineLevel="2" x14ac:dyDescent="0.2">
      <c r="A138" s="1390"/>
      <c r="B138" s="1391"/>
      <c r="C138" s="1391"/>
      <c r="D138" s="64">
        <v>9</v>
      </c>
      <c r="E138" s="68">
        <f t="shared" si="14"/>
        <v>0</v>
      </c>
      <c r="F138" s="582">
        <v>0</v>
      </c>
      <c r="G138" s="582">
        <v>0</v>
      </c>
      <c r="H138" s="582">
        <v>0</v>
      </c>
      <c r="I138" s="582">
        <v>0</v>
      </c>
      <c r="J138" s="582">
        <v>0</v>
      </c>
      <c r="K138" s="582">
        <v>0</v>
      </c>
      <c r="L138" s="582">
        <v>0</v>
      </c>
      <c r="M138" s="582">
        <v>0</v>
      </c>
      <c r="N138" s="582">
        <v>0</v>
      </c>
      <c r="O138" s="582">
        <v>0</v>
      </c>
      <c r="P138" s="582">
        <v>0</v>
      </c>
      <c r="Q138" s="582">
        <v>0</v>
      </c>
      <c r="R138" s="582">
        <v>0</v>
      </c>
      <c r="S138" s="582">
        <v>0</v>
      </c>
      <c r="T138" s="582">
        <v>0</v>
      </c>
      <c r="U138" s="582">
        <v>0</v>
      </c>
      <c r="V138" s="582">
        <v>0</v>
      </c>
      <c r="W138" s="582">
        <v>0</v>
      </c>
      <c r="X138" s="582">
        <v>0</v>
      </c>
      <c r="Y138" s="582">
        <v>0</v>
      </c>
      <c r="Z138" s="582">
        <v>0</v>
      </c>
    </row>
    <row r="139" spans="1:27" ht="16" outlineLevel="2" thickBot="1" x14ac:dyDescent="0.25">
      <c r="A139" s="1390"/>
      <c r="B139" s="1391"/>
      <c r="C139" s="1391"/>
      <c r="D139" s="65">
        <v>10</v>
      </c>
      <c r="E139" s="69">
        <f t="shared" si="14"/>
        <v>0</v>
      </c>
      <c r="F139" s="582">
        <v>0</v>
      </c>
      <c r="G139" s="582">
        <v>0</v>
      </c>
      <c r="H139" s="582">
        <v>0</v>
      </c>
      <c r="I139" s="582">
        <v>0</v>
      </c>
      <c r="J139" s="582">
        <v>0</v>
      </c>
      <c r="K139" s="582">
        <v>0</v>
      </c>
      <c r="L139" s="582">
        <v>0</v>
      </c>
      <c r="M139" s="582">
        <v>0</v>
      </c>
      <c r="N139" s="582">
        <v>0</v>
      </c>
      <c r="O139" s="582">
        <v>0</v>
      </c>
      <c r="P139" s="582">
        <v>0</v>
      </c>
      <c r="Q139" s="582">
        <v>0</v>
      </c>
      <c r="R139" s="582">
        <v>0</v>
      </c>
      <c r="S139" s="582">
        <v>0</v>
      </c>
      <c r="T139" s="582">
        <v>0</v>
      </c>
      <c r="U139" s="582">
        <v>0</v>
      </c>
      <c r="V139" s="582">
        <v>0</v>
      </c>
      <c r="W139" s="582">
        <v>0</v>
      </c>
      <c r="X139" s="582">
        <v>0</v>
      </c>
      <c r="Y139" s="582">
        <v>0</v>
      </c>
      <c r="Z139" s="582">
        <v>0</v>
      </c>
      <c r="AA139" s="363"/>
    </row>
    <row r="140" spans="1:27" outlineLevel="2" x14ac:dyDescent="0.2">
      <c r="A140" s="1390" t="s">
        <v>75</v>
      </c>
      <c r="B140" s="1391" t="s">
        <v>76</v>
      </c>
      <c r="C140" s="1391">
        <v>637040</v>
      </c>
      <c r="D140" s="63">
        <v>1</v>
      </c>
      <c r="E140" s="68">
        <f t="shared" si="14"/>
        <v>0</v>
      </c>
      <c r="F140" s="581">
        <v>0</v>
      </c>
      <c r="G140" s="581">
        <v>0</v>
      </c>
      <c r="H140" s="581">
        <v>0</v>
      </c>
      <c r="I140" s="581">
        <v>0</v>
      </c>
      <c r="J140" s="581">
        <v>0</v>
      </c>
      <c r="K140" s="581">
        <v>0</v>
      </c>
      <c r="L140" s="581">
        <v>0</v>
      </c>
      <c r="M140" s="581">
        <v>0</v>
      </c>
      <c r="N140" s="581">
        <v>0</v>
      </c>
      <c r="O140" s="581">
        <v>0</v>
      </c>
      <c r="P140" s="581">
        <v>0</v>
      </c>
      <c r="Q140" s="581">
        <v>0</v>
      </c>
      <c r="R140" s="581">
        <v>0</v>
      </c>
      <c r="S140" s="581">
        <v>0</v>
      </c>
      <c r="T140" s="581">
        <v>0</v>
      </c>
      <c r="U140" s="581">
        <v>0</v>
      </c>
      <c r="V140" s="581">
        <v>0</v>
      </c>
      <c r="W140" s="581">
        <v>0</v>
      </c>
      <c r="X140" s="581">
        <v>0</v>
      </c>
      <c r="Y140" s="581">
        <v>0</v>
      </c>
      <c r="Z140" s="581">
        <v>0</v>
      </c>
    </row>
    <row r="141" spans="1:27" outlineLevel="2" x14ac:dyDescent="0.2">
      <c r="A141" s="1390"/>
      <c r="B141" s="1391"/>
      <c r="C141" s="1391"/>
      <c r="D141" s="64">
        <v>2</v>
      </c>
      <c r="E141" s="68">
        <f t="shared" si="14"/>
        <v>0</v>
      </c>
      <c r="F141" s="582">
        <v>0</v>
      </c>
      <c r="G141" s="582">
        <v>0</v>
      </c>
      <c r="H141" s="582">
        <v>0</v>
      </c>
      <c r="I141" s="582">
        <v>0</v>
      </c>
      <c r="J141" s="582">
        <v>0</v>
      </c>
      <c r="K141" s="582">
        <v>0</v>
      </c>
      <c r="L141" s="582">
        <v>0</v>
      </c>
      <c r="M141" s="582">
        <v>0</v>
      </c>
      <c r="N141" s="582">
        <v>0</v>
      </c>
      <c r="O141" s="582">
        <v>0</v>
      </c>
      <c r="P141" s="582">
        <v>0</v>
      </c>
      <c r="Q141" s="582">
        <v>0</v>
      </c>
      <c r="R141" s="582">
        <v>0</v>
      </c>
      <c r="S141" s="582">
        <v>0</v>
      </c>
      <c r="T141" s="582">
        <v>0</v>
      </c>
      <c r="U141" s="582">
        <v>0</v>
      </c>
      <c r="V141" s="582">
        <v>0</v>
      </c>
      <c r="W141" s="582">
        <v>0</v>
      </c>
      <c r="X141" s="582">
        <v>0</v>
      </c>
      <c r="Y141" s="582">
        <v>0</v>
      </c>
      <c r="Z141" s="582">
        <v>0</v>
      </c>
    </row>
    <row r="142" spans="1:27" outlineLevel="2" x14ac:dyDescent="0.2">
      <c r="A142" s="1390"/>
      <c r="B142" s="1391"/>
      <c r="C142" s="1391"/>
      <c r="D142" s="64">
        <v>3</v>
      </c>
      <c r="E142" s="68">
        <f t="shared" si="14"/>
        <v>0</v>
      </c>
      <c r="F142" s="582">
        <v>0</v>
      </c>
      <c r="G142" s="582">
        <v>0</v>
      </c>
      <c r="H142" s="582">
        <v>0</v>
      </c>
      <c r="I142" s="582">
        <v>0</v>
      </c>
      <c r="J142" s="582">
        <v>0</v>
      </c>
      <c r="K142" s="582">
        <v>0</v>
      </c>
      <c r="L142" s="582">
        <v>0</v>
      </c>
      <c r="M142" s="582">
        <v>0</v>
      </c>
      <c r="N142" s="582">
        <v>0</v>
      </c>
      <c r="O142" s="582">
        <v>0</v>
      </c>
      <c r="P142" s="582">
        <v>0</v>
      </c>
      <c r="Q142" s="582">
        <v>0</v>
      </c>
      <c r="R142" s="582">
        <v>0</v>
      </c>
      <c r="S142" s="582">
        <v>0</v>
      </c>
      <c r="T142" s="582">
        <v>0</v>
      </c>
      <c r="U142" s="582">
        <v>0</v>
      </c>
      <c r="V142" s="582">
        <v>0</v>
      </c>
      <c r="W142" s="582">
        <v>0</v>
      </c>
      <c r="X142" s="582">
        <v>0</v>
      </c>
      <c r="Y142" s="582">
        <v>0</v>
      </c>
      <c r="Z142" s="582">
        <v>0</v>
      </c>
    </row>
    <row r="143" spans="1:27" outlineLevel="2" x14ac:dyDescent="0.2">
      <c r="A143" s="1390"/>
      <c r="B143" s="1391"/>
      <c r="C143" s="1391"/>
      <c r="D143" s="64">
        <v>4</v>
      </c>
      <c r="E143" s="68">
        <f t="shared" si="14"/>
        <v>0</v>
      </c>
      <c r="F143" s="582">
        <v>0</v>
      </c>
      <c r="G143" s="582">
        <v>0</v>
      </c>
      <c r="H143" s="582">
        <v>0</v>
      </c>
      <c r="I143" s="582">
        <v>0</v>
      </c>
      <c r="J143" s="582">
        <v>0</v>
      </c>
      <c r="K143" s="582">
        <v>0</v>
      </c>
      <c r="L143" s="582">
        <v>0</v>
      </c>
      <c r="M143" s="582">
        <v>0</v>
      </c>
      <c r="N143" s="582">
        <v>0</v>
      </c>
      <c r="O143" s="582">
        <v>0</v>
      </c>
      <c r="P143" s="582">
        <v>0</v>
      </c>
      <c r="Q143" s="582">
        <v>0</v>
      </c>
      <c r="R143" s="582">
        <v>0</v>
      </c>
      <c r="S143" s="582">
        <v>0</v>
      </c>
      <c r="T143" s="582">
        <v>0</v>
      </c>
      <c r="U143" s="582">
        <v>0</v>
      </c>
      <c r="V143" s="582">
        <v>0</v>
      </c>
      <c r="W143" s="582">
        <v>0</v>
      </c>
      <c r="X143" s="582">
        <v>0</v>
      </c>
      <c r="Y143" s="582">
        <v>0</v>
      </c>
      <c r="Z143" s="582">
        <v>0</v>
      </c>
    </row>
    <row r="144" spans="1:27" outlineLevel="2" x14ac:dyDescent="0.2">
      <c r="A144" s="1390"/>
      <c r="B144" s="1391"/>
      <c r="C144" s="1391"/>
      <c r="D144" s="64">
        <v>5</v>
      </c>
      <c r="E144" s="68">
        <f t="shared" si="14"/>
        <v>0</v>
      </c>
      <c r="F144" s="582">
        <v>0</v>
      </c>
      <c r="G144" s="582">
        <v>0</v>
      </c>
      <c r="H144" s="582">
        <v>0</v>
      </c>
      <c r="I144" s="582">
        <v>0</v>
      </c>
      <c r="J144" s="582">
        <v>0</v>
      </c>
      <c r="K144" s="582">
        <v>0</v>
      </c>
      <c r="L144" s="582">
        <v>0</v>
      </c>
      <c r="M144" s="582">
        <v>0</v>
      </c>
      <c r="N144" s="582">
        <v>0</v>
      </c>
      <c r="O144" s="582">
        <v>0</v>
      </c>
      <c r="P144" s="582">
        <v>0</v>
      </c>
      <c r="Q144" s="582">
        <v>0</v>
      </c>
      <c r="R144" s="582">
        <v>0</v>
      </c>
      <c r="S144" s="582">
        <v>0</v>
      </c>
      <c r="T144" s="582">
        <v>0</v>
      </c>
      <c r="U144" s="582">
        <v>0</v>
      </c>
      <c r="V144" s="582">
        <v>0</v>
      </c>
      <c r="W144" s="582">
        <v>0</v>
      </c>
      <c r="X144" s="582">
        <v>0</v>
      </c>
      <c r="Y144" s="582">
        <v>0</v>
      </c>
      <c r="Z144" s="582">
        <v>0</v>
      </c>
    </row>
    <row r="145" spans="1:26" outlineLevel="2" x14ac:dyDescent="0.2">
      <c r="A145" s="1390"/>
      <c r="B145" s="1391"/>
      <c r="C145" s="1391"/>
      <c r="D145" s="64">
        <v>6</v>
      </c>
      <c r="E145" s="68">
        <f t="shared" si="14"/>
        <v>0</v>
      </c>
      <c r="F145" s="582">
        <v>0</v>
      </c>
      <c r="G145" s="582">
        <v>0</v>
      </c>
      <c r="H145" s="582">
        <v>0</v>
      </c>
      <c r="I145" s="582">
        <v>0</v>
      </c>
      <c r="J145" s="582">
        <v>0</v>
      </c>
      <c r="K145" s="582">
        <v>0</v>
      </c>
      <c r="L145" s="582">
        <v>0</v>
      </c>
      <c r="M145" s="582">
        <v>0</v>
      </c>
      <c r="N145" s="582">
        <v>0</v>
      </c>
      <c r="O145" s="582">
        <v>0</v>
      </c>
      <c r="P145" s="582">
        <v>0</v>
      </c>
      <c r="Q145" s="582">
        <v>0</v>
      </c>
      <c r="R145" s="582">
        <v>0</v>
      </c>
      <c r="S145" s="582">
        <v>0</v>
      </c>
      <c r="T145" s="582">
        <v>0</v>
      </c>
      <c r="U145" s="582">
        <v>0</v>
      </c>
      <c r="V145" s="582">
        <v>0</v>
      </c>
      <c r="W145" s="582">
        <v>0</v>
      </c>
      <c r="X145" s="582">
        <v>0</v>
      </c>
      <c r="Y145" s="582">
        <v>0</v>
      </c>
      <c r="Z145" s="582">
        <v>0</v>
      </c>
    </row>
    <row r="146" spans="1:26" outlineLevel="2" x14ac:dyDescent="0.2">
      <c r="A146" s="1390"/>
      <c r="B146" s="1391"/>
      <c r="C146" s="1391"/>
      <c r="D146" s="64">
        <v>7</v>
      </c>
      <c r="E146" s="68">
        <f t="shared" si="14"/>
        <v>0</v>
      </c>
      <c r="F146" s="582">
        <v>0</v>
      </c>
      <c r="G146" s="582">
        <v>0</v>
      </c>
      <c r="H146" s="582">
        <v>0</v>
      </c>
      <c r="I146" s="582">
        <v>0</v>
      </c>
      <c r="J146" s="582">
        <v>0</v>
      </c>
      <c r="K146" s="582">
        <v>0</v>
      </c>
      <c r="L146" s="582">
        <v>0</v>
      </c>
      <c r="M146" s="582">
        <v>0</v>
      </c>
      <c r="N146" s="582">
        <v>0</v>
      </c>
      <c r="O146" s="582">
        <v>0</v>
      </c>
      <c r="P146" s="582">
        <v>0</v>
      </c>
      <c r="Q146" s="582">
        <v>0</v>
      </c>
      <c r="R146" s="582">
        <v>0</v>
      </c>
      <c r="S146" s="582">
        <v>0</v>
      </c>
      <c r="T146" s="582">
        <v>0</v>
      </c>
      <c r="U146" s="582">
        <v>0</v>
      </c>
      <c r="V146" s="582">
        <v>0</v>
      </c>
      <c r="W146" s="582">
        <v>0</v>
      </c>
      <c r="X146" s="582">
        <v>0</v>
      </c>
      <c r="Y146" s="582">
        <v>0</v>
      </c>
      <c r="Z146" s="582">
        <v>0</v>
      </c>
    </row>
    <row r="147" spans="1:26" outlineLevel="2" x14ac:dyDescent="0.2">
      <c r="A147" s="1390"/>
      <c r="B147" s="1391"/>
      <c r="C147" s="1391"/>
      <c r="D147" s="64">
        <v>8</v>
      </c>
      <c r="E147" s="68">
        <f t="shared" si="14"/>
        <v>0</v>
      </c>
      <c r="F147" s="582">
        <v>0</v>
      </c>
      <c r="G147" s="582">
        <v>0</v>
      </c>
      <c r="H147" s="582">
        <v>0</v>
      </c>
      <c r="I147" s="582">
        <v>0</v>
      </c>
      <c r="J147" s="582">
        <v>0</v>
      </c>
      <c r="K147" s="582">
        <v>0</v>
      </c>
      <c r="L147" s="582">
        <v>0</v>
      </c>
      <c r="M147" s="582">
        <v>0</v>
      </c>
      <c r="N147" s="582">
        <v>0</v>
      </c>
      <c r="O147" s="582">
        <v>0</v>
      </c>
      <c r="P147" s="582">
        <v>0</v>
      </c>
      <c r="Q147" s="582">
        <v>0</v>
      </c>
      <c r="R147" s="582">
        <v>0</v>
      </c>
      <c r="S147" s="582">
        <v>0</v>
      </c>
      <c r="T147" s="582">
        <v>0</v>
      </c>
      <c r="U147" s="582">
        <v>0</v>
      </c>
      <c r="V147" s="582">
        <v>0</v>
      </c>
      <c r="W147" s="582">
        <v>0</v>
      </c>
      <c r="X147" s="582">
        <v>0</v>
      </c>
      <c r="Y147" s="582">
        <v>0</v>
      </c>
      <c r="Z147" s="582">
        <v>0</v>
      </c>
    </row>
    <row r="148" spans="1:26" outlineLevel="2" x14ac:dyDescent="0.2">
      <c r="A148" s="1390"/>
      <c r="B148" s="1391"/>
      <c r="C148" s="1391"/>
      <c r="D148" s="64">
        <v>9</v>
      </c>
      <c r="E148" s="68">
        <f t="shared" si="14"/>
        <v>0</v>
      </c>
      <c r="F148" s="582">
        <v>0</v>
      </c>
      <c r="G148" s="582">
        <v>0</v>
      </c>
      <c r="H148" s="582">
        <v>0</v>
      </c>
      <c r="I148" s="582">
        <v>0</v>
      </c>
      <c r="J148" s="582">
        <v>0</v>
      </c>
      <c r="K148" s="582">
        <v>0</v>
      </c>
      <c r="L148" s="582">
        <v>0</v>
      </c>
      <c r="M148" s="582">
        <v>0</v>
      </c>
      <c r="N148" s="582">
        <v>0</v>
      </c>
      <c r="O148" s="582">
        <v>0</v>
      </c>
      <c r="P148" s="582">
        <v>0</v>
      </c>
      <c r="Q148" s="582">
        <v>0</v>
      </c>
      <c r="R148" s="582">
        <v>0</v>
      </c>
      <c r="S148" s="582">
        <v>0</v>
      </c>
      <c r="T148" s="582">
        <v>0</v>
      </c>
      <c r="U148" s="582">
        <v>0</v>
      </c>
      <c r="V148" s="582">
        <v>0</v>
      </c>
      <c r="W148" s="582">
        <v>0</v>
      </c>
      <c r="X148" s="582">
        <v>0</v>
      </c>
      <c r="Y148" s="582">
        <v>0</v>
      </c>
      <c r="Z148" s="582">
        <v>0</v>
      </c>
    </row>
    <row r="149" spans="1:26" ht="16" outlineLevel="2" thickBot="1" x14ac:dyDescent="0.25">
      <c r="A149" s="1390"/>
      <c r="B149" s="1391"/>
      <c r="C149" s="1391"/>
      <c r="D149" s="65">
        <v>10</v>
      </c>
      <c r="E149" s="69">
        <f t="shared" si="14"/>
        <v>0</v>
      </c>
      <c r="F149" s="586">
        <v>0</v>
      </c>
      <c r="G149" s="586">
        <v>0</v>
      </c>
      <c r="H149" s="586">
        <v>0</v>
      </c>
      <c r="I149" s="586">
        <v>0</v>
      </c>
      <c r="J149" s="586">
        <v>0</v>
      </c>
      <c r="K149" s="586">
        <v>0</v>
      </c>
      <c r="L149" s="586">
        <v>0</v>
      </c>
      <c r="M149" s="586">
        <v>0</v>
      </c>
      <c r="N149" s="586">
        <v>0</v>
      </c>
      <c r="O149" s="586">
        <v>0</v>
      </c>
      <c r="P149" s="586">
        <v>0</v>
      </c>
      <c r="Q149" s="586">
        <v>0</v>
      </c>
      <c r="R149" s="586">
        <v>0</v>
      </c>
      <c r="S149" s="586">
        <v>0</v>
      </c>
      <c r="T149" s="586">
        <v>0</v>
      </c>
      <c r="U149" s="586">
        <v>0</v>
      </c>
      <c r="V149" s="586">
        <v>0</v>
      </c>
      <c r="W149" s="586">
        <v>0</v>
      </c>
      <c r="X149" s="586">
        <v>0</v>
      </c>
      <c r="Y149" s="586">
        <v>0</v>
      </c>
      <c r="Z149" s="586">
        <v>0</v>
      </c>
    </row>
    <row r="150" spans="1:26" ht="16" thickBot="1" x14ac:dyDescent="0.25">
      <c r="A150" s="17" t="s">
        <v>233</v>
      </c>
      <c r="B150" s="17"/>
      <c r="C150" s="17"/>
      <c r="D150" s="27"/>
      <c r="E150" s="110">
        <f t="shared" ref="E150:Z150" si="15">SUM(E151:E170)</f>
        <v>1864482.9380306648</v>
      </c>
      <c r="F150" s="111">
        <f t="shared" si="15"/>
        <v>556200.19519571995</v>
      </c>
      <c r="G150" s="111">
        <f t="shared" si="15"/>
        <v>108818.79380182804</v>
      </c>
      <c r="H150" s="111">
        <f t="shared" si="15"/>
        <v>27702.740928941977</v>
      </c>
      <c r="I150" s="111">
        <f t="shared" si="15"/>
        <v>25830.000000000004</v>
      </c>
      <c r="J150" s="111">
        <f t="shared" si="15"/>
        <v>87966.008759999982</v>
      </c>
      <c r="K150" s="111">
        <f t="shared" si="15"/>
        <v>448821.32077020005</v>
      </c>
      <c r="L150" s="111">
        <f t="shared" si="15"/>
        <v>277005.24489000003</v>
      </c>
      <c r="M150" s="111">
        <f t="shared" si="15"/>
        <v>144154.7052</v>
      </c>
      <c r="N150" s="111">
        <f t="shared" si="15"/>
        <v>42877.8</v>
      </c>
      <c r="O150" s="111">
        <f t="shared" si="15"/>
        <v>22730.356693974998</v>
      </c>
      <c r="P150" s="111">
        <f t="shared" si="15"/>
        <v>122375.77178999998</v>
      </c>
      <c r="Q150" s="111">
        <f t="shared" si="15"/>
        <v>0</v>
      </c>
      <c r="R150" s="111">
        <f t="shared" si="15"/>
        <v>0</v>
      </c>
      <c r="S150" s="111">
        <f t="shared" si="15"/>
        <v>0</v>
      </c>
      <c r="T150" s="111">
        <f t="shared" si="15"/>
        <v>0</v>
      </c>
      <c r="U150" s="111">
        <f t="shared" si="15"/>
        <v>0</v>
      </c>
      <c r="V150" s="111">
        <f t="shared" si="15"/>
        <v>0</v>
      </c>
      <c r="W150" s="111">
        <f t="shared" si="15"/>
        <v>0</v>
      </c>
      <c r="X150" s="111">
        <f t="shared" si="15"/>
        <v>0</v>
      </c>
      <c r="Y150" s="111">
        <f t="shared" si="15"/>
        <v>0</v>
      </c>
      <c r="Z150" s="111">
        <f t="shared" si="15"/>
        <v>0</v>
      </c>
    </row>
    <row r="151" spans="1:26" x14ac:dyDescent="0.2">
      <c r="A151" s="1390" t="s">
        <v>234</v>
      </c>
      <c r="B151" s="1391"/>
      <c r="C151" s="1391"/>
      <c r="D151" s="63">
        <v>1</v>
      </c>
      <c r="E151" s="67">
        <f t="shared" ref="E151:E170" si="16">SUM(F151:Z151)</f>
        <v>0</v>
      </c>
      <c r="F151" s="578">
        <f>IFERROR(IF((POZICIE_INTERNE!$B$61-12*('TCO TO BE- SW'!$D151-1))&gt;12,((F$4+'TCO TO BE - HW'!F$4)/($E$4+'TCO TO BE - HW'!$E$4)*SUM(POZICIE_INTERNE!$I$61:$I$72))/POZICIE_INTERNE!$B$61*12,IF((POZICIE_INTERNE!$B$61-12*('TCO TO BE- SW'!$D151-1))&lt;0,0,(POZICIE_INTERNE!$B$61-12*('TCO TO BE- SW'!$D151-1))*((F$4+'TCO TO BE - HW'!F$4)/($E$4+'TCO TO BE - HW'!$E$4)*SUM(POZICIE_INTERNE!$I$61:$I$72))/POZICIE_INTERNE!$B$61)),0)+IFERROR(IF((EXTERNE_POZICIE!$B$41-12*('TCO TO BE- SW'!$D151-1))&gt;12,((F$4+'TCO TO BE - HW'!F$4)/($E$4+'TCO TO BE - HW'!$E$4)*SUM(EXTERNE_POZICIE!$M$41:$M$52)*1.23)/EXTERNE_POZICIE!$B$41*12,IF((EXTERNE_POZICIE!$B$41-12*('TCO TO BE- SW'!$D151-1))&lt;0,0,(EXTERNE_POZICIE!$B$41-12*('TCO TO BE- SW'!$D151-1))*((F$4+'TCO TO BE - HW'!F$4)/($E$4+'TCO TO BE - HW'!$E$4)*SUM(EXTERNE_POZICIE!$M$41:$M$52)*1.23)/EXTERNE_POZICIE!$B$41)),0)+IFERROR(SUM(#REF!)*'TCO TO BE- SW'!F$4/'TCO TO BE- SW'!$E$4,0)</f>
        <v>0</v>
      </c>
      <c r="G151" s="578">
        <f>IFERROR(IF((POZICIE_INTERNE!$B$61-12*('TCO TO BE- SW'!$D151-1))&gt;12,((G$4+'TCO TO BE - HW'!G$4)/($E$4+'TCO TO BE - HW'!$E$4)*SUM(POZICIE_INTERNE!$I$61:$I$72))/POZICIE_INTERNE!$B$61*12,IF((POZICIE_INTERNE!$B$61-12*('TCO TO BE- SW'!$D151-1))&lt;0,0,(POZICIE_INTERNE!$B$61-12*('TCO TO BE- SW'!$D151-1))*((G$4+'TCO TO BE - HW'!G$4)/($E$4+'TCO TO BE - HW'!$E$4)*SUM(POZICIE_INTERNE!$I$61:$I$72))/POZICIE_INTERNE!$B$61)),0)+IFERROR(IF((EXTERNE_POZICIE!$B$41-12*('TCO TO BE- SW'!$D151-1))&gt;12,((G$4+'TCO TO BE - HW'!G$4)/($E$4+'TCO TO BE - HW'!$E$4)*SUM(EXTERNE_POZICIE!$M$41:$M$52)*1.23)/EXTERNE_POZICIE!$B$41*12,IF((EXTERNE_POZICIE!$B$41-12*('TCO TO BE- SW'!$D151-1))&lt;0,0,(EXTERNE_POZICIE!$B$41-12*('TCO TO BE- SW'!$D151-1))*((G$4+'TCO TO BE - HW'!G$4)/($E$4+'TCO TO BE - HW'!$E$4)*SUM(EXTERNE_POZICIE!$M$41:$M$52)*1.23)/EXTERNE_POZICIE!$B$41)),0)+IFERROR(SUM(#REF!)*'TCO TO BE- SW'!G$4/'TCO TO BE- SW'!$E$4,0)</f>
        <v>0</v>
      </c>
      <c r="H151" s="578">
        <f>IFERROR(IF((POZICIE_INTERNE!$B$61-12*('TCO TO BE- SW'!$D151-1))&gt;12,((H$4+'TCO TO BE - HW'!H$4)/($E$4+'TCO TO BE - HW'!$E$4)*SUM(POZICIE_INTERNE!$I$61:$I$72))/POZICIE_INTERNE!$B$61*12,IF((POZICIE_INTERNE!$B$61-12*('TCO TO BE- SW'!$D151-1))&lt;0,0,(POZICIE_INTERNE!$B$61-12*('TCO TO BE- SW'!$D151-1))*((H$4+'TCO TO BE - HW'!H$4)/($E$4+'TCO TO BE - HW'!$E$4)*SUM(POZICIE_INTERNE!$I$61:$I$72))/POZICIE_INTERNE!$B$61)),0)+IFERROR(IF((EXTERNE_POZICIE!$B$41-12*('TCO TO BE- SW'!$D151-1))&gt;12,((H$4+'TCO TO BE - HW'!H$4)/($E$4+'TCO TO BE - HW'!$E$4)*SUM(EXTERNE_POZICIE!$M$41:$M$52)*1.23)/EXTERNE_POZICIE!$B$41*12,IF((EXTERNE_POZICIE!$B$41-12*('TCO TO BE- SW'!$D151-1))&lt;0,0,(EXTERNE_POZICIE!$B$41-12*('TCO TO BE- SW'!$D151-1))*((H$4+'TCO TO BE - HW'!H$4)/($E$4+'TCO TO BE - HW'!$E$4)*SUM(EXTERNE_POZICIE!$M$41:$M$52)*1.23)/EXTERNE_POZICIE!$B$41)),0)+IFERROR(SUM(#REF!)*'TCO TO BE- SW'!H$4/'TCO TO BE- SW'!$E$4,0)</f>
        <v>0</v>
      </c>
      <c r="I151" s="578">
        <f>IFERROR(IF((POZICIE_INTERNE!$B$61-12*('TCO TO BE- SW'!$D151-1))&gt;12,((I$4+'TCO TO BE - HW'!I$4)/($E$4+'TCO TO BE - HW'!$E$4)*SUM(POZICIE_INTERNE!$I$61:$I$72))/POZICIE_INTERNE!$B$61*12,IF((POZICIE_INTERNE!$B$61-12*('TCO TO BE- SW'!$D151-1))&lt;0,0,(POZICIE_INTERNE!$B$61-12*('TCO TO BE- SW'!$D151-1))*((I$4+'TCO TO BE - HW'!I$4)/($E$4+'TCO TO BE - HW'!$E$4)*SUM(POZICIE_INTERNE!$I$61:$I$72))/POZICIE_INTERNE!$B$61)),0)+IFERROR(IF((EXTERNE_POZICIE!$B$41-12*('TCO TO BE- SW'!$D151-1))&gt;12,((I$4+'TCO TO BE - HW'!I$4)/($E$4+'TCO TO BE - HW'!$E$4)*SUM(EXTERNE_POZICIE!$M$41:$M$52)*1.23)/EXTERNE_POZICIE!$B$41*12,IF((EXTERNE_POZICIE!$B$41-12*('TCO TO BE- SW'!$D151-1))&lt;0,0,(EXTERNE_POZICIE!$B$41-12*('TCO TO BE- SW'!$D151-1))*((I$4+'TCO TO BE - HW'!I$4)/($E$4+'TCO TO BE - HW'!$E$4)*SUM(EXTERNE_POZICIE!$M$41:$M$52)*1.23)/EXTERNE_POZICIE!$B$41)),0)+IFERROR(SUM(#REF!)*'TCO TO BE- SW'!I$4/'TCO TO BE- SW'!$E$4,0)</f>
        <v>0</v>
      </c>
      <c r="J151" s="578">
        <f>IFERROR(IF((POZICIE_INTERNE!$B$61-12*('TCO TO BE- SW'!$D151-1))&gt;12,((J$4+'TCO TO BE - HW'!J$4)/($E$4+'TCO TO BE - HW'!$E$4)*SUM(POZICIE_INTERNE!$I$61:$I$72))/POZICIE_INTERNE!$B$61*12,IF((POZICIE_INTERNE!$B$61-12*('TCO TO BE- SW'!$D151-1))&lt;0,0,(POZICIE_INTERNE!$B$61-12*('TCO TO BE- SW'!$D151-1))*((J$4+'TCO TO BE - HW'!J$4)/($E$4+'TCO TO BE - HW'!$E$4)*SUM(POZICIE_INTERNE!$I$61:$I$72))/POZICIE_INTERNE!$B$61)),0)+IFERROR(IF((EXTERNE_POZICIE!$B$41-12*('TCO TO BE- SW'!$D151-1))&gt;12,((J$4+'TCO TO BE - HW'!J$4)/($E$4+'TCO TO BE - HW'!$E$4)*SUM(EXTERNE_POZICIE!$M$41:$M$52)*1.23)/EXTERNE_POZICIE!$B$41*12,IF((EXTERNE_POZICIE!$B$41-12*('TCO TO BE- SW'!$D151-1))&lt;0,0,(EXTERNE_POZICIE!$B$41-12*('TCO TO BE- SW'!$D151-1))*((J$4+'TCO TO BE - HW'!J$4)/($E$4+'TCO TO BE - HW'!$E$4)*SUM(EXTERNE_POZICIE!$M$41:$M$52)*1.23)/EXTERNE_POZICIE!$B$41)),0)+IFERROR(SUM(#REF!)*'TCO TO BE- SW'!J$4/'TCO TO BE- SW'!$E$4,0)</f>
        <v>0</v>
      </c>
      <c r="K151" s="578">
        <f>IFERROR(IF((POZICIE_INTERNE!$B$61-12*('TCO TO BE- SW'!$D151-1))&gt;12,((K$4+'TCO TO BE - HW'!K$4)/($E$4+'TCO TO BE - HW'!$E$4)*SUM(POZICIE_INTERNE!$I$61:$I$72))/POZICIE_INTERNE!$B$61*12,IF((POZICIE_INTERNE!$B$61-12*('TCO TO BE- SW'!$D151-1))&lt;0,0,(POZICIE_INTERNE!$B$61-12*('TCO TO BE- SW'!$D151-1))*((K$4+'TCO TO BE - HW'!K$4)/($E$4+'TCO TO BE - HW'!$E$4)*SUM(POZICIE_INTERNE!$I$61:$I$72))/POZICIE_INTERNE!$B$61)),0)+IFERROR(IF((EXTERNE_POZICIE!$B$41-12*('TCO TO BE- SW'!$D151-1))&gt;12,((K$4+'TCO TO BE - HW'!K$4)/($E$4+'TCO TO BE - HW'!$E$4)*SUM(EXTERNE_POZICIE!$M$41:$M$52)*1.23)/EXTERNE_POZICIE!$B$41*12,IF((EXTERNE_POZICIE!$B$41-12*('TCO TO BE- SW'!$D151-1))&lt;0,0,(EXTERNE_POZICIE!$B$41-12*('TCO TO BE- SW'!$D151-1))*((K$4+'TCO TO BE - HW'!K$4)/($E$4+'TCO TO BE - HW'!$E$4)*SUM(EXTERNE_POZICIE!$M$41:$M$52)*1.23)/EXTERNE_POZICIE!$B$41)),0)+IFERROR(SUM(#REF!)*'TCO TO BE- SW'!K$4/'TCO TO BE- SW'!$E$4,0)</f>
        <v>0</v>
      </c>
      <c r="L151" s="578">
        <f>IFERROR(IF((POZICIE_INTERNE!$B$61-12*('TCO TO BE- SW'!$D151-1))&gt;12,((L$4+'TCO TO BE - HW'!L$4)/($E$4+'TCO TO BE - HW'!$E$4)*SUM(POZICIE_INTERNE!$I$61:$I$72))/POZICIE_INTERNE!$B$61*12,IF((POZICIE_INTERNE!$B$61-12*('TCO TO BE- SW'!$D151-1))&lt;0,0,(POZICIE_INTERNE!$B$61-12*('TCO TO BE- SW'!$D151-1))*((L$4+'TCO TO BE - HW'!L$4)/($E$4+'TCO TO BE - HW'!$E$4)*SUM(POZICIE_INTERNE!$I$61:$I$72))/POZICIE_INTERNE!$B$61)),0)+IFERROR(IF((EXTERNE_POZICIE!$B$41-12*('TCO TO BE- SW'!$D151-1))&gt;12,((L$4+'TCO TO BE - HW'!L$4)/($E$4+'TCO TO BE - HW'!$E$4)*SUM(EXTERNE_POZICIE!$M$41:$M$52)*1.23)/EXTERNE_POZICIE!$B$41*12,IF((EXTERNE_POZICIE!$B$41-12*('TCO TO BE- SW'!$D151-1))&lt;0,0,(EXTERNE_POZICIE!$B$41-12*('TCO TO BE- SW'!$D151-1))*((L$4+'TCO TO BE - HW'!L$4)/($E$4+'TCO TO BE - HW'!$E$4)*SUM(EXTERNE_POZICIE!$M$41:$M$52)*1.23)/EXTERNE_POZICIE!$B$41)),0)+IFERROR(SUM(#REF!)*'TCO TO BE- SW'!L$4/'TCO TO BE- SW'!$E$4,0)</f>
        <v>0</v>
      </c>
      <c r="M151" s="578">
        <f>IFERROR(IF((POZICIE_INTERNE!$B$61-12*('TCO TO BE- SW'!$D151-1))&gt;12,((M$4+'TCO TO BE - HW'!M$4)/($E$4+'TCO TO BE - HW'!$E$4)*SUM(POZICIE_INTERNE!$I$61:$I$72))/POZICIE_INTERNE!$B$61*12,IF((POZICIE_INTERNE!$B$61-12*('TCO TO BE- SW'!$D151-1))&lt;0,0,(POZICIE_INTERNE!$B$61-12*('TCO TO BE- SW'!$D151-1))*((M$4+'TCO TO BE - HW'!M$4)/($E$4+'TCO TO BE - HW'!$E$4)*SUM(POZICIE_INTERNE!$I$61:$I$72))/POZICIE_INTERNE!$B$61)),0)+IFERROR(IF((EXTERNE_POZICIE!$B$41-12*('TCO TO BE- SW'!$D151-1))&gt;12,((M$4+'TCO TO BE - HW'!M$4)/($E$4+'TCO TO BE - HW'!$E$4)*SUM(EXTERNE_POZICIE!$M$41:$M$52)*1.23)/EXTERNE_POZICIE!$B$41*12,IF((EXTERNE_POZICIE!$B$41-12*('TCO TO BE- SW'!$D151-1))&lt;0,0,(EXTERNE_POZICIE!$B$41-12*('TCO TO BE- SW'!$D151-1))*((M$4+'TCO TO BE - HW'!M$4)/($E$4+'TCO TO BE - HW'!$E$4)*SUM(EXTERNE_POZICIE!$M$41:$M$52)*1.23)/EXTERNE_POZICIE!$B$41)),0)+IFERROR(SUM(#REF!)*'TCO TO BE- SW'!M$4/'TCO TO BE- SW'!$E$4,0)</f>
        <v>0</v>
      </c>
      <c r="N151" s="578">
        <f>IFERROR(IF((POZICIE_INTERNE!$B$61-12*('TCO TO BE- SW'!$D151-1))&gt;12,((N$4+'TCO TO BE - HW'!N$4)/($E$4+'TCO TO BE - HW'!$E$4)*SUM(POZICIE_INTERNE!$I$61:$I$72))/POZICIE_INTERNE!$B$61*12,IF((POZICIE_INTERNE!$B$61-12*('TCO TO BE- SW'!$D151-1))&lt;0,0,(POZICIE_INTERNE!$B$61-12*('TCO TO BE- SW'!$D151-1))*((N$4+'TCO TO BE - HW'!N$4)/($E$4+'TCO TO BE - HW'!$E$4)*SUM(POZICIE_INTERNE!$I$61:$I$72))/POZICIE_INTERNE!$B$61)),0)+IFERROR(IF((EXTERNE_POZICIE!$B$41-12*('TCO TO BE- SW'!$D151-1))&gt;12,((N$4+'TCO TO BE - HW'!N$4)/($E$4+'TCO TO BE - HW'!$E$4)*SUM(EXTERNE_POZICIE!$M$41:$M$52)*1.23)/EXTERNE_POZICIE!$B$41*12,IF((EXTERNE_POZICIE!$B$41-12*('TCO TO BE- SW'!$D151-1))&lt;0,0,(EXTERNE_POZICIE!$B$41-12*('TCO TO BE- SW'!$D151-1))*((N$4+'TCO TO BE - HW'!N$4)/($E$4+'TCO TO BE - HW'!$E$4)*SUM(EXTERNE_POZICIE!$M$41:$M$52)*1.23)/EXTERNE_POZICIE!$B$41)),0)+IFERROR(SUM(#REF!)*'TCO TO BE- SW'!N$4/'TCO TO BE- SW'!$E$4,0)</f>
        <v>0</v>
      </c>
      <c r="O151" s="578">
        <f>IFERROR(IF((POZICIE_INTERNE!$B$61-12*('TCO TO BE- SW'!$D151-1))&gt;12,((O$4+'TCO TO BE - HW'!O$4)/($E$4+'TCO TO BE - HW'!$E$4)*SUM(POZICIE_INTERNE!$I$61:$I$72))/POZICIE_INTERNE!$B$61*12,IF((POZICIE_INTERNE!$B$61-12*('TCO TO BE- SW'!$D151-1))&lt;0,0,(POZICIE_INTERNE!$B$61-12*('TCO TO BE- SW'!$D151-1))*((O$4+'TCO TO BE - HW'!O$4)/($E$4+'TCO TO BE - HW'!$E$4)*SUM(POZICIE_INTERNE!$I$61:$I$72))/POZICIE_INTERNE!$B$61)),0)+IFERROR(IF((EXTERNE_POZICIE!$B$41-12*('TCO TO BE- SW'!$D151-1))&gt;12,((O$4+'TCO TO BE - HW'!O$4)/($E$4+'TCO TO BE - HW'!$E$4)*SUM(EXTERNE_POZICIE!$M$41:$M$52)*1.23)/EXTERNE_POZICIE!$B$41*12,IF((EXTERNE_POZICIE!$B$41-12*('TCO TO BE- SW'!$D151-1))&lt;0,0,(EXTERNE_POZICIE!$B$41-12*('TCO TO BE- SW'!$D151-1))*((O$4+'TCO TO BE - HW'!O$4)/($E$4+'TCO TO BE - HW'!$E$4)*SUM(EXTERNE_POZICIE!$M$41:$M$52)*1.23)/EXTERNE_POZICIE!$B$41)),0)+IFERROR(SUM(#REF!)*'TCO TO BE- SW'!O$4/'TCO TO BE- SW'!$E$4,0)</f>
        <v>0</v>
      </c>
      <c r="P151" s="578">
        <f>IFERROR(IF((POZICIE_INTERNE!$B$61-12*('TCO TO BE- SW'!$D151-1))&gt;12,((P$4+'TCO TO BE - HW'!P$4)/($E$4+'TCO TO BE - HW'!$E$4)*SUM(POZICIE_INTERNE!$I$61:$I$72))/POZICIE_INTERNE!$B$61*12,IF((POZICIE_INTERNE!$B$61-12*('TCO TO BE- SW'!$D151-1))&lt;0,0,(POZICIE_INTERNE!$B$61-12*('TCO TO BE- SW'!$D151-1))*((P$4+'TCO TO BE - HW'!P$4)/($E$4+'TCO TO BE - HW'!$E$4)*SUM(POZICIE_INTERNE!$I$61:$I$72))/POZICIE_INTERNE!$B$61)),0)+IFERROR(IF((EXTERNE_POZICIE!$B$41-12*('TCO TO BE- SW'!$D151-1))&gt;12,((P$4+'TCO TO BE - HW'!P$4)/($E$4+'TCO TO BE - HW'!$E$4)*SUM(EXTERNE_POZICIE!$M$41:$M$52)*1.23)/EXTERNE_POZICIE!$B$41*12,IF((EXTERNE_POZICIE!$B$41-12*('TCO TO BE- SW'!$D151-1))&lt;0,0,(EXTERNE_POZICIE!$B$41-12*('TCO TO BE- SW'!$D151-1))*((P$4+'TCO TO BE - HW'!P$4)/($E$4+'TCO TO BE - HW'!$E$4)*SUM(EXTERNE_POZICIE!$M$41:$M$52)*1.23)/EXTERNE_POZICIE!$B$41)),0)+IFERROR(SUM(#REF!)*'TCO TO BE- SW'!P$4/'TCO TO BE- SW'!$E$4,0)</f>
        <v>0</v>
      </c>
      <c r="Q151" s="578">
        <f>IFERROR(IF((POZICIE_INTERNE!$B$61-12*('TCO TO BE- SW'!$D151-1))&gt;12,((Q$4+'TCO TO BE - HW'!Q$4)/($E$4+'TCO TO BE - HW'!$E$4)*SUM(POZICIE_INTERNE!$I$61:$I$72))/POZICIE_INTERNE!$B$61*12,IF((POZICIE_INTERNE!$B$61-12*('TCO TO BE- SW'!$D151-1))&lt;0,0,(POZICIE_INTERNE!$B$61-12*('TCO TO BE- SW'!$D151-1))*((Q$4+'TCO TO BE - HW'!Q$4)/($E$4+'TCO TO BE - HW'!$E$4)*SUM(POZICIE_INTERNE!$I$61:$I$72))/POZICIE_INTERNE!$B$61)),0)+IFERROR(IF((EXTERNE_POZICIE!$B$41-12*('TCO TO BE- SW'!$D151-1))&gt;12,((Q$4+'TCO TO BE - HW'!Q$4)/($E$4+'TCO TO BE - HW'!$E$4)*SUM(EXTERNE_POZICIE!$M$41:$M$52)*1.23)/EXTERNE_POZICIE!$B$41*12,IF((EXTERNE_POZICIE!$B$41-12*('TCO TO BE- SW'!$D151-1))&lt;0,0,(EXTERNE_POZICIE!$B$41-12*('TCO TO BE- SW'!$D151-1))*((Q$4+'TCO TO BE - HW'!Q$4)/($E$4+'TCO TO BE - HW'!$E$4)*SUM(EXTERNE_POZICIE!$M$41:$M$52)*1.23)/EXTERNE_POZICIE!$B$41)),0)+IFERROR(SUM(#REF!)*'TCO TO BE- SW'!Q$4/'TCO TO BE- SW'!$E$4,0)</f>
        <v>0</v>
      </c>
      <c r="R151" s="578">
        <f>IFERROR(IF((POZICIE_INTERNE!$B$61-12*('TCO TO BE- SW'!$D151-1))&gt;12,((R$4+'TCO TO BE - HW'!R$4)/($E$4+'TCO TO BE - HW'!$E$4)*SUM(POZICIE_INTERNE!$I$61:$I$72))/POZICIE_INTERNE!$B$61*12,IF((POZICIE_INTERNE!$B$61-12*('TCO TO BE- SW'!$D151-1))&lt;0,0,(POZICIE_INTERNE!$B$61-12*('TCO TO BE- SW'!$D151-1))*((R$4+'TCO TO BE - HW'!R$4)/($E$4+'TCO TO BE - HW'!$E$4)*SUM(POZICIE_INTERNE!$I$61:$I$72))/POZICIE_INTERNE!$B$61)),0)+IFERROR(IF((EXTERNE_POZICIE!$B$41-12*('TCO TO BE- SW'!$D151-1))&gt;12,((R$4+'TCO TO BE - HW'!R$4)/($E$4+'TCO TO BE - HW'!$E$4)*SUM(EXTERNE_POZICIE!$M$41:$M$52)*1.23)/EXTERNE_POZICIE!$B$41*12,IF((EXTERNE_POZICIE!$B$41-12*('TCO TO BE- SW'!$D151-1))&lt;0,0,(EXTERNE_POZICIE!$B$41-12*('TCO TO BE- SW'!$D151-1))*((R$4+'TCO TO BE - HW'!R$4)/($E$4+'TCO TO BE - HW'!$E$4)*SUM(EXTERNE_POZICIE!$M$41:$M$52)*1.23)/EXTERNE_POZICIE!$B$41)),0)+IFERROR(SUM(#REF!)*'TCO TO BE- SW'!R$4/'TCO TO BE- SW'!$E$4,0)</f>
        <v>0</v>
      </c>
      <c r="S151" s="578">
        <f>IFERROR(IF((POZICIE_INTERNE!$B$61-12*('TCO TO BE- SW'!$D151-1))&gt;12,((S$4+'TCO TO BE - HW'!S$4)/($E$4+'TCO TO BE - HW'!$E$4)*SUM(POZICIE_INTERNE!$I$61:$I$72))/POZICIE_INTERNE!$B$61*12,IF((POZICIE_INTERNE!$B$61-12*('TCO TO BE- SW'!$D151-1))&lt;0,0,(POZICIE_INTERNE!$B$61-12*('TCO TO BE- SW'!$D151-1))*((S$4+'TCO TO BE - HW'!S$4)/($E$4+'TCO TO BE - HW'!$E$4)*SUM(POZICIE_INTERNE!$I$61:$I$72))/POZICIE_INTERNE!$B$61)),0)+IFERROR(IF((EXTERNE_POZICIE!$B$41-12*('TCO TO BE- SW'!$D151-1))&gt;12,((S$4+'TCO TO BE - HW'!S$4)/($E$4+'TCO TO BE - HW'!$E$4)*SUM(EXTERNE_POZICIE!$M$41:$M$52)*1.23)/EXTERNE_POZICIE!$B$41*12,IF((EXTERNE_POZICIE!$B$41-12*('TCO TO BE- SW'!$D151-1))&lt;0,0,(EXTERNE_POZICIE!$B$41-12*('TCO TO BE- SW'!$D151-1))*((S$4+'TCO TO BE - HW'!S$4)/($E$4+'TCO TO BE - HW'!$E$4)*SUM(EXTERNE_POZICIE!$M$41:$M$52)*1.23)/EXTERNE_POZICIE!$B$41)),0)+IFERROR(SUM(#REF!)*'TCO TO BE- SW'!S$4/'TCO TO BE- SW'!$E$4,0)</f>
        <v>0</v>
      </c>
      <c r="T151" s="578">
        <f>IFERROR(IF((POZICIE_INTERNE!$B$61-12*('TCO TO BE- SW'!$D151-1))&gt;12,((T$4+'TCO TO BE - HW'!T$4)/($E$4+'TCO TO BE - HW'!$E$4)*SUM(POZICIE_INTERNE!$I$61:$I$72))/POZICIE_INTERNE!$B$61*12,IF((POZICIE_INTERNE!$B$61-12*('TCO TO BE- SW'!$D151-1))&lt;0,0,(POZICIE_INTERNE!$B$61-12*('TCO TO BE- SW'!$D151-1))*((T$4+'TCO TO BE - HW'!T$4)/($E$4+'TCO TO BE - HW'!$E$4)*SUM(POZICIE_INTERNE!$I$61:$I$72))/POZICIE_INTERNE!$B$61)),0)+IFERROR(IF((EXTERNE_POZICIE!$B$41-12*('TCO TO BE- SW'!$D151-1))&gt;12,((T$4+'TCO TO BE - HW'!T$4)/($E$4+'TCO TO BE - HW'!$E$4)*SUM(EXTERNE_POZICIE!$M$41:$M$52)*1.23)/EXTERNE_POZICIE!$B$41*12,IF((EXTERNE_POZICIE!$B$41-12*('TCO TO BE- SW'!$D151-1))&lt;0,0,(EXTERNE_POZICIE!$B$41-12*('TCO TO BE- SW'!$D151-1))*((T$4+'TCO TO BE - HW'!T$4)/($E$4+'TCO TO BE - HW'!$E$4)*SUM(EXTERNE_POZICIE!$M$41:$M$52)*1.23)/EXTERNE_POZICIE!$B$41)),0)+IFERROR(SUM(#REF!)*'TCO TO BE- SW'!T$4/'TCO TO BE- SW'!$E$4,0)</f>
        <v>0</v>
      </c>
      <c r="U151" s="578">
        <f>IFERROR(IF((POZICIE_INTERNE!$B$61-12*('TCO TO BE- SW'!$D151-1))&gt;12,((U$4+'TCO TO BE - HW'!U$4)/($E$4+'TCO TO BE - HW'!$E$4)*SUM(POZICIE_INTERNE!$I$61:$I$72))/POZICIE_INTERNE!$B$61*12,IF((POZICIE_INTERNE!$B$61-12*('TCO TO BE- SW'!$D151-1))&lt;0,0,(POZICIE_INTERNE!$B$61-12*('TCO TO BE- SW'!$D151-1))*((U$4+'TCO TO BE - HW'!U$4)/($E$4+'TCO TO BE - HW'!$E$4)*SUM(POZICIE_INTERNE!$I$61:$I$72))/POZICIE_INTERNE!$B$61)),0)+IFERROR(IF((EXTERNE_POZICIE!$B$41-12*('TCO TO BE- SW'!$D151-1))&gt;12,((U$4+'TCO TO BE - HW'!U$4)/($E$4+'TCO TO BE - HW'!$E$4)*SUM(EXTERNE_POZICIE!$M$41:$M$52)*1.23)/EXTERNE_POZICIE!$B$41*12,IF((EXTERNE_POZICIE!$B$41-12*('TCO TO BE- SW'!$D151-1))&lt;0,0,(EXTERNE_POZICIE!$B$41-12*('TCO TO BE- SW'!$D151-1))*((U$4+'TCO TO BE - HW'!U$4)/($E$4+'TCO TO BE - HW'!$E$4)*SUM(EXTERNE_POZICIE!$M$41:$M$52)*1.23)/EXTERNE_POZICIE!$B$41)),0)+IFERROR(SUM(#REF!)*'TCO TO BE- SW'!U$4/'TCO TO BE- SW'!$E$4,0)</f>
        <v>0</v>
      </c>
      <c r="V151" s="578">
        <f>IFERROR(IF((POZICIE_INTERNE!$B$61-12*('TCO TO BE- SW'!$D151-1))&gt;12,((V$4+'TCO TO BE - HW'!V$4)/($E$4+'TCO TO BE - HW'!$E$4)*SUM(POZICIE_INTERNE!$I$61:$I$72))/POZICIE_INTERNE!$B$61*12,IF((POZICIE_INTERNE!$B$61-12*('TCO TO BE- SW'!$D151-1))&lt;0,0,(POZICIE_INTERNE!$B$61-12*('TCO TO BE- SW'!$D151-1))*((V$4+'TCO TO BE - HW'!V$4)/($E$4+'TCO TO BE - HW'!$E$4)*SUM(POZICIE_INTERNE!$I$61:$I$72))/POZICIE_INTERNE!$B$61)),0)+IFERROR(IF((EXTERNE_POZICIE!$B$41-12*('TCO TO BE- SW'!$D151-1))&gt;12,((V$4+'TCO TO BE - HW'!V$4)/($E$4+'TCO TO BE - HW'!$E$4)*SUM(EXTERNE_POZICIE!$M$41:$M$52)*1.23)/EXTERNE_POZICIE!$B$41*12,IF((EXTERNE_POZICIE!$B$41-12*('TCO TO BE- SW'!$D151-1))&lt;0,0,(EXTERNE_POZICIE!$B$41-12*('TCO TO BE- SW'!$D151-1))*((V$4+'TCO TO BE - HW'!V$4)/($E$4+'TCO TO BE - HW'!$E$4)*SUM(EXTERNE_POZICIE!$M$41:$M$52)*1.23)/EXTERNE_POZICIE!$B$41)),0)+IFERROR(SUM(#REF!)*'TCO TO BE- SW'!V$4/'TCO TO BE- SW'!$E$4,0)</f>
        <v>0</v>
      </c>
      <c r="W151" s="578">
        <f>IFERROR(IF((POZICIE_INTERNE!$B$61-12*('TCO TO BE- SW'!$D151-1))&gt;12,((W$4+'TCO TO BE - HW'!W$4)/($E$4+'TCO TO BE - HW'!$E$4)*SUM(POZICIE_INTERNE!$I$61:$I$72))/POZICIE_INTERNE!$B$61*12,IF((POZICIE_INTERNE!$B$61-12*('TCO TO BE- SW'!$D151-1))&lt;0,0,(POZICIE_INTERNE!$B$61-12*('TCO TO BE- SW'!$D151-1))*((W$4+'TCO TO BE - HW'!W$4)/($E$4+'TCO TO BE - HW'!$E$4)*SUM(POZICIE_INTERNE!$I$61:$I$72))/POZICIE_INTERNE!$B$61)),0)+IFERROR(IF((EXTERNE_POZICIE!$B$41-12*('TCO TO BE- SW'!$D151-1))&gt;12,((W$4+'TCO TO BE - HW'!W$4)/($E$4+'TCO TO BE - HW'!$E$4)*SUM(EXTERNE_POZICIE!$M$41:$M$52)*1.23)/EXTERNE_POZICIE!$B$41*12,IF((EXTERNE_POZICIE!$B$41-12*('TCO TO BE- SW'!$D151-1))&lt;0,0,(EXTERNE_POZICIE!$B$41-12*('TCO TO BE- SW'!$D151-1))*((W$4+'TCO TO BE - HW'!W$4)/($E$4+'TCO TO BE - HW'!$E$4)*SUM(EXTERNE_POZICIE!$M$41:$M$52)*1.23)/EXTERNE_POZICIE!$B$41)),0)+IFERROR(SUM(#REF!)*'TCO TO BE- SW'!W$4/'TCO TO BE- SW'!$E$4,0)</f>
        <v>0</v>
      </c>
      <c r="X151" s="578">
        <f>IFERROR(IF((POZICIE_INTERNE!$B$61-12*('TCO TO BE- SW'!$D151-1))&gt;12,((X$4+'TCO TO BE - HW'!X$4)/($E$4+'TCO TO BE - HW'!$E$4)*SUM(POZICIE_INTERNE!$I$61:$I$72))/POZICIE_INTERNE!$B$61*12,IF((POZICIE_INTERNE!$B$61-12*('TCO TO BE- SW'!$D151-1))&lt;0,0,(POZICIE_INTERNE!$B$61-12*('TCO TO BE- SW'!$D151-1))*((X$4+'TCO TO BE - HW'!X$4)/($E$4+'TCO TO BE - HW'!$E$4)*SUM(POZICIE_INTERNE!$I$61:$I$72))/POZICIE_INTERNE!$B$61)),0)+IFERROR(IF((EXTERNE_POZICIE!$B$41-12*('TCO TO BE- SW'!$D151-1))&gt;12,((X$4+'TCO TO BE - HW'!X$4)/($E$4+'TCO TO BE - HW'!$E$4)*SUM(EXTERNE_POZICIE!$M$41:$M$52)*1.23)/EXTERNE_POZICIE!$B$41*12,IF((EXTERNE_POZICIE!$B$41-12*('TCO TO BE- SW'!$D151-1))&lt;0,0,(EXTERNE_POZICIE!$B$41-12*('TCO TO BE- SW'!$D151-1))*((X$4+'TCO TO BE - HW'!X$4)/($E$4+'TCO TO BE - HW'!$E$4)*SUM(EXTERNE_POZICIE!$M$41:$M$52)*1.23)/EXTERNE_POZICIE!$B$41)),0)+IFERROR(SUM(#REF!)*'TCO TO BE- SW'!X$4/'TCO TO BE- SW'!$E$4,0)</f>
        <v>0</v>
      </c>
      <c r="Y151" s="578">
        <f>IFERROR(IF((POZICIE_INTERNE!$B$61-12*('TCO TO BE- SW'!$D151-1))&gt;12,((Y$4+'TCO TO BE - HW'!Y$4)/($E$4+'TCO TO BE - HW'!$E$4)*SUM(POZICIE_INTERNE!$I$61:$I$72))/POZICIE_INTERNE!$B$61*12,IF((POZICIE_INTERNE!$B$61-12*('TCO TO BE- SW'!$D151-1))&lt;0,0,(POZICIE_INTERNE!$B$61-12*('TCO TO BE- SW'!$D151-1))*((Y$4+'TCO TO BE - HW'!Y$4)/($E$4+'TCO TO BE - HW'!$E$4)*SUM(POZICIE_INTERNE!$I$61:$I$72))/POZICIE_INTERNE!$B$61)),0)+IFERROR(IF((EXTERNE_POZICIE!$B$41-12*('TCO TO BE- SW'!$D151-1))&gt;12,((Y$4+'TCO TO BE - HW'!Y$4)/($E$4+'TCO TO BE - HW'!$E$4)*SUM(EXTERNE_POZICIE!$M$41:$M$52)*1.23)/EXTERNE_POZICIE!$B$41*12,IF((EXTERNE_POZICIE!$B$41-12*('TCO TO BE- SW'!$D151-1))&lt;0,0,(EXTERNE_POZICIE!$B$41-12*('TCO TO BE- SW'!$D151-1))*((Y$4+'TCO TO BE - HW'!Y$4)/($E$4+'TCO TO BE - HW'!$E$4)*SUM(EXTERNE_POZICIE!$M$41:$M$52)*1.23)/EXTERNE_POZICIE!$B$41)),0)+IFERROR(SUM(#REF!)*'TCO TO BE- SW'!Y$4/'TCO TO BE- SW'!$E$4,0)</f>
        <v>0</v>
      </c>
      <c r="Z151" s="578">
        <f>IFERROR(IF((POZICIE_INTERNE!$B$61-12*('TCO TO BE- SW'!$D151-1))&gt;12,((Z$4+'TCO TO BE - HW'!Z$4)/($E$4+'TCO TO BE - HW'!$E$4)*SUM(POZICIE_INTERNE!$I$61:$I$72))/POZICIE_INTERNE!$B$61*12,IF((POZICIE_INTERNE!$B$61-12*('TCO TO BE- SW'!$D151-1))&lt;0,0,(POZICIE_INTERNE!$B$61-12*('TCO TO BE- SW'!$D151-1))*((Z$4+'TCO TO BE - HW'!Z$4)/($E$4+'TCO TO BE - HW'!$E$4)*SUM(POZICIE_INTERNE!$I$61:$I$72))/POZICIE_INTERNE!$B$61)),0)+IFERROR(IF((EXTERNE_POZICIE!$B$41-12*('TCO TO BE- SW'!$D151-1))&gt;12,((Z$4+'TCO TO BE - HW'!Z$4)/($E$4+'TCO TO BE - HW'!$E$4)*SUM(EXTERNE_POZICIE!$M$41:$M$52)*1.23)/EXTERNE_POZICIE!$B$41*12,IF((EXTERNE_POZICIE!$B$41-12*('TCO TO BE- SW'!$D151-1))&lt;0,0,(EXTERNE_POZICIE!$B$41-12*('TCO TO BE- SW'!$D151-1))*((Z$4+'TCO TO BE - HW'!Z$4)/($E$4+'TCO TO BE - HW'!$E$4)*SUM(EXTERNE_POZICIE!$M$41:$M$52)*1.23)/EXTERNE_POZICIE!$B$41)),0)+IFERROR(SUM(#REF!)*'TCO TO BE- SW'!Z$4/'TCO TO BE- SW'!$E$4,0)</f>
        <v>0</v>
      </c>
    </row>
    <row r="152" spans="1:26" x14ac:dyDescent="0.2">
      <c r="A152" s="1390"/>
      <c r="B152" s="1391"/>
      <c r="C152" s="1391"/>
      <c r="D152" s="64">
        <v>2</v>
      </c>
      <c r="E152" s="68">
        <f t="shared" si="16"/>
        <v>0</v>
      </c>
      <c r="F152" s="579">
        <f>IFERROR(IF((POZICIE_INTERNE!$B$61-12*('TCO TO BE- SW'!$D152-1))&gt;12,((F$4+'TCO TO BE - HW'!F$4)/($E$4+'TCO TO BE - HW'!$E$4)*SUM(POZICIE_INTERNE!$I$61:$I$72))/POZICIE_INTERNE!$B$61*12,IF((POZICIE_INTERNE!$B$61-12*('TCO TO BE- SW'!$D152-1))&lt;0,0,(POZICIE_INTERNE!$B$61-12*('TCO TO BE- SW'!$D152-1))*((F$4+'TCO TO BE - HW'!F$4)/($E$4+'TCO TO BE - HW'!$E$4)*SUM(POZICIE_INTERNE!$I$61:$I$72))/POZICIE_INTERNE!$B$61)),0)+IFERROR(IF((EXTERNE_POZICIE!$B$41-12*('TCO TO BE- SW'!$D152-1))&gt;12,((F$4+'TCO TO BE - HW'!F$4)/($E$4+'TCO TO BE - HW'!$E$4)*SUM(EXTERNE_POZICIE!$M$41:$M$52)*1.23)/EXTERNE_POZICIE!$B$41*12,IF((EXTERNE_POZICIE!$B$41-12*('TCO TO BE- SW'!$D152-1))&lt;0,0,(EXTERNE_POZICIE!$B$41-12*('TCO TO BE- SW'!$D152-1))*((F$4+'TCO TO BE - HW'!F$4)/($E$4+'TCO TO BE - HW'!$E$4)*SUM(EXTERNE_POZICIE!$M$41:$M$52)*1.23)/EXTERNE_POZICIE!$B$41)),0)+IFERROR(SUM(#REF!)*'TCO TO BE- SW'!F$4/'TCO TO BE- SW'!$E$4,0)</f>
        <v>0</v>
      </c>
      <c r="G152" s="579">
        <f>IFERROR(IF((POZICIE_INTERNE!$B$61-12*('TCO TO BE- SW'!$D152-1))&gt;12,((G$4+'TCO TO BE - HW'!G$4)/($E$4+'TCO TO BE - HW'!$E$4)*SUM(POZICIE_INTERNE!$I$61:$I$72))/POZICIE_INTERNE!$B$61*12,IF((POZICIE_INTERNE!$B$61-12*('TCO TO BE- SW'!$D152-1))&lt;0,0,(POZICIE_INTERNE!$B$61-12*('TCO TO BE- SW'!$D152-1))*((G$4+'TCO TO BE - HW'!G$4)/($E$4+'TCO TO BE - HW'!$E$4)*SUM(POZICIE_INTERNE!$I$61:$I$72))/POZICIE_INTERNE!$B$61)),0)+IFERROR(IF((EXTERNE_POZICIE!$B$41-12*('TCO TO BE- SW'!$D152-1))&gt;12,((G$4+'TCO TO BE - HW'!G$4)/($E$4+'TCO TO BE - HW'!$E$4)*SUM(EXTERNE_POZICIE!$M$41:$M$52)*1.23)/EXTERNE_POZICIE!$B$41*12,IF((EXTERNE_POZICIE!$B$41-12*('TCO TO BE- SW'!$D152-1))&lt;0,0,(EXTERNE_POZICIE!$B$41-12*('TCO TO BE- SW'!$D152-1))*((G$4+'TCO TO BE - HW'!G$4)/($E$4+'TCO TO BE - HW'!$E$4)*SUM(EXTERNE_POZICIE!$M$41:$M$52)*1.23)/EXTERNE_POZICIE!$B$41)),0)+IFERROR(SUM(#REF!)*'TCO TO BE- SW'!G$4/'TCO TO BE- SW'!$E$4,0)</f>
        <v>0</v>
      </c>
      <c r="H152" s="579">
        <f>IFERROR(IF((POZICIE_INTERNE!$B$61-12*('TCO TO BE- SW'!$D152-1))&gt;12,((H$4+'TCO TO BE - HW'!H$4)/($E$4+'TCO TO BE - HW'!$E$4)*SUM(POZICIE_INTERNE!$I$61:$I$72))/POZICIE_INTERNE!$B$61*12,IF((POZICIE_INTERNE!$B$61-12*('TCO TO BE- SW'!$D152-1))&lt;0,0,(POZICIE_INTERNE!$B$61-12*('TCO TO BE- SW'!$D152-1))*((H$4+'TCO TO BE - HW'!H$4)/($E$4+'TCO TO BE - HW'!$E$4)*SUM(POZICIE_INTERNE!$I$61:$I$72))/POZICIE_INTERNE!$B$61)),0)+IFERROR(IF((EXTERNE_POZICIE!$B$41-12*('TCO TO BE- SW'!$D152-1))&gt;12,((H$4+'TCO TO BE - HW'!H$4)/($E$4+'TCO TO BE - HW'!$E$4)*SUM(EXTERNE_POZICIE!$M$41:$M$52)*1.23)/EXTERNE_POZICIE!$B$41*12,IF((EXTERNE_POZICIE!$B$41-12*('TCO TO BE- SW'!$D152-1))&lt;0,0,(EXTERNE_POZICIE!$B$41-12*('TCO TO BE- SW'!$D152-1))*((H$4+'TCO TO BE - HW'!H$4)/($E$4+'TCO TO BE - HW'!$E$4)*SUM(EXTERNE_POZICIE!$M$41:$M$52)*1.23)/EXTERNE_POZICIE!$B$41)),0)+IFERROR(SUM(#REF!)*'TCO TO BE- SW'!H$4/'TCO TO BE- SW'!$E$4,0)</f>
        <v>0</v>
      </c>
      <c r="I152" s="579">
        <f>IFERROR(IF((POZICIE_INTERNE!$B$61-12*('TCO TO BE- SW'!$D152-1))&gt;12,((I$4+'TCO TO BE - HW'!I$4)/($E$4+'TCO TO BE - HW'!$E$4)*SUM(POZICIE_INTERNE!$I$61:$I$72))/POZICIE_INTERNE!$B$61*12,IF((POZICIE_INTERNE!$B$61-12*('TCO TO BE- SW'!$D152-1))&lt;0,0,(POZICIE_INTERNE!$B$61-12*('TCO TO BE- SW'!$D152-1))*((I$4+'TCO TO BE - HW'!I$4)/($E$4+'TCO TO BE - HW'!$E$4)*SUM(POZICIE_INTERNE!$I$61:$I$72))/POZICIE_INTERNE!$B$61)),0)+IFERROR(IF((EXTERNE_POZICIE!$B$41-12*('TCO TO BE- SW'!$D152-1))&gt;12,((I$4+'TCO TO BE - HW'!I$4)/($E$4+'TCO TO BE - HW'!$E$4)*SUM(EXTERNE_POZICIE!$M$41:$M$52)*1.23)/EXTERNE_POZICIE!$B$41*12,IF((EXTERNE_POZICIE!$B$41-12*('TCO TO BE- SW'!$D152-1))&lt;0,0,(EXTERNE_POZICIE!$B$41-12*('TCO TO BE- SW'!$D152-1))*((I$4+'TCO TO BE - HW'!I$4)/($E$4+'TCO TO BE - HW'!$E$4)*SUM(EXTERNE_POZICIE!$M$41:$M$52)*1.23)/EXTERNE_POZICIE!$B$41)),0)+IFERROR(SUM(#REF!)*'TCO TO BE- SW'!I$4/'TCO TO BE- SW'!$E$4,0)</f>
        <v>0</v>
      </c>
      <c r="J152" s="579">
        <f>IFERROR(IF((POZICIE_INTERNE!$B$61-12*('TCO TO BE- SW'!$D152-1))&gt;12,((J$4+'TCO TO BE - HW'!J$4)/($E$4+'TCO TO BE - HW'!$E$4)*SUM(POZICIE_INTERNE!$I$61:$I$72))/POZICIE_INTERNE!$B$61*12,IF((POZICIE_INTERNE!$B$61-12*('TCO TO BE- SW'!$D152-1))&lt;0,0,(POZICIE_INTERNE!$B$61-12*('TCO TO BE- SW'!$D152-1))*((J$4+'TCO TO BE - HW'!J$4)/($E$4+'TCO TO BE - HW'!$E$4)*SUM(POZICIE_INTERNE!$I$61:$I$72))/POZICIE_INTERNE!$B$61)),0)+IFERROR(IF((EXTERNE_POZICIE!$B$41-12*('TCO TO BE- SW'!$D152-1))&gt;12,((J$4+'TCO TO BE - HW'!J$4)/($E$4+'TCO TO BE - HW'!$E$4)*SUM(EXTERNE_POZICIE!$M$41:$M$52)*1.23)/EXTERNE_POZICIE!$B$41*12,IF((EXTERNE_POZICIE!$B$41-12*('TCO TO BE- SW'!$D152-1))&lt;0,0,(EXTERNE_POZICIE!$B$41-12*('TCO TO BE- SW'!$D152-1))*((J$4+'TCO TO BE - HW'!J$4)/($E$4+'TCO TO BE - HW'!$E$4)*SUM(EXTERNE_POZICIE!$M$41:$M$52)*1.23)/EXTERNE_POZICIE!$B$41)),0)+IFERROR(SUM(#REF!)*'TCO TO BE- SW'!J$4/'TCO TO BE- SW'!$E$4,0)</f>
        <v>0</v>
      </c>
      <c r="K152" s="579">
        <f>IFERROR(IF((POZICIE_INTERNE!$B$61-12*('TCO TO BE- SW'!$D152-1))&gt;12,((K$4+'TCO TO BE - HW'!K$4)/($E$4+'TCO TO BE - HW'!$E$4)*SUM(POZICIE_INTERNE!$I$61:$I$72))/POZICIE_INTERNE!$B$61*12,IF((POZICIE_INTERNE!$B$61-12*('TCO TO BE- SW'!$D152-1))&lt;0,0,(POZICIE_INTERNE!$B$61-12*('TCO TO BE- SW'!$D152-1))*((K$4+'TCO TO BE - HW'!K$4)/($E$4+'TCO TO BE - HW'!$E$4)*SUM(POZICIE_INTERNE!$I$61:$I$72))/POZICIE_INTERNE!$B$61)),0)+IFERROR(IF((EXTERNE_POZICIE!$B$41-12*('TCO TO BE- SW'!$D152-1))&gt;12,((K$4+'TCO TO BE - HW'!K$4)/($E$4+'TCO TO BE - HW'!$E$4)*SUM(EXTERNE_POZICIE!$M$41:$M$52)*1.23)/EXTERNE_POZICIE!$B$41*12,IF((EXTERNE_POZICIE!$B$41-12*('TCO TO BE- SW'!$D152-1))&lt;0,0,(EXTERNE_POZICIE!$B$41-12*('TCO TO BE- SW'!$D152-1))*((K$4+'TCO TO BE - HW'!K$4)/($E$4+'TCO TO BE - HW'!$E$4)*SUM(EXTERNE_POZICIE!$M$41:$M$52)*1.23)/EXTERNE_POZICIE!$B$41)),0)+IFERROR(SUM(#REF!)*'TCO TO BE- SW'!K$4/'TCO TO BE- SW'!$E$4,0)</f>
        <v>0</v>
      </c>
      <c r="L152" s="579">
        <f>IFERROR(IF((POZICIE_INTERNE!$B$61-12*('TCO TO BE- SW'!$D152-1))&gt;12,((L$4+'TCO TO BE - HW'!L$4)/($E$4+'TCO TO BE - HW'!$E$4)*SUM(POZICIE_INTERNE!$I$61:$I$72))/POZICIE_INTERNE!$B$61*12,IF((POZICIE_INTERNE!$B$61-12*('TCO TO BE- SW'!$D152-1))&lt;0,0,(POZICIE_INTERNE!$B$61-12*('TCO TO BE- SW'!$D152-1))*((L$4+'TCO TO BE - HW'!L$4)/($E$4+'TCO TO BE - HW'!$E$4)*SUM(POZICIE_INTERNE!$I$61:$I$72))/POZICIE_INTERNE!$B$61)),0)+IFERROR(IF((EXTERNE_POZICIE!$B$41-12*('TCO TO BE- SW'!$D152-1))&gt;12,((L$4+'TCO TO BE - HW'!L$4)/($E$4+'TCO TO BE - HW'!$E$4)*SUM(EXTERNE_POZICIE!$M$41:$M$52)*1.23)/EXTERNE_POZICIE!$B$41*12,IF((EXTERNE_POZICIE!$B$41-12*('TCO TO BE- SW'!$D152-1))&lt;0,0,(EXTERNE_POZICIE!$B$41-12*('TCO TO BE- SW'!$D152-1))*((L$4+'TCO TO BE - HW'!L$4)/($E$4+'TCO TO BE - HW'!$E$4)*SUM(EXTERNE_POZICIE!$M$41:$M$52)*1.23)/EXTERNE_POZICIE!$B$41)),0)+IFERROR(SUM(#REF!)*'TCO TO BE- SW'!L$4/'TCO TO BE- SW'!$E$4,0)</f>
        <v>0</v>
      </c>
      <c r="M152" s="579">
        <f>IFERROR(IF((POZICIE_INTERNE!$B$61-12*('TCO TO BE- SW'!$D152-1))&gt;12,((M$4+'TCO TO BE - HW'!M$4)/($E$4+'TCO TO BE - HW'!$E$4)*SUM(POZICIE_INTERNE!$I$61:$I$72))/POZICIE_INTERNE!$B$61*12,IF((POZICIE_INTERNE!$B$61-12*('TCO TO BE- SW'!$D152-1))&lt;0,0,(POZICIE_INTERNE!$B$61-12*('TCO TO BE- SW'!$D152-1))*((M$4+'TCO TO BE - HW'!M$4)/($E$4+'TCO TO BE - HW'!$E$4)*SUM(POZICIE_INTERNE!$I$61:$I$72))/POZICIE_INTERNE!$B$61)),0)+IFERROR(IF((EXTERNE_POZICIE!$B$41-12*('TCO TO BE- SW'!$D152-1))&gt;12,((M$4+'TCO TO BE - HW'!M$4)/($E$4+'TCO TO BE - HW'!$E$4)*SUM(EXTERNE_POZICIE!$M$41:$M$52)*1.23)/EXTERNE_POZICIE!$B$41*12,IF((EXTERNE_POZICIE!$B$41-12*('TCO TO BE- SW'!$D152-1))&lt;0,0,(EXTERNE_POZICIE!$B$41-12*('TCO TO BE- SW'!$D152-1))*((M$4+'TCO TO BE - HW'!M$4)/($E$4+'TCO TO BE - HW'!$E$4)*SUM(EXTERNE_POZICIE!$M$41:$M$52)*1.23)/EXTERNE_POZICIE!$B$41)),0)+IFERROR(SUM(#REF!)*'TCO TO BE- SW'!M$4/'TCO TO BE- SW'!$E$4,0)</f>
        <v>0</v>
      </c>
      <c r="N152" s="579">
        <f>IFERROR(IF((POZICIE_INTERNE!$B$61-12*('TCO TO BE- SW'!$D152-1))&gt;12,((N$4+'TCO TO BE - HW'!N$4)/($E$4+'TCO TO BE - HW'!$E$4)*SUM(POZICIE_INTERNE!$I$61:$I$72))/POZICIE_INTERNE!$B$61*12,IF((POZICIE_INTERNE!$B$61-12*('TCO TO BE- SW'!$D152-1))&lt;0,0,(POZICIE_INTERNE!$B$61-12*('TCO TO BE- SW'!$D152-1))*((N$4+'TCO TO BE - HW'!N$4)/($E$4+'TCO TO BE - HW'!$E$4)*SUM(POZICIE_INTERNE!$I$61:$I$72))/POZICIE_INTERNE!$B$61)),0)+IFERROR(IF((EXTERNE_POZICIE!$B$41-12*('TCO TO BE- SW'!$D152-1))&gt;12,((N$4+'TCO TO BE - HW'!N$4)/($E$4+'TCO TO BE - HW'!$E$4)*SUM(EXTERNE_POZICIE!$M$41:$M$52)*1.23)/EXTERNE_POZICIE!$B$41*12,IF((EXTERNE_POZICIE!$B$41-12*('TCO TO BE- SW'!$D152-1))&lt;0,0,(EXTERNE_POZICIE!$B$41-12*('TCO TO BE- SW'!$D152-1))*((N$4+'TCO TO BE - HW'!N$4)/($E$4+'TCO TO BE - HW'!$E$4)*SUM(EXTERNE_POZICIE!$M$41:$M$52)*1.23)/EXTERNE_POZICIE!$B$41)),0)+IFERROR(SUM(#REF!)*'TCO TO BE- SW'!N$4/'TCO TO BE- SW'!$E$4,0)</f>
        <v>0</v>
      </c>
      <c r="O152" s="579">
        <f>IFERROR(IF((POZICIE_INTERNE!$B$61-12*('TCO TO BE- SW'!$D152-1))&gt;12,((O$4+'TCO TO BE - HW'!O$4)/($E$4+'TCO TO BE - HW'!$E$4)*SUM(POZICIE_INTERNE!$I$61:$I$72))/POZICIE_INTERNE!$B$61*12,IF((POZICIE_INTERNE!$B$61-12*('TCO TO BE- SW'!$D152-1))&lt;0,0,(POZICIE_INTERNE!$B$61-12*('TCO TO BE- SW'!$D152-1))*((O$4+'TCO TO BE - HW'!O$4)/($E$4+'TCO TO BE - HW'!$E$4)*SUM(POZICIE_INTERNE!$I$61:$I$72))/POZICIE_INTERNE!$B$61)),0)+IFERROR(IF((EXTERNE_POZICIE!$B$41-12*('TCO TO BE- SW'!$D152-1))&gt;12,((O$4+'TCO TO BE - HW'!O$4)/($E$4+'TCO TO BE - HW'!$E$4)*SUM(EXTERNE_POZICIE!$M$41:$M$52)*1.23)/EXTERNE_POZICIE!$B$41*12,IF((EXTERNE_POZICIE!$B$41-12*('TCO TO BE- SW'!$D152-1))&lt;0,0,(EXTERNE_POZICIE!$B$41-12*('TCO TO BE- SW'!$D152-1))*((O$4+'TCO TO BE - HW'!O$4)/($E$4+'TCO TO BE - HW'!$E$4)*SUM(EXTERNE_POZICIE!$M$41:$M$52)*1.23)/EXTERNE_POZICIE!$B$41)),0)+IFERROR(SUM(#REF!)*'TCO TO BE- SW'!O$4/'TCO TO BE- SW'!$E$4,0)</f>
        <v>0</v>
      </c>
      <c r="P152" s="579">
        <f>IFERROR(IF((POZICIE_INTERNE!$B$61-12*('TCO TO BE- SW'!$D152-1))&gt;12,((P$4+'TCO TO BE - HW'!P$4)/($E$4+'TCO TO BE - HW'!$E$4)*SUM(POZICIE_INTERNE!$I$61:$I$72))/POZICIE_INTERNE!$B$61*12,IF((POZICIE_INTERNE!$B$61-12*('TCO TO BE- SW'!$D152-1))&lt;0,0,(POZICIE_INTERNE!$B$61-12*('TCO TO BE- SW'!$D152-1))*((P$4+'TCO TO BE - HW'!P$4)/($E$4+'TCO TO BE - HW'!$E$4)*SUM(POZICIE_INTERNE!$I$61:$I$72))/POZICIE_INTERNE!$B$61)),0)+IFERROR(IF((EXTERNE_POZICIE!$B$41-12*('TCO TO BE- SW'!$D152-1))&gt;12,((P$4+'TCO TO BE - HW'!P$4)/($E$4+'TCO TO BE - HW'!$E$4)*SUM(EXTERNE_POZICIE!$M$41:$M$52)*1.23)/EXTERNE_POZICIE!$B$41*12,IF((EXTERNE_POZICIE!$B$41-12*('TCO TO BE- SW'!$D152-1))&lt;0,0,(EXTERNE_POZICIE!$B$41-12*('TCO TO BE- SW'!$D152-1))*((P$4+'TCO TO BE - HW'!P$4)/($E$4+'TCO TO BE - HW'!$E$4)*SUM(EXTERNE_POZICIE!$M$41:$M$52)*1.23)/EXTERNE_POZICIE!$B$41)),0)+IFERROR(SUM(#REF!)*'TCO TO BE- SW'!P$4/'TCO TO BE- SW'!$E$4,0)</f>
        <v>0</v>
      </c>
      <c r="Q152" s="579">
        <f>IFERROR(IF((POZICIE_INTERNE!$B$61-12*('TCO TO BE- SW'!$D152-1))&gt;12,((Q$4+'TCO TO BE - HW'!Q$4)/($E$4+'TCO TO BE - HW'!$E$4)*SUM(POZICIE_INTERNE!$I$61:$I$72))/POZICIE_INTERNE!$B$61*12,IF((POZICIE_INTERNE!$B$61-12*('TCO TO BE- SW'!$D152-1))&lt;0,0,(POZICIE_INTERNE!$B$61-12*('TCO TO BE- SW'!$D152-1))*((Q$4+'TCO TO BE - HW'!Q$4)/($E$4+'TCO TO BE - HW'!$E$4)*SUM(POZICIE_INTERNE!$I$61:$I$72))/POZICIE_INTERNE!$B$61)),0)+IFERROR(IF((EXTERNE_POZICIE!$B$41-12*('TCO TO BE- SW'!$D152-1))&gt;12,((Q$4+'TCO TO BE - HW'!Q$4)/($E$4+'TCO TO BE - HW'!$E$4)*SUM(EXTERNE_POZICIE!$M$41:$M$52)*1.23)/EXTERNE_POZICIE!$B$41*12,IF((EXTERNE_POZICIE!$B$41-12*('TCO TO BE- SW'!$D152-1))&lt;0,0,(EXTERNE_POZICIE!$B$41-12*('TCO TO BE- SW'!$D152-1))*((Q$4+'TCO TO BE - HW'!Q$4)/($E$4+'TCO TO BE - HW'!$E$4)*SUM(EXTERNE_POZICIE!$M$41:$M$52)*1.23)/EXTERNE_POZICIE!$B$41)),0)+IFERROR(SUM(#REF!)*'TCO TO BE- SW'!Q$4/'TCO TO BE- SW'!$E$4,0)</f>
        <v>0</v>
      </c>
      <c r="R152" s="579">
        <f>IFERROR(IF((POZICIE_INTERNE!$B$61-12*('TCO TO BE- SW'!$D152-1))&gt;12,((R$4+'TCO TO BE - HW'!R$4)/($E$4+'TCO TO BE - HW'!$E$4)*SUM(POZICIE_INTERNE!$I$61:$I$72))/POZICIE_INTERNE!$B$61*12,IF((POZICIE_INTERNE!$B$61-12*('TCO TO BE- SW'!$D152-1))&lt;0,0,(POZICIE_INTERNE!$B$61-12*('TCO TO BE- SW'!$D152-1))*((R$4+'TCO TO BE - HW'!R$4)/($E$4+'TCO TO BE - HW'!$E$4)*SUM(POZICIE_INTERNE!$I$61:$I$72))/POZICIE_INTERNE!$B$61)),0)+IFERROR(IF((EXTERNE_POZICIE!$B$41-12*('TCO TO BE- SW'!$D152-1))&gt;12,((R$4+'TCO TO BE - HW'!R$4)/($E$4+'TCO TO BE - HW'!$E$4)*SUM(EXTERNE_POZICIE!$M$41:$M$52)*1.23)/EXTERNE_POZICIE!$B$41*12,IF((EXTERNE_POZICIE!$B$41-12*('TCO TO BE- SW'!$D152-1))&lt;0,0,(EXTERNE_POZICIE!$B$41-12*('TCO TO BE- SW'!$D152-1))*((R$4+'TCO TO BE - HW'!R$4)/($E$4+'TCO TO BE - HW'!$E$4)*SUM(EXTERNE_POZICIE!$M$41:$M$52)*1.23)/EXTERNE_POZICIE!$B$41)),0)+IFERROR(SUM(#REF!)*'TCO TO BE- SW'!R$4/'TCO TO BE- SW'!$E$4,0)</f>
        <v>0</v>
      </c>
      <c r="S152" s="579">
        <f>IFERROR(IF((POZICIE_INTERNE!$B$61-12*('TCO TO BE- SW'!$D152-1))&gt;12,((S$4+'TCO TO BE - HW'!S$4)/($E$4+'TCO TO BE - HW'!$E$4)*SUM(POZICIE_INTERNE!$I$61:$I$72))/POZICIE_INTERNE!$B$61*12,IF((POZICIE_INTERNE!$B$61-12*('TCO TO BE- SW'!$D152-1))&lt;0,0,(POZICIE_INTERNE!$B$61-12*('TCO TO BE- SW'!$D152-1))*((S$4+'TCO TO BE - HW'!S$4)/($E$4+'TCO TO BE - HW'!$E$4)*SUM(POZICIE_INTERNE!$I$61:$I$72))/POZICIE_INTERNE!$B$61)),0)+IFERROR(IF((EXTERNE_POZICIE!$B$41-12*('TCO TO BE- SW'!$D152-1))&gt;12,((S$4+'TCO TO BE - HW'!S$4)/($E$4+'TCO TO BE - HW'!$E$4)*SUM(EXTERNE_POZICIE!$M$41:$M$52)*1.23)/EXTERNE_POZICIE!$B$41*12,IF((EXTERNE_POZICIE!$B$41-12*('TCO TO BE- SW'!$D152-1))&lt;0,0,(EXTERNE_POZICIE!$B$41-12*('TCO TO BE- SW'!$D152-1))*((S$4+'TCO TO BE - HW'!S$4)/($E$4+'TCO TO BE - HW'!$E$4)*SUM(EXTERNE_POZICIE!$M$41:$M$52)*1.23)/EXTERNE_POZICIE!$B$41)),0)+IFERROR(SUM(#REF!)*'TCO TO BE- SW'!S$4/'TCO TO BE- SW'!$E$4,0)</f>
        <v>0</v>
      </c>
      <c r="T152" s="579">
        <f>IFERROR(IF((POZICIE_INTERNE!$B$61-12*('TCO TO BE- SW'!$D152-1))&gt;12,((T$4+'TCO TO BE - HW'!T$4)/($E$4+'TCO TO BE - HW'!$E$4)*SUM(POZICIE_INTERNE!$I$61:$I$72))/POZICIE_INTERNE!$B$61*12,IF((POZICIE_INTERNE!$B$61-12*('TCO TO BE- SW'!$D152-1))&lt;0,0,(POZICIE_INTERNE!$B$61-12*('TCO TO BE- SW'!$D152-1))*((T$4+'TCO TO BE - HW'!T$4)/($E$4+'TCO TO BE - HW'!$E$4)*SUM(POZICIE_INTERNE!$I$61:$I$72))/POZICIE_INTERNE!$B$61)),0)+IFERROR(IF((EXTERNE_POZICIE!$B$41-12*('TCO TO BE- SW'!$D152-1))&gt;12,((T$4+'TCO TO BE - HW'!T$4)/($E$4+'TCO TO BE - HW'!$E$4)*SUM(EXTERNE_POZICIE!$M$41:$M$52)*1.23)/EXTERNE_POZICIE!$B$41*12,IF((EXTERNE_POZICIE!$B$41-12*('TCO TO BE- SW'!$D152-1))&lt;0,0,(EXTERNE_POZICIE!$B$41-12*('TCO TO BE- SW'!$D152-1))*((T$4+'TCO TO BE - HW'!T$4)/($E$4+'TCO TO BE - HW'!$E$4)*SUM(EXTERNE_POZICIE!$M$41:$M$52)*1.23)/EXTERNE_POZICIE!$B$41)),0)+IFERROR(SUM(#REF!)*'TCO TO BE- SW'!T$4/'TCO TO BE- SW'!$E$4,0)</f>
        <v>0</v>
      </c>
      <c r="U152" s="579">
        <f>IFERROR(IF((POZICIE_INTERNE!$B$61-12*('TCO TO BE- SW'!$D152-1))&gt;12,((U$4+'TCO TO BE - HW'!U$4)/($E$4+'TCO TO BE - HW'!$E$4)*SUM(POZICIE_INTERNE!$I$61:$I$72))/POZICIE_INTERNE!$B$61*12,IF((POZICIE_INTERNE!$B$61-12*('TCO TO BE- SW'!$D152-1))&lt;0,0,(POZICIE_INTERNE!$B$61-12*('TCO TO BE- SW'!$D152-1))*((U$4+'TCO TO BE - HW'!U$4)/($E$4+'TCO TO BE - HW'!$E$4)*SUM(POZICIE_INTERNE!$I$61:$I$72))/POZICIE_INTERNE!$B$61)),0)+IFERROR(IF((EXTERNE_POZICIE!$B$41-12*('TCO TO BE- SW'!$D152-1))&gt;12,((U$4+'TCO TO BE - HW'!U$4)/($E$4+'TCO TO BE - HW'!$E$4)*SUM(EXTERNE_POZICIE!$M$41:$M$52)*1.23)/EXTERNE_POZICIE!$B$41*12,IF((EXTERNE_POZICIE!$B$41-12*('TCO TO BE- SW'!$D152-1))&lt;0,0,(EXTERNE_POZICIE!$B$41-12*('TCO TO BE- SW'!$D152-1))*((U$4+'TCO TO BE - HW'!U$4)/($E$4+'TCO TO BE - HW'!$E$4)*SUM(EXTERNE_POZICIE!$M$41:$M$52)*1.23)/EXTERNE_POZICIE!$B$41)),0)+IFERROR(SUM(#REF!)*'TCO TO BE- SW'!U$4/'TCO TO BE- SW'!$E$4,0)</f>
        <v>0</v>
      </c>
      <c r="V152" s="579">
        <f>IFERROR(IF((POZICIE_INTERNE!$B$61-12*('TCO TO BE- SW'!$D152-1))&gt;12,((V$4+'TCO TO BE - HW'!V$4)/($E$4+'TCO TO BE - HW'!$E$4)*SUM(POZICIE_INTERNE!$I$61:$I$72))/POZICIE_INTERNE!$B$61*12,IF((POZICIE_INTERNE!$B$61-12*('TCO TO BE- SW'!$D152-1))&lt;0,0,(POZICIE_INTERNE!$B$61-12*('TCO TO BE- SW'!$D152-1))*((V$4+'TCO TO BE - HW'!V$4)/($E$4+'TCO TO BE - HW'!$E$4)*SUM(POZICIE_INTERNE!$I$61:$I$72))/POZICIE_INTERNE!$B$61)),0)+IFERROR(IF((EXTERNE_POZICIE!$B$41-12*('TCO TO BE- SW'!$D152-1))&gt;12,((V$4+'TCO TO BE - HW'!V$4)/($E$4+'TCO TO BE - HW'!$E$4)*SUM(EXTERNE_POZICIE!$M$41:$M$52)*1.23)/EXTERNE_POZICIE!$B$41*12,IF((EXTERNE_POZICIE!$B$41-12*('TCO TO BE- SW'!$D152-1))&lt;0,0,(EXTERNE_POZICIE!$B$41-12*('TCO TO BE- SW'!$D152-1))*((V$4+'TCO TO BE - HW'!V$4)/($E$4+'TCO TO BE - HW'!$E$4)*SUM(EXTERNE_POZICIE!$M$41:$M$52)*1.23)/EXTERNE_POZICIE!$B$41)),0)+IFERROR(SUM(#REF!)*'TCO TO BE- SW'!V$4/'TCO TO BE- SW'!$E$4,0)</f>
        <v>0</v>
      </c>
      <c r="W152" s="579">
        <f>IFERROR(IF((POZICIE_INTERNE!$B$61-12*('TCO TO BE- SW'!$D152-1))&gt;12,((W$4+'TCO TO BE - HW'!W$4)/($E$4+'TCO TO BE - HW'!$E$4)*SUM(POZICIE_INTERNE!$I$61:$I$72))/POZICIE_INTERNE!$B$61*12,IF((POZICIE_INTERNE!$B$61-12*('TCO TO BE- SW'!$D152-1))&lt;0,0,(POZICIE_INTERNE!$B$61-12*('TCO TO BE- SW'!$D152-1))*((W$4+'TCO TO BE - HW'!W$4)/($E$4+'TCO TO BE - HW'!$E$4)*SUM(POZICIE_INTERNE!$I$61:$I$72))/POZICIE_INTERNE!$B$61)),0)+IFERROR(IF((EXTERNE_POZICIE!$B$41-12*('TCO TO BE- SW'!$D152-1))&gt;12,((W$4+'TCO TO BE - HW'!W$4)/($E$4+'TCO TO BE - HW'!$E$4)*SUM(EXTERNE_POZICIE!$M$41:$M$52)*1.23)/EXTERNE_POZICIE!$B$41*12,IF((EXTERNE_POZICIE!$B$41-12*('TCO TO BE- SW'!$D152-1))&lt;0,0,(EXTERNE_POZICIE!$B$41-12*('TCO TO BE- SW'!$D152-1))*((W$4+'TCO TO BE - HW'!W$4)/($E$4+'TCO TO BE - HW'!$E$4)*SUM(EXTERNE_POZICIE!$M$41:$M$52)*1.23)/EXTERNE_POZICIE!$B$41)),0)+IFERROR(SUM(#REF!)*'TCO TO BE- SW'!W$4/'TCO TO BE- SW'!$E$4,0)</f>
        <v>0</v>
      </c>
      <c r="X152" s="579">
        <f>IFERROR(IF((POZICIE_INTERNE!$B$61-12*('TCO TO BE- SW'!$D152-1))&gt;12,((X$4+'TCO TO BE - HW'!X$4)/($E$4+'TCO TO BE - HW'!$E$4)*SUM(POZICIE_INTERNE!$I$61:$I$72))/POZICIE_INTERNE!$B$61*12,IF((POZICIE_INTERNE!$B$61-12*('TCO TO BE- SW'!$D152-1))&lt;0,0,(POZICIE_INTERNE!$B$61-12*('TCO TO BE- SW'!$D152-1))*((X$4+'TCO TO BE - HW'!X$4)/($E$4+'TCO TO BE - HW'!$E$4)*SUM(POZICIE_INTERNE!$I$61:$I$72))/POZICIE_INTERNE!$B$61)),0)+IFERROR(IF((EXTERNE_POZICIE!$B$41-12*('TCO TO BE- SW'!$D152-1))&gt;12,((X$4+'TCO TO BE - HW'!X$4)/($E$4+'TCO TO BE - HW'!$E$4)*SUM(EXTERNE_POZICIE!$M$41:$M$52)*1.23)/EXTERNE_POZICIE!$B$41*12,IF((EXTERNE_POZICIE!$B$41-12*('TCO TO BE- SW'!$D152-1))&lt;0,0,(EXTERNE_POZICIE!$B$41-12*('TCO TO BE- SW'!$D152-1))*((X$4+'TCO TO BE - HW'!X$4)/($E$4+'TCO TO BE - HW'!$E$4)*SUM(EXTERNE_POZICIE!$M$41:$M$52)*1.23)/EXTERNE_POZICIE!$B$41)),0)+IFERROR(SUM(#REF!)*'TCO TO BE- SW'!X$4/'TCO TO BE- SW'!$E$4,0)</f>
        <v>0</v>
      </c>
      <c r="Y152" s="579">
        <f>IFERROR(IF((POZICIE_INTERNE!$B$61-12*('TCO TO BE- SW'!$D152-1))&gt;12,((Y$4+'TCO TO BE - HW'!Y$4)/($E$4+'TCO TO BE - HW'!$E$4)*SUM(POZICIE_INTERNE!$I$61:$I$72))/POZICIE_INTERNE!$B$61*12,IF((POZICIE_INTERNE!$B$61-12*('TCO TO BE- SW'!$D152-1))&lt;0,0,(POZICIE_INTERNE!$B$61-12*('TCO TO BE- SW'!$D152-1))*((Y$4+'TCO TO BE - HW'!Y$4)/($E$4+'TCO TO BE - HW'!$E$4)*SUM(POZICIE_INTERNE!$I$61:$I$72))/POZICIE_INTERNE!$B$61)),0)+IFERROR(IF((EXTERNE_POZICIE!$B$41-12*('TCO TO BE- SW'!$D152-1))&gt;12,((Y$4+'TCO TO BE - HW'!Y$4)/($E$4+'TCO TO BE - HW'!$E$4)*SUM(EXTERNE_POZICIE!$M$41:$M$52)*1.23)/EXTERNE_POZICIE!$B$41*12,IF((EXTERNE_POZICIE!$B$41-12*('TCO TO BE- SW'!$D152-1))&lt;0,0,(EXTERNE_POZICIE!$B$41-12*('TCO TO BE- SW'!$D152-1))*((Y$4+'TCO TO BE - HW'!Y$4)/($E$4+'TCO TO BE - HW'!$E$4)*SUM(EXTERNE_POZICIE!$M$41:$M$52)*1.23)/EXTERNE_POZICIE!$B$41)),0)+IFERROR(SUM(#REF!)*'TCO TO BE- SW'!Y$4/'TCO TO BE- SW'!$E$4,0)</f>
        <v>0</v>
      </c>
      <c r="Z152" s="579">
        <f>IFERROR(IF((POZICIE_INTERNE!$B$61-12*('TCO TO BE- SW'!$D152-1))&gt;12,((Z$4+'TCO TO BE - HW'!Z$4)/($E$4+'TCO TO BE - HW'!$E$4)*SUM(POZICIE_INTERNE!$I$61:$I$72))/POZICIE_INTERNE!$B$61*12,IF((POZICIE_INTERNE!$B$61-12*('TCO TO BE- SW'!$D152-1))&lt;0,0,(POZICIE_INTERNE!$B$61-12*('TCO TO BE- SW'!$D152-1))*((Z$4+'TCO TO BE - HW'!Z$4)/($E$4+'TCO TO BE - HW'!$E$4)*SUM(POZICIE_INTERNE!$I$61:$I$72))/POZICIE_INTERNE!$B$61)),0)+IFERROR(IF((EXTERNE_POZICIE!$B$41-12*('TCO TO BE- SW'!$D152-1))&gt;12,((Z$4+'TCO TO BE - HW'!Z$4)/($E$4+'TCO TO BE - HW'!$E$4)*SUM(EXTERNE_POZICIE!$M$41:$M$52)*1.23)/EXTERNE_POZICIE!$B$41*12,IF((EXTERNE_POZICIE!$B$41-12*('TCO TO BE- SW'!$D152-1))&lt;0,0,(EXTERNE_POZICIE!$B$41-12*('TCO TO BE- SW'!$D152-1))*((Z$4+'TCO TO BE - HW'!Z$4)/($E$4+'TCO TO BE - HW'!$E$4)*SUM(EXTERNE_POZICIE!$M$41:$M$52)*1.23)/EXTERNE_POZICIE!$B$41)),0)+IFERROR(SUM(#REF!)*'TCO TO BE- SW'!Z$4/'TCO TO BE- SW'!$E$4,0)</f>
        <v>0</v>
      </c>
    </row>
    <row r="153" spans="1:26" x14ac:dyDescent="0.2">
      <c r="A153" s="1390"/>
      <c r="B153" s="1391"/>
      <c r="C153" s="1391"/>
      <c r="D153" s="64">
        <v>3</v>
      </c>
      <c r="E153" s="68">
        <f t="shared" si="16"/>
        <v>0</v>
      </c>
      <c r="F153" s="579">
        <f>IFERROR(IF((POZICIE_INTERNE!$B$61-12*('TCO TO BE- SW'!$D153-1))&gt;12,((F$4+'TCO TO BE - HW'!F$4)/($E$4+'TCO TO BE - HW'!$E$4)*SUM(POZICIE_INTERNE!$I$61:$I$72))/POZICIE_INTERNE!$B$61*12,IF((POZICIE_INTERNE!$B$61-12*('TCO TO BE- SW'!$D153-1))&lt;0,0,(POZICIE_INTERNE!$B$61-12*('TCO TO BE- SW'!$D153-1))*((F$4+'TCO TO BE - HW'!F$4)/($E$4+'TCO TO BE - HW'!$E$4)*SUM(POZICIE_INTERNE!$I$61:$I$72))/POZICIE_INTERNE!$B$61)),0)+IFERROR(IF((EXTERNE_POZICIE!$B$41-12*('TCO TO BE- SW'!$D153-1))&gt;12,((F$4+'TCO TO BE - HW'!F$4)/($E$4+'TCO TO BE - HW'!$E$4)*SUM(EXTERNE_POZICIE!$M$41:$M$52)*1.23)/EXTERNE_POZICIE!$B$41*12,IF((EXTERNE_POZICIE!$B$41-12*('TCO TO BE- SW'!$D153-1))&lt;0,0,(EXTERNE_POZICIE!$B$41-12*('TCO TO BE- SW'!$D153-1))*((F$4+'TCO TO BE - HW'!F$4)/($E$4+'TCO TO BE - HW'!$E$4)*SUM(EXTERNE_POZICIE!$M$41:$M$52)*1.23)/EXTERNE_POZICIE!$B$41)),0)+IFERROR(SUM(#REF!)*'TCO TO BE- SW'!F$4/'TCO TO BE- SW'!$E$4,0)</f>
        <v>0</v>
      </c>
      <c r="G153" s="579">
        <f>IFERROR(IF((POZICIE_INTERNE!$B$61-12*('TCO TO BE- SW'!$D153-1))&gt;12,((G$4+'TCO TO BE - HW'!G$4)/($E$4+'TCO TO BE - HW'!$E$4)*SUM(POZICIE_INTERNE!$I$61:$I$72))/POZICIE_INTERNE!$B$61*12,IF((POZICIE_INTERNE!$B$61-12*('TCO TO BE- SW'!$D153-1))&lt;0,0,(POZICIE_INTERNE!$B$61-12*('TCO TO BE- SW'!$D153-1))*((G$4+'TCO TO BE - HW'!G$4)/($E$4+'TCO TO BE - HW'!$E$4)*SUM(POZICIE_INTERNE!$I$61:$I$72))/POZICIE_INTERNE!$B$61)),0)+IFERROR(IF((EXTERNE_POZICIE!$B$41-12*('TCO TO BE- SW'!$D153-1))&gt;12,((G$4+'TCO TO BE - HW'!G$4)/($E$4+'TCO TO BE - HW'!$E$4)*SUM(EXTERNE_POZICIE!$M$41:$M$52)*1.23)/EXTERNE_POZICIE!$B$41*12,IF((EXTERNE_POZICIE!$B$41-12*('TCO TO BE- SW'!$D153-1))&lt;0,0,(EXTERNE_POZICIE!$B$41-12*('TCO TO BE- SW'!$D153-1))*((G$4+'TCO TO BE - HW'!G$4)/($E$4+'TCO TO BE - HW'!$E$4)*SUM(EXTERNE_POZICIE!$M$41:$M$52)*1.23)/EXTERNE_POZICIE!$B$41)),0)+IFERROR(SUM(#REF!)*'TCO TO BE- SW'!G$4/'TCO TO BE- SW'!$E$4,0)</f>
        <v>0</v>
      </c>
      <c r="H153" s="579">
        <f>IFERROR(IF((POZICIE_INTERNE!$B$61-12*('TCO TO BE- SW'!$D153-1))&gt;12,((H$4+'TCO TO BE - HW'!H$4)/($E$4+'TCO TO BE - HW'!$E$4)*SUM(POZICIE_INTERNE!$I$61:$I$72))/POZICIE_INTERNE!$B$61*12,IF((POZICIE_INTERNE!$B$61-12*('TCO TO BE- SW'!$D153-1))&lt;0,0,(POZICIE_INTERNE!$B$61-12*('TCO TO BE- SW'!$D153-1))*((H$4+'TCO TO BE - HW'!H$4)/($E$4+'TCO TO BE - HW'!$E$4)*SUM(POZICIE_INTERNE!$I$61:$I$72))/POZICIE_INTERNE!$B$61)),0)+IFERROR(IF((EXTERNE_POZICIE!$B$41-12*('TCO TO BE- SW'!$D153-1))&gt;12,((H$4+'TCO TO BE - HW'!H$4)/($E$4+'TCO TO BE - HW'!$E$4)*SUM(EXTERNE_POZICIE!$M$41:$M$52)*1.23)/EXTERNE_POZICIE!$B$41*12,IF((EXTERNE_POZICIE!$B$41-12*('TCO TO BE- SW'!$D153-1))&lt;0,0,(EXTERNE_POZICIE!$B$41-12*('TCO TO BE- SW'!$D153-1))*((H$4+'TCO TO BE - HW'!H$4)/($E$4+'TCO TO BE - HW'!$E$4)*SUM(EXTERNE_POZICIE!$M$41:$M$52)*1.23)/EXTERNE_POZICIE!$B$41)),0)+IFERROR(SUM(#REF!)*'TCO TO BE- SW'!H$4/'TCO TO BE- SW'!$E$4,0)</f>
        <v>0</v>
      </c>
      <c r="I153" s="579">
        <f>IFERROR(IF((POZICIE_INTERNE!$B$61-12*('TCO TO BE- SW'!$D153-1))&gt;12,((I$4+'TCO TO BE - HW'!I$4)/($E$4+'TCO TO BE - HW'!$E$4)*SUM(POZICIE_INTERNE!$I$61:$I$72))/POZICIE_INTERNE!$B$61*12,IF((POZICIE_INTERNE!$B$61-12*('TCO TO BE- SW'!$D153-1))&lt;0,0,(POZICIE_INTERNE!$B$61-12*('TCO TO BE- SW'!$D153-1))*((I$4+'TCO TO BE - HW'!I$4)/($E$4+'TCO TO BE - HW'!$E$4)*SUM(POZICIE_INTERNE!$I$61:$I$72))/POZICIE_INTERNE!$B$61)),0)+IFERROR(IF((EXTERNE_POZICIE!$B$41-12*('TCO TO BE- SW'!$D153-1))&gt;12,((I$4+'TCO TO BE - HW'!I$4)/($E$4+'TCO TO BE - HW'!$E$4)*SUM(EXTERNE_POZICIE!$M$41:$M$52)*1.23)/EXTERNE_POZICIE!$B$41*12,IF((EXTERNE_POZICIE!$B$41-12*('TCO TO BE- SW'!$D153-1))&lt;0,0,(EXTERNE_POZICIE!$B$41-12*('TCO TO BE- SW'!$D153-1))*((I$4+'TCO TO BE - HW'!I$4)/($E$4+'TCO TO BE - HW'!$E$4)*SUM(EXTERNE_POZICIE!$M$41:$M$52)*1.23)/EXTERNE_POZICIE!$B$41)),0)+IFERROR(SUM(#REF!)*'TCO TO BE- SW'!I$4/'TCO TO BE- SW'!$E$4,0)</f>
        <v>0</v>
      </c>
      <c r="J153" s="579">
        <f>IFERROR(IF((POZICIE_INTERNE!$B$61-12*('TCO TO BE- SW'!$D153-1))&gt;12,((J$4+'TCO TO BE - HW'!J$4)/($E$4+'TCO TO BE - HW'!$E$4)*SUM(POZICIE_INTERNE!$I$61:$I$72))/POZICIE_INTERNE!$B$61*12,IF((POZICIE_INTERNE!$B$61-12*('TCO TO BE- SW'!$D153-1))&lt;0,0,(POZICIE_INTERNE!$B$61-12*('TCO TO BE- SW'!$D153-1))*((J$4+'TCO TO BE - HW'!J$4)/($E$4+'TCO TO BE - HW'!$E$4)*SUM(POZICIE_INTERNE!$I$61:$I$72))/POZICIE_INTERNE!$B$61)),0)+IFERROR(IF((EXTERNE_POZICIE!$B$41-12*('TCO TO BE- SW'!$D153-1))&gt;12,((J$4+'TCO TO BE - HW'!J$4)/($E$4+'TCO TO BE - HW'!$E$4)*SUM(EXTERNE_POZICIE!$M$41:$M$52)*1.23)/EXTERNE_POZICIE!$B$41*12,IF((EXTERNE_POZICIE!$B$41-12*('TCO TO BE- SW'!$D153-1))&lt;0,0,(EXTERNE_POZICIE!$B$41-12*('TCO TO BE- SW'!$D153-1))*((J$4+'TCO TO BE - HW'!J$4)/($E$4+'TCO TO BE - HW'!$E$4)*SUM(EXTERNE_POZICIE!$M$41:$M$52)*1.23)/EXTERNE_POZICIE!$B$41)),0)+IFERROR(SUM(#REF!)*'TCO TO BE- SW'!J$4/'TCO TO BE- SW'!$E$4,0)</f>
        <v>0</v>
      </c>
      <c r="K153" s="579">
        <f>IFERROR(IF((POZICIE_INTERNE!$B$61-12*('TCO TO BE- SW'!$D153-1))&gt;12,((K$4+'TCO TO BE - HW'!K$4)/($E$4+'TCO TO BE - HW'!$E$4)*SUM(POZICIE_INTERNE!$I$61:$I$72))/POZICIE_INTERNE!$B$61*12,IF((POZICIE_INTERNE!$B$61-12*('TCO TO BE- SW'!$D153-1))&lt;0,0,(POZICIE_INTERNE!$B$61-12*('TCO TO BE- SW'!$D153-1))*((K$4+'TCO TO BE - HW'!K$4)/($E$4+'TCO TO BE - HW'!$E$4)*SUM(POZICIE_INTERNE!$I$61:$I$72))/POZICIE_INTERNE!$B$61)),0)+IFERROR(IF((EXTERNE_POZICIE!$B$41-12*('TCO TO BE- SW'!$D153-1))&gt;12,((K$4+'TCO TO BE - HW'!K$4)/($E$4+'TCO TO BE - HW'!$E$4)*SUM(EXTERNE_POZICIE!$M$41:$M$52)*1.23)/EXTERNE_POZICIE!$B$41*12,IF((EXTERNE_POZICIE!$B$41-12*('TCO TO BE- SW'!$D153-1))&lt;0,0,(EXTERNE_POZICIE!$B$41-12*('TCO TO BE- SW'!$D153-1))*((K$4+'TCO TO BE - HW'!K$4)/($E$4+'TCO TO BE - HW'!$E$4)*SUM(EXTERNE_POZICIE!$M$41:$M$52)*1.23)/EXTERNE_POZICIE!$B$41)),0)+IFERROR(SUM(#REF!)*'TCO TO BE- SW'!K$4/'TCO TO BE- SW'!$E$4,0)</f>
        <v>0</v>
      </c>
      <c r="L153" s="579">
        <f>IFERROR(IF((POZICIE_INTERNE!$B$61-12*('TCO TO BE- SW'!$D153-1))&gt;12,((L$4+'TCO TO BE - HW'!L$4)/($E$4+'TCO TO BE - HW'!$E$4)*SUM(POZICIE_INTERNE!$I$61:$I$72))/POZICIE_INTERNE!$B$61*12,IF((POZICIE_INTERNE!$B$61-12*('TCO TO BE- SW'!$D153-1))&lt;0,0,(POZICIE_INTERNE!$B$61-12*('TCO TO BE- SW'!$D153-1))*((L$4+'TCO TO BE - HW'!L$4)/($E$4+'TCO TO BE - HW'!$E$4)*SUM(POZICIE_INTERNE!$I$61:$I$72))/POZICIE_INTERNE!$B$61)),0)+IFERROR(IF((EXTERNE_POZICIE!$B$41-12*('TCO TO BE- SW'!$D153-1))&gt;12,((L$4+'TCO TO BE - HW'!L$4)/($E$4+'TCO TO BE - HW'!$E$4)*SUM(EXTERNE_POZICIE!$M$41:$M$52)*1.23)/EXTERNE_POZICIE!$B$41*12,IF((EXTERNE_POZICIE!$B$41-12*('TCO TO BE- SW'!$D153-1))&lt;0,0,(EXTERNE_POZICIE!$B$41-12*('TCO TO BE- SW'!$D153-1))*((L$4+'TCO TO BE - HW'!L$4)/($E$4+'TCO TO BE - HW'!$E$4)*SUM(EXTERNE_POZICIE!$M$41:$M$52)*1.23)/EXTERNE_POZICIE!$B$41)),0)+IFERROR(SUM(#REF!)*'TCO TO BE- SW'!L$4/'TCO TO BE- SW'!$E$4,0)</f>
        <v>0</v>
      </c>
      <c r="M153" s="579">
        <f>IFERROR(IF((POZICIE_INTERNE!$B$61-12*('TCO TO BE- SW'!$D153-1))&gt;12,((M$4+'TCO TO BE - HW'!M$4)/($E$4+'TCO TO BE - HW'!$E$4)*SUM(POZICIE_INTERNE!$I$61:$I$72))/POZICIE_INTERNE!$B$61*12,IF((POZICIE_INTERNE!$B$61-12*('TCO TO BE- SW'!$D153-1))&lt;0,0,(POZICIE_INTERNE!$B$61-12*('TCO TO BE- SW'!$D153-1))*((M$4+'TCO TO BE - HW'!M$4)/($E$4+'TCO TO BE - HW'!$E$4)*SUM(POZICIE_INTERNE!$I$61:$I$72))/POZICIE_INTERNE!$B$61)),0)+IFERROR(IF((EXTERNE_POZICIE!$B$41-12*('TCO TO BE- SW'!$D153-1))&gt;12,((M$4+'TCO TO BE - HW'!M$4)/($E$4+'TCO TO BE - HW'!$E$4)*SUM(EXTERNE_POZICIE!$M$41:$M$52)*1.23)/EXTERNE_POZICIE!$B$41*12,IF((EXTERNE_POZICIE!$B$41-12*('TCO TO BE- SW'!$D153-1))&lt;0,0,(EXTERNE_POZICIE!$B$41-12*('TCO TO BE- SW'!$D153-1))*((M$4+'TCO TO BE - HW'!M$4)/($E$4+'TCO TO BE - HW'!$E$4)*SUM(EXTERNE_POZICIE!$M$41:$M$52)*1.23)/EXTERNE_POZICIE!$B$41)),0)+IFERROR(SUM(#REF!)*'TCO TO BE- SW'!M$4/'TCO TO BE- SW'!$E$4,0)</f>
        <v>0</v>
      </c>
      <c r="N153" s="579">
        <f>IFERROR(IF((POZICIE_INTERNE!$B$61-12*('TCO TO BE- SW'!$D153-1))&gt;12,((N$4+'TCO TO BE - HW'!N$4)/($E$4+'TCO TO BE - HW'!$E$4)*SUM(POZICIE_INTERNE!$I$61:$I$72))/POZICIE_INTERNE!$B$61*12,IF((POZICIE_INTERNE!$B$61-12*('TCO TO BE- SW'!$D153-1))&lt;0,0,(POZICIE_INTERNE!$B$61-12*('TCO TO BE- SW'!$D153-1))*((N$4+'TCO TO BE - HW'!N$4)/($E$4+'TCO TO BE - HW'!$E$4)*SUM(POZICIE_INTERNE!$I$61:$I$72))/POZICIE_INTERNE!$B$61)),0)+IFERROR(IF((EXTERNE_POZICIE!$B$41-12*('TCO TO BE- SW'!$D153-1))&gt;12,((N$4+'TCO TO BE - HW'!N$4)/($E$4+'TCO TO BE - HW'!$E$4)*SUM(EXTERNE_POZICIE!$M$41:$M$52)*1.23)/EXTERNE_POZICIE!$B$41*12,IF((EXTERNE_POZICIE!$B$41-12*('TCO TO BE- SW'!$D153-1))&lt;0,0,(EXTERNE_POZICIE!$B$41-12*('TCO TO BE- SW'!$D153-1))*((N$4+'TCO TO BE - HW'!N$4)/($E$4+'TCO TO BE - HW'!$E$4)*SUM(EXTERNE_POZICIE!$M$41:$M$52)*1.23)/EXTERNE_POZICIE!$B$41)),0)+IFERROR(SUM(#REF!)*'TCO TO BE- SW'!N$4/'TCO TO BE- SW'!$E$4,0)</f>
        <v>0</v>
      </c>
      <c r="O153" s="579">
        <f>IFERROR(IF((POZICIE_INTERNE!$B$61-12*('TCO TO BE- SW'!$D153-1))&gt;12,((O$4+'TCO TO BE - HW'!O$4)/($E$4+'TCO TO BE - HW'!$E$4)*SUM(POZICIE_INTERNE!$I$61:$I$72))/POZICIE_INTERNE!$B$61*12,IF((POZICIE_INTERNE!$B$61-12*('TCO TO BE- SW'!$D153-1))&lt;0,0,(POZICIE_INTERNE!$B$61-12*('TCO TO BE- SW'!$D153-1))*((O$4+'TCO TO BE - HW'!O$4)/($E$4+'TCO TO BE - HW'!$E$4)*SUM(POZICIE_INTERNE!$I$61:$I$72))/POZICIE_INTERNE!$B$61)),0)+IFERROR(IF((EXTERNE_POZICIE!$B$41-12*('TCO TO BE- SW'!$D153-1))&gt;12,((O$4+'TCO TO BE - HW'!O$4)/($E$4+'TCO TO BE - HW'!$E$4)*SUM(EXTERNE_POZICIE!$M$41:$M$52)*1.23)/EXTERNE_POZICIE!$B$41*12,IF((EXTERNE_POZICIE!$B$41-12*('TCO TO BE- SW'!$D153-1))&lt;0,0,(EXTERNE_POZICIE!$B$41-12*('TCO TO BE- SW'!$D153-1))*((O$4+'TCO TO BE - HW'!O$4)/($E$4+'TCO TO BE - HW'!$E$4)*SUM(EXTERNE_POZICIE!$M$41:$M$52)*1.23)/EXTERNE_POZICIE!$B$41)),0)+IFERROR(SUM(#REF!)*'TCO TO BE- SW'!O$4/'TCO TO BE- SW'!$E$4,0)</f>
        <v>0</v>
      </c>
      <c r="P153" s="579">
        <f>IFERROR(IF((POZICIE_INTERNE!$B$61-12*('TCO TO BE- SW'!$D153-1))&gt;12,((P$4+'TCO TO BE - HW'!P$4)/($E$4+'TCO TO BE - HW'!$E$4)*SUM(POZICIE_INTERNE!$I$61:$I$72))/POZICIE_INTERNE!$B$61*12,IF((POZICIE_INTERNE!$B$61-12*('TCO TO BE- SW'!$D153-1))&lt;0,0,(POZICIE_INTERNE!$B$61-12*('TCO TO BE- SW'!$D153-1))*((P$4+'TCO TO BE - HW'!P$4)/($E$4+'TCO TO BE - HW'!$E$4)*SUM(POZICIE_INTERNE!$I$61:$I$72))/POZICIE_INTERNE!$B$61)),0)+IFERROR(IF((EXTERNE_POZICIE!$B$41-12*('TCO TO BE- SW'!$D153-1))&gt;12,((P$4+'TCO TO BE - HW'!P$4)/($E$4+'TCO TO BE - HW'!$E$4)*SUM(EXTERNE_POZICIE!$M$41:$M$52)*1.23)/EXTERNE_POZICIE!$B$41*12,IF((EXTERNE_POZICIE!$B$41-12*('TCO TO BE- SW'!$D153-1))&lt;0,0,(EXTERNE_POZICIE!$B$41-12*('TCO TO BE- SW'!$D153-1))*((P$4+'TCO TO BE - HW'!P$4)/($E$4+'TCO TO BE - HW'!$E$4)*SUM(EXTERNE_POZICIE!$M$41:$M$52)*1.23)/EXTERNE_POZICIE!$B$41)),0)+IFERROR(SUM(#REF!)*'TCO TO BE- SW'!P$4/'TCO TO BE- SW'!$E$4,0)</f>
        <v>0</v>
      </c>
      <c r="Q153" s="579">
        <f>IFERROR(IF((POZICIE_INTERNE!$B$61-12*('TCO TO BE- SW'!$D153-1))&gt;12,((Q$4+'TCO TO BE - HW'!Q$4)/($E$4+'TCO TO BE - HW'!$E$4)*SUM(POZICIE_INTERNE!$I$61:$I$72))/POZICIE_INTERNE!$B$61*12,IF((POZICIE_INTERNE!$B$61-12*('TCO TO BE- SW'!$D153-1))&lt;0,0,(POZICIE_INTERNE!$B$61-12*('TCO TO BE- SW'!$D153-1))*((Q$4+'TCO TO BE - HW'!Q$4)/($E$4+'TCO TO BE - HW'!$E$4)*SUM(POZICIE_INTERNE!$I$61:$I$72))/POZICIE_INTERNE!$B$61)),0)+IFERROR(IF((EXTERNE_POZICIE!$B$41-12*('TCO TO BE- SW'!$D153-1))&gt;12,((Q$4+'TCO TO BE - HW'!Q$4)/($E$4+'TCO TO BE - HW'!$E$4)*SUM(EXTERNE_POZICIE!$M$41:$M$52)*1.23)/EXTERNE_POZICIE!$B$41*12,IF((EXTERNE_POZICIE!$B$41-12*('TCO TO BE- SW'!$D153-1))&lt;0,0,(EXTERNE_POZICIE!$B$41-12*('TCO TO BE- SW'!$D153-1))*((Q$4+'TCO TO BE - HW'!Q$4)/($E$4+'TCO TO BE - HW'!$E$4)*SUM(EXTERNE_POZICIE!$M$41:$M$52)*1.23)/EXTERNE_POZICIE!$B$41)),0)+IFERROR(SUM(#REF!)*'TCO TO BE- SW'!Q$4/'TCO TO BE- SW'!$E$4,0)</f>
        <v>0</v>
      </c>
      <c r="R153" s="579">
        <f>IFERROR(IF((POZICIE_INTERNE!$B$61-12*('TCO TO BE- SW'!$D153-1))&gt;12,((R$4+'TCO TO BE - HW'!R$4)/($E$4+'TCO TO BE - HW'!$E$4)*SUM(POZICIE_INTERNE!$I$61:$I$72))/POZICIE_INTERNE!$B$61*12,IF((POZICIE_INTERNE!$B$61-12*('TCO TO BE- SW'!$D153-1))&lt;0,0,(POZICIE_INTERNE!$B$61-12*('TCO TO BE- SW'!$D153-1))*((R$4+'TCO TO BE - HW'!R$4)/($E$4+'TCO TO BE - HW'!$E$4)*SUM(POZICIE_INTERNE!$I$61:$I$72))/POZICIE_INTERNE!$B$61)),0)+IFERROR(IF((EXTERNE_POZICIE!$B$41-12*('TCO TO BE- SW'!$D153-1))&gt;12,((R$4+'TCO TO BE - HW'!R$4)/($E$4+'TCO TO BE - HW'!$E$4)*SUM(EXTERNE_POZICIE!$M$41:$M$52)*1.23)/EXTERNE_POZICIE!$B$41*12,IF((EXTERNE_POZICIE!$B$41-12*('TCO TO BE- SW'!$D153-1))&lt;0,0,(EXTERNE_POZICIE!$B$41-12*('TCO TO BE- SW'!$D153-1))*((R$4+'TCO TO BE - HW'!R$4)/($E$4+'TCO TO BE - HW'!$E$4)*SUM(EXTERNE_POZICIE!$M$41:$M$52)*1.23)/EXTERNE_POZICIE!$B$41)),0)+IFERROR(SUM(#REF!)*'TCO TO BE- SW'!R$4/'TCO TO BE- SW'!$E$4,0)</f>
        <v>0</v>
      </c>
      <c r="S153" s="579">
        <f>IFERROR(IF((POZICIE_INTERNE!$B$61-12*('TCO TO BE- SW'!$D153-1))&gt;12,((S$4+'TCO TO BE - HW'!S$4)/($E$4+'TCO TO BE - HW'!$E$4)*SUM(POZICIE_INTERNE!$I$61:$I$72))/POZICIE_INTERNE!$B$61*12,IF((POZICIE_INTERNE!$B$61-12*('TCO TO BE- SW'!$D153-1))&lt;0,0,(POZICIE_INTERNE!$B$61-12*('TCO TO BE- SW'!$D153-1))*((S$4+'TCO TO BE - HW'!S$4)/($E$4+'TCO TO BE - HW'!$E$4)*SUM(POZICIE_INTERNE!$I$61:$I$72))/POZICIE_INTERNE!$B$61)),0)+IFERROR(IF((EXTERNE_POZICIE!$B$41-12*('TCO TO BE- SW'!$D153-1))&gt;12,((S$4+'TCO TO BE - HW'!S$4)/($E$4+'TCO TO BE - HW'!$E$4)*SUM(EXTERNE_POZICIE!$M$41:$M$52)*1.23)/EXTERNE_POZICIE!$B$41*12,IF((EXTERNE_POZICIE!$B$41-12*('TCO TO BE- SW'!$D153-1))&lt;0,0,(EXTERNE_POZICIE!$B$41-12*('TCO TO BE- SW'!$D153-1))*((S$4+'TCO TO BE - HW'!S$4)/($E$4+'TCO TO BE - HW'!$E$4)*SUM(EXTERNE_POZICIE!$M$41:$M$52)*1.23)/EXTERNE_POZICIE!$B$41)),0)+IFERROR(SUM(#REF!)*'TCO TO BE- SW'!S$4/'TCO TO BE- SW'!$E$4,0)</f>
        <v>0</v>
      </c>
      <c r="T153" s="579">
        <f>IFERROR(IF((POZICIE_INTERNE!$B$61-12*('TCO TO BE- SW'!$D153-1))&gt;12,((T$4+'TCO TO BE - HW'!T$4)/($E$4+'TCO TO BE - HW'!$E$4)*SUM(POZICIE_INTERNE!$I$61:$I$72))/POZICIE_INTERNE!$B$61*12,IF((POZICIE_INTERNE!$B$61-12*('TCO TO BE- SW'!$D153-1))&lt;0,0,(POZICIE_INTERNE!$B$61-12*('TCO TO BE- SW'!$D153-1))*((T$4+'TCO TO BE - HW'!T$4)/($E$4+'TCO TO BE - HW'!$E$4)*SUM(POZICIE_INTERNE!$I$61:$I$72))/POZICIE_INTERNE!$B$61)),0)+IFERROR(IF((EXTERNE_POZICIE!$B$41-12*('TCO TO BE- SW'!$D153-1))&gt;12,((T$4+'TCO TO BE - HW'!T$4)/($E$4+'TCO TO BE - HW'!$E$4)*SUM(EXTERNE_POZICIE!$M$41:$M$52)*1.23)/EXTERNE_POZICIE!$B$41*12,IF((EXTERNE_POZICIE!$B$41-12*('TCO TO BE- SW'!$D153-1))&lt;0,0,(EXTERNE_POZICIE!$B$41-12*('TCO TO BE- SW'!$D153-1))*((T$4+'TCO TO BE - HW'!T$4)/($E$4+'TCO TO BE - HW'!$E$4)*SUM(EXTERNE_POZICIE!$M$41:$M$52)*1.23)/EXTERNE_POZICIE!$B$41)),0)+IFERROR(SUM(#REF!)*'TCO TO BE- SW'!T$4/'TCO TO BE- SW'!$E$4,0)</f>
        <v>0</v>
      </c>
      <c r="U153" s="579">
        <f>IFERROR(IF((POZICIE_INTERNE!$B$61-12*('TCO TO BE- SW'!$D153-1))&gt;12,((U$4+'TCO TO BE - HW'!U$4)/($E$4+'TCO TO BE - HW'!$E$4)*SUM(POZICIE_INTERNE!$I$61:$I$72))/POZICIE_INTERNE!$B$61*12,IF((POZICIE_INTERNE!$B$61-12*('TCO TO BE- SW'!$D153-1))&lt;0,0,(POZICIE_INTERNE!$B$61-12*('TCO TO BE- SW'!$D153-1))*((U$4+'TCO TO BE - HW'!U$4)/($E$4+'TCO TO BE - HW'!$E$4)*SUM(POZICIE_INTERNE!$I$61:$I$72))/POZICIE_INTERNE!$B$61)),0)+IFERROR(IF((EXTERNE_POZICIE!$B$41-12*('TCO TO BE- SW'!$D153-1))&gt;12,((U$4+'TCO TO BE - HW'!U$4)/($E$4+'TCO TO BE - HW'!$E$4)*SUM(EXTERNE_POZICIE!$M$41:$M$52)*1.23)/EXTERNE_POZICIE!$B$41*12,IF((EXTERNE_POZICIE!$B$41-12*('TCO TO BE- SW'!$D153-1))&lt;0,0,(EXTERNE_POZICIE!$B$41-12*('TCO TO BE- SW'!$D153-1))*((U$4+'TCO TO BE - HW'!U$4)/($E$4+'TCO TO BE - HW'!$E$4)*SUM(EXTERNE_POZICIE!$M$41:$M$52)*1.23)/EXTERNE_POZICIE!$B$41)),0)+IFERROR(SUM(#REF!)*'TCO TO BE- SW'!U$4/'TCO TO BE- SW'!$E$4,0)</f>
        <v>0</v>
      </c>
      <c r="V153" s="579">
        <f>IFERROR(IF((POZICIE_INTERNE!$B$61-12*('TCO TO BE- SW'!$D153-1))&gt;12,((V$4+'TCO TO BE - HW'!V$4)/($E$4+'TCO TO BE - HW'!$E$4)*SUM(POZICIE_INTERNE!$I$61:$I$72))/POZICIE_INTERNE!$B$61*12,IF((POZICIE_INTERNE!$B$61-12*('TCO TO BE- SW'!$D153-1))&lt;0,0,(POZICIE_INTERNE!$B$61-12*('TCO TO BE- SW'!$D153-1))*((V$4+'TCO TO BE - HW'!V$4)/($E$4+'TCO TO BE - HW'!$E$4)*SUM(POZICIE_INTERNE!$I$61:$I$72))/POZICIE_INTERNE!$B$61)),0)+IFERROR(IF((EXTERNE_POZICIE!$B$41-12*('TCO TO BE- SW'!$D153-1))&gt;12,((V$4+'TCO TO BE - HW'!V$4)/($E$4+'TCO TO BE - HW'!$E$4)*SUM(EXTERNE_POZICIE!$M$41:$M$52)*1.23)/EXTERNE_POZICIE!$B$41*12,IF((EXTERNE_POZICIE!$B$41-12*('TCO TO BE- SW'!$D153-1))&lt;0,0,(EXTERNE_POZICIE!$B$41-12*('TCO TO BE- SW'!$D153-1))*((V$4+'TCO TO BE - HW'!V$4)/($E$4+'TCO TO BE - HW'!$E$4)*SUM(EXTERNE_POZICIE!$M$41:$M$52)*1.23)/EXTERNE_POZICIE!$B$41)),0)+IFERROR(SUM(#REF!)*'TCO TO BE- SW'!V$4/'TCO TO BE- SW'!$E$4,0)</f>
        <v>0</v>
      </c>
      <c r="W153" s="579">
        <f>IFERROR(IF((POZICIE_INTERNE!$B$61-12*('TCO TO BE- SW'!$D153-1))&gt;12,((W$4+'TCO TO BE - HW'!W$4)/($E$4+'TCO TO BE - HW'!$E$4)*SUM(POZICIE_INTERNE!$I$61:$I$72))/POZICIE_INTERNE!$B$61*12,IF((POZICIE_INTERNE!$B$61-12*('TCO TO BE- SW'!$D153-1))&lt;0,0,(POZICIE_INTERNE!$B$61-12*('TCO TO BE- SW'!$D153-1))*((W$4+'TCO TO BE - HW'!W$4)/($E$4+'TCO TO BE - HW'!$E$4)*SUM(POZICIE_INTERNE!$I$61:$I$72))/POZICIE_INTERNE!$B$61)),0)+IFERROR(IF((EXTERNE_POZICIE!$B$41-12*('TCO TO BE- SW'!$D153-1))&gt;12,((W$4+'TCO TO BE - HW'!W$4)/($E$4+'TCO TO BE - HW'!$E$4)*SUM(EXTERNE_POZICIE!$M$41:$M$52)*1.23)/EXTERNE_POZICIE!$B$41*12,IF((EXTERNE_POZICIE!$B$41-12*('TCO TO BE- SW'!$D153-1))&lt;0,0,(EXTERNE_POZICIE!$B$41-12*('TCO TO BE- SW'!$D153-1))*((W$4+'TCO TO BE - HW'!W$4)/($E$4+'TCO TO BE - HW'!$E$4)*SUM(EXTERNE_POZICIE!$M$41:$M$52)*1.23)/EXTERNE_POZICIE!$B$41)),0)+IFERROR(SUM(#REF!)*'TCO TO BE- SW'!W$4/'TCO TO BE- SW'!$E$4,0)</f>
        <v>0</v>
      </c>
      <c r="X153" s="579">
        <f>IFERROR(IF((POZICIE_INTERNE!$B$61-12*('TCO TO BE- SW'!$D153-1))&gt;12,((X$4+'TCO TO BE - HW'!X$4)/($E$4+'TCO TO BE - HW'!$E$4)*SUM(POZICIE_INTERNE!$I$61:$I$72))/POZICIE_INTERNE!$B$61*12,IF((POZICIE_INTERNE!$B$61-12*('TCO TO BE- SW'!$D153-1))&lt;0,0,(POZICIE_INTERNE!$B$61-12*('TCO TO BE- SW'!$D153-1))*((X$4+'TCO TO BE - HW'!X$4)/($E$4+'TCO TO BE - HW'!$E$4)*SUM(POZICIE_INTERNE!$I$61:$I$72))/POZICIE_INTERNE!$B$61)),0)+IFERROR(IF((EXTERNE_POZICIE!$B$41-12*('TCO TO BE- SW'!$D153-1))&gt;12,((X$4+'TCO TO BE - HW'!X$4)/($E$4+'TCO TO BE - HW'!$E$4)*SUM(EXTERNE_POZICIE!$M$41:$M$52)*1.23)/EXTERNE_POZICIE!$B$41*12,IF((EXTERNE_POZICIE!$B$41-12*('TCO TO BE- SW'!$D153-1))&lt;0,0,(EXTERNE_POZICIE!$B$41-12*('TCO TO BE- SW'!$D153-1))*((X$4+'TCO TO BE - HW'!X$4)/($E$4+'TCO TO BE - HW'!$E$4)*SUM(EXTERNE_POZICIE!$M$41:$M$52)*1.23)/EXTERNE_POZICIE!$B$41)),0)+IFERROR(SUM(#REF!)*'TCO TO BE- SW'!X$4/'TCO TO BE- SW'!$E$4,0)</f>
        <v>0</v>
      </c>
      <c r="Y153" s="579">
        <f>IFERROR(IF((POZICIE_INTERNE!$B$61-12*('TCO TO BE- SW'!$D153-1))&gt;12,((Y$4+'TCO TO BE - HW'!Y$4)/($E$4+'TCO TO BE - HW'!$E$4)*SUM(POZICIE_INTERNE!$I$61:$I$72))/POZICIE_INTERNE!$B$61*12,IF((POZICIE_INTERNE!$B$61-12*('TCO TO BE- SW'!$D153-1))&lt;0,0,(POZICIE_INTERNE!$B$61-12*('TCO TO BE- SW'!$D153-1))*((Y$4+'TCO TO BE - HW'!Y$4)/($E$4+'TCO TO BE - HW'!$E$4)*SUM(POZICIE_INTERNE!$I$61:$I$72))/POZICIE_INTERNE!$B$61)),0)+IFERROR(IF((EXTERNE_POZICIE!$B$41-12*('TCO TO BE- SW'!$D153-1))&gt;12,((Y$4+'TCO TO BE - HW'!Y$4)/($E$4+'TCO TO BE - HW'!$E$4)*SUM(EXTERNE_POZICIE!$M$41:$M$52)*1.23)/EXTERNE_POZICIE!$B$41*12,IF((EXTERNE_POZICIE!$B$41-12*('TCO TO BE- SW'!$D153-1))&lt;0,0,(EXTERNE_POZICIE!$B$41-12*('TCO TO BE- SW'!$D153-1))*((Y$4+'TCO TO BE - HW'!Y$4)/($E$4+'TCO TO BE - HW'!$E$4)*SUM(EXTERNE_POZICIE!$M$41:$M$52)*1.23)/EXTERNE_POZICIE!$B$41)),0)+IFERROR(SUM(#REF!)*'TCO TO BE- SW'!Y$4/'TCO TO BE- SW'!$E$4,0)</f>
        <v>0</v>
      </c>
      <c r="Z153" s="579">
        <f>IFERROR(IF((POZICIE_INTERNE!$B$61-12*('TCO TO BE- SW'!$D153-1))&gt;12,((Z$4+'TCO TO BE - HW'!Z$4)/($E$4+'TCO TO BE - HW'!$E$4)*SUM(POZICIE_INTERNE!$I$61:$I$72))/POZICIE_INTERNE!$B$61*12,IF((POZICIE_INTERNE!$B$61-12*('TCO TO BE- SW'!$D153-1))&lt;0,0,(POZICIE_INTERNE!$B$61-12*('TCO TO BE- SW'!$D153-1))*((Z$4+'TCO TO BE - HW'!Z$4)/($E$4+'TCO TO BE - HW'!$E$4)*SUM(POZICIE_INTERNE!$I$61:$I$72))/POZICIE_INTERNE!$B$61)),0)+IFERROR(IF((EXTERNE_POZICIE!$B$41-12*('TCO TO BE- SW'!$D153-1))&gt;12,((Z$4+'TCO TO BE - HW'!Z$4)/($E$4+'TCO TO BE - HW'!$E$4)*SUM(EXTERNE_POZICIE!$M$41:$M$52)*1.23)/EXTERNE_POZICIE!$B$41*12,IF((EXTERNE_POZICIE!$B$41-12*('TCO TO BE- SW'!$D153-1))&lt;0,0,(EXTERNE_POZICIE!$B$41-12*('TCO TO BE- SW'!$D153-1))*((Z$4+'TCO TO BE - HW'!Z$4)/($E$4+'TCO TO BE - HW'!$E$4)*SUM(EXTERNE_POZICIE!$M$41:$M$52)*1.23)/EXTERNE_POZICIE!$B$41)),0)+IFERROR(SUM(#REF!)*'TCO TO BE- SW'!Z$4/'TCO TO BE- SW'!$E$4,0)</f>
        <v>0</v>
      </c>
    </row>
    <row r="154" spans="1:26" x14ac:dyDescent="0.2">
      <c r="A154" s="1390"/>
      <c r="B154" s="1391"/>
      <c r="C154" s="1391"/>
      <c r="D154" s="64">
        <v>4</v>
      </c>
      <c r="E154" s="68">
        <f t="shared" si="16"/>
        <v>0</v>
      </c>
      <c r="F154" s="579">
        <f>IFERROR(IF((POZICIE_INTERNE!$B$61-12*('TCO TO BE- SW'!$D154-1))&gt;12,((F$4+'TCO TO BE - HW'!F$4)/($E$4+'TCO TO BE - HW'!$E$4)*SUM(POZICIE_INTERNE!$I$61:$I$72))/POZICIE_INTERNE!$B$61*12,IF((POZICIE_INTERNE!$B$61-12*('TCO TO BE- SW'!$D154-1))&lt;0,0,(POZICIE_INTERNE!$B$61-12*('TCO TO BE- SW'!$D154-1))*((F$4+'TCO TO BE - HW'!F$4)/($E$4+'TCO TO BE - HW'!$E$4)*SUM(POZICIE_INTERNE!$I$61:$I$72))/POZICIE_INTERNE!$B$61)),0)+IFERROR(IF((EXTERNE_POZICIE!$B$41-12*('TCO TO BE- SW'!$D154-1))&gt;12,((F$4+'TCO TO BE - HW'!F$4)/($E$4+'TCO TO BE - HW'!$E$4)*SUM(EXTERNE_POZICIE!$M$41:$M$52)*1.23)/EXTERNE_POZICIE!$B$41*12,IF((EXTERNE_POZICIE!$B$41-12*('TCO TO BE- SW'!$D154-1))&lt;0,0,(EXTERNE_POZICIE!$B$41-12*('TCO TO BE- SW'!$D154-1))*((F$4+'TCO TO BE - HW'!F$4)/($E$4+'TCO TO BE - HW'!$E$4)*SUM(EXTERNE_POZICIE!$M$41:$M$52)*1.23)/EXTERNE_POZICIE!$B$41)),0)+IFERROR(SUM(#REF!)*'TCO TO BE- SW'!F$4/'TCO TO BE- SW'!$E$4,0)</f>
        <v>0</v>
      </c>
      <c r="G154" s="579">
        <f>IFERROR(IF((POZICIE_INTERNE!$B$61-12*('TCO TO BE- SW'!$D154-1))&gt;12,((G$4+'TCO TO BE - HW'!G$4)/($E$4+'TCO TO BE - HW'!$E$4)*SUM(POZICIE_INTERNE!$I$61:$I$72))/POZICIE_INTERNE!$B$61*12,IF((POZICIE_INTERNE!$B$61-12*('TCO TO BE- SW'!$D154-1))&lt;0,0,(POZICIE_INTERNE!$B$61-12*('TCO TO BE- SW'!$D154-1))*((G$4+'TCO TO BE - HW'!G$4)/($E$4+'TCO TO BE - HW'!$E$4)*SUM(POZICIE_INTERNE!$I$61:$I$72))/POZICIE_INTERNE!$B$61)),0)+IFERROR(IF((EXTERNE_POZICIE!$B$41-12*('TCO TO BE- SW'!$D154-1))&gt;12,((G$4+'TCO TO BE - HW'!G$4)/($E$4+'TCO TO BE - HW'!$E$4)*SUM(EXTERNE_POZICIE!$M$41:$M$52)*1.23)/EXTERNE_POZICIE!$B$41*12,IF((EXTERNE_POZICIE!$B$41-12*('TCO TO BE- SW'!$D154-1))&lt;0,0,(EXTERNE_POZICIE!$B$41-12*('TCO TO BE- SW'!$D154-1))*((G$4+'TCO TO BE - HW'!G$4)/($E$4+'TCO TO BE - HW'!$E$4)*SUM(EXTERNE_POZICIE!$M$41:$M$52)*1.23)/EXTERNE_POZICIE!$B$41)),0)+IFERROR(SUM(#REF!)*'TCO TO BE- SW'!G$4/'TCO TO BE- SW'!$E$4,0)</f>
        <v>0</v>
      </c>
      <c r="H154" s="579">
        <f>IFERROR(IF((POZICIE_INTERNE!$B$61-12*('TCO TO BE- SW'!$D154-1))&gt;12,((H$4+'TCO TO BE - HW'!H$4)/($E$4+'TCO TO BE - HW'!$E$4)*SUM(POZICIE_INTERNE!$I$61:$I$72))/POZICIE_INTERNE!$B$61*12,IF((POZICIE_INTERNE!$B$61-12*('TCO TO BE- SW'!$D154-1))&lt;0,0,(POZICIE_INTERNE!$B$61-12*('TCO TO BE- SW'!$D154-1))*((H$4+'TCO TO BE - HW'!H$4)/($E$4+'TCO TO BE - HW'!$E$4)*SUM(POZICIE_INTERNE!$I$61:$I$72))/POZICIE_INTERNE!$B$61)),0)+IFERROR(IF((EXTERNE_POZICIE!$B$41-12*('TCO TO BE- SW'!$D154-1))&gt;12,((H$4+'TCO TO BE - HW'!H$4)/($E$4+'TCO TO BE - HW'!$E$4)*SUM(EXTERNE_POZICIE!$M$41:$M$52)*1.23)/EXTERNE_POZICIE!$B$41*12,IF((EXTERNE_POZICIE!$B$41-12*('TCO TO BE- SW'!$D154-1))&lt;0,0,(EXTERNE_POZICIE!$B$41-12*('TCO TO BE- SW'!$D154-1))*((H$4+'TCO TO BE - HW'!H$4)/($E$4+'TCO TO BE - HW'!$E$4)*SUM(EXTERNE_POZICIE!$M$41:$M$52)*1.23)/EXTERNE_POZICIE!$B$41)),0)+IFERROR(SUM(#REF!)*'TCO TO BE- SW'!H$4/'TCO TO BE- SW'!$E$4,0)</f>
        <v>0</v>
      </c>
      <c r="I154" s="579">
        <f>IFERROR(IF((POZICIE_INTERNE!$B$61-12*('TCO TO BE- SW'!$D154-1))&gt;12,((I$4+'TCO TO BE - HW'!I$4)/($E$4+'TCO TO BE - HW'!$E$4)*SUM(POZICIE_INTERNE!$I$61:$I$72))/POZICIE_INTERNE!$B$61*12,IF((POZICIE_INTERNE!$B$61-12*('TCO TO BE- SW'!$D154-1))&lt;0,0,(POZICIE_INTERNE!$B$61-12*('TCO TO BE- SW'!$D154-1))*((I$4+'TCO TO BE - HW'!I$4)/($E$4+'TCO TO BE - HW'!$E$4)*SUM(POZICIE_INTERNE!$I$61:$I$72))/POZICIE_INTERNE!$B$61)),0)+IFERROR(IF((EXTERNE_POZICIE!$B$41-12*('TCO TO BE- SW'!$D154-1))&gt;12,((I$4+'TCO TO BE - HW'!I$4)/($E$4+'TCO TO BE - HW'!$E$4)*SUM(EXTERNE_POZICIE!$M$41:$M$52)*1.23)/EXTERNE_POZICIE!$B$41*12,IF((EXTERNE_POZICIE!$B$41-12*('TCO TO BE- SW'!$D154-1))&lt;0,0,(EXTERNE_POZICIE!$B$41-12*('TCO TO BE- SW'!$D154-1))*((I$4+'TCO TO BE - HW'!I$4)/($E$4+'TCO TO BE - HW'!$E$4)*SUM(EXTERNE_POZICIE!$M$41:$M$52)*1.23)/EXTERNE_POZICIE!$B$41)),0)+IFERROR(SUM(#REF!)*'TCO TO BE- SW'!I$4/'TCO TO BE- SW'!$E$4,0)</f>
        <v>0</v>
      </c>
      <c r="J154" s="579">
        <f>IFERROR(IF((POZICIE_INTERNE!$B$61-12*('TCO TO BE- SW'!$D154-1))&gt;12,((J$4+'TCO TO BE - HW'!J$4)/($E$4+'TCO TO BE - HW'!$E$4)*SUM(POZICIE_INTERNE!$I$61:$I$72))/POZICIE_INTERNE!$B$61*12,IF((POZICIE_INTERNE!$B$61-12*('TCO TO BE- SW'!$D154-1))&lt;0,0,(POZICIE_INTERNE!$B$61-12*('TCO TO BE- SW'!$D154-1))*((J$4+'TCO TO BE - HW'!J$4)/($E$4+'TCO TO BE - HW'!$E$4)*SUM(POZICIE_INTERNE!$I$61:$I$72))/POZICIE_INTERNE!$B$61)),0)+IFERROR(IF((EXTERNE_POZICIE!$B$41-12*('TCO TO BE- SW'!$D154-1))&gt;12,((J$4+'TCO TO BE - HW'!J$4)/($E$4+'TCO TO BE - HW'!$E$4)*SUM(EXTERNE_POZICIE!$M$41:$M$52)*1.23)/EXTERNE_POZICIE!$B$41*12,IF((EXTERNE_POZICIE!$B$41-12*('TCO TO BE- SW'!$D154-1))&lt;0,0,(EXTERNE_POZICIE!$B$41-12*('TCO TO BE- SW'!$D154-1))*((J$4+'TCO TO BE - HW'!J$4)/($E$4+'TCO TO BE - HW'!$E$4)*SUM(EXTERNE_POZICIE!$M$41:$M$52)*1.23)/EXTERNE_POZICIE!$B$41)),0)+IFERROR(SUM(#REF!)*'TCO TO BE- SW'!J$4/'TCO TO BE- SW'!$E$4,0)</f>
        <v>0</v>
      </c>
      <c r="K154" s="579">
        <f>IFERROR(IF((POZICIE_INTERNE!$B$61-12*('TCO TO BE- SW'!$D154-1))&gt;12,((K$4+'TCO TO BE - HW'!K$4)/($E$4+'TCO TO BE - HW'!$E$4)*SUM(POZICIE_INTERNE!$I$61:$I$72))/POZICIE_INTERNE!$B$61*12,IF((POZICIE_INTERNE!$B$61-12*('TCO TO BE- SW'!$D154-1))&lt;0,0,(POZICIE_INTERNE!$B$61-12*('TCO TO BE- SW'!$D154-1))*((K$4+'TCO TO BE - HW'!K$4)/($E$4+'TCO TO BE - HW'!$E$4)*SUM(POZICIE_INTERNE!$I$61:$I$72))/POZICIE_INTERNE!$B$61)),0)+IFERROR(IF((EXTERNE_POZICIE!$B$41-12*('TCO TO BE- SW'!$D154-1))&gt;12,((K$4+'TCO TO BE - HW'!K$4)/($E$4+'TCO TO BE - HW'!$E$4)*SUM(EXTERNE_POZICIE!$M$41:$M$52)*1.23)/EXTERNE_POZICIE!$B$41*12,IF((EXTERNE_POZICIE!$B$41-12*('TCO TO BE- SW'!$D154-1))&lt;0,0,(EXTERNE_POZICIE!$B$41-12*('TCO TO BE- SW'!$D154-1))*((K$4+'TCO TO BE - HW'!K$4)/($E$4+'TCO TO BE - HW'!$E$4)*SUM(EXTERNE_POZICIE!$M$41:$M$52)*1.23)/EXTERNE_POZICIE!$B$41)),0)+IFERROR(SUM(#REF!)*'TCO TO BE- SW'!K$4/'TCO TO BE- SW'!$E$4,0)</f>
        <v>0</v>
      </c>
      <c r="L154" s="579">
        <f>IFERROR(IF((POZICIE_INTERNE!$B$61-12*('TCO TO BE- SW'!$D154-1))&gt;12,((L$4+'TCO TO BE - HW'!L$4)/($E$4+'TCO TO BE - HW'!$E$4)*SUM(POZICIE_INTERNE!$I$61:$I$72))/POZICIE_INTERNE!$B$61*12,IF((POZICIE_INTERNE!$B$61-12*('TCO TO BE- SW'!$D154-1))&lt;0,0,(POZICIE_INTERNE!$B$61-12*('TCO TO BE- SW'!$D154-1))*((L$4+'TCO TO BE - HW'!L$4)/($E$4+'TCO TO BE - HW'!$E$4)*SUM(POZICIE_INTERNE!$I$61:$I$72))/POZICIE_INTERNE!$B$61)),0)+IFERROR(IF((EXTERNE_POZICIE!$B$41-12*('TCO TO BE- SW'!$D154-1))&gt;12,((L$4+'TCO TO BE - HW'!L$4)/($E$4+'TCO TO BE - HW'!$E$4)*SUM(EXTERNE_POZICIE!$M$41:$M$52)*1.23)/EXTERNE_POZICIE!$B$41*12,IF((EXTERNE_POZICIE!$B$41-12*('TCO TO BE- SW'!$D154-1))&lt;0,0,(EXTERNE_POZICIE!$B$41-12*('TCO TO BE- SW'!$D154-1))*((L$4+'TCO TO BE - HW'!L$4)/($E$4+'TCO TO BE - HW'!$E$4)*SUM(EXTERNE_POZICIE!$M$41:$M$52)*1.23)/EXTERNE_POZICIE!$B$41)),0)+IFERROR(SUM(#REF!)*'TCO TO BE- SW'!L$4/'TCO TO BE- SW'!$E$4,0)</f>
        <v>0</v>
      </c>
      <c r="M154" s="579">
        <f>IFERROR(IF((POZICIE_INTERNE!$B$61-12*('TCO TO BE- SW'!$D154-1))&gt;12,((M$4+'TCO TO BE - HW'!M$4)/($E$4+'TCO TO BE - HW'!$E$4)*SUM(POZICIE_INTERNE!$I$61:$I$72))/POZICIE_INTERNE!$B$61*12,IF((POZICIE_INTERNE!$B$61-12*('TCO TO BE- SW'!$D154-1))&lt;0,0,(POZICIE_INTERNE!$B$61-12*('TCO TO BE- SW'!$D154-1))*((M$4+'TCO TO BE - HW'!M$4)/($E$4+'TCO TO BE - HW'!$E$4)*SUM(POZICIE_INTERNE!$I$61:$I$72))/POZICIE_INTERNE!$B$61)),0)+IFERROR(IF((EXTERNE_POZICIE!$B$41-12*('TCO TO BE- SW'!$D154-1))&gt;12,((M$4+'TCO TO BE - HW'!M$4)/($E$4+'TCO TO BE - HW'!$E$4)*SUM(EXTERNE_POZICIE!$M$41:$M$52)*1.23)/EXTERNE_POZICIE!$B$41*12,IF((EXTERNE_POZICIE!$B$41-12*('TCO TO BE- SW'!$D154-1))&lt;0,0,(EXTERNE_POZICIE!$B$41-12*('TCO TO BE- SW'!$D154-1))*((M$4+'TCO TO BE - HW'!M$4)/($E$4+'TCO TO BE - HW'!$E$4)*SUM(EXTERNE_POZICIE!$M$41:$M$52)*1.23)/EXTERNE_POZICIE!$B$41)),0)+IFERROR(SUM(#REF!)*'TCO TO BE- SW'!M$4/'TCO TO BE- SW'!$E$4,0)</f>
        <v>0</v>
      </c>
      <c r="N154" s="579">
        <f>IFERROR(IF((POZICIE_INTERNE!$B$61-12*('TCO TO BE- SW'!$D154-1))&gt;12,((N$4+'TCO TO BE - HW'!N$4)/($E$4+'TCO TO BE - HW'!$E$4)*SUM(POZICIE_INTERNE!$I$61:$I$72))/POZICIE_INTERNE!$B$61*12,IF((POZICIE_INTERNE!$B$61-12*('TCO TO BE- SW'!$D154-1))&lt;0,0,(POZICIE_INTERNE!$B$61-12*('TCO TO BE- SW'!$D154-1))*((N$4+'TCO TO BE - HW'!N$4)/($E$4+'TCO TO BE - HW'!$E$4)*SUM(POZICIE_INTERNE!$I$61:$I$72))/POZICIE_INTERNE!$B$61)),0)+IFERROR(IF((EXTERNE_POZICIE!$B$41-12*('TCO TO BE- SW'!$D154-1))&gt;12,((N$4+'TCO TO BE - HW'!N$4)/($E$4+'TCO TO BE - HW'!$E$4)*SUM(EXTERNE_POZICIE!$M$41:$M$52)*1.23)/EXTERNE_POZICIE!$B$41*12,IF((EXTERNE_POZICIE!$B$41-12*('TCO TO BE- SW'!$D154-1))&lt;0,0,(EXTERNE_POZICIE!$B$41-12*('TCO TO BE- SW'!$D154-1))*((N$4+'TCO TO BE - HW'!N$4)/($E$4+'TCO TO BE - HW'!$E$4)*SUM(EXTERNE_POZICIE!$M$41:$M$52)*1.23)/EXTERNE_POZICIE!$B$41)),0)+IFERROR(SUM(#REF!)*'TCO TO BE- SW'!N$4/'TCO TO BE- SW'!$E$4,0)</f>
        <v>0</v>
      </c>
      <c r="O154" s="579">
        <f>IFERROR(IF((POZICIE_INTERNE!$B$61-12*('TCO TO BE- SW'!$D154-1))&gt;12,((O$4+'TCO TO BE - HW'!O$4)/($E$4+'TCO TO BE - HW'!$E$4)*SUM(POZICIE_INTERNE!$I$61:$I$72))/POZICIE_INTERNE!$B$61*12,IF((POZICIE_INTERNE!$B$61-12*('TCO TO BE- SW'!$D154-1))&lt;0,0,(POZICIE_INTERNE!$B$61-12*('TCO TO BE- SW'!$D154-1))*((O$4+'TCO TO BE - HW'!O$4)/($E$4+'TCO TO BE - HW'!$E$4)*SUM(POZICIE_INTERNE!$I$61:$I$72))/POZICIE_INTERNE!$B$61)),0)+IFERROR(IF((EXTERNE_POZICIE!$B$41-12*('TCO TO BE- SW'!$D154-1))&gt;12,((O$4+'TCO TO BE - HW'!O$4)/($E$4+'TCO TO BE - HW'!$E$4)*SUM(EXTERNE_POZICIE!$M$41:$M$52)*1.23)/EXTERNE_POZICIE!$B$41*12,IF((EXTERNE_POZICIE!$B$41-12*('TCO TO BE- SW'!$D154-1))&lt;0,0,(EXTERNE_POZICIE!$B$41-12*('TCO TO BE- SW'!$D154-1))*((O$4+'TCO TO BE - HW'!O$4)/($E$4+'TCO TO BE - HW'!$E$4)*SUM(EXTERNE_POZICIE!$M$41:$M$52)*1.23)/EXTERNE_POZICIE!$B$41)),0)+IFERROR(SUM(#REF!)*'TCO TO BE- SW'!O$4/'TCO TO BE- SW'!$E$4,0)</f>
        <v>0</v>
      </c>
      <c r="P154" s="579">
        <f>IFERROR(IF((POZICIE_INTERNE!$B$61-12*('TCO TO BE- SW'!$D154-1))&gt;12,((P$4+'TCO TO BE - HW'!P$4)/($E$4+'TCO TO BE - HW'!$E$4)*SUM(POZICIE_INTERNE!$I$61:$I$72))/POZICIE_INTERNE!$B$61*12,IF((POZICIE_INTERNE!$B$61-12*('TCO TO BE- SW'!$D154-1))&lt;0,0,(POZICIE_INTERNE!$B$61-12*('TCO TO BE- SW'!$D154-1))*((P$4+'TCO TO BE - HW'!P$4)/($E$4+'TCO TO BE - HW'!$E$4)*SUM(POZICIE_INTERNE!$I$61:$I$72))/POZICIE_INTERNE!$B$61)),0)+IFERROR(IF((EXTERNE_POZICIE!$B$41-12*('TCO TO BE- SW'!$D154-1))&gt;12,((P$4+'TCO TO BE - HW'!P$4)/($E$4+'TCO TO BE - HW'!$E$4)*SUM(EXTERNE_POZICIE!$M$41:$M$52)*1.23)/EXTERNE_POZICIE!$B$41*12,IF((EXTERNE_POZICIE!$B$41-12*('TCO TO BE- SW'!$D154-1))&lt;0,0,(EXTERNE_POZICIE!$B$41-12*('TCO TO BE- SW'!$D154-1))*((P$4+'TCO TO BE - HW'!P$4)/($E$4+'TCO TO BE - HW'!$E$4)*SUM(EXTERNE_POZICIE!$M$41:$M$52)*1.23)/EXTERNE_POZICIE!$B$41)),0)+IFERROR(SUM(#REF!)*'TCO TO BE- SW'!P$4/'TCO TO BE- SW'!$E$4,0)</f>
        <v>0</v>
      </c>
      <c r="Q154" s="579">
        <f>IFERROR(IF((POZICIE_INTERNE!$B$61-12*('TCO TO BE- SW'!$D154-1))&gt;12,((Q$4+'TCO TO BE - HW'!Q$4)/($E$4+'TCO TO BE - HW'!$E$4)*SUM(POZICIE_INTERNE!$I$61:$I$72))/POZICIE_INTERNE!$B$61*12,IF((POZICIE_INTERNE!$B$61-12*('TCO TO BE- SW'!$D154-1))&lt;0,0,(POZICIE_INTERNE!$B$61-12*('TCO TO BE- SW'!$D154-1))*((Q$4+'TCO TO BE - HW'!Q$4)/($E$4+'TCO TO BE - HW'!$E$4)*SUM(POZICIE_INTERNE!$I$61:$I$72))/POZICIE_INTERNE!$B$61)),0)+IFERROR(IF((EXTERNE_POZICIE!$B$41-12*('TCO TO BE- SW'!$D154-1))&gt;12,((Q$4+'TCO TO BE - HW'!Q$4)/($E$4+'TCO TO BE - HW'!$E$4)*SUM(EXTERNE_POZICIE!$M$41:$M$52)*1.23)/EXTERNE_POZICIE!$B$41*12,IF((EXTERNE_POZICIE!$B$41-12*('TCO TO BE- SW'!$D154-1))&lt;0,0,(EXTERNE_POZICIE!$B$41-12*('TCO TO BE- SW'!$D154-1))*((Q$4+'TCO TO BE - HW'!Q$4)/($E$4+'TCO TO BE - HW'!$E$4)*SUM(EXTERNE_POZICIE!$M$41:$M$52)*1.23)/EXTERNE_POZICIE!$B$41)),0)+IFERROR(SUM(#REF!)*'TCO TO BE- SW'!Q$4/'TCO TO BE- SW'!$E$4,0)</f>
        <v>0</v>
      </c>
      <c r="R154" s="579">
        <f>IFERROR(IF((POZICIE_INTERNE!$B$61-12*('TCO TO BE- SW'!$D154-1))&gt;12,((R$4+'TCO TO BE - HW'!R$4)/($E$4+'TCO TO BE - HW'!$E$4)*SUM(POZICIE_INTERNE!$I$61:$I$72))/POZICIE_INTERNE!$B$61*12,IF((POZICIE_INTERNE!$B$61-12*('TCO TO BE- SW'!$D154-1))&lt;0,0,(POZICIE_INTERNE!$B$61-12*('TCO TO BE- SW'!$D154-1))*((R$4+'TCO TO BE - HW'!R$4)/($E$4+'TCO TO BE - HW'!$E$4)*SUM(POZICIE_INTERNE!$I$61:$I$72))/POZICIE_INTERNE!$B$61)),0)+IFERROR(IF((EXTERNE_POZICIE!$B$41-12*('TCO TO BE- SW'!$D154-1))&gt;12,((R$4+'TCO TO BE - HW'!R$4)/($E$4+'TCO TO BE - HW'!$E$4)*SUM(EXTERNE_POZICIE!$M$41:$M$52)*1.23)/EXTERNE_POZICIE!$B$41*12,IF((EXTERNE_POZICIE!$B$41-12*('TCO TO BE- SW'!$D154-1))&lt;0,0,(EXTERNE_POZICIE!$B$41-12*('TCO TO BE- SW'!$D154-1))*((R$4+'TCO TO BE - HW'!R$4)/($E$4+'TCO TO BE - HW'!$E$4)*SUM(EXTERNE_POZICIE!$M$41:$M$52)*1.23)/EXTERNE_POZICIE!$B$41)),0)+IFERROR(SUM(#REF!)*'TCO TO BE- SW'!R$4/'TCO TO BE- SW'!$E$4,0)</f>
        <v>0</v>
      </c>
      <c r="S154" s="579">
        <f>IFERROR(IF((POZICIE_INTERNE!$B$61-12*('TCO TO BE- SW'!$D154-1))&gt;12,((S$4+'TCO TO BE - HW'!S$4)/($E$4+'TCO TO BE - HW'!$E$4)*SUM(POZICIE_INTERNE!$I$61:$I$72))/POZICIE_INTERNE!$B$61*12,IF((POZICIE_INTERNE!$B$61-12*('TCO TO BE- SW'!$D154-1))&lt;0,0,(POZICIE_INTERNE!$B$61-12*('TCO TO BE- SW'!$D154-1))*((S$4+'TCO TO BE - HW'!S$4)/($E$4+'TCO TO BE - HW'!$E$4)*SUM(POZICIE_INTERNE!$I$61:$I$72))/POZICIE_INTERNE!$B$61)),0)+IFERROR(IF((EXTERNE_POZICIE!$B$41-12*('TCO TO BE- SW'!$D154-1))&gt;12,((S$4+'TCO TO BE - HW'!S$4)/($E$4+'TCO TO BE - HW'!$E$4)*SUM(EXTERNE_POZICIE!$M$41:$M$52)*1.23)/EXTERNE_POZICIE!$B$41*12,IF((EXTERNE_POZICIE!$B$41-12*('TCO TO BE- SW'!$D154-1))&lt;0,0,(EXTERNE_POZICIE!$B$41-12*('TCO TO BE- SW'!$D154-1))*((S$4+'TCO TO BE - HW'!S$4)/($E$4+'TCO TO BE - HW'!$E$4)*SUM(EXTERNE_POZICIE!$M$41:$M$52)*1.23)/EXTERNE_POZICIE!$B$41)),0)+IFERROR(SUM(#REF!)*'TCO TO BE- SW'!S$4/'TCO TO BE- SW'!$E$4,0)</f>
        <v>0</v>
      </c>
      <c r="T154" s="579">
        <f>IFERROR(IF((POZICIE_INTERNE!$B$61-12*('TCO TO BE- SW'!$D154-1))&gt;12,((T$4+'TCO TO BE - HW'!T$4)/($E$4+'TCO TO BE - HW'!$E$4)*SUM(POZICIE_INTERNE!$I$61:$I$72))/POZICIE_INTERNE!$B$61*12,IF((POZICIE_INTERNE!$B$61-12*('TCO TO BE- SW'!$D154-1))&lt;0,0,(POZICIE_INTERNE!$B$61-12*('TCO TO BE- SW'!$D154-1))*((T$4+'TCO TO BE - HW'!T$4)/($E$4+'TCO TO BE - HW'!$E$4)*SUM(POZICIE_INTERNE!$I$61:$I$72))/POZICIE_INTERNE!$B$61)),0)+IFERROR(IF((EXTERNE_POZICIE!$B$41-12*('TCO TO BE- SW'!$D154-1))&gt;12,((T$4+'TCO TO BE - HW'!T$4)/($E$4+'TCO TO BE - HW'!$E$4)*SUM(EXTERNE_POZICIE!$M$41:$M$52)*1.23)/EXTERNE_POZICIE!$B$41*12,IF((EXTERNE_POZICIE!$B$41-12*('TCO TO BE- SW'!$D154-1))&lt;0,0,(EXTERNE_POZICIE!$B$41-12*('TCO TO BE- SW'!$D154-1))*((T$4+'TCO TO BE - HW'!T$4)/($E$4+'TCO TO BE - HW'!$E$4)*SUM(EXTERNE_POZICIE!$M$41:$M$52)*1.23)/EXTERNE_POZICIE!$B$41)),0)+IFERROR(SUM(#REF!)*'TCO TO BE- SW'!T$4/'TCO TO BE- SW'!$E$4,0)</f>
        <v>0</v>
      </c>
      <c r="U154" s="579">
        <f>IFERROR(IF((POZICIE_INTERNE!$B$61-12*('TCO TO BE- SW'!$D154-1))&gt;12,((U$4+'TCO TO BE - HW'!U$4)/($E$4+'TCO TO BE - HW'!$E$4)*SUM(POZICIE_INTERNE!$I$61:$I$72))/POZICIE_INTERNE!$B$61*12,IF((POZICIE_INTERNE!$B$61-12*('TCO TO BE- SW'!$D154-1))&lt;0,0,(POZICIE_INTERNE!$B$61-12*('TCO TO BE- SW'!$D154-1))*((U$4+'TCO TO BE - HW'!U$4)/($E$4+'TCO TO BE - HW'!$E$4)*SUM(POZICIE_INTERNE!$I$61:$I$72))/POZICIE_INTERNE!$B$61)),0)+IFERROR(IF((EXTERNE_POZICIE!$B$41-12*('TCO TO BE- SW'!$D154-1))&gt;12,((U$4+'TCO TO BE - HW'!U$4)/($E$4+'TCO TO BE - HW'!$E$4)*SUM(EXTERNE_POZICIE!$M$41:$M$52)*1.23)/EXTERNE_POZICIE!$B$41*12,IF((EXTERNE_POZICIE!$B$41-12*('TCO TO BE- SW'!$D154-1))&lt;0,0,(EXTERNE_POZICIE!$B$41-12*('TCO TO BE- SW'!$D154-1))*((U$4+'TCO TO BE - HW'!U$4)/($E$4+'TCO TO BE - HW'!$E$4)*SUM(EXTERNE_POZICIE!$M$41:$M$52)*1.23)/EXTERNE_POZICIE!$B$41)),0)+IFERROR(SUM(#REF!)*'TCO TO BE- SW'!U$4/'TCO TO BE- SW'!$E$4,0)</f>
        <v>0</v>
      </c>
      <c r="V154" s="579">
        <f>IFERROR(IF((POZICIE_INTERNE!$B$61-12*('TCO TO BE- SW'!$D154-1))&gt;12,((V$4+'TCO TO BE - HW'!V$4)/($E$4+'TCO TO BE - HW'!$E$4)*SUM(POZICIE_INTERNE!$I$61:$I$72))/POZICIE_INTERNE!$B$61*12,IF((POZICIE_INTERNE!$B$61-12*('TCO TO BE- SW'!$D154-1))&lt;0,0,(POZICIE_INTERNE!$B$61-12*('TCO TO BE- SW'!$D154-1))*((V$4+'TCO TO BE - HW'!V$4)/($E$4+'TCO TO BE - HW'!$E$4)*SUM(POZICIE_INTERNE!$I$61:$I$72))/POZICIE_INTERNE!$B$61)),0)+IFERROR(IF((EXTERNE_POZICIE!$B$41-12*('TCO TO BE- SW'!$D154-1))&gt;12,((V$4+'TCO TO BE - HW'!V$4)/($E$4+'TCO TO BE - HW'!$E$4)*SUM(EXTERNE_POZICIE!$M$41:$M$52)*1.23)/EXTERNE_POZICIE!$B$41*12,IF((EXTERNE_POZICIE!$B$41-12*('TCO TO BE- SW'!$D154-1))&lt;0,0,(EXTERNE_POZICIE!$B$41-12*('TCO TO BE- SW'!$D154-1))*((V$4+'TCO TO BE - HW'!V$4)/($E$4+'TCO TO BE - HW'!$E$4)*SUM(EXTERNE_POZICIE!$M$41:$M$52)*1.23)/EXTERNE_POZICIE!$B$41)),0)+IFERROR(SUM(#REF!)*'TCO TO BE- SW'!V$4/'TCO TO BE- SW'!$E$4,0)</f>
        <v>0</v>
      </c>
      <c r="W154" s="579">
        <f>IFERROR(IF((POZICIE_INTERNE!$B$61-12*('TCO TO BE- SW'!$D154-1))&gt;12,((W$4+'TCO TO BE - HW'!W$4)/($E$4+'TCO TO BE - HW'!$E$4)*SUM(POZICIE_INTERNE!$I$61:$I$72))/POZICIE_INTERNE!$B$61*12,IF((POZICIE_INTERNE!$B$61-12*('TCO TO BE- SW'!$D154-1))&lt;0,0,(POZICIE_INTERNE!$B$61-12*('TCO TO BE- SW'!$D154-1))*((W$4+'TCO TO BE - HW'!W$4)/($E$4+'TCO TO BE - HW'!$E$4)*SUM(POZICIE_INTERNE!$I$61:$I$72))/POZICIE_INTERNE!$B$61)),0)+IFERROR(IF((EXTERNE_POZICIE!$B$41-12*('TCO TO BE- SW'!$D154-1))&gt;12,((W$4+'TCO TO BE - HW'!W$4)/($E$4+'TCO TO BE - HW'!$E$4)*SUM(EXTERNE_POZICIE!$M$41:$M$52)*1.23)/EXTERNE_POZICIE!$B$41*12,IF((EXTERNE_POZICIE!$B$41-12*('TCO TO BE- SW'!$D154-1))&lt;0,0,(EXTERNE_POZICIE!$B$41-12*('TCO TO BE- SW'!$D154-1))*((W$4+'TCO TO BE - HW'!W$4)/($E$4+'TCO TO BE - HW'!$E$4)*SUM(EXTERNE_POZICIE!$M$41:$M$52)*1.23)/EXTERNE_POZICIE!$B$41)),0)+IFERROR(SUM(#REF!)*'TCO TO BE- SW'!W$4/'TCO TO BE- SW'!$E$4,0)</f>
        <v>0</v>
      </c>
      <c r="X154" s="579">
        <f>IFERROR(IF((POZICIE_INTERNE!$B$61-12*('TCO TO BE- SW'!$D154-1))&gt;12,((X$4+'TCO TO BE - HW'!X$4)/($E$4+'TCO TO BE - HW'!$E$4)*SUM(POZICIE_INTERNE!$I$61:$I$72))/POZICIE_INTERNE!$B$61*12,IF((POZICIE_INTERNE!$B$61-12*('TCO TO BE- SW'!$D154-1))&lt;0,0,(POZICIE_INTERNE!$B$61-12*('TCO TO BE- SW'!$D154-1))*((X$4+'TCO TO BE - HW'!X$4)/($E$4+'TCO TO BE - HW'!$E$4)*SUM(POZICIE_INTERNE!$I$61:$I$72))/POZICIE_INTERNE!$B$61)),0)+IFERROR(IF((EXTERNE_POZICIE!$B$41-12*('TCO TO BE- SW'!$D154-1))&gt;12,((X$4+'TCO TO BE - HW'!X$4)/($E$4+'TCO TO BE - HW'!$E$4)*SUM(EXTERNE_POZICIE!$M$41:$M$52)*1.23)/EXTERNE_POZICIE!$B$41*12,IF((EXTERNE_POZICIE!$B$41-12*('TCO TO BE- SW'!$D154-1))&lt;0,0,(EXTERNE_POZICIE!$B$41-12*('TCO TO BE- SW'!$D154-1))*((X$4+'TCO TO BE - HW'!X$4)/($E$4+'TCO TO BE - HW'!$E$4)*SUM(EXTERNE_POZICIE!$M$41:$M$52)*1.23)/EXTERNE_POZICIE!$B$41)),0)+IFERROR(SUM(#REF!)*'TCO TO BE- SW'!X$4/'TCO TO BE- SW'!$E$4,0)</f>
        <v>0</v>
      </c>
      <c r="Y154" s="579">
        <f>IFERROR(IF((POZICIE_INTERNE!$B$61-12*('TCO TO BE- SW'!$D154-1))&gt;12,((Y$4+'TCO TO BE - HW'!Y$4)/($E$4+'TCO TO BE - HW'!$E$4)*SUM(POZICIE_INTERNE!$I$61:$I$72))/POZICIE_INTERNE!$B$61*12,IF((POZICIE_INTERNE!$B$61-12*('TCO TO BE- SW'!$D154-1))&lt;0,0,(POZICIE_INTERNE!$B$61-12*('TCO TO BE- SW'!$D154-1))*((Y$4+'TCO TO BE - HW'!Y$4)/($E$4+'TCO TO BE - HW'!$E$4)*SUM(POZICIE_INTERNE!$I$61:$I$72))/POZICIE_INTERNE!$B$61)),0)+IFERROR(IF((EXTERNE_POZICIE!$B$41-12*('TCO TO BE- SW'!$D154-1))&gt;12,((Y$4+'TCO TO BE - HW'!Y$4)/($E$4+'TCO TO BE - HW'!$E$4)*SUM(EXTERNE_POZICIE!$M$41:$M$52)*1.23)/EXTERNE_POZICIE!$B$41*12,IF((EXTERNE_POZICIE!$B$41-12*('TCO TO BE- SW'!$D154-1))&lt;0,0,(EXTERNE_POZICIE!$B$41-12*('TCO TO BE- SW'!$D154-1))*((Y$4+'TCO TO BE - HW'!Y$4)/($E$4+'TCO TO BE - HW'!$E$4)*SUM(EXTERNE_POZICIE!$M$41:$M$52)*1.23)/EXTERNE_POZICIE!$B$41)),0)+IFERROR(SUM(#REF!)*'TCO TO BE- SW'!Y$4/'TCO TO BE- SW'!$E$4,0)</f>
        <v>0</v>
      </c>
      <c r="Z154" s="579">
        <f>IFERROR(IF((POZICIE_INTERNE!$B$61-12*('TCO TO BE- SW'!$D154-1))&gt;12,((Z$4+'TCO TO BE - HW'!Z$4)/($E$4+'TCO TO BE - HW'!$E$4)*SUM(POZICIE_INTERNE!$I$61:$I$72))/POZICIE_INTERNE!$B$61*12,IF((POZICIE_INTERNE!$B$61-12*('TCO TO BE- SW'!$D154-1))&lt;0,0,(POZICIE_INTERNE!$B$61-12*('TCO TO BE- SW'!$D154-1))*((Z$4+'TCO TO BE - HW'!Z$4)/($E$4+'TCO TO BE - HW'!$E$4)*SUM(POZICIE_INTERNE!$I$61:$I$72))/POZICIE_INTERNE!$B$61)),0)+IFERROR(IF((EXTERNE_POZICIE!$B$41-12*('TCO TO BE- SW'!$D154-1))&gt;12,((Z$4+'TCO TO BE - HW'!Z$4)/($E$4+'TCO TO BE - HW'!$E$4)*SUM(EXTERNE_POZICIE!$M$41:$M$52)*1.23)/EXTERNE_POZICIE!$B$41*12,IF((EXTERNE_POZICIE!$B$41-12*('TCO TO BE- SW'!$D154-1))&lt;0,0,(EXTERNE_POZICIE!$B$41-12*('TCO TO BE- SW'!$D154-1))*((Z$4+'TCO TO BE - HW'!Z$4)/($E$4+'TCO TO BE - HW'!$E$4)*SUM(EXTERNE_POZICIE!$M$41:$M$52)*1.23)/EXTERNE_POZICIE!$B$41)),0)+IFERROR(SUM(#REF!)*'TCO TO BE- SW'!Z$4/'TCO TO BE- SW'!$E$4,0)</f>
        <v>0</v>
      </c>
    </row>
    <row r="155" spans="1:26" x14ac:dyDescent="0.2">
      <c r="A155" s="1390"/>
      <c r="B155" s="1391"/>
      <c r="C155" s="1391"/>
      <c r="D155" s="64">
        <v>5</v>
      </c>
      <c r="E155" s="68">
        <f t="shared" si="16"/>
        <v>0</v>
      </c>
      <c r="F155" s="579">
        <f>IFERROR(IF((POZICIE_INTERNE!$B$61-12*('TCO TO BE- SW'!$D155-1))&gt;12,((F$4+'TCO TO BE - HW'!F$4)/($E$4+'TCO TO BE - HW'!$E$4)*SUM(POZICIE_INTERNE!$I$61:$I$72))/POZICIE_INTERNE!$B$61*12,IF((POZICIE_INTERNE!$B$61-12*('TCO TO BE- SW'!$D155-1))&lt;0,0,(POZICIE_INTERNE!$B$61-12*('TCO TO BE- SW'!$D155-1))*((F$4+'TCO TO BE - HW'!F$4)/($E$4+'TCO TO BE - HW'!$E$4)*SUM(POZICIE_INTERNE!$I$61:$I$72))/POZICIE_INTERNE!$B$61)),0)+IFERROR(IF((EXTERNE_POZICIE!$B$41-12*('TCO TO BE- SW'!$D155-1))&gt;12,((F$4+'TCO TO BE - HW'!F$4)/($E$4+'TCO TO BE - HW'!$E$4)*SUM(EXTERNE_POZICIE!$M$41:$M$52)*1.23)/EXTERNE_POZICIE!$B$41*12,IF((EXTERNE_POZICIE!$B$41-12*('TCO TO BE- SW'!$D155-1))&lt;0,0,(EXTERNE_POZICIE!$B$41-12*('TCO TO BE- SW'!$D155-1))*((F$4+'TCO TO BE - HW'!F$4)/($E$4+'TCO TO BE - HW'!$E$4)*SUM(EXTERNE_POZICIE!$M$41:$M$52)*1.23)/EXTERNE_POZICIE!$B$41)),0)+IFERROR(SUM(#REF!)*'TCO TO BE- SW'!F$4/'TCO TO BE- SW'!$E$4,0)</f>
        <v>0</v>
      </c>
      <c r="G155" s="579">
        <f>IFERROR(IF((POZICIE_INTERNE!$B$61-12*('TCO TO BE- SW'!$D155-1))&gt;12,((G$4+'TCO TO BE - HW'!G$4)/($E$4+'TCO TO BE - HW'!$E$4)*SUM(POZICIE_INTERNE!$I$61:$I$72))/POZICIE_INTERNE!$B$61*12,IF((POZICIE_INTERNE!$B$61-12*('TCO TO BE- SW'!$D155-1))&lt;0,0,(POZICIE_INTERNE!$B$61-12*('TCO TO BE- SW'!$D155-1))*((G$4+'TCO TO BE - HW'!G$4)/($E$4+'TCO TO BE - HW'!$E$4)*SUM(POZICIE_INTERNE!$I$61:$I$72))/POZICIE_INTERNE!$B$61)),0)+IFERROR(IF((EXTERNE_POZICIE!$B$41-12*('TCO TO BE- SW'!$D155-1))&gt;12,((G$4+'TCO TO BE - HW'!G$4)/($E$4+'TCO TO BE - HW'!$E$4)*SUM(EXTERNE_POZICIE!$M$41:$M$52)*1.23)/EXTERNE_POZICIE!$B$41*12,IF((EXTERNE_POZICIE!$B$41-12*('TCO TO BE- SW'!$D155-1))&lt;0,0,(EXTERNE_POZICIE!$B$41-12*('TCO TO BE- SW'!$D155-1))*((G$4+'TCO TO BE - HW'!G$4)/($E$4+'TCO TO BE - HW'!$E$4)*SUM(EXTERNE_POZICIE!$M$41:$M$52)*1.23)/EXTERNE_POZICIE!$B$41)),0)+IFERROR(SUM(#REF!)*'TCO TO BE- SW'!G$4/'TCO TO BE- SW'!$E$4,0)</f>
        <v>0</v>
      </c>
      <c r="H155" s="579">
        <f>IFERROR(IF((POZICIE_INTERNE!$B$61-12*('TCO TO BE- SW'!$D155-1))&gt;12,((H$4+'TCO TO BE - HW'!H$4)/($E$4+'TCO TO BE - HW'!$E$4)*SUM(POZICIE_INTERNE!$I$61:$I$72))/POZICIE_INTERNE!$B$61*12,IF((POZICIE_INTERNE!$B$61-12*('TCO TO BE- SW'!$D155-1))&lt;0,0,(POZICIE_INTERNE!$B$61-12*('TCO TO BE- SW'!$D155-1))*((H$4+'TCO TO BE - HW'!H$4)/($E$4+'TCO TO BE - HW'!$E$4)*SUM(POZICIE_INTERNE!$I$61:$I$72))/POZICIE_INTERNE!$B$61)),0)+IFERROR(IF((EXTERNE_POZICIE!$B$41-12*('TCO TO BE- SW'!$D155-1))&gt;12,((H$4+'TCO TO BE - HW'!H$4)/($E$4+'TCO TO BE - HW'!$E$4)*SUM(EXTERNE_POZICIE!$M$41:$M$52)*1.23)/EXTERNE_POZICIE!$B$41*12,IF((EXTERNE_POZICIE!$B$41-12*('TCO TO BE- SW'!$D155-1))&lt;0,0,(EXTERNE_POZICIE!$B$41-12*('TCO TO BE- SW'!$D155-1))*((H$4+'TCO TO BE - HW'!H$4)/($E$4+'TCO TO BE - HW'!$E$4)*SUM(EXTERNE_POZICIE!$M$41:$M$52)*1.23)/EXTERNE_POZICIE!$B$41)),0)+IFERROR(SUM(#REF!)*'TCO TO BE- SW'!H$4/'TCO TO BE- SW'!$E$4,0)</f>
        <v>0</v>
      </c>
      <c r="I155" s="579">
        <f>IFERROR(IF((POZICIE_INTERNE!$B$61-12*('TCO TO BE- SW'!$D155-1))&gt;12,((I$4+'TCO TO BE - HW'!I$4)/($E$4+'TCO TO BE - HW'!$E$4)*SUM(POZICIE_INTERNE!$I$61:$I$72))/POZICIE_INTERNE!$B$61*12,IF((POZICIE_INTERNE!$B$61-12*('TCO TO BE- SW'!$D155-1))&lt;0,0,(POZICIE_INTERNE!$B$61-12*('TCO TO BE- SW'!$D155-1))*((I$4+'TCO TO BE - HW'!I$4)/($E$4+'TCO TO BE - HW'!$E$4)*SUM(POZICIE_INTERNE!$I$61:$I$72))/POZICIE_INTERNE!$B$61)),0)+IFERROR(IF((EXTERNE_POZICIE!$B$41-12*('TCO TO BE- SW'!$D155-1))&gt;12,((I$4+'TCO TO BE - HW'!I$4)/($E$4+'TCO TO BE - HW'!$E$4)*SUM(EXTERNE_POZICIE!$M$41:$M$52)*1.23)/EXTERNE_POZICIE!$B$41*12,IF((EXTERNE_POZICIE!$B$41-12*('TCO TO BE- SW'!$D155-1))&lt;0,0,(EXTERNE_POZICIE!$B$41-12*('TCO TO BE- SW'!$D155-1))*((I$4+'TCO TO BE - HW'!I$4)/($E$4+'TCO TO BE - HW'!$E$4)*SUM(EXTERNE_POZICIE!$M$41:$M$52)*1.23)/EXTERNE_POZICIE!$B$41)),0)+IFERROR(SUM(#REF!)*'TCO TO BE- SW'!I$4/'TCO TO BE- SW'!$E$4,0)</f>
        <v>0</v>
      </c>
      <c r="J155" s="579">
        <f>IFERROR(IF((POZICIE_INTERNE!$B$61-12*('TCO TO BE- SW'!$D155-1))&gt;12,((J$4+'TCO TO BE - HW'!J$4)/($E$4+'TCO TO BE - HW'!$E$4)*SUM(POZICIE_INTERNE!$I$61:$I$72))/POZICIE_INTERNE!$B$61*12,IF((POZICIE_INTERNE!$B$61-12*('TCO TO BE- SW'!$D155-1))&lt;0,0,(POZICIE_INTERNE!$B$61-12*('TCO TO BE- SW'!$D155-1))*((J$4+'TCO TO BE - HW'!J$4)/($E$4+'TCO TO BE - HW'!$E$4)*SUM(POZICIE_INTERNE!$I$61:$I$72))/POZICIE_INTERNE!$B$61)),0)+IFERROR(IF((EXTERNE_POZICIE!$B$41-12*('TCO TO BE- SW'!$D155-1))&gt;12,((J$4+'TCO TO BE - HW'!J$4)/($E$4+'TCO TO BE - HW'!$E$4)*SUM(EXTERNE_POZICIE!$M$41:$M$52)*1.23)/EXTERNE_POZICIE!$B$41*12,IF((EXTERNE_POZICIE!$B$41-12*('TCO TO BE- SW'!$D155-1))&lt;0,0,(EXTERNE_POZICIE!$B$41-12*('TCO TO BE- SW'!$D155-1))*((J$4+'TCO TO BE - HW'!J$4)/($E$4+'TCO TO BE - HW'!$E$4)*SUM(EXTERNE_POZICIE!$M$41:$M$52)*1.23)/EXTERNE_POZICIE!$B$41)),0)+IFERROR(SUM(#REF!)*'TCO TO BE- SW'!J$4/'TCO TO BE- SW'!$E$4,0)</f>
        <v>0</v>
      </c>
      <c r="K155" s="579">
        <f>IFERROR(IF((POZICIE_INTERNE!$B$61-12*('TCO TO BE- SW'!$D155-1))&gt;12,((K$4+'TCO TO BE - HW'!K$4)/($E$4+'TCO TO BE - HW'!$E$4)*SUM(POZICIE_INTERNE!$I$61:$I$72))/POZICIE_INTERNE!$B$61*12,IF((POZICIE_INTERNE!$B$61-12*('TCO TO BE- SW'!$D155-1))&lt;0,0,(POZICIE_INTERNE!$B$61-12*('TCO TO BE- SW'!$D155-1))*((K$4+'TCO TO BE - HW'!K$4)/($E$4+'TCO TO BE - HW'!$E$4)*SUM(POZICIE_INTERNE!$I$61:$I$72))/POZICIE_INTERNE!$B$61)),0)+IFERROR(IF((EXTERNE_POZICIE!$B$41-12*('TCO TO BE- SW'!$D155-1))&gt;12,((K$4+'TCO TO BE - HW'!K$4)/($E$4+'TCO TO BE - HW'!$E$4)*SUM(EXTERNE_POZICIE!$M$41:$M$52)*1.23)/EXTERNE_POZICIE!$B$41*12,IF((EXTERNE_POZICIE!$B$41-12*('TCO TO BE- SW'!$D155-1))&lt;0,0,(EXTERNE_POZICIE!$B$41-12*('TCO TO BE- SW'!$D155-1))*((K$4+'TCO TO BE - HW'!K$4)/($E$4+'TCO TO BE - HW'!$E$4)*SUM(EXTERNE_POZICIE!$M$41:$M$52)*1.23)/EXTERNE_POZICIE!$B$41)),0)+IFERROR(SUM(#REF!)*'TCO TO BE- SW'!K$4/'TCO TO BE- SW'!$E$4,0)</f>
        <v>0</v>
      </c>
      <c r="L155" s="579">
        <f>IFERROR(IF((POZICIE_INTERNE!$B$61-12*('TCO TO BE- SW'!$D155-1))&gt;12,((L$4+'TCO TO BE - HW'!L$4)/($E$4+'TCO TO BE - HW'!$E$4)*SUM(POZICIE_INTERNE!$I$61:$I$72))/POZICIE_INTERNE!$B$61*12,IF((POZICIE_INTERNE!$B$61-12*('TCO TO BE- SW'!$D155-1))&lt;0,0,(POZICIE_INTERNE!$B$61-12*('TCO TO BE- SW'!$D155-1))*((L$4+'TCO TO BE - HW'!L$4)/($E$4+'TCO TO BE - HW'!$E$4)*SUM(POZICIE_INTERNE!$I$61:$I$72))/POZICIE_INTERNE!$B$61)),0)+IFERROR(IF((EXTERNE_POZICIE!$B$41-12*('TCO TO BE- SW'!$D155-1))&gt;12,((L$4+'TCO TO BE - HW'!L$4)/($E$4+'TCO TO BE - HW'!$E$4)*SUM(EXTERNE_POZICIE!$M$41:$M$52)*1.23)/EXTERNE_POZICIE!$B$41*12,IF((EXTERNE_POZICIE!$B$41-12*('TCO TO BE- SW'!$D155-1))&lt;0,0,(EXTERNE_POZICIE!$B$41-12*('TCO TO BE- SW'!$D155-1))*((L$4+'TCO TO BE - HW'!L$4)/($E$4+'TCO TO BE - HW'!$E$4)*SUM(EXTERNE_POZICIE!$M$41:$M$52)*1.23)/EXTERNE_POZICIE!$B$41)),0)+IFERROR(SUM(#REF!)*'TCO TO BE- SW'!L$4/'TCO TO BE- SW'!$E$4,0)</f>
        <v>0</v>
      </c>
      <c r="M155" s="579">
        <f>IFERROR(IF((POZICIE_INTERNE!$B$61-12*('TCO TO BE- SW'!$D155-1))&gt;12,((M$4+'TCO TO BE - HW'!M$4)/($E$4+'TCO TO BE - HW'!$E$4)*SUM(POZICIE_INTERNE!$I$61:$I$72))/POZICIE_INTERNE!$B$61*12,IF((POZICIE_INTERNE!$B$61-12*('TCO TO BE- SW'!$D155-1))&lt;0,0,(POZICIE_INTERNE!$B$61-12*('TCO TO BE- SW'!$D155-1))*((M$4+'TCO TO BE - HW'!M$4)/($E$4+'TCO TO BE - HW'!$E$4)*SUM(POZICIE_INTERNE!$I$61:$I$72))/POZICIE_INTERNE!$B$61)),0)+IFERROR(IF((EXTERNE_POZICIE!$B$41-12*('TCO TO BE- SW'!$D155-1))&gt;12,((M$4+'TCO TO BE - HW'!M$4)/($E$4+'TCO TO BE - HW'!$E$4)*SUM(EXTERNE_POZICIE!$M$41:$M$52)*1.23)/EXTERNE_POZICIE!$B$41*12,IF((EXTERNE_POZICIE!$B$41-12*('TCO TO BE- SW'!$D155-1))&lt;0,0,(EXTERNE_POZICIE!$B$41-12*('TCO TO BE- SW'!$D155-1))*((M$4+'TCO TO BE - HW'!M$4)/($E$4+'TCO TO BE - HW'!$E$4)*SUM(EXTERNE_POZICIE!$M$41:$M$52)*1.23)/EXTERNE_POZICIE!$B$41)),0)+IFERROR(SUM(#REF!)*'TCO TO BE- SW'!M$4/'TCO TO BE- SW'!$E$4,0)</f>
        <v>0</v>
      </c>
      <c r="N155" s="579">
        <f>IFERROR(IF((POZICIE_INTERNE!$B$61-12*('TCO TO BE- SW'!$D155-1))&gt;12,((N$4+'TCO TO BE - HW'!N$4)/($E$4+'TCO TO BE - HW'!$E$4)*SUM(POZICIE_INTERNE!$I$61:$I$72))/POZICIE_INTERNE!$B$61*12,IF((POZICIE_INTERNE!$B$61-12*('TCO TO BE- SW'!$D155-1))&lt;0,0,(POZICIE_INTERNE!$B$61-12*('TCO TO BE- SW'!$D155-1))*((N$4+'TCO TO BE - HW'!N$4)/($E$4+'TCO TO BE - HW'!$E$4)*SUM(POZICIE_INTERNE!$I$61:$I$72))/POZICIE_INTERNE!$B$61)),0)+IFERROR(IF((EXTERNE_POZICIE!$B$41-12*('TCO TO BE- SW'!$D155-1))&gt;12,((N$4+'TCO TO BE - HW'!N$4)/($E$4+'TCO TO BE - HW'!$E$4)*SUM(EXTERNE_POZICIE!$M$41:$M$52)*1.23)/EXTERNE_POZICIE!$B$41*12,IF((EXTERNE_POZICIE!$B$41-12*('TCO TO BE- SW'!$D155-1))&lt;0,0,(EXTERNE_POZICIE!$B$41-12*('TCO TO BE- SW'!$D155-1))*((N$4+'TCO TO BE - HW'!N$4)/($E$4+'TCO TO BE - HW'!$E$4)*SUM(EXTERNE_POZICIE!$M$41:$M$52)*1.23)/EXTERNE_POZICIE!$B$41)),0)+IFERROR(SUM(#REF!)*'TCO TO BE- SW'!N$4/'TCO TO BE- SW'!$E$4,0)</f>
        <v>0</v>
      </c>
      <c r="O155" s="579">
        <f>IFERROR(IF((POZICIE_INTERNE!$B$61-12*('TCO TO BE- SW'!$D155-1))&gt;12,((O$4+'TCO TO BE - HW'!O$4)/($E$4+'TCO TO BE - HW'!$E$4)*SUM(POZICIE_INTERNE!$I$61:$I$72))/POZICIE_INTERNE!$B$61*12,IF((POZICIE_INTERNE!$B$61-12*('TCO TO BE- SW'!$D155-1))&lt;0,0,(POZICIE_INTERNE!$B$61-12*('TCO TO BE- SW'!$D155-1))*((O$4+'TCO TO BE - HW'!O$4)/($E$4+'TCO TO BE - HW'!$E$4)*SUM(POZICIE_INTERNE!$I$61:$I$72))/POZICIE_INTERNE!$B$61)),0)+IFERROR(IF((EXTERNE_POZICIE!$B$41-12*('TCO TO BE- SW'!$D155-1))&gt;12,((O$4+'TCO TO BE - HW'!O$4)/($E$4+'TCO TO BE - HW'!$E$4)*SUM(EXTERNE_POZICIE!$M$41:$M$52)*1.23)/EXTERNE_POZICIE!$B$41*12,IF((EXTERNE_POZICIE!$B$41-12*('TCO TO BE- SW'!$D155-1))&lt;0,0,(EXTERNE_POZICIE!$B$41-12*('TCO TO BE- SW'!$D155-1))*((O$4+'TCO TO BE - HW'!O$4)/($E$4+'TCO TO BE - HW'!$E$4)*SUM(EXTERNE_POZICIE!$M$41:$M$52)*1.23)/EXTERNE_POZICIE!$B$41)),0)+IFERROR(SUM(#REF!)*'TCO TO BE- SW'!O$4/'TCO TO BE- SW'!$E$4,0)</f>
        <v>0</v>
      </c>
      <c r="P155" s="579">
        <f>IFERROR(IF((POZICIE_INTERNE!$B$61-12*('TCO TO BE- SW'!$D155-1))&gt;12,((P$4+'TCO TO BE - HW'!P$4)/($E$4+'TCO TO BE - HW'!$E$4)*SUM(POZICIE_INTERNE!$I$61:$I$72))/POZICIE_INTERNE!$B$61*12,IF((POZICIE_INTERNE!$B$61-12*('TCO TO BE- SW'!$D155-1))&lt;0,0,(POZICIE_INTERNE!$B$61-12*('TCO TO BE- SW'!$D155-1))*((P$4+'TCO TO BE - HW'!P$4)/($E$4+'TCO TO BE - HW'!$E$4)*SUM(POZICIE_INTERNE!$I$61:$I$72))/POZICIE_INTERNE!$B$61)),0)+IFERROR(IF((EXTERNE_POZICIE!$B$41-12*('TCO TO BE- SW'!$D155-1))&gt;12,((P$4+'TCO TO BE - HW'!P$4)/($E$4+'TCO TO BE - HW'!$E$4)*SUM(EXTERNE_POZICIE!$M$41:$M$52)*1.23)/EXTERNE_POZICIE!$B$41*12,IF((EXTERNE_POZICIE!$B$41-12*('TCO TO BE- SW'!$D155-1))&lt;0,0,(EXTERNE_POZICIE!$B$41-12*('TCO TO BE- SW'!$D155-1))*((P$4+'TCO TO BE - HW'!P$4)/($E$4+'TCO TO BE - HW'!$E$4)*SUM(EXTERNE_POZICIE!$M$41:$M$52)*1.23)/EXTERNE_POZICIE!$B$41)),0)+IFERROR(SUM(#REF!)*'TCO TO BE- SW'!P$4/'TCO TO BE- SW'!$E$4,0)</f>
        <v>0</v>
      </c>
      <c r="Q155" s="579">
        <f>IFERROR(IF((POZICIE_INTERNE!$B$61-12*('TCO TO BE- SW'!$D155-1))&gt;12,((Q$4+'TCO TO BE - HW'!Q$4)/($E$4+'TCO TO BE - HW'!$E$4)*SUM(POZICIE_INTERNE!$I$61:$I$72))/POZICIE_INTERNE!$B$61*12,IF((POZICIE_INTERNE!$B$61-12*('TCO TO BE- SW'!$D155-1))&lt;0,0,(POZICIE_INTERNE!$B$61-12*('TCO TO BE- SW'!$D155-1))*((Q$4+'TCO TO BE - HW'!Q$4)/($E$4+'TCO TO BE - HW'!$E$4)*SUM(POZICIE_INTERNE!$I$61:$I$72))/POZICIE_INTERNE!$B$61)),0)+IFERROR(IF((EXTERNE_POZICIE!$B$41-12*('TCO TO BE- SW'!$D155-1))&gt;12,((Q$4+'TCO TO BE - HW'!Q$4)/($E$4+'TCO TO BE - HW'!$E$4)*SUM(EXTERNE_POZICIE!$M$41:$M$52)*1.23)/EXTERNE_POZICIE!$B$41*12,IF((EXTERNE_POZICIE!$B$41-12*('TCO TO BE- SW'!$D155-1))&lt;0,0,(EXTERNE_POZICIE!$B$41-12*('TCO TO BE- SW'!$D155-1))*((Q$4+'TCO TO BE - HW'!Q$4)/($E$4+'TCO TO BE - HW'!$E$4)*SUM(EXTERNE_POZICIE!$M$41:$M$52)*1.23)/EXTERNE_POZICIE!$B$41)),0)+IFERROR(SUM(#REF!)*'TCO TO BE- SW'!Q$4/'TCO TO BE- SW'!$E$4,0)</f>
        <v>0</v>
      </c>
      <c r="R155" s="579">
        <f>IFERROR(IF((POZICIE_INTERNE!$B$61-12*('TCO TO BE- SW'!$D155-1))&gt;12,((R$4+'TCO TO BE - HW'!R$4)/($E$4+'TCO TO BE - HW'!$E$4)*SUM(POZICIE_INTERNE!$I$61:$I$72))/POZICIE_INTERNE!$B$61*12,IF((POZICIE_INTERNE!$B$61-12*('TCO TO BE- SW'!$D155-1))&lt;0,0,(POZICIE_INTERNE!$B$61-12*('TCO TO BE- SW'!$D155-1))*((R$4+'TCO TO BE - HW'!R$4)/($E$4+'TCO TO BE - HW'!$E$4)*SUM(POZICIE_INTERNE!$I$61:$I$72))/POZICIE_INTERNE!$B$61)),0)+IFERROR(IF((EXTERNE_POZICIE!$B$41-12*('TCO TO BE- SW'!$D155-1))&gt;12,((R$4+'TCO TO BE - HW'!R$4)/($E$4+'TCO TO BE - HW'!$E$4)*SUM(EXTERNE_POZICIE!$M$41:$M$52)*1.23)/EXTERNE_POZICIE!$B$41*12,IF((EXTERNE_POZICIE!$B$41-12*('TCO TO BE- SW'!$D155-1))&lt;0,0,(EXTERNE_POZICIE!$B$41-12*('TCO TO BE- SW'!$D155-1))*((R$4+'TCO TO BE - HW'!R$4)/($E$4+'TCO TO BE - HW'!$E$4)*SUM(EXTERNE_POZICIE!$M$41:$M$52)*1.23)/EXTERNE_POZICIE!$B$41)),0)+IFERROR(SUM(#REF!)*'TCO TO BE- SW'!R$4/'TCO TO BE- SW'!$E$4,0)</f>
        <v>0</v>
      </c>
      <c r="S155" s="579">
        <f>IFERROR(IF((POZICIE_INTERNE!$B$61-12*('TCO TO BE- SW'!$D155-1))&gt;12,((S$4+'TCO TO BE - HW'!S$4)/($E$4+'TCO TO BE - HW'!$E$4)*SUM(POZICIE_INTERNE!$I$61:$I$72))/POZICIE_INTERNE!$B$61*12,IF((POZICIE_INTERNE!$B$61-12*('TCO TO BE- SW'!$D155-1))&lt;0,0,(POZICIE_INTERNE!$B$61-12*('TCO TO BE- SW'!$D155-1))*((S$4+'TCO TO BE - HW'!S$4)/($E$4+'TCO TO BE - HW'!$E$4)*SUM(POZICIE_INTERNE!$I$61:$I$72))/POZICIE_INTERNE!$B$61)),0)+IFERROR(IF((EXTERNE_POZICIE!$B$41-12*('TCO TO BE- SW'!$D155-1))&gt;12,((S$4+'TCO TO BE - HW'!S$4)/($E$4+'TCO TO BE - HW'!$E$4)*SUM(EXTERNE_POZICIE!$M$41:$M$52)*1.23)/EXTERNE_POZICIE!$B$41*12,IF((EXTERNE_POZICIE!$B$41-12*('TCO TO BE- SW'!$D155-1))&lt;0,0,(EXTERNE_POZICIE!$B$41-12*('TCO TO BE- SW'!$D155-1))*((S$4+'TCO TO BE - HW'!S$4)/($E$4+'TCO TO BE - HW'!$E$4)*SUM(EXTERNE_POZICIE!$M$41:$M$52)*1.23)/EXTERNE_POZICIE!$B$41)),0)+IFERROR(SUM(#REF!)*'TCO TO BE- SW'!S$4/'TCO TO BE- SW'!$E$4,0)</f>
        <v>0</v>
      </c>
      <c r="T155" s="579">
        <f>IFERROR(IF((POZICIE_INTERNE!$B$61-12*('TCO TO BE- SW'!$D155-1))&gt;12,((T$4+'TCO TO BE - HW'!T$4)/($E$4+'TCO TO BE - HW'!$E$4)*SUM(POZICIE_INTERNE!$I$61:$I$72))/POZICIE_INTERNE!$B$61*12,IF((POZICIE_INTERNE!$B$61-12*('TCO TO BE- SW'!$D155-1))&lt;0,0,(POZICIE_INTERNE!$B$61-12*('TCO TO BE- SW'!$D155-1))*((T$4+'TCO TO BE - HW'!T$4)/($E$4+'TCO TO BE - HW'!$E$4)*SUM(POZICIE_INTERNE!$I$61:$I$72))/POZICIE_INTERNE!$B$61)),0)+IFERROR(IF((EXTERNE_POZICIE!$B$41-12*('TCO TO BE- SW'!$D155-1))&gt;12,((T$4+'TCO TO BE - HW'!T$4)/($E$4+'TCO TO BE - HW'!$E$4)*SUM(EXTERNE_POZICIE!$M$41:$M$52)*1.23)/EXTERNE_POZICIE!$B$41*12,IF((EXTERNE_POZICIE!$B$41-12*('TCO TO BE- SW'!$D155-1))&lt;0,0,(EXTERNE_POZICIE!$B$41-12*('TCO TO BE- SW'!$D155-1))*((T$4+'TCO TO BE - HW'!T$4)/($E$4+'TCO TO BE - HW'!$E$4)*SUM(EXTERNE_POZICIE!$M$41:$M$52)*1.23)/EXTERNE_POZICIE!$B$41)),0)+IFERROR(SUM(#REF!)*'TCO TO BE- SW'!T$4/'TCO TO BE- SW'!$E$4,0)</f>
        <v>0</v>
      </c>
      <c r="U155" s="579">
        <f>IFERROR(IF((POZICIE_INTERNE!$B$61-12*('TCO TO BE- SW'!$D155-1))&gt;12,((U$4+'TCO TO BE - HW'!U$4)/($E$4+'TCO TO BE - HW'!$E$4)*SUM(POZICIE_INTERNE!$I$61:$I$72))/POZICIE_INTERNE!$B$61*12,IF((POZICIE_INTERNE!$B$61-12*('TCO TO BE- SW'!$D155-1))&lt;0,0,(POZICIE_INTERNE!$B$61-12*('TCO TO BE- SW'!$D155-1))*((U$4+'TCO TO BE - HW'!U$4)/($E$4+'TCO TO BE - HW'!$E$4)*SUM(POZICIE_INTERNE!$I$61:$I$72))/POZICIE_INTERNE!$B$61)),0)+IFERROR(IF((EXTERNE_POZICIE!$B$41-12*('TCO TO BE- SW'!$D155-1))&gt;12,((U$4+'TCO TO BE - HW'!U$4)/($E$4+'TCO TO BE - HW'!$E$4)*SUM(EXTERNE_POZICIE!$M$41:$M$52)*1.23)/EXTERNE_POZICIE!$B$41*12,IF((EXTERNE_POZICIE!$B$41-12*('TCO TO BE- SW'!$D155-1))&lt;0,0,(EXTERNE_POZICIE!$B$41-12*('TCO TO BE- SW'!$D155-1))*((U$4+'TCO TO BE - HW'!U$4)/($E$4+'TCO TO BE - HW'!$E$4)*SUM(EXTERNE_POZICIE!$M$41:$M$52)*1.23)/EXTERNE_POZICIE!$B$41)),0)+IFERROR(SUM(#REF!)*'TCO TO BE- SW'!U$4/'TCO TO BE- SW'!$E$4,0)</f>
        <v>0</v>
      </c>
      <c r="V155" s="579">
        <f>IFERROR(IF((POZICIE_INTERNE!$B$61-12*('TCO TO BE- SW'!$D155-1))&gt;12,((V$4+'TCO TO BE - HW'!V$4)/($E$4+'TCO TO BE - HW'!$E$4)*SUM(POZICIE_INTERNE!$I$61:$I$72))/POZICIE_INTERNE!$B$61*12,IF((POZICIE_INTERNE!$B$61-12*('TCO TO BE- SW'!$D155-1))&lt;0,0,(POZICIE_INTERNE!$B$61-12*('TCO TO BE- SW'!$D155-1))*((V$4+'TCO TO BE - HW'!V$4)/($E$4+'TCO TO BE - HW'!$E$4)*SUM(POZICIE_INTERNE!$I$61:$I$72))/POZICIE_INTERNE!$B$61)),0)+IFERROR(IF((EXTERNE_POZICIE!$B$41-12*('TCO TO BE- SW'!$D155-1))&gt;12,((V$4+'TCO TO BE - HW'!V$4)/($E$4+'TCO TO BE - HW'!$E$4)*SUM(EXTERNE_POZICIE!$M$41:$M$52)*1.23)/EXTERNE_POZICIE!$B$41*12,IF((EXTERNE_POZICIE!$B$41-12*('TCO TO BE- SW'!$D155-1))&lt;0,0,(EXTERNE_POZICIE!$B$41-12*('TCO TO BE- SW'!$D155-1))*((V$4+'TCO TO BE - HW'!V$4)/($E$4+'TCO TO BE - HW'!$E$4)*SUM(EXTERNE_POZICIE!$M$41:$M$52)*1.23)/EXTERNE_POZICIE!$B$41)),0)+IFERROR(SUM(#REF!)*'TCO TO BE- SW'!V$4/'TCO TO BE- SW'!$E$4,0)</f>
        <v>0</v>
      </c>
      <c r="W155" s="579">
        <f>IFERROR(IF((POZICIE_INTERNE!$B$61-12*('TCO TO BE- SW'!$D155-1))&gt;12,((W$4+'TCO TO BE - HW'!W$4)/($E$4+'TCO TO BE - HW'!$E$4)*SUM(POZICIE_INTERNE!$I$61:$I$72))/POZICIE_INTERNE!$B$61*12,IF((POZICIE_INTERNE!$B$61-12*('TCO TO BE- SW'!$D155-1))&lt;0,0,(POZICIE_INTERNE!$B$61-12*('TCO TO BE- SW'!$D155-1))*((W$4+'TCO TO BE - HW'!W$4)/($E$4+'TCO TO BE - HW'!$E$4)*SUM(POZICIE_INTERNE!$I$61:$I$72))/POZICIE_INTERNE!$B$61)),0)+IFERROR(IF((EXTERNE_POZICIE!$B$41-12*('TCO TO BE- SW'!$D155-1))&gt;12,((W$4+'TCO TO BE - HW'!W$4)/($E$4+'TCO TO BE - HW'!$E$4)*SUM(EXTERNE_POZICIE!$M$41:$M$52)*1.23)/EXTERNE_POZICIE!$B$41*12,IF((EXTERNE_POZICIE!$B$41-12*('TCO TO BE- SW'!$D155-1))&lt;0,0,(EXTERNE_POZICIE!$B$41-12*('TCO TO BE- SW'!$D155-1))*((W$4+'TCO TO BE - HW'!W$4)/($E$4+'TCO TO BE - HW'!$E$4)*SUM(EXTERNE_POZICIE!$M$41:$M$52)*1.23)/EXTERNE_POZICIE!$B$41)),0)+IFERROR(SUM(#REF!)*'TCO TO BE- SW'!W$4/'TCO TO BE- SW'!$E$4,0)</f>
        <v>0</v>
      </c>
      <c r="X155" s="579">
        <f>IFERROR(IF((POZICIE_INTERNE!$B$61-12*('TCO TO BE- SW'!$D155-1))&gt;12,((X$4+'TCO TO BE - HW'!X$4)/($E$4+'TCO TO BE - HW'!$E$4)*SUM(POZICIE_INTERNE!$I$61:$I$72))/POZICIE_INTERNE!$B$61*12,IF((POZICIE_INTERNE!$B$61-12*('TCO TO BE- SW'!$D155-1))&lt;0,0,(POZICIE_INTERNE!$B$61-12*('TCO TO BE- SW'!$D155-1))*((X$4+'TCO TO BE - HW'!X$4)/($E$4+'TCO TO BE - HW'!$E$4)*SUM(POZICIE_INTERNE!$I$61:$I$72))/POZICIE_INTERNE!$B$61)),0)+IFERROR(IF((EXTERNE_POZICIE!$B$41-12*('TCO TO BE- SW'!$D155-1))&gt;12,((X$4+'TCO TO BE - HW'!X$4)/($E$4+'TCO TO BE - HW'!$E$4)*SUM(EXTERNE_POZICIE!$M$41:$M$52)*1.23)/EXTERNE_POZICIE!$B$41*12,IF((EXTERNE_POZICIE!$B$41-12*('TCO TO BE- SW'!$D155-1))&lt;0,0,(EXTERNE_POZICIE!$B$41-12*('TCO TO BE- SW'!$D155-1))*((X$4+'TCO TO BE - HW'!X$4)/($E$4+'TCO TO BE - HW'!$E$4)*SUM(EXTERNE_POZICIE!$M$41:$M$52)*1.23)/EXTERNE_POZICIE!$B$41)),0)+IFERROR(SUM(#REF!)*'TCO TO BE- SW'!X$4/'TCO TO BE- SW'!$E$4,0)</f>
        <v>0</v>
      </c>
      <c r="Y155" s="579">
        <f>IFERROR(IF((POZICIE_INTERNE!$B$61-12*('TCO TO BE- SW'!$D155-1))&gt;12,((Y$4+'TCO TO BE - HW'!Y$4)/($E$4+'TCO TO BE - HW'!$E$4)*SUM(POZICIE_INTERNE!$I$61:$I$72))/POZICIE_INTERNE!$B$61*12,IF((POZICIE_INTERNE!$B$61-12*('TCO TO BE- SW'!$D155-1))&lt;0,0,(POZICIE_INTERNE!$B$61-12*('TCO TO BE- SW'!$D155-1))*((Y$4+'TCO TO BE - HW'!Y$4)/($E$4+'TCO TO BE - HW'!$E$4)*SUM(POZICIE_INTERNE!$I$61:$I$72))/POZICIE_INTERNE!$B$61)),0)+IFERROR(IF((EXTERNE_POZICIE!$B$41-12*('TCO TO BE- SW'!$D155-1))&gt;12,((Y$4+'TCO TO BE - HW'!Y$4)/($E$4+'TCO TO BE - HW'!$E$4)*SUM(EXTERNE_POZICIE!$M$41:$M$52)*1.23)/EXTERNE_POZICIE!$B$41*12,IF((EXTERNE_POZICIE!$B$41-12*('TCO TO BE- SW'!$D155-1))&lt;0,0,(EXTERNE_POZICIE!$B$41-12*('TCO TO BE- SW'!$D155-1))*((Y$4+'TCO TO BE - HW'!Y$4)/($E$4+'TCO TO BE - HW'!$E$4)*SUM(EXTERNE_POZICIE!$M$41:$M$52)*1.23)/EXTERNE_POZICIE!$B$41)),0)+IFERROR(SUM(#REF!)*'TCO TO BE- SW'!Y$4/'TCO TO BE- SW'!$E$4,0)</f>
        <v>0</v>
      </c>
      <c r="Z155" s="579">
        <f>IFERROR(IF((POZICIE_INTERNE!$B$61-12*('TCO TO BE- SW'!$D155-1))&gt;12,((Z$4+'TCO TO BE - HW'!Z$4)/($E$4+'TCO TO BE - HW'!$E$4)*SUM(POZICIE_INTERNE!$I$61:$I$72))/POZICIE_INTERNE!$B$61*12,IF((POZICIE_INTERNE!$B$61-12*('TCO TO BE- SW'!$D155-1))&lt;0,0,(POZICIE_INTERNE!$B$61-12*('TCO TO BE- SW'!$D155-1))*((Z$4+'TCO TO BE - HW'!Z$4)/($E$4+'TCO TO BE - HW'!$E$4)*SUM(POZICIE_INTERNE!$I$61:$I$72))/POZICIE_INTERNE!$B$61)),0)+IFERROR(IF((EXTERNE_POZICIE!$B$41-12*('TCO TO BE- SW'!$D155-1))&gt;12,((Z$4+'TCO TO BE - HW'!Z$4)/($E$4+'TCO TO BE - HW'!$E$4)*SUM(EXTERNE_POZICIE!$M$41:$M$52)*1.23)/EXTERNE_POZICIE!$B$41*12,IF((EXTERNE_POZICIE!$B$41-12*('TCO TO BE- SW'!$D155-1))&lt;0,0,(EXTERNE_POZICIE!$B$41-12*('TCO TO BE- SW'!$D155-1))*((Z$4+'TCO TO BE - HW'!Z$4)/($E$4+'TCO TO BE - HW'!$E$4)*SUM(EXTERNE_POZICIE!$M$41:$M$52)*1.23)/EXTERNE_POZICIE!$B$41)),0)+IFERROR(SUM(#REF!)*'TCO TO BE- SW'!Z$4/'TCO TO BE- SW'!$E$4,0)</f>
        <v>0</v>
      </c>
    </row>
    <row r="156" spans="1:26" x14ac:dyDescent="0.2">
      <c r="A156" s="1390"/>
      <c r="B156" s="1391"/>
      <c r="C156" s="1391"/>
      <c r="D156" s="64">
        <v>6</v>
      </c>
      <c r="E156" s="68">
        <f t="shared" si="16"/>
        <v>0</v>
      </c>
      <c r="F156" s="579">
        <f>IFERROR(IF((POZICIE_INTERNE!$B$61-12*('TCO TO BE- SW'!$D156-1))&gt;12,((F$4+'TCO TO BE - HW'!F$4)/($E$4+'TCO TO BE - HW'!$E$4)*SUM(POZICIE_INTERNE!$I$61:$I$72))/POZICIE_INTERNE!$B$61*12,IF((POZICIE_INTERNE!$B$61-12*('TCO TO BE- SW'!$D156-1))&lt;0,0,(POZICIE_INTERNE!$B$61-12*('TCO TO BE- SW'!$D156-1))*((F$4+'TCO TO BE - HW'!F$4)/($E$4+'TCO TO BE - HW'!$E$4)*SUM(POZICIE_INTERNE!$I$61:$I$72))/POZICIE_INTERNE!$B$61)),0)+IFERROR(IF((EXTERNE_POZICIE!$B$41-12*('TCO TO BE- SW'!$D156-1))&gt;12,((F$4+'TCO TO BE - HW'!F$4)/($E$4+'TCO TO BE - HW'!$E$4)*SUM(EXTERNE_POZICIE!$M$41:$M$52)*1.23)/EXTERNE_POZICIE!$B$41*12,IF((EXTERNE_POZICIE!$B$41-12*('TCO TO BE- SW'!$D156-1))&lt;0,0,(EXTERNE_POZICIE!$B$41-12*('TCO TO BE- SW'!$D156-1))*((F$4+'TCO TO BE - HW'!F$4)/($E$4+'TCO TO BE - HW'!$E$4)*SUM(EXTERNE_POZICIE!$M$41:$M$52)*1.23)/EXTERNE_POZICIE!$B$41)),0)+IFERROR(SUM(#REF!)*'TCO TO BE- SW'!F$4/'TCO TO BE- SW'!$E$4,0)</f>
        <v>0</v>
      </c>
      <c r="G156" s="579">
        <f>IFERROR(IF((POZICIE_INTERNE!$B$61-12*('TCO TO BE- SW'!$D156-1))&gt;12,((G$4+'TCO TO BE - HW'!G$4)/($E$4+'TCO TO BE - HW'!$E$4)*SUM(POZICIE_INTERNE!$I$61:$I$72))/POZICIE_INTERNE!$B$61*12,IF((POZICIE_INTERNE!$B$61-12*('TCO TO BE- SW'!$D156-1))&lt;0,0,(POZICIE_INTERNE!$B$61-12*('TCO TO BE- SW'!$D156-1))*((G$4+'TCO TO BE - HW'!G$4)/($E$4+'TCO TO BE - HW'!$E$4)*SUM(POZICIE_INTERNE!$I$61:$I$72))/POZICIE_INTERNE!$B$61)),0)+IFERROR(IF((EXTERNE_POZICIE!$B$41-12*('TCO TO BE- SW'!$D156-1))&gt;12,((G$4+'TCO TO BE - HW'!G$4)/($E$4+'TCO TO BE - HW'!$E$4)*SUM(EXTERNE_POZICIE!$M$41:$M$52)*1.23)/EXTERNE_POZICIE!$B$41*12,IF((EXTERNE_POZICIE!$B$41-12*('TCO TO BE- SW'!$D156-1))&lt;0,0,(EXTERNE_POZICIE!$B$41-12*('TCO TO BE- SW'!$D156-1))*((G$4+'TCO TO BE - HW'!G$4)/($E$4+'TCO TO BE - HW'!$E$4)*SUM(EXTERNE_POZICIE!$M$41:$M$52)*1.23)/EXTERNE_POZICIE!$B$41)),0)+IFERROR(SUM(#REF!)*'TCO TO BE- SW'!G$4/'TCO TO BE- SW'!$E$4,0)</f>
        <v>0</v>
      </c>
      <c r="H156" s="579">
        <f>IFERROR(IF((POZICIE_INTERNE!$B$61-12*('TCO TO BE- SW'!$D156-1))&gt;12,((H$4+'TCO TO BE - HW'!H$4)/($E$4+'TCO TO BE - HW'!$E$4)*SUM(POZICIE_INTERNE!$I$61:$I$72))/POZICIE_INTERNE!$B$61*12,IF((POZICIE_INTERNE!$B$61-12*('TCO TO BE- SW'!$D156-1))&lt;0,0,(POZICIE_INTERNE!$B$61-12*('TCO TO BE- SW'!$D156-1))*((H$4+'TCO TO BE - HW'!H$4)/($E$4+'TCO TO BE - HW'!$E$4)*SUM(POZICIE_INTERNE!$I$61:$I$72))/POZICIE_INTERNE!$B$61)),0)+IFERROR(IF((EXTERNE_POZICIE!$B$41-12*('TCO TO BE- SW'!$D156-1))&gt;12,((H$4+'TCO TO BE - HW'!H$4)/($E$4+'TCO TO BE - HW'!$E$4)*SUM(EXTERNE_POZICIE!$M$41:$M$52)*1.23)/EXTERNE_POZICIE!$B$41*12,IF((EXTERNE_POZICIE!$B$41-12*('TCO TO BE- SW'!$D156-1))&lt;0,0,(EXTERNE_POZICIE!$B$41-12*('TCO TO BE- SW'!$D156-1))*((H$4+'TCO TO BE - HW'!H$4)/($E$4+'TCO TO BE - HW'!$E$4)*SUM(EXTERNE_POZICIE!$M$41:$M$52)*1.23)/EXTERNE_POZICIE!$B$41)),0)+IFERROR(SUM(#REF!)*'TCO TO BE- SW'!H$4/'TCO TO BE- SW'!$E$4,0)</f>
        <v>0</v>
      </c>
      <c r="I156" s="579">
        <f>IFERROR(IF((POZICIE_INTERNE!$B$61-12*('TCO TO BE- SW'!$D156-1))&gt;12,((I$4+'TCO TO BE - HW'!I$4)/($E$4+'TCO TO BE - HW'!$E$4)*SUM(POZICIE_INTERNE!$I$61:$I$72))/POZICIE_INTERNE!$B$61*12,IF((POZICIE_INTERNE!$B$61-12*('TCO TO BE- SW'!$D156-1))&lt;0,0,(POZICIE_INTERNE!$B$61-12*('TCO TO BE- SW'!$D156-1))*((I$4+'TCO TO BE - HW'!I$4)/($E$4+'TCO TO BE - HW'!$E$4)*SUM(POZICIE_INTERNE!$I$61:$I$72))/POZICIE_INTERNE!$B$61)),0)+IFERROR(IF((EXTERNE_POZICIE!$B$41-12*('TCO TO BE- SW'!$D156-1))&gt;12,((I$4+'TCO TO BE - HW'!I$4)/($E$4+'TCO TO BE - HW'!$E$4)*SUM(EXTERNE_POZICIE!$M$41:$M$52)*1.23)/EXTERNE_POZICIE!$B$41*12,IF((EXTERNE_POZICIE!$B$41-12*('TCO TO BE- SW'!$D156-1))&lt;0,0,(EXTERNE_POZICIE!$B$41-12*('TCO TO BE- SW'!$D156-1))*((I$4+'TCO TO BE - HW'!I$4)/($E$4+'TCO TO BE - HW'!$E$4)*SUM(EXTERNE_POZICIE!$M$41:$M$52)*1.23)/EXTERNE_POZICIE!$B$41)),0)+IFERROR(SUM(#REF!)*'TCO TO BE- SW'!I$4/'TCO TO BE- SW'!$E$4,0)</f>
        <v>0</v>
      </c>
      <c r="J156" s="579">
        <f>IFERROR(IF((POZICIE_INTERNE!$B$61-12*('TCO TO BE- SW'!$D156-1))&gt;12,((J$4+'TCO TO BE - HW'!J$4)/($E$4+'TCO TO BE - HW'!$E$4)*SUM(POZICIE_INTERNE!$I$61:$I$72))/POZICIE_INTERNE!$B$61*12,IF((POZICIE_INTERNE!$B$61-12*('TCO TO BE- SW'!$D156-1))&lt;0,0,(POZICIE_INTERNE!$B$61-12*('TCO TO BE- SW'!$D156-1))*((J$4+'TCO TO BE - HW'!J$4)/($E$4+'TCO TO BE - HW'!$E$4)*SUM(POZICIE_INTERNE!$I$61:$I$72))/POZICIE_INTERNE!$B$61)),0)+IFERROR(IF((EXTERNE_POZICIE!$B$41-12*('TCO TO BE- SW'!$D156-1))&gt;12,((J$4+'TCO TO BE - HW'!J$4)/($E$4+'TCO TO BE - HW'!$E$4)*SUM(EXTERNE_POZICIE!$M$41:$M$52)*1.23)/EXTERNE_POZICIE!$B$41*12,IF((EXTERNE_POZICIE!$B$41-12*('TCO TO BE- SW'!$D156-1))&lt;0,0,(EXTERNE_POZICIE!$B$41-12*('TCO TO BE- SW'!$D156-1))*((J$4+'TCO TO BE - HW'!J$4)/($E$4+'TCO TO BE - HW'!$E$4)*SUM(EXTERNE_POZICIE!$M$41:$M$52)*1.23)/EXTERNE_POZICIE!$B$41)),0)+IFERROR(SUM(#REF!)*'TCO TO BE- SW'!J$4/'TCO TO BE- SW'!$E$4,0)</f>
        <v>0</v>
      </c>
      <c r="K156" s="579">
        <f>IFERROR(IF((POZICIE_INTERNE!$B$61-12*('TCO TO BE- SW'!$D156-1))&gt;12,((K$4+'TCO TO BE - HW'!K$4)/($E$4+'TCO TO BE - HW'!$E$4)*SUM(POZICIE_INTERNE!$I$61:$I$72))/POZICIE_INTERNE!$B$61*12,IF((POZICIE_INTERNE!$B$61-12*('TCO TO BE- SW'!$D156-1))&lt;0,0,(POZICIE_INTERNE!$B$61-12*('TCO TO BE- SW'!$D156-1))*((K$4+'TCO TO BE - HW'!K$4)/($E$4+'TCO TO BE - HW'!$E$4)*SUM(POZICIE_INTERNE!$I$61:$I$72))/POZICIE_INTERNE!$B$61)),0)+IFERROR(IF((EXTERNE_POZICIE!$B$41-12*('TCO TO BE- SW'!$D156-1))&gt;12,((K$4+'TCO TO BE - HW'!K$4)/($E$4+'TCO TO BE - HW'!$E$4)*SUM(EXTERNE_POZICIE!$M$41:$M$52)*1.23)/EXTERNE_POZICIE!$B$41*12,IF((EXTERNE_POZICIE!$B$41-12*('TCO TO BE- SW'!$D156-1))&lt;0,0,(EXTERNE_POZICIE!$B$41-12*('TCO TO BE- SW'!$D156-1))*((K$4+'TCO TO BE - HW'!K$4)/($E$4+'TCO TO BE - HW'!$E$4)*SUM(EXTERNE_POZICIE!$M$41:$M$52)*1.23)/EXTERNE_POZICIE!$B$41)),0)+IFERROR(SUM(#REF!)*'TCO TO BE- SW'!K$4/'TCO TO BE- SW'!$E$4,0)</f>
        <v>0</v>
      </c>
      <c r="L156" s="579">
        <f>IFERROR(IF((POZICIE_INTERNE!$B$61-12*('TCO TO BE- SW'!$D156-1))&gt;12,((L$4+'TCO TO BE - HW'!L$4)/($E$4+'TCO TO BE - HW'!$E$4)*SUM(POZICIE_INTERNE!$I$61:$I$72))/POZICIE_INTERNE!$B$61*12,IF((POZICIE_INTERNE!$B$61-12*('TCO TO BE- SW'!$D156-1))&lt;0,0,(POZICIE_INTERNE!$B$61-12*('TCO TO BE- SW'!$D156-1))*((L$4+'TCO TO BE - HW'!L$4)/($E$4+'TCO TO BE - HW'!$E$4)*SUM(POZICIE_INTERNE!$I$61:$I$72))/POZICIE_INTERNE!$B$61)),0)+IFERROR(IF((EXTERNE_POZICIE!$B$41-12*('TCO TO BE- SW'!$D156-1))&gt;12,((L$4+'TCO TO BE - HW'!L$4)/($E$4+'TCO TO BE - HW'!$E$4)*SUM(EXTERNE_POZICIE!$M$41:$M$52)*1.23)/EXTERNE_POZICIE!$B$41*12,IF((EXTERNE_POZICIE!$B$41-12*('TCO TO BE- SW'!$D156-1))&lt;0,0,(EXTERNE_POZICIE!$B$41-12*('TCO TO BE- SW'!$D156-1))*((L$4+'TCO TO BE - HW'!L$4)/($E$4+'TCO TO BE - HW'!$E$4)*SUM(EXTERNE_POZICIE!$M$41:$M$52)*1.23)/EXTERNE_POZICIE!$B$41)),0)+IFERROR(SUM(#REF!)*'TCO TO BE- SW'!L$4/'TCO TO BE- SW'!$E$4,0)</f>
        <v>0</v>
      </c>
      <c r="M156" s="579">
        <f>IFERROR(IF((POZICIE_INTERNE!$B$61-12*('TCO TO BE- SW'!$D156-1))&gt;12,((M$4+'TCO TO BE - HW'!M$4)/($E$4+'TCO TO BE - HW'!$E$4)*SUM(POZICIE_INTERNE!$I$61:$I$72))/POZICIE_INTERNE!$B$61*12,IF((POZICIE_INTERNE!$B$61-12*('TCO TO BE- SW'!$D156-1))&lt;0,0,(POZICIE_INTERNE!$B$61-12*('TCO TO BE- SW'!$D156-1))*((M$4+'TCO TO BE - HW'!M$4)/($E$4+'TCO TO BE - HW'!$E$4)*SUM(POZICIE_INTERNE!$I$61:$I$72))/POZICIE_INTERNE!$B$61)),0)+IFERROR(IF((EXTERNE_POZICIE!$B$41-12*('TCO TO BE- SW'!$D156-1))&gt;12,((M$4+'TCO TO BE - HW'!M$4)/($E$4+'TCO TO BE - HW'!$E$4)*SUM(EXTERNE_POZICIE!$M$41:$M$52)*1.23)/EXTERNE_POZICIE!$B$41*12,IF((EXTERNE_POZICIE!$B$41-12*('TCO TO BE- SW'!$D156-1))&lt;0,0,(EXTERNE_POZICIE!$B$41-12*('TCO TO BE- SW'!$D156-1))*((M$4+'TCO TO BE - HW'!M$4)/($E$4+'TCO TO BE - HW'!$E$4)*SUM(EXTERNE_POZICIE!$M$41:$M$52)*1.23)/EXTERNE_POZICIE!$B$41)),0)+IFERROR(SUM(#REF!)*'TCO TO BE- SW'!M$4/'TCO TO BE- SW'!$E$4,0)</f>
        <v>0</v>
      </c>
      <c r="N156" s="579">
        <f>IFERROR(IF((POZICIE_INTERNE!$B$61-12*('TCO TO BE- SW'!$D156-1))&gt;12,((N$4+'TCO TO BE - HW'!N$4)/($E$4+'TCO TO BE - HW'!$E$4)*SUM(POZICIE_INTERNE!$I$61:$I$72))/POZICIE_INTERNE!$B$61*12,IF((POZICIE_INTERNE!$B$61-12*('TCO TO BE- SW'!$D156-1))&lt;0,0,(POZICIE_INTERNE!$B$61-12*('TCO TO BE- SW'!$D156-1))*((N$4+'TCO TO BE - HW'!N$4)/($E$4+'TCO TO BE - HW'!$E$4)*SUM(POZICIE_INTERNE!$I$61:$I$72))/POZICIE_INTERNE!$B$61)),0)+IFERROR(IF((EXTERNE_POZICIE!$B$41-12*('TCO TO BE- SW'!$D156-1))&gt;12,((N$4+'TCO TO BE - HW'!N$4)/($E$4+'TCO TO BE - HW'!$E$4)*SUM(EXTERNE_POZICIE!$M$41:$M$52)*1.23)/EXTERNE_POZICIE!$B$41*12,IF((EXTERNE_POZICIE!$B$41-12*('TCO TO BE- SW'!$D156-1))&lt;0,0,(EXTERNE_POZICIE!$B$41-12*('TCO TO BE- SW'!$D156-1))*((N$4+'TCO TO BE - HW'!N$4)/($E$4+'TCO TO BE - HW'!$E$4)*SUM(EXTERNE_POZICIE!$M$41:$M$52)*1.23)/EXTERNE_POZICIE!$B$41)),0)+IFERROR(SUM(#REF!)*'TCO TO BE- SW'!N$4/'TCO TO BE- SW'!$E$4,0)</f>
        <v>0</v>
      </c>
      <c r="O156" s="579">
        <f>IFERROR(IF((POZICIE_INTERNE!$B$61-12*('TCO TO BE- SW'!$D156-1))&gt;12,((O$4+'TCO TO BE - HW'!O$4)/($E$4+'TCO TO BE - HW'!$E$4)*SUM(POZICIE_INTERNE!$I$61:$I$72))/POZICIE_INTERNE!$B$61*12,IF((POZICIE_INTERNE!$B$61-12*('TCO TO BE- SW'!$D156-1))&lt;0,0,(POZICIE_INTERNE!$B$61-12*('TCO TO BE- SW'!$D156-1))*((O$4+'TCO TO BE - HW'!O$4)/($E$4+'TCO TO BE - HW'!$E$4)*SUM(POZICIE_INTERNE!$I$61:$I$72))/POZICIE_INTERNE!$B$61)),0)+IFERROR(IF((EXTERNE_POZICIE!$B$41-12*('TCO TO BE- SW'!$D156-1))&gt;12,((O$4+'TCO TO BE - HW'!O$4)/($E$4+'TCO TO BE - HW'!$E$4)*SUM(EXTERNE_POZICIE!$M$41:$M$52)*1.23)/EXTERNE_POZICIE!$B$41*12,IF((EXTERNE_POZICIE!$B$41-12*('TCO TO BE- SW'!$D156-1))&lt;0,0,(EXTERNE_POZICIE!$B$41-12*('TCO TO BE- SW'!$D156-1))*((O$4+'TCO TO BE - HW'!O$4)/($E$4+'TCO TO BE - HW'!$E$4)*SUM(EXTERNE_POZICIE!$M$41:$M$52)*1.23)/EXTERNE_POZICIE!$B$41)),0)+IFERROR(SUM(#REF!)*'TCO TO BE- SW'!O$4/'TCO TO BE- SW'!$E$4,0)</f>
        <v>0</v>
      </c>
      <c r="P156" s="579">
        <f>IFERROR(IF((POZICIE_INTERNE!$B$61-12*('TCO TO BE- SW'!$D156-1))&gt;12,((P$4+'TCO TO BE - HW'!P$4)/($E$4+'TCO TO BE - HW'!$E$4)*SUM(POZICIE_INTERNE!$I$61:$I$72))/POZICIE_INTERNE!$B$61*12,IF((POZICIE_INTERNE!$B$61-12*('TCO TO BE- SW'!$D156-1))&lt;0,0,(POZICIE_INTERNE!$B$61-12*('TCO TO BE- SW'!$D156-1))*((P$4+'TCO TO BE - HW'!P$4)/($E$4+'TCO TO BE - HW'!$E$4)*SUM(POZICIE_INTERNE!$I$61:$I$72))/POZICIE_INTERNE!$B$61)),0)+IFERROR(IF((EXTERNE_POZICIE!$B$41-12*('TCO TO BE- SW'!$D156-1))&gt;12,((P$4+'TCO TO BE - HW'!P$4)/($E$4+'TCO TO BE - HW'!$E$4)*SUM(EXTERNE_POZICIE!$M$41:$M$52)*1.23)/EXTERNE_POZICIE!$B$41*12,IF((EXTERNE_POZICIE!$B$41-12*('TCO TO BE- SW'!$D156-1))&lt;0,0,(EXTERNE_POZICIE!$B$41-12*('TCO TO BE- SW'!$D156-1))*((P$4+'TCO TO BE - HW'!P$4)/($E$4+'TCO TO BE - HW'!$E$4)*SUM(EXTERNE_POZICIE!$M$41:$M$52)*1.23)/EXTERNE_POZICIE!$B$41)),0)+IFERROR(SUM(#REF!)*'TCO TO BE- SW'!P$4/'TCO TO BE- SW'!$E$4,0)</f>
        <v>0</v>
      </c>
      <c r="Q156" s="579">
        <f>IFERROR(IF((POZICIE_INTERNE!$B$61-12*('TCO TO BE- SW'!$D156-1))&gt;12,((Q$4+'TCO TO BE - HW'!Q$4)/($E$4+'TCO TO BE - HW'!$E$4)*SUM(POZICIE_INTERNE!$I$61:$I$72))/POZICIE_INTERNE!$B$61*12,IF((POZICIE_INTERNE!$B$61-12*('TCO TO BE- SW'!$D156-1))&lt;0,0,(POZICIE_INTERNE!$B$61-12*('TCO TO BE- SW'!$D156-1))*((Q$4+'TCO TO BE - HW'!Q$4)/($E$4+'TCO TO BE - HW'!$E$4)*SUM(POZICIE_INTERNE!$I$61:$I$72))/POZICIE_INTERNE!$B$61)),0)+IFERROR(IF((EXTERNE_POZICIE!$B$41-12*('TCO TO BE- SW'!$D156-1))&gt;12,((Q$4+'TCO TO BE - HW'!Q$4)/($E$4+'TCO TO BE - HW'!$E$4)*SUM(EXTERNE_POZICIE!$M$41:$M$52)*1.23)/EXTERNE_POZICIE!$B$41*12,IF((EXTERNE_POZICIE!$B$41-12*('TCO TO BE- SW'!$D156-1))&lt;0,0,(EXTERNE_POZICIE!$B$41-12*('TCO TO BE- SW'!$D156-1))*((Q$4+'TCO TO BE - HW'!Q$4)/($E$4+'TCO TO BE - HW'!$E$4)*SUM(EXTERNE_POZICIE!$M$41:$M$52)*1.23)/EXTERNE_POZICIE!$B$41)),0)+IFERROR(SUM(#REF!)*'TCO TO BE- SW'!Q$4/'TCO TO BE- SW'!$E$4,0)</f>
        <v>0</v>
      </c>
      <c r="R156" s="579">
        <f>IFERROR(IF((POZICIE_INTERNE!$B$61-12*('TCO TO BE- SW'!$D156-1))&gt;12,((R$4+'TCO TO BE - HW'!R$4)/($E$4+'TCO TO BE - HW'!$E$4)*SUM(POZICIE_INTERNE!$I$61:$I$72))/POZICIE_INTERNE!$B$61*12,IF((POZICIE_INTERNE!$B$61-12*('TCO TO BE- SW'!$D156-1))&lt;0,0,(POZICIE_INTERNE!$B$61-12*('TCO TO BE- SW'!$D156-1))*((R$4+'TCO TO BE - HW'!R$4)/($E$4+'TCO TO BE - HW'!$E$4)*SUM(POZICIE_INTERNE!$I$61:$I$72))/POZICIE_INTERNE!$B$61)),0)+IFERROR(IF((EXTERNE_POZICIE!$B$41-12*('TCO TO BE- SW'!$D156-1))&gt;12,((R$4+'TCO TO BE - HW'!R$4)/($E$4+'TCO TO BE - HW'!$E$4)*SUM(EXTERNE_POZICIE!$M$41:$M$52)*1.23)/EXTERNE_POZICIE!$B$41*12,IF((EXTERNE_POZICIE!$B$41-12*('TCO TO BE- SW'!$D156-1))&lt;0,0,(EXTERNE_POZICIE!$B$41-12*('TCO TO BE- SW'!$D156-1))*((R$4+'TCO TO BE - HW'!R$4)/($E$4+'TCO TO BE - HW'!$E$4)*SUM(EXTERNE_POZICIE!$M$41:$M$52)*1.23)/EXTERNE_POZICIE!$B$41)),0)+IFERROR(SUM(#REF!)*'TCO TO BE- SW'!R$4/'TCO TO BE- SW'!$E$4,0)</f>
        <v>0</v>
      </c>
      <c r="S156" s="579">
        <f>IFERROR(IF((POZICIE_INTERNE!$B$61-12*('TCO TO BE- SW'!$D156-1))&gt;12,((S$4+'TCO TO BE - HW'!S$4)/($E$4+'TCO TO BE - HW'!$E$4)*SUM(POZICIE_INTERNE!$I$61:$I$72))/POZICIE_INTERNE!$B$61*12,IF((POZICIE_INTERNE!$B$61-12*('TCO TO BE- SW'!$D156-1))&lt;0,0,(POZICIE_INTERNE!$B$61-12*('TCO TO BE- SW'!$D156-1))*((S$4+'TCO TO BE - HW'!S$4)/($E$4+'TCO TO BE - HW'!$E$4)*SUM(POZICIE_INTERNE!$I$61:$I$72))/POZICIE_INTERNE!$B$61)),0)+IFERROR(IF((EXTERNE_POZICIE!$B$41-12*('TCO TO BE- SW'!$D156-1))&gt;12,((S$4+'TCO TO BE - HW'!S$4)/($E$4+'TCO TO BE - HW'!$E$4)*SUM(EXTERNE_POZICIE!$M$41:$M$52)*1.23)/EXTERNE_POZICIE!$B$41*12,IF((EXTERNE_POZICIE!$B$41-12*('TCO TO BE- SW'!$D156-1))&lt;0,0,(EXTERNE_POZICIE!$B$41-12*('TCO TO BE- SW'!$D156-1))*((S$4+'TCO TO BE - HW'!S$4)/($E$4+'TCO TO BE - HW'!$E$4)*SUM(EXTERNE_POZICIE!$M$41:$M$52)*1.23)/EXTERNE_POZICIE!$B$41)),0)+IFERROR(SUM(#REF!)*'TCO TO BE- SW'!S$4/'TCO TO BE- SW'!$E$4,0)</f>
        <v>0</v>
      </c>
      <c r="T156" s="579">
        <f>IFERROR(IF((POZICIE_INTERNE!$B$61-12*('TCO TO BE- SW'!$D156-1))&gt;12,((T$4+'TCO TO BE - HW'!T$4)/($E$4+'TCO TO BE - HW'!$E$4)*SUM(POZICIE_INTERNE!$I$61:$I$72))/POZICIE_INTERNE!$B$61*12,IF((POZICIE_INTERNE!$B$61-12*('TCO TO BE- SW'!$D156-1))&lt;0,0,(POZICIE_INTERNE!$B$61-12*('TCO TO BE- SW'!$D156-1))*((T$4+'TCO TO BE - HW'!T$4)/($E$4+'TCO TO BE - HW'!$E$4)*SUM(POZICIE_INTERNE!$I$61:$I$72))/POZICIE_INTERNE!$B$61)),0)+IFERROR(IF((EXTERNE_POZICIE!$B$41-12*('TCO TO BE- SW'!$D156-1))&gt;12,((T$4+'TCO TO BE - HW'!T$4)/($E$4+'TCO TO BE - HW'!$E$4)*SUM(EXTERNE_POZICIE!$M$41:$M$52)*1.23)/EXTERNE_POZICIE!$B$41*12,IF((EXTERNE_POZICIE!$B$41-12*('TCO TO BE- SW'!$D156-1))&lt;0,0,(EXTERNE_POZICIE!$B$41-12*('TCO TO BE- SW'!$D156-1))*((T$4+'TCO TO BE - HW'!T$4)/($E$4+'TCO TO BE - HW'!$E$4)*SUM(EXTERNE_POZICIE!$M$41:$M$52)*1.23)/EXTERNE_POZICIE!$B$41)),0)+IFERROR(SUM(#REF!)*'TCO TO BE- SW'!T$4/'TCO TO BE- SW'!$E$4,0)</f>
        <v>0</v>
      </c>
      <c r="U156" s="579">
        <f>IFERROR(IF((POZICIE_INTERNE!$B$61-12*('TCO TO BE- SW'!$D156-1))&gt;12,((U$4+'TCO TO BE - HW'!U$4)/($E$4+'TCO TO BE - HW'!$E$4)*SUM(POZICIE_INTERNE!$I$61:$I$72))/POZICIE_INTERNE!$B$61*12,IF((POZICIE_INTERNE!$B$61-12*('TCO TO BE- SW'!$D156-1))&lt;0,0,(POZICIE_INTERNE!$B$61-12*('TCO TO BE- SW'!$D156-1))*((U$4+'TCO TO BE - HW'!U$4)/($E$4+'TCO TO BE - HW'!$E$4)*SUM(POZICIE_INTERNE!$I$61:$I$72))/POZICIE_INTERNE!$B$61)),0)+IFERROR(IF((EXTERNE_POZICIE!$B$41-12*('TCO TO BE- SW'!$D156-1))&gt;12,((U$4+'TCO TO BE - HW'!U$4)/($E$4+'TCO TO BE - HW'!$E$4)*SUM(EXTERNE_POZICIE!$M$41:$M$52)*1.23)/EXTERNE_POZICIE!$B$41*12,IF((EXTERNE_POZICIE!$B$41-12*('TCO TO BE- SW'!$D156-1))&lt;0,0,(EXTERNE_POZICIE!$B$41-12*('TCO TO BE- SW'!$D156-1))*((U$4+'TCO TO BE - HW'!U$4)/($E$4+'TCO TO BE - HW'!$E$4)*SUM(EXTERNE_POZICIE!$M$41:$M$52)*1.23)/EXTERNE_POZICIE!$B$41)),0)+IFERROR(SUM(#REF!)*'TCO TO BE- SW'!U$4/'TCO TO BE- SW'!$E$4,0)</f>
        <v>0</v>
      </c>
      <c r="V156" s="579">
        <f>IFERROR(IF((POZICIE_INTERNE!$B$61-12*('TCO TO BE- SW'!$D156-1))&gt;12,((V$4+'TCO TO BE - HW'!V$4)/($E$4+'TCO TO BE - HW'!$E$4)*SUM(POZICIE_INTERNE!$I$61:$I$72))/POZICIE_INTERNE!$B$61*12,IF((POZICIE_INTERNE!$B$61-12*('TCO TO BE- SW'!$D156-1))&lt;0,0,(POZICIE_INTERNE!$B$61-12*('TCO TO BE- SW'!$D156-1))*((V$4+'TCO TO BE - HW'!V$4)/($E$4+'TCO TO BE - HW'!$E$4)*SUM(POZICIE_INTERNE!$I$61:$I$72))/POZICIE_INTERNE!$B$61)),0)+IFERROR(IF((EXTERNE_POZICIE!$B$41-12*('TCO TO BE- SW'!$D156-1))&gt;12,((V$4+'TCO TO BE - HW'!V$4)/($E$4+'TCO TO BE - HW'!$E$4)*SUM(EXTERNE_POZICIE!$M$41:$M$52)*1.23)/EXTERNE_POZICIE!$B$41*12,IF((EXTERNE_POZICIE!$B$41-12*('TCO TO BE- SW'!$D156-1))&lt;0,0,(EXTERNE_POZICIE!$B$41-12*('TCO TO BE- SW'!$D156-1))*((V$4+'TCO TO BE - HW'!V$4)/($E$4+'TCO TO BE - HW'!$E$4)*SUM(EXTERNE_POZICIE!$M$41:$M$52)*1.23)/EXTERNE_POZICIE!$B$41)),0)+IFERROR(SUM(#REF!)*'TCO TO BE- SW'!V$4/'TCO TO BE- SW'!$E$4,0)</f>
        <v>0</v>
      </c>
      <c r="W156" s="579">
        <f>IFERROR(IF((POZICIE_INTERNE!$B$61-12*('TCO TO BE- SW'!$D156-1))&gt;12,((W$4+'TCO TO BE - HW'!W$4)/($E$4+'TCO TO BE - HW'!$E$4)*SUM(POZICIE_INTERNE!$I$61:$I$72))/POZICIE_INTERNE!$B$61*12,IF((POZICIE_INTERNE!$B$61-12*('TCO TO BE- SW'!$D156-1))&lt;0,0,(POZICIE_INTERNE!$B$61-12*('TCO TO BE- SW'!$D156-1))*((W$4+'TCO TO BE - HW'!W$4)/($E$4+'TCO TO BE - HW'!$E$4)*SUM(POZICIE_INTERNE!$I$61:$I$72))/POZICIE_INTERNE!$B$61)),0)+IFERROR(IF((EXTERNE_POZICIE!$B$41-12*('TCO TO BE- SW'!$D156-1))&gt;12,((W$4+'TCO TO BE - HW'!W$4)/($E$4+'TCO TO BE - HW'!$E$4)*SUM(EXTERNE_POZICIE!$M$41:$M$52)*1.23)/EXTERNE_POZICIE!$B$41*12,IF((EXTERNE_POZICIE!$B$41-12*('TCO TO BE- SW'!$D156-1))&lt;0,0,(EXTERNE_POZICIE!$B$41-12*('TCO TO BE- SW'!$D156-1))*((W$4+'TCO TO BE - HW'!W$4)/($E$4+'TCO TO BE - HW'!$E$4)*SUM(EXTERNE_POZICIE!$M$41:$M$52)*1.23)/EXTERNE_POZICIE!$B$41)),0)+IFERROR(SUM(#REF!)*'TCO TO BE- SW'!W$4/'TCO TO BE- SW'!$E$4,0)</f>
        <v>0</v>
      </c>
      <c r="X156" s="579">
        <f>IFERROR(IF((POZICIE_INTERNE!$B$61-12*('TCO TO BE- SW'!$D156-1))&gt;12,((X$4+'TCO TO BE - HW'!X$4)/($E$4+'TCO TO BE - HW'!$E$4)*SUM(POZICIE_INTERNE!$I$61:$I$72))/POZICIE_INTERNE!$B$61*12,IF((POZICIE_INTERNE!$B$61-12*('TCO TO BE- SW'!$D156-1))&lt;0,0,(POZICIE_INTERNE!$B$61-12*('TCO TO BE- SW'!$D156-1))*((X$4+'TCO TO BE - HW'!X$4)/($E$4+'TCO TO BE - HW'!$E$4)*SUM(POZICIE_INTERNE!$I$61:$I$72))/POZICIE_INTERNE!$B$61)),0)+IFERROR(IF((EXTERNE_POZICIE!$B$41-12*('TCO TO BE- SW'!$D156-1))&gt;12,((X$4+'TCO TO BE - HW'!X$4)/($E$4+'TCO TO BE - HW'!$E$4)*SUM(EXTERNE_POZICIE!$M$41:$M$52)*1.23)/EXTERNE_POZICIE!$B$41*12,IF((EXTERNE_POZICIE!$B$41-12*('TCO TO BE- SW'!$D156-1))&lt;0,0,(EXTERNE_POZICIE!$B$41-12*('TCO TO BE- SW'!$D156-1))*((X$4+'TCO TO BE - HW'!X$4)/($E$4+'TCO TO BE - HW'!$E$4)*SUM(EXTERNE_POZICIE!$M$41:$M$52)*1.23)/EXTERNE_POZICIE!$B$41)),0)+IFERROR(SUM(#REF!)*'TCO TO BE- SW'!X$4/'TCO TO BE- SW'!$E$4,0)</f>
        <v>0</v>
      </c>
      <c r="Y156" s="579">
        <f>IFERROR(IF((POZICIE_INTERNE!$B$61-12*('TCO TO BE- SW'!$D156-1))&gt;12,((Y$4+'TCO TO BE - HW'!Y$4)/($E$4+'TCO TO BE - HW'!$E$4)*SUM(POZICIE_INTERNE!$I$61:$I$72))/POZICIE_INTERNE!$B$61*12,IF((POZICIE_INTERNE!$B$61-12*('TCO TO BE- SW'!$D156-1))&lt;0,0,(POZICIE_INTERNE!$B$61-12*('TCO TO BE- SW'!$D156-1))*((Y$4+'TCO TO BE - HW'!Y$4)/($E$4+'TCO TO BE - HW'!$E$4)*SUM(POZICIE_INTERNE!$I$61:$I$72))/POZICIE_INTERNE!$B$61)),0)+IFERROR(IF((EXTERNE_POZICIE!$B$41-12*('TCO TO BE- SW'!$D156-1))&gt;12,((Y$4+'TCO TO BE - HW'!Y$4)/($E$4+'TCO TO BE - HW'!$E$4)*SUM(EXTERNE_POZICIE!$M$41:$M$52)*1.23)/EXTERNE_POZICIE!$B$41*12,IF((EXTERNE_POZICIE!$B$41-12*('TCO TO BE- SW'!$D156-1))&lt;0,0,(EXTERNE_POZICIE!$B$41-12*('TCO TO BE- SW'!$D156-1))*((Y$4+'TCO TO BE - HW'!Y$4)/($E$4+'TCO TO BE - HW'!$E$4)*SUM(EXTERNE_POZICIE!$M$41:$M$52)*1.23)/EXTERNE_POZICIE!$B$41)),0)+IFERROR(SUM(#REF!)*'TCO TO BE- SW'!Y$4/'TCO TO BE- SW'!$E$4,0)</f>
        <v>0</v>
      </c>
      <c r="Z156" s="579">
        <f>IFERROR(IF((POZICIE_INTERNE!$B$61-12*('TCO TO BE- SW'!$D156-1))&gt;12,((Z$4+'TCO TO BE - HW'!Z$4)/($E$4+'TCO TO BE - HW'!$E$4)*SUM(POZICIE_INTERNE!$I$61:$I$72))/POZICIE_INTERNE!$B$61*12,IF((POZICIE_INTERNE!$B$61-12*('TCO TO BE- SW'!$D156-1))&lt;0,0,(POZICIE_INTERNE!$B$61-12*('TCO TO BE- SW'!$D156-1))*((Z$4+'TCO TO BE - HW'!Z$4)/($E$4+'TCO TO BE - HW'!$E$4)*SUM(POZICIE_INTERNE!$I$61:$I$72))/POZICIE_INTERNE!$B$61)),0)+IFERROR(IF((EXTERNE_POZICIE!$B$41-12*('TCO TO BE- SW'!$D156-1))&gt;12,((Z$4+'TCO TO BE - HW'!Z$4)/($E$4+'TCO TO BE - HW'!$E$4)*SUM(EXTERNE_POZICIE!$M$41:$M$52)*1.23)/EXTERNE_POZICIE!$B$41*12,IF((EXTERNE_POZICIE!$B$41-12*('TCO TO BE- SW'!$D156-1))&lt;0,0,(EXTERNE_POZICIE!$B$41-12*('TCO TO BE- SW'!$D156-1))*((Z$4+'TCO TO BE - HW'!Z$4)/($E$4+'TCO TO BE - HW'!$E$4)*SUM(EXTERNE_POZICIE!$M$41:$M$52)*1.23)/EXTERNE_POZICIE!$B$41)),0)+IFERROR(SUM(#REF!)*'TCO TO BE- SW'!Z$4/'TCO TO BE- SW'!$E$4,0)</f>
        <v>0</v>
      </c>
    </row>
    <row r="157" spans="1:26" x14ac:dyDescent="0.2">
      <c r="A157" s="1390"/>
      <c r="B157" s="1391"/>
      <c r="C157" s="1391"/>
      <c r="D157" s="64">
        <v>7</v>
      </c>
      <c r="E157" s="68">
        <f t="shared" si="16"/>
        <v>0</v>
      </c>
      <c r="F157" s="579">
        <f>IFERROR(IF((POZICIE_INTERNE!$B$61-12*('TCO TO BE- SW'!$D157-1))&gt;12,((F$4+'TCO TO BE - HW'!F$4)/($E$4+'TCO TO BE - HW'!$E$4)*SUM(POZICIE_INTERNE!$I$61:$I$72))/POZICIE_INTERNE!$B$61*12,IF((POZICIE_INTERNE!$B$61-12*('TCO TO BE- SW'!$D157-1))&lt;0,0,(POZICIE_INTERNE!$B$61-12*('TCO TO BE- SW'!$D157-1))*((F$4+'TCO TO BE - HW'!F$4)/($E$4+'TCO TO BE - HW'!$E$4)*SUM(POZICIE_INTERNE!$I$61:$I$72))/POZICIE_INTERNE!$B$61)),0)+IFERROR(IF((EXTERNE_POZICIE!$B$41-12*('TCO TO BE- SW'!$D157-1))&gt;12,((F$4+'TCO TO BE - HW'!F$4)/($E$4+'TCO TO BE - HW'!$E$4)*SUM(EXTERNE_POZICIE!$M$41:$M$52)*1.23)/EXTERNE_POZICIE!$B$41*12,IF((EXTERNE_POZICIE!$B$41-12*('TCO TO BE- SW'!$D157-1))&lt;0,0,(EXTERNE_POZICIE!$B$41-12*('TCO TO BE- SW'!$D157-1))*((F$4+'TCO TO BE - HW'!F$4)/($E$4+'TCO TO BE - HW'!$E$4)*SUM(EXTERNE_POZICIE!$M$41:$M$52)*1.23)/EXTERNE_POZICIE!$B$41)),0)+IFERROR(SUM(#REF!)*'TCO TO BE- SW'!F$4/'TCO TO BE- SW'!$E$4,0)</f>
        <v>0</v>
      </c>
      <c r="G157" s="579">
        <f>IFERROR(IF((POZICIE_INTERNE!$B$61-12*('TCO TO BE- SW'!$D157-1))&gt;12,((G$4+'TCO TO BE - HW'!G$4)/($E$4+'TCO TO BE - HW'!$E$4)*SUM(POZICIE_INTERNE!$I$61:$I$72))/POZICIE_INTERNE!$B$61*12,IF((POZICIE_INTERNE!$B$61-12*('TCO TO BE- SW'!$D157-1))&lt;0,0,(POZICIE_INTERNE!$B$61-12*('TCO TO BE- SW'!$D157-1))*((G$4+'TCO TO BE - HW'!G$4)/($E$4+'TCO TO BE - HW'!$E$4)*SUM(POZICIE_INTERNE!$I$61:$I$72))/POZICIE_INTERNE!$B$61)),0)+IFERROR(IF((EXTERNE_POZICIE!$B$41-12*('TCO TO BE- SW'!$D157-1))&gt;12,((G$4+'TCO TO BE - HW'!G$4)/($E$4+'TCO TO BE - HW'!$E$4)*SUM(EXTERNE_POZICIE!$M$41:$M$52)*1.23)/EXTERNE_POZICIE!$B$41*12,IF((EXTERNE_POZICIE!$B$41-12*('TCO TO BE- SW'!$D157-1))&lt;0,0,(EXTERNE_POZICIE!$B$41-12*('TCO TO BE- SW'!$D157-1))*((G$4+'TCO TO BE - HW'!G$4)/($E$4+'TCO TO BE - HW'!$E$4)*SUM(EXTERNE_POZICIE!$M$41:$M$52)*1.23)/EXTERNE_POZICIE!$B$41)),0)+IFERROR(SUM(#REF!)*'TCO TO BE- SW'!G$4/'TCO TO BE- SW'!$E$4,0)</f>
        <v>0</v>
      </c>
      <c r="H157" s="579">
        <f>IFERROR(IF((POZICIE_INTERNE!$B$61-12*('TCO TO BE- SW'!$D157-1))&gt;12,((H$4+'TCO TO BE - HW'!H$4)/($E$4+'TCO TO BE - HW'!$E$4)*SUM(POZICIE_INTERNE!$I$61:$I$72))/POZICIE_INTERNE!$B$61*12,IF((POZICIE_INTERNE!$B$61-12*('TCO TO BE- SW'!$D157-1))&lt;0,0,(POZICIE_INTERNE!$B$61-12*('TCO TO BE- SW'!$D157-1))*((H$4+'TCO TO BE - HW'!H$4)/($E$4+'TCO TO BE - HW'!$E$4)*SUM(POZICIE_INTERNE!$I$61:$I$72))/POZICIE_INTERNE!$B$61)),0)+IFERROR(IF((EXTERNE_POZICIE!$B$41-12*('TCO TO BE- SW'!$D157-1))&gt;12,((H$4+'TCO TO BE - HW'!H$4)/($E$4+'TCO TO BE - HW'!$E$4)*SUM(EXTERNE_POZICIE!$M$41:$M$52)*1.23)/EXTERNE_POZICIE!$B$41*12,IF((EXTERNE_POZICIE!$B$41-12*('TCO TO BE- SW'!$D157-1))&lt;0,0,(EXTERNE_POZICIE!$B$41-12*('TCO TO BE- SW'!$D157-1))*((H$4+'TCO TO BE - HW'!H$4)/($E$4+'TCO TO BE - HW'!$E$4)*SUM(EXTERNE_POZICIE!$M$41:$M$52)*1.23)/EXTERNE_POZICIE!$B$41)),0)+IFERROR(SUM(#REF!)*'TCO TO BE- SW'!H$4/'TCO TO BE- SW'!$E$4,0)</f>
        <v>0</v>
      </c>
      <c r="I157" s="579">
        <f>IFERROR(IF((POZICIE_INTERNE!$B$61-12*('TCO TO BE- SW'!$D157-1))&gt;12,((I$4+'TCO TO BE - HW'!I$4)/($E$4+'TCO TO BE - HW'!$E$4)*SUM(POZICIE_INTERNE!$I$61:$I$72))/POZICIE_INTERNE!$B$61*12,IF((POZICIE_INTERNE!$B$61-12*('TCO TO BE- SW'!$D157-1))&lt;0,0,(POZICIE_INTERNE!$B$61-12*('TCO TO BE- SW'!$D157-1))*((I$4+'TCO TO BE - HW'!I$4)/($E$4+'TCO TO BE - HW'!$E$4)*SUM(POZICIE_INTERNE!$I$61:$I$72))/POZICIE_INTERNE!$B$61)),0)+IFERROR(IF((EXTERNE_POZICIE!$B$41-12*('TCO TO BE- SW'!$D157-1))&gt;12,((I$4+'TCO TO BE - HW'!I$4)/($E$4+'TCO TO BE - HW'!$E$4)*SUM(EXTERNE_POZICIE!$M$41:$M$52)*1.23)/EXTERNE_POZICIE!$B$41*12,IF((EXTERNE_POZICIE!$B$41-12*('TCO TO BE- SW'!$D157-1))&lt;0,0,(EXTERNE_POZICIE!$B$41-12*('TCO TO BE- SW'!$D157-1))*((I$4+'TCO TO BE - HW'!I$4)/($E$4+'TCO TO BE - HW'!$E$4)*SUM(EXTERNE_POZICIE!$M$41:$M$52)*1.23)/EXTERNE_POZICIE!$B$41)),0)+IFERROR(SUM(#REF!)*'TCO TO BE- SW'!I$4/'TCO TO BE- SW'!$E$4,0)</f>
        <v>0</v>
      </c>
      <c r="J157" s="579">
        <f>IFERROR(IF((POZICIE_INTERNE!$B$61-12*('TCO TO BE- SW'!$D157-1))&gt;12,((J$4+'TCO TO BE - HW'!J$4)/($E$4+'TCO TO BE - HW'!$E$4)*SUM(POZICIE_INTERNE!$I$61:$I$72))/POZICIE_INTERNE!$B$61*12,IF((POZICIE_INTERNE!$B$61-12*('TCO TO BE- SW'!$D157-1))&lt;0,0,(POZICIE_INTERNE!$B$61-12*('TCO TO BE- SW'!$D157-1))*((J$4+'TCO TO BE - HW'!J$4)/($E$4+'TCO TO BE - HW'!$E$4)*SUM(POZICIE_INTERNE!$I$61:$I$72))/POZICIE_INTERNE!$B$61)),0)+IFERROR(IF((EXTERNE_POZICIE!$B$41-12*('TCO TO BE- SW'!$D157-1))&gt;12,((J$4+'TCO TO BE - HW'!J$4)/($E$4+'TCO TO BE - HW'!$E$4)*SUM(EXTERNE_POZICIE!$M$41:$M$52)*1.23)/EXTERNE_POZICIE!$B$41*12,IF((EXTERNE_POZICIE!$B$41-12*('TCO TO BE- SW'!$D157-1))&lt;0,0,(EXTERNE_POZICIE!$B$41-12*('TCO TO BE- SW'!$D157-1))*((J$4+'TCO TO BE - HW'!J$4)/($E$4+'TCO TO BE - HW'!$E$4)*SUM(EXTERNE_POZICIE!$M$41:$M$52)*1.23)/EXTERNE_POZICIE!$B$41)),0)+IFERROR(SUM(#REF!)*'TCO TO BE- SW'!J$4/'TCO TO BE- SW'!$E$4,0)</f>
        <v>0</v>
      </c>
      <c r="K157" s="579">
        <f>IFERROR(IF((POZICIE_INTERNE!$B$61-12*('TCO TO BE- SW'!$D157-1))&gt;12,((K$4+'TCO TO BE - HW'!K$4)/($E$4+'TCO TO BE - HW'!$E$4)*SUM(POZICIE_INTERNE!$I$61:$I$72))/POZICIE_INTERNE!$B$61*12,IF((POZICIE_INTERNE!$B$61-12*('TCO TO BE- SW'!$D157-1))&lt;0,0,(POZICIE_INTERNE!$B$61-12*('TCO TO BE- SW'!$D157-1))*((K$4+'TCO TO BE - HW'!K$4)/($E$4+'TCO TO BE - HW'!$E$4)*SUM(POZICIE_INTERNE!$I$61:$I$72))/POZICIE_INTERNE!$B$61)),0)+IFERROR(IF((EXTERNE_POZICIE!$B$41-12*('TCO TO BE- SW'!$D157-1))&gt;12,((K$4+'TCO TO BE - HW'!K$4)/($E$4+'TCO TO BE - HW'!$E$4)*SUM(EXTERNE_POZICIE!$M$41:$M$52)*1.23)/EXTERNE_POZICIE!$B$41*12,IF((EXTERNE_POZICIE!$B$41-12*('TCO TO BE- SW'!$D157-1))&lt;0,0,(EXTERNE_POZICIE!$B$41-12*('TCO TO BE- SW'!$D157-1))*((K$4+'TCO TO BE - HW'!K$4)/($E$4+'TCO TO BE - HW'!$E$4)*SUM(EXTERNE_POZICIE!$M$41:$M$52)*1.23)/EXTERNE_POZICIE!$B$41)),0)+IFERROR(SUM(#REF!)*'TCO TO BE- SW'!K$4/'TCO TO BE- SW'!$E$4,0)</f>
        <v>0</v>
      </c>
      <c r="L157" s="579">
        <f>IFERROR(IF((POZICIE_INTERNE!$B$61-12*('TCO TO BE- SW'!$D157-1))&gt;12,((L$4+'TCO TO BE - HW'!L$4)/($E$4+'TCO TO BE - HW'!$E$4)*SUM(POZICIE_INTERNE!$I$61:$I$72))/POZICIE_INTERNE!$B$61*12,IF((POZICIE_INTERNE!$B$61-12*('TCO TO BE- SW'!$D157-1))&lt;0,0,(POZICIE_INTERNE!$B$61-12*('TCO TO BE- SW'!$D157-1))*((L$4+'TCO TO BE - HW'!L$4)/($E$4+'TCO TO BE - HW'!$E$4)*SUM(POZICIE_INTERNE!$I$61:$I$72))/POZICIE_INTERNE!$B$61)),0)+IFERROR(IF((EXTERNE_POZICIE!$B$41-12*('TCO TO BE- SW'!$D157-1))&gt;12,((L$4+'TCO TO BE - HW'!L$4)/($E$4+'TCO TO BE - HW'!$E$4)*SUM(EXTERNE_POZICIE!$M$41:$M$52)*1.23)/EXTERNE_POZICIE!$B$41*12,IF((EXTERNE_POZICIE!$B$41-12*('TCO TO BE- SW'!$D157-1))&lt;0,0,(EXTERNE_POZICIE!$B$41-12*('TCO TO BE- SW'!$D157-1))*((L$4+'TCO TO BE - HW'!L$4)/($E$4+'TCO TO BE - HW'!$E$4)*SUM(EXTERNE_POZICIE!$M$41:$M$52)*1.23)/EXTERNE_POZICIE!$B$41)),0)+IFERROR(SUM(#REF!)*'TCO TO BE- SW'!L$4/'TCO TO BE- SW'!$E$4,0)</f>
        <v>0</v>
      </c>
      <c r="M157" s="579">
        <f>IFERROR(IF((POZICIE_INTERNE!$B$61-12*('TCO TO BE- SW'!$D157-1))&gt;12,((M$4+'TCO TO BE - HW'!M$4)/($E$4+'TCO TO BE - HW'!$E$4)*SUM(POZICIE_INTERNE!$I$61:$I$72))/POZICIE_INTERNE!$B$61*12,IF((POZICIE_INTERNE!$B$61-12*('TCO TO BE- SW'!$D157-1))&lt;0,0,(POZICIE_INTERNE!$B$61-12*('TCO TO BE- SW'!$D157-1))*((M$4+'TCO TO BE - HW'!M$4)/($E$4+'TCO TO BE - HW'!$E$4)*SUM(POZICIE_INTERNE!$I$61:$I$72))/POZICIE_INTERNE!$B$61)),0)+IFERROR(IF((EXTERNE_POZICIE!$B$41-12*('TCO TO BE- SW'!$D157-1))&gt;12,((M$4+'TCO TO BE - HW'!M$4)/($E$4+'TCO TO BE - HW'!$E$4)*SUM(EXTERNE_POZICIE!$M$41:$M$52)*1.23)/EXTERNE_POZICIE!$B$41*12,IF((EXTERNE_POZICIE!$B$41-12*('TCO TO BE- SW'!$D157-1))&lt;0,0,(EXTERNE_POZICIE!$B$41-12*('TCO TO BE- SW'!$D157-1))*((M$4+'TCO TO BE - HW'!M$4)/($E$4+'TCO TO BE - HW'!$E$4)*SUM(EXTERNE_POZICIE!$M$41:$M$52)*1.23)/EXTERNE_POZICIE!$B$41)),0)+IFERROR(SUM(#REF!)*'TCO TO BE- SW'!M$4/'TCO TO BE- SW'!$E$4,0)</f>
        <v>0</v>
      </c>
      <c r="N157" s="579">
        <f>IFERROR(IF((POZICIE_INTERNE!$B$61-12*('TCO TO BE- SW'!$D157-1))&gt;12,((N$4+'TCO TO BE - HW'!N$4)/($E$4+'TCO TO BE - HW'!$E$4)*SUM(POZICIE_INTERNE!$I$61:$I$72))/POZICIE_INTERNE!$B$61*12,IF((POZICIE_INTERNE!$B$61-12*('TCO TO BE- SW'!$D157-1))&lt;0,0,(POZICIE_INTERNE!$B$61-12*('TCO TO BE- SW'!$D157-1))*((N$4+'TCO TO BE - HW'!N$4)/($E$4+'TCO TO BE - HW'!$E$4)*SUM(POZICIE_INTERNE!$I$61:$I$72))/POZICIE_INTERNE!$B$61)),0)+IFERROR(IF((EXTERNE_POZICIE!$B$41-12*('TCO TO BE- SW'!$D157-1))&gt;12,((N$4+'TCO TO BE - HW'!N$4)/($E$4+'TCO TO BE - HW'!$E$4)*SUM(EXTERNE_POZICIE!$M$41:$M$52)*1.23)/EXTERNE_POZICIE!$B$41*12,IF((EXTERNE_POZICIE!$B$41-12*('TCO TO BE- SW'!$D157-1))&lt;0,0,(EXTERNE_POZICIE!$B$41-12*('TCO TO BE- SW'!$D157-1))*((N$4+'TCO TO BE - HW'!N$4)/($E$4+'TCO TO BE - HW'!$E$4)*SUM(EXTERNE_POZICIE!$M$41:$M$52)*1.23)/EXTERNE_POZICIE!$B$41)),0)+IFERROR(SUM(#REF!)*'TCO TO BE- SW'!N$4/'TCO TO BE- SW'!$E$4,0)</f>
        <v>0</v>
      </c>
      <c r="O157" s="579">
        <f>IFERROR(IF((POZICIE_INTERNE!$B$61-12*('TCO TO BE- SW'!$D157-1))&gt;12,((O$4+'TCO TO BE - HW'!O$4)/($E$4+'TCO TO BE - HW'!$E$4)*SUM(POZICIE_INTERNE!$I$61:$I$72))/POZICIE_INTERNE!$B$61*12,IF((POZICIE_INTERNE!$B$61-12*('TCO TO BE- SW'!$D157-1))&lt;0,0,(POZICIE_INTERNE!$B$61-12*('TCO TO BE- SW'!$D157-1))*((O$4+'TCO TO BE - HW'!O$4)/($E$4+'TCO TO BE - HW'!$E$4)*SUM(POZICIE_INTERNE!$I$61:$I$72))/POZICIE_INTERNE!$B$61)),0)+IFERROR(IF((EXTERNE_POZICIE!$B$41-12*('TCO TO BE- SW'!$D157-1))&gt;12,((O$4+'TCO TO BE - HW'!O$4)/($E$4+'TCO TO BE - HW'!$E$4)*SUM(EXTERNE_POZICIE!$M$41:$M$52)*1.23)/EXTERNE_POZICIE!$B$41*12,IF((EXTERNE_POZICIE!$B$41-12*('TCO TO BE- SW'!$D157-1))&lt;0,0,(EXTERNE_POZICIE!$B$41-12*('TCO TO BE- SW'!$D157-1))*((O$4+'TCO TO BE - HW'!O$4)/($E$4+'TCO TO BE - HW'!$E$4)*SUM(EXTERNE_POZICIE!$M$41:$M$52)*1.23)/EXTERNE_POZICIE!$B$41)),0)+IFERROR(SUM(#REF!)*'TCO TO BE- SW'!O$4/'TCO TO BE- SW'!$E$4,0)</f>
        <v>0</v>
      </c>
      <c r="P157" s="579">
        <f>IFERROR(IF((POZICIE_INTERNE!$B$61-12*('TCO TO BE- SW'!$D157-1))&gt;12,((P$4+'TCO TO BE - HW'!P$4)/($E$4+'TCO TO BE - HW'!$E$4)*SUM(POZICIE_INTERNE!$I$61:$I$72))/POZICIE_INTERNE!$B$61*12,IF((POZICIE_INTERNE!$B$61-12*('TCO TO BE- SW'!$D157-1))&lt;0,0,(POZICIE_INTERNE!$B$61-12*('TCO TO BE- SW'!$D157-1))*((P$4+'TCO TO BE - HW'!P$4)/($E$4+'TCO TO BE - HW'!$E$4)*SUM(POZICIE_INTERNE!$I$61:$I$72))/POZICIE_INTERNE!$B$61)),0)+IFERROR(IF((EXTERNE_POZICIE!$B$41-12*('TCO TO BE- SW'!$D157-1))&gt;12,((P$4+'TCO TO BE - HW'!P$4)/($E$4+'TCO TO BE - HW'!$E$4)*SUM(EXTERNE_POZICIE!$M$41:$M$52)*1.23)/EXTERNE_POZICIE!$B$41*12,IF((EXTERNE_POZICIE!$B$41-12*('TCO TO BE- SW'!$D157-1))&lt;0,0,(EXTERNE_POZICIE!$B$41-12*('TCO TO BE- SW'!$D157-1))*((P$4+'TCO TO BE - HW'!P$4)/($E$4+'TCO TO BE - HW'!$E$4)*SUM(EXTERNE_POZICIE!$M$41:$M$52)*1.23)/EXTERNE_POZICIE!$B$41)),0)+IFERROR(SUM(#REF!)*'TCO TO BE- SW'!P$4/'TCO TO BE- SW'!$E$4,0)</f>
        <v>0</v>
      </c>
      <c r="Q157" s="579">
        <f>IFERROR(IF((POZICIE_INTERNE!$B$61-12*('TCO TO BE- SW'!$D157-1))&gt;12,((Q$4+'TCO TO BE - HW'!Q$4)/($E$4+'TCO TO BE - HW'!$E$4)*SUM(POZICIE_INTERNE!$I$61:$I$72))/POZICIE_INTERNE!$B$61*12,IF((POZICIE_INTERNE!$B$61-12*('TCO TO BE- SW'!$D157-1))&lt;0,0,(POZICIE_INTERNE!$B$61-12*('TCO TO BE- SW'!$D157-1))*((Q$4+'TCO TO BE - HW'!Q$4)/($E$4+'TCO TO BE - HW'!$E$4)*SUM(POZICIE_INTERNE!$I$61:$I$72))/POZICIE_INTERNE!$B$61)),0)+IFERROR(IF((EXTERNE_POZICIE!$B$41-12*('TCO TO BE- SW'!$D157-1))&gt;12,((Q$4+'TCO TO BE - HW'!Q$4)/($E$4+'TCO TO BE - HW'!$E$4)*SUM(EXTERNE_POZICIE!$M$41:$M$52)*1.23)/EXTERNE_POZICIE!$B$41*12,IF((EXTERNE_POZICIE!$B$41-12*('TCO TO BE- SW'!$D157-1))&lt;0,0,(EXTERNE_POZICIE!$B$41-12*('TCO TO BE- SW'!$D157-1))*((Q$4+'TCO TO BE - HW'!Q$4)/($E$4+'TCO TO BE - HW'!$E$4)*SUM(EXTERNE_POZICIE!$M$41:$M$52)*1.23)/EXTERNE_POZICIE!$B$41)),0)+IFERROR(SUM(#REF!)*'TCO TO BE- SW'!Q$4/'TCO TO BE- SW'!$E$4,0)</f>
        <v>0</v>
      </c>
      <c r="R157" s="579">
        <f>IFERROR(IF((POZICIE_INTERNE!$B$61-12*('TCO TO BE- SW'!$D157-1))&gt;12,((R$4+'TCO TO BE - HW'!R$4)/($E$4+'TCO TO BE - HW'!$E$4)*SUM(POZICIE_INTERNE!$I$61:$I$72))/POZICIE_INTERNE!$B$61*12,IF((POZICIE_INTERNE!$B$61-12*('TCO TO BE- SW'!$D157-1))&lt;0,0,(POZICIE_INTERNE!$B$61-12*('TCO TO BE- SW'!$D157-1))*((R$4+'TCO TO BE - HW'!R$4)/($E$4+'TCO TO BE - HW'!$E$4)*SUM(POZICIE_INTERNE!$I$61:$I$72))/POZICIE_INTERNE!$B$61)),0)+IFERROR(IF((EXTERNE_POZICIE!$B$41-12*('TCO TO BE- SW'!$D157-1))&gt;12,((R$4+'TCO TO BE - HW'!R$4)/($E$4+'TCO TO BE - HW'!$E$4)*SUM(EXTERNE_POZICIE!$M$41:$M$52)*1.23)/EXTERNE_POZICIE!$B$41*12,IF((EXTERNE_POZICIE!$B$41-12*('TCO TO BE- SW'!$D157-1))&lt;0,0,(EXTERNE_POZICIE!$B$41-12*('TCO TO BE- SW'!$D157-1))*((R$4+'TCO TO BE - HW'!R$4)/($E$4+'TCO TO BE - HW'!$E$4)*SUM(EXTERNE_POZICIE!$M$41:$M$52)*1.23)/EXTERNE_POZICIE!$B$41)),0)+IFERROR(SUM(#REF!)*'TCO TO BE- SW'!R$4/'TCO TO BE- SW'!$E$4,0)</f>
        <v>0</v>
      </c>
      <c r="S157" s="579">
        <f>IFERROR(IF((POZICIE_INTERNE!$B$61-12*('TCO TO BE- SW'!$D157-1))&gt;12,((S$4+'TCO TO BE - HW'!S$4)/($E$4+'TCO TO BE - HW'!$E$4)*SUM(POZICIE_INTERNE!$I$61:$I$72))/POZICIE_INTERNE!$B$61*12,IF((POZICIE_INTERNE!$B$61-12*('TCO TO BE- SW'!$D157-1))&lt;0,0,(POZICIE_INTERNE!$B$61-12*('TCO TO BE- SW'!$D157-1))*((S$4+'TCO TO BE - HW'!S$4)/($E$4+'TCO TO BE - HW'!$E$4)*SUM(POZICIE_INTERNE!$I$61:$I$72))/POZICIE_INTERNE!$B$61)),0)+IFERROR(IF((EXTERNE_POZICIE!$B$41-12*('TCO TO BE- SW'!$D157-1))&gt;12,((S$4+'TCO TO BE - HW'!S$4)/($E$4+'TCO TO BE - HW'!$E$4)*SUM(EXTERNE_POZICIE!$M$41:$M$52)*1.23)/EXTERNE_POZICIE!$B$41*12,IF((EXTERNE_POZICIE!$B$41-12*('TCO TO BE- SW'!$D157-1))&lt;0,0,(EXTERNE_POZICIE!$B$41-12*('TCO TO BE- SW'!$D157-1))*((S$4+'TCO TO BE - HW'!S$4)/($E$4+'TCO TO BE - HW'!$E$4)*SUM(EXTERNE_POZICIE!$M$41:$M$52)*1.23)/EXTERNE_POZICIE!$B$41)),0)+IFERROR(SUM(#REF!)*'TCO TO BE- SW'!S$4/'TCO TO BE- SW'!$E$4,0)</f>
        <v>0</v>
      </c>
      <c r="T157" s="579">
        <f>IFERROR(IF((POZICIE_INTERNE!$B$61-12*('TCO TO BE- SW'!$D157-1))&gt;12,((T$4+'TCO TO BE - HW'!T$4)/($E$4+'TCO TO BE - HW'!$E$4)*SUM(POZICIE_INTERNE!$I$61:$I$72))/POZICIE_INTERNE!$B$61*12,IF((POZICIE_INTERNE!$B$61-12*('TCO TO BE- SW'!$D157-1))&lt;0,0,(POZICIE_INTERNE!$B$61-12*('TCO TO BE- SW'!$D157-1))*((T$4+'TCO TO BE - HW'!T$4)/($E$4+'TCO TO BE - HW'!$E$4)*SUM(POZICIE_INTERNE!$I$61:$I$72))/POZICIE_INTERNE!$B$61)),0)+IFERROR(IF((EXTERNE_POZICIE!$B$41-12*('TCO TO BE- SW'!$D157-1))&gt;12,((T$4+'TCO TO BE - HW'!T$4)/($E$4+'TCO TO BE - HW'!$E$4)*SUM(EXTERNE_POZICIE!$M$41:$M$52)*1.23)/EXTERNE_POZICIE!$B$41*12,IF((EXTERNE_POZICIE!$B$41-12*('TCO TO BE- SW'!$D157-1))&lt;0,0,(EXTERNE_POZICIE!$B$41-12*('TCO TO BE- SW'!$D157-1))*((T$4+'TCO TO BE - HW'!T$4)/($E$4+'TCO TO BE - HW'!$E$4)*SUM(EXTERNE_POZICIE!$M$41:$M$52)*1.23)/EXTERNE_POZICIE!$B$41)),0)+IFERROR(SUM(#REF!)*'TCO TO BE- SW'!T$4/'TCO TO BE- SW'!$E$4,0)</f>
        <v>0</v>
      </c>
      <c r="U157" s="579">
        <f>IFERROR(IF((POZICIE_INTERNE!$B$61-12*('TCO TO BE- SW'!$D157-1))&gt;12,((U$4+'TCO TO BE - HW'!U$4)/($E$4+'TCO TO BE - HW'!$E$4)*SUM(POZICIE_INTERNE!$I$61:$I$72))/POZICIE_INTERNE!$B$61*12,IF((POZICIE_INTERNE!$B$61-12*('TCO TO BE- SW'!$D157-1))&lt;0,0,(POZICIE_INTERNE!$B$61-12*('TCO TO BE- SW'!$D157-1))*((U$4+'TCO TO BE - HW'!U$4)/($E$4+'TCO TO BE - HW'!$E$4)*SUM(POZICIE_INTERNE!$I$61:$I$72))/POZICIE_INTERNE!$B$61)),0)+IFERROR(IF((EXTERNE_POZICIE!$B$41-12*('TCO TO BE- SW'!$D157-1))&gt;12,((U$4+'TCO TO BE - HW'!U$4)/($E$4+'TCO TO BE - HW'!$E$4)*SUM(EXTERNE_POZICIE!$M$41:$M$52)*1.23)/EXTERNE_POZICIE!$B$41*12,IF((EXTERNE_POZICIE!$B$41-12*('TCO TO BE- SW'!$D157-1))&lt;0,0,(EXTERNE_POZICIE!$B$41-12*('TCO TO BE- SW'!$D157-1))*((U$4+'TCO TO BE - HW'!U$4)/($E$4+'TCO TO BE - HW'!$E$4)*SUM(EXTERNE_POZICIE!$M$41:$M$52)*1.23)/EXTERNE_POZICIE!$B$41)),0)+IFERROR(SUM(#REF!)*'TCO TO BE- SW'!U$4/'TCO TO BE- SW'!$E$4,0)</f>
        <v>0</v>
      </c>
      <c r="V157" s="579">
        <f>IFERROR(IF((POZICIE_INTERNE!$B$61-12*('TCO TO BE- SW'!$D157-1))&gt;12,((V$4+'TCO TO BE - HW'!V$4)/($E$4+'TCO TO BE - HW'!$E$4)*SUM(POZICIE_INTERNE!$I$61:$I$72))/POZICIE_INTERNE!$B$61*12,IF((POZICIE_INTERNE!$B$61-12*('TCO TO BE- SW'!$D157-1))&lt;0,0,(POZICIE_INTERNE!$B$61-12*('TCO TO BE- SW'!$D157-1))*((V$4+'TCO TO BE - HW'!V$4)/($E$4+'TCO TO BE - HW'!$E$4)*SUM(POZICIE_INTERNE!$I$61:$I$72))/POZICIE_INTERNE!$B$61)),0)+IFERROR(IF((EXTERNE_POZICIE!$B$41-12*('TCO TO BE- SW'!$D157-1))&gt;12,((V$4+'TCO TO BE - HW'!V$4)/($E$4+'TCO TO BE - HW'!$E$4)*SUM(EXTERNE_POZICIE!$M$41:$M$52)*1.23)/EXTERNE_POZICIE!$B$41*12,IF((EXTERNE_POZICIE!$B$41-12*('TCO TO BE- SW'!$D157-1))&lt;0,0,(EXTERNE_POZICIE!$B$41-12*('TCO TO BE- SW'!$D157-1))*((V$4+'TCO TO BE - HW'!V$4)/($E$4+'TCO TO BE - HW'!$E$4)*SUM(EXTERNE_POZICIE!$M$41:$M$52)*1.23)/EXTERNE_POZICIE!$B$41)),0)+IFERROR(SUM(#REF!)*'TCO TO BE- SW'!V$4/'TCO TO BE- SW'!$E$4,0)</f>
        <v>0</v>
      </c>
      <c r="W157" s="579">
        <f>IFERROR(IF((POZICIE_INTERNE!$B$61-12*('TCO TO BE- SW'!$D157-1))&gt;12,((W$4+'TCO TO BE - HW'!W$4)/($E$4+'TCO TO BE - HW'!$E$4)*SUM(POZICIE_INTERNE!$I$61:$I$72))/POZICIE_INTERNE!$B$61*12,IF((POZICIE_INTERNE!$B$61-12*('TCO TO BE- SW'!$D157-1))&lt;0,0,(POZICIE_INTERNE!$B$61-12*('TCO TO BE- SW'!$D157-1))*((W$4+'TCO TO BE - HW'!W$4)/($E$4+'TCO TO BE - HW'!$E$4)*SUM(POZICIE_INTERNE!$I$61:$I$72))/POZICIE_INTERNE!$B$61)),0)+IFERROR(IF((EXTERNE_POZICIE!$B$41-12*('TCO TO BE- SW'!$D157-1))&gt;12,((W$4+'TCO TO BE - HW'!W$4)/($E$4+'TCO TO BE - HW'!$E$4)*SUM(EXTERNE_POZICIE!$M$41:$M$52)*1.23)/EXTERNE_POZICIE!$B$41*12,IF((EXTERNE_POZICIE!$B$41-12*('TCO TO BE- SW'!$D157-1))&lt;0,0,(EXTERNE_POZICIE!$B$41-12*('TCO TO BE- SW'!$D157-1))*((W$4+'TCO TO BE - HW'!W$4)/($E$4+'TCO TO BE - HW'!$E$4)*SUM(EXTERNE_POZICIE!$M$41:$M$52)*1.23)/EXTERNE_POZICIE!$B$41)),0)+IFERROR(SUM(#REF!)*'TCO TO BE- SW'!W$4/'TCO TO BE- SW'!$E$4,0)</f>
        <v>0</v>
      </c>
      <c r="X157" s="579">
        <f>IFERROR(IF((POZICIE_INTERNE!$B$61-12*('TCO TO BE- SW'!$D157-1))&gt;12,((X$4+'TCO TO BE - HW'!X$4)/($E$4+'TCO TO BE - HW'!$E$4)*SUM(POZICIE_INTERNE!$I$61:$I$72))/POZICIE_INTERNE!$B$61*12,IF((POZICIE_INTERNE!$B$61-12*('TCO TO BE- SW'!$D157-1))&lt;0,0,(POZICIE_INTERNE!$B$61-12*('TCO TO BE- SW'!$D157-1))*((X$4+'TCO TO BE - HW'!X$4)/($E$4+'TCO TO BE - HW'!$E$4)*SUM(POZICIE_INTERNE!$I$61:$I$72))/POZICIE_INTERNE!$B$61)),0)+IFERROR(IF((EXTERNE_POZICIE!$B$41-12*('TCO TO BE- SW'!$D157-1))&gt;12,((X$4+'TCO TO BE - HW'!X$4)/($E$4+'TCO TO BE - HW'!$E$4)*SUM(EXTERNE_POZICIE!$M$41:$M$52)*1.23)/EXTERNE_POZICIE!$B$41*12,IF((EXTERNE_POZICIE!$B$41-12*('TCO TO BE- SW'!$D157-1))&lt;0,0,(EXTERNE_POZICIE!$B$41-12*('TCO TO BE- SW'!$D157-1))*((X$4+'TCO TO BE - HW'!X$4)/($E$4+'TCO TO BE - HW'!$E$4)*SUM(EXTERNE_POZICIE!$M$41:$M$52)*1.23)/EXTERNE_POZICIE!$B$41)),0)+IFERROR(SUM(#REF!)*'TCO TO BE- SW'!X$4/'TCO TO BE- SW'!$E$4,0)</f>
        <v>0</v>
      </c>
      <c r="Y157" s="579">
        <f>IFERROR(IF((POZICIE_INTERNE!$B$61-12*('TCO TO BE- SW'!$D157-1))&gt;12,((Y$4+'TCO TO BE - HW'!Y$4)/($E$4+'TCO TO BE - HW'!$E$4)*SUM(POZICIE_INTERNE!$I$61:$I$72))/POZICIE_INTERNE!$B$61*12,IF((POZICIE_INTERNE!$B$61-12*('TCO TO BE- SW'!$D157-1))&lt;0,0,(POZICIE_INTERNE!$B$61-12*('TCO TO BE- SW'!$D157-1))*((Y$4+'TCO TO BE - HW'!Y$4)/($E$4+'TCO TO BE - HW'!$E$4)*SUM(POZICIE_INTERNE!$I$61:$I$72))/POZICIE_INTERNE!$B$61)),0)+IFERROR(IF((EXTERNE_POZICIE!$B$41-12*('TCO TO BE- SW'!$D157-1))&gt;12,((Y$4+'TCO TO BE - HW'!Y$4)/($E$4+'TCO TO BE - HW'!$E$4)*SUM(EXTERNE_POZICIE!$M$41:$M$52)*1.23)/EXTERNE_POZICIE!$B$41*12,IF((EXTERNE_POZICIE!$B$41-12*('TCO TO BE- SW'!$D157-1))&lt;0,0,(EXTERNE_POZICIE!$B$41-12*('TCO TO BE- SW'!$D157-1))*((Y$4+'TCO TO BE - HW'!Y$4)/($E$4+'TCO TO BE - HW'!$E$4)*SUM(EXTERNE_POZICIE!$M$41:$M$52)*1.23)/EXTERNE_POZICIE!$B$41)),0)+IFERROR(SUM(#REF!)*'TCO TO BE- SW'!Y$4/'TCO TO BE- SW'!$E$4,0)</f>
        <v>0</v>
      </c>
      <c r="Z157" s="579">
        <f>IFERROR(IF((POZICIE_INTERNE!$B$61-12*('TCO TO BE- SW'!$D157-1))&gt;12,((Z$4+'TCO TO BE - HW'!Z$4)/($E$4+'TCO TO BE - HW'!$E$4)*SUM(POZICIE_INTERNE!$I$61:$I$72))/POZICIE_INTERNE!$B$61*12,IF((POZICIE_INTERNE!$B$61-12*('TCO TO BE- SW'!$D157-1))&lt;0,0,(POZICIE_INTERNE!$B$61-12*('TCO TO BE- SW'!$D157-1))*((Z$4+'TCO TO BE - HW'!Z$4)/($E$4+'TCO TO BE - HW'!$E$4)*SUM(POZICIE_INTERNE!$I$61:$I$72))/POZICIE_INTERNE!$B$61)),0)+IFERROR(IF((EXTERNE_POZICIE!$B$41-12*('TCO TO BE- SW'!$D157-1))&gt;12,((Z$4+'TCO TO BE - HW'!Z$4)/($E$4+'TCO TO BE - HW'!$E$4)*SUM(EXTERNE_POZICIE!$M$41:$M$52)*1.23)/EXTERNE_POZICIE!$B$41*12,IF((EXTERNE_POZICIE!$B$41-12*('TCO TO BE- SW'!$D157-1))&lt;0,0,(EXTERNE_POZICIE!$B$41-12*('TCO TO BE- SW'!$D157-1))*((Z$4+'TCO TO BE - HW'!Z$4)/($E$4+'TCO TO BE - HW'!$E$4)*SUM(EXTERNE_POZICIE!$M$41:$M$52)*1.23)/EXTERNE_POZICIE!$B$41)),0)+IFERROR(SUM(#REF!)*'TCO TO BE- SW'!Z$4/'TCO TO BE- SW'!$E$4,0)</f>
        <v>0</v>
      </c>
    </row>
    <row r="158" spans="1:26" x14ac:dyDescent="0.2">
      <c r="A158" s="1390"/>
      <c r="B158" s="1391"/>
      <c r="C158" s="1391"/>
      <c r="D158" s="64">
        <v>8</v>
      </c>
      <c r="E158" s="68">
        <f t="shared" si="16"/>
        <v>0</v>
      </c>
      <c r="F158" s="579">
        <f>IFERROR(IF((POZICIE_INTERNE!$B$61-12*('TCO TO BE- SW'!$D158-1))&gt;12,((F$4+'TCO TO BE - HW'!F$4)/($E$4+'TCO TO BE - HW'!$E$4)*SUM(POZICIE_INTERNE!$I$61:$I$72))/POZICIE_INTERNE!$B$61*12,IF((POZICIE_INTERNE!$B$61-12*('TCO TO BE- SW'!$D158-1))&lt;0,0,(POZICIE_INTERNE!$B$61-12*('TCO TO BE- SW'!$D158-1))*((F$4+'TCO TO BE - HW'!F$4)/($E$4+'TCO TO BE - HW'!$E$4)*SUM(POZICIE_INTERNE!$I$61:$I$72))/POZICIE_INTERNE!$B$61)),0)+IFERROR(IF((EXTERNE_POZICIE!$B$41-12*('TCO TO BE- SW'!$D158-1))&gt;12,((F$4+'TCO TO BE - HW'!F$4)/($E$4+'TCO TO BE - HW'!$E$4)*SUM(EXTERNE_POZICIE!$M$41:$M$52)*1.23)/EXTERNE_POZICIE!$B$41*12,IF((EXTERNE_POZICIE!$B$41-12*('TCO TO BE- SW'!$D158-1))&lt;0,0,(EXTERNE_POZICIE!$B$41-12*('TCO TO BE- SW'!$D158-1))*((F$4+'TCO TO BE - HW'!F$4)/($E$4+'TCO TO BE - HW'!$E$4)*SUM(EXTERNE_POZICIE!$M$41:$M$52)*1.23)/EXTERNE_POZICIE!$B$41)),0)+IFERROR(SUM(#REF!)*'TCO TO BE- SW'!F$4/'TCO TO BE- SW'!$E$4,0)</f>
        <v>0</v>
      </c>
      <c r="G158" s="579">
        <f>IFERROR(IF((POZICIE_INTERNE!$B$61-12*('TCO TO BE- SW'!$D158-1))&gt;12,((G$4+'TCO TO BE - HW'!G$4)/($E$4+'TCO TO BE - HW'!$E$4)*SUM(POZICIE_INTERNE!$I$61:$I$72))/POZICIE_INTERNE!$B$61*12,IF((POZICIE_INTERNE!$B$61-12*('TCO TO BE- SW'!$D158-1))&lt;0,0,(POZICIE_INTERNE!$B$61-12*('TCO TO BE- SW'!$D158-1))*((G$4+'TCO TO BE - HW'!G$4)/($E$4+'TCO TO BE - HW'!$E$4)*SUM(POZICIE_INTERNE!$I$61:$I$72))/POZICIE_INTERNE!$B$61)),0)+IFERROR(IF((EXTERNE_POZICIE!$B$41-12*('TCO TO BE- SW'!$D158-1))&gt;12,((G$4+'TCO TO BE - HW'!G$4)/($E$4+'TCO TO BE - HW'!$E$4)*SUM(EXTERNE_POZICIE!$M$41:$M$52)*1.23)/EXTERNE_POZICIE!$B$41*12,IF((EXTERNE_POZICIE!$B$41-12*('TCO TO BE- SW'!$D158-1))&lt;0,0,(EXTERNE_POZICIE!$B$41-12*('TCO TO BE- SW'!$D158-1))*((G$4+'TCO TO BE - HW'!G$4)/($E$4+'TCO TO BE - HW'!$E$4)*SUM(EXTERNE_POZICIE!$M$41:$M$52)*1.23)/EXTERNE_POZICIE!$B$41)),0)+IFERROR(SUM(#REF!)*'TCO TO BE- SW'!G$4/'TCO TO BE- SW'!$E$4,0)</f>
        <v>0</v>
      </c>
      <c r="H158" s="579">
        <f>IFERROR(IF((POZICIE_INTERNE!$B$61-12*('TCO TO BE- SW'!$D158-1))&gt;12,((H$4+'TCO TO BE - HW'!H$4)/($E$4+'TCO TO BE - HW'!$E$4)*SUM(POZICIE_INTERNE!$I$61:$I$72))/POZICIE_INTERNE!$B$61*12,IF((POZICIE_INTERNE!$B$61-12*('TCO TO BE- SW'!$D158-1))&lt;0,0,(POZICIE_INTERNE!$B$61-12*('TCO TO BE- SW'!$D158-1))*((H$4+'TCO TO BE - HW'!H$4)/($E$4+'TCO TO BE - HW'!$E$4)*SUM(POZICIE_INTERNE!$I$61:$I$72))/POZICIE_INTERNE!$B$61)),0)+IFERROR(IF((EXTERNE_POZICIE!$B$41-12*('TCO TO BE- SW'!$D158-1))&gt;12,((H$4+'TCO TO BE - HW'!H$4)/($E$4+'TCO TO BE - HW'!$E$4)*SUM(EXTERNE_POZICIE!$M$41:$M$52)*1.23)/EXTERNE_POZICIE!$B$41*12,IF((EXTERNE_POZICIE!$B$41-12*('TCO TO BE- SW'!$D158-1))&lt;0,0,(EXTERNE_POZICIE!$B$41-12*('TCO TO BE- SW'!$D158-1))*((H$4+'TCO TO BE - HW'!H$4)/($E$4+'TCO TO BE - HW'!$E$4)*SUM(EXTERNE_POZICIE!$M$41:$M$52)*1.23)/EXTERNE_POZICIE!$B$41)),0)+IFERROR(SUM(#REF!)*'TCO TO BE- SW'!H$4/'TCO TO BE- SW'!$E$4,0)</f>
        <v>0</v>
      </c>
      <c r="I158" s="579">
        <f>IFERROR(IF((POZICIE_INTERNE!$B$61-12*('TCO TO BE- SW'!$D158-1))&gt;12,((I$4+'TCO TO BE - HW'!I$4)/($E$4+'TCO TO BE - HW'!$E$4)*SUM(POZICIE_INTERNE!$I$61:$I$72))/POZICIE_INTERNE!$B$61*12,IF((POZICIE_INTERNE!$B$61-12*('TCO TO BE- SW'!$D158-1))&lt;0,0,(POZICIE_INTERNE!$B$61-12*('TCO TO BE- SW'!$D158-1))*((I$4+'TCO TO BE - HW'!I$4)/($E$4+'TCO TO BE - HW'!$E$4)*SUM(POZICIE_INTERNE!$I$61:$I$72))/POZICIE_INTERNE!$B$61)),0)+IFERROR(IF((EXTERNE_POZICIE!$B$41-12*('TCO TO BE- SW'!$D158-1))&gt;12,((I$4+'TCO TO BE - HW'!I$4)/($E$4+'TCO TO BE - HW'!$E$4)*SUM(EXTERNE_POZICIE!$M$41:$M$52)*1.23)/EXTERNE_POZICIE!$B$41*12,IF((EXTERNE_POZICIE!$B$41-12*('TCO TO BE- SW'!$D158-1))&lt;0,0,(EXTERNE_POZICIE!$B$41-12*('TCO TO BE- SW'!$D158-1))*((I$4+'TCO TO BE - HW'!I$4)/($E$4+'TCO TO BE - HW'!$E$4)*SUM(EXTERNE_POZICIE!$M$41:$M$52)*1.23)/EXTERNE_POZICIE!$B$41)),0)+IFERROR(SUM(#REF!)*'TCO TO BE- SW'!I$4/'TCO TO BE- SW'!$E$4,0)</f>
        <v>0</v>
      </c>
      <c r="J158" s="579">
        <f>IFERROR(IF((POZICIE_INTERNE!$B$61-12*('TCO TO BE- SW'!$D158-1))&gt;12,((J$4+'TCO TO BE - HW'!J$4)/($E$4+'TCO TO BE - HW'!$E$4)*SUM(POZICIE_INTERNE!$I$61:$I$72))/POZICIE_INTERNE!$B$61*12,IF((POZICIE_INTERNE!$B$61-12*('TCO TO BE- SW'!$D158-1))&lt;0,0,(POZICIE_INTERNE!$B$61-12*('TCO TO BE- SW'!$D158-1))*((J$4+'TCO TO BE - HW'!J$4)/($E$4+'TCO TO BE - HW'!$E$4)*SUM(POZICIE_INTERNE!$I$61:$I$72))/POZICIE_INTERNE!$B$61)),0)+IFERROR(IF((EXTERNE_POZICIE!$B$41-12*('TCO TO BE- SW'!$D158-1))&gt;12,((J$4+'TCO TO BE - HW'!J$4)/($E$4+'TCO TO BE - HW'!$E$4)*SUM(EXTERNE_POZICIE!$M$41:$M$52)*1.23)/EXTERNE_POZICIE!$B$41*12,IF((EXTERNE_POZICIE!$B$41-12*('TCO TO BE- SW'!$D158-1))&lt;0,0,(EXTERNE_POZICIE!$B$41-12*('TCO TO BE- SW'!$D158-1))*((J$4+'TCO TO BE - HW'!J$4)/($E$4+'TCO TO BE - HW'!$E$4)*SUM(EXTERNE_POZICIE!$M$41:$M$52)*1.23)/EXTERNE_POZICIE!$B$41)),0)+IFERROR(SUM(#REF!)*'TCO TO BE- SW'!J$4/'TCO TO BE- SW'!$E$4,0)</f>
        <v>0</v>
      </c>
      <c r="K158" s="579">
        <f>IFERROR(IF((POZICIE_INTERNE!$B$61-12*('TCO TO BE- SW'!$D158-1))&gt;12,((K$4+'TCO TO BE - HW'!K$4)/($E$4+'TCO TO BE - HW'!$E$4)*SUM(POZICIE_INTERNE!$I$61:$I$72))/POZICIE_INTERNE!$B$61*12,IF((POZICIE_INTERNE!$B$61-12*('TCO TO BE- SW'!$D158-1))&lt;0,0,(POZICIE_INTERNE!$B$61-12*('TCO TO BE- SW'!$D158-1))*((K$4+'TCO TO BE - HW'!K$4)/($E$4+'TCO TO BE - HW'!$E$4)*SUM(POZICIE_INTERNE!$I$61:$I$72))/POZICIE_INTERNE!$B$61)),0)+IFERROR(IF((EXTERNE_POZICIE!$B$41-12*('TCO TO BE- SW'!$D158-1))&gt;12,((K$4+'TCO TO BE - HW'!K$4)/($E$4+'TCO TO BE - HW'!$E$4)*SUM(EXTERNE_POZICIE!$M$41:$M$52)*1.23)/EXTERNE_POZICIE!$B$41*12,IF((EXTERNE_POZICIE!$B$41-12*('TCO TO BE- SW'!$D158-1))&lt;0,0,(EXTERNE_POZICIE!$B$41-12*('TCO TO BE- SW'!$D158-1))*((K$4+'TCO TO BE - HW'!K$4)/($E$4+'TCO TO BE - HW'!$E$4)*SUM(EXTERNE_POZICIE!$M$41:$M$52)*1.23)/EXTERNE_POZICIE!$B$41)),0)+IFERROR(SUM(#REF!)*'TCO TO BE- SW'!K$4/'TCO TO BE- SW'!$E$4,0)</f>
        <v>0</v>
      </c>
      <c r="L158" s="579">
        <f>IFERROR(IF((POZICIE_INTERNE!$B$61-12*('TCO TO BE- SW'!$D158-1))&gt;12,((L$4+'TCO TO BE - HW'!L$4)/($E$4+'TCO TO BE - HW'!$E$4)*SUM(POZICIE_INTERNE!$I$61:$I$72))/POZICIE_INTERNE!$B$61*12,IF((POZICIE_INTERNE!$B$61-12*('TCO TO BE- SW'!$D158-1))&lt;0,0,(POZICIE_INTERNE!$B$61-12*('TCO TO BE- SW'!$D158-1))*((L$4+'TCO TO BE - HW'!L$4)/($E$4+'TCO TO BE - HW'!$E$4)*SUM(POZICIE_INTERNE!$I$61:$I$72))/POZICIE_INTERNE!$B$61)),0)+IFERROR(IF((EXTERNE_POZICIE!$B$41-12*('TCO TO BE- SW'!$D158-1))&gt;12,((L$4+'TCO TO BE - HW'!L$4)/($E$4+'TCO TO BE - HW'!$E$4)*SUM(EXTERNE_POZICIE!$M$41:$M$52)*1.23)/EXTERNE_POZICIE!$B$41*12,IF((EXTERNE_POZICIE!$B$41-12*('TCO TO BE- SW'!$D158-1))&lt;0,0,(EXTERNE_POZICIE!$B$41-12*('TCO TO BE- SW'!$D158-1))*((L$4+'TCO TO BE - HW'!L$4)/($E$4+'TCO TO BE - HW'!$E$4)*SUM(EXTERNE_POZICIE!$M$41:$M$52)*1.23)/EXTERNE_POZICIE!$B$41)),0)+IFERROR(SUM(#REF!)*'TCO TO BE- SW'!L$4/'TCO TO BE- SW'!$E$4,0)</f>
        <v>0</v>
      </c>
      <c r="M158" s="579">
        <f>IFERROR(IF((POZICIE_INTERNE!$B$61-12*('TCO TO BE- SW'!$D158-1))&gt;12,((M$4+'TCO TO BE - HW'!M$4)/($E$4+'TCO TO BE - HW'!$E$4)*SUM(POZICIE_INTERNE!$I$61:$I$72))/POZICIE_INTERNE!$B$61*12,IF((POZICIE_INTERNE!$B$61-12*('TCO TO BE- SW'!$D158-1))&lt;0,0,(POZICIE_INTERNE!$B$61-12*('TCO TO BE- SW'!$D158-1))*((M$4+'TCO TO BE - HW'!M$4)/($E$4+'TCO TO BE - HW'!$E$4)*SUM(POZICIE_INTERNE!$I$61:$I$72))/POZICIE_INTERNE!$B$61)),0)+IFERROR(IF((EXTERNE_POZICIE!$B$41-12*('TCO TO BE- SW'!$D158-1))&gt;12,((M$4+'TCO TO BE - HW'!M$4)/($E$4+'TCO TO BE - HW'!$E$4)*SUM(EXTERNE_POZICIE!$M$41:$M$52)*1.23)/EXTERNE_POZICIE!$B$41*12,IF((EXTERNE_POZICIE!$B$41-12*('TCO TO BE- SW'!$D158-1))&lt;0,0,(EXTERNE_POZICIE!$B$41-12*('TCO TO BE- SW'!$D158-1))*((M$4+'TCO TO BE - HW'!M$4)/($E$4+'TCO TO BE - HW'!$E$4)*SUM(EXTERNE_POZICIE!$M$41:$M$52)*1.23)/EXTERNE_POZICIE!$B$41)),0)+IFERROR(SUM(#REF!)*'TCO TO BE- SW'!M$4/'TCO TO BE- SW'!$E$4,0)</f>
        <v>0</v>
      </c>
      <c r="N158" s="579">
        <f>IFERROR(IF((POZICIE_INTERNE!$B$61-12*('TCO TO BE- SW'!$D158-1))&gt;12,((N$4+'TCO TO BE - HW'!N$4)/($E$4+'TCO TO BE - HW'!$E$4)*SUM(POZICIE_INTERNE!$I$61:$I$72))/POZICIE_INTERNE!$B$61*12,IF((POZICIE_INTERNE!$B$61-12*('TCO TO BE- SW'!$D158-1))&lt;0,0,(POZICIE_INTERNE!$B$61-12*('TCO TO BE- SW'!$D158-1))*((N$4+'TCO TO BE - HW'!N$4)/($E$4+'TCO TO BE - HW'!$E$4)*SUM(POZICIE_INTERNE!$I$61:$I$72))/POZICIE_INTERNE!$B$61)),0)+IFERROR(IF((EXTERNE_POZICIE!$B$41-12*('TCO TO BE- SW'!$D158-1))&gt;12,((N$4+'TCO TO BE - HW'!N$4)/($E$4+'TCO TO BE - HW'!$E$4)*SUM(EXTERNE_POZICIE!$M$41:$M$52)*1.23)/EXTERNE_POZICIE!$B$41*12,IF((EXTERNE_POZICIE!$B$41-12*('TCO TO BE- SW'!$D158-1))&lt;0,0,(EXTERNE_POZICIE!$B$41-12*('TCO TO BE- SW'!$D158-1))*((N$4+'TCO TO BE - HW'!N$4)/($E$4+'TCO TO BE - HW'!$E$4)*SUM(EXTERNE_POZICIE!$M$41:$M$52)*1.23)/EXTERNE_POZICIE!$B$41)),0)+IFERROR(SUM(#REF!)*'TCO TO BE- SW'!N$4/'TCO TO BE- SW'!$E$4,0)</f>
        <v>0</v>
      </c>
      <c r="O158" s="579">
        <f>IFERROR(IF((POZICIE_INTERNE!$B$61-12*('TCO TO BE- SW'!$D158-1))&gt;12,((O$4+'TCO TO BE - HW'!O$4)/($E$4+'TCO TO BE - HW'!$E$4)*SUM(POZICIE_INTERNE!$I$61:$I$72))/POZICIE_INTERNE!$B$61*12,IF((POZICIE_INTERNE!$B$61-12*('TCO TO BE- SW'!$D158-1))&lt;0,0,(POZICIE_INTERNE!$B$61-12*('TCO TO BE- SW'!$D158-1))*((O$4+'TCO TO BE - HW'!O$4)/($E$4+'TCO TO BE - HW'!$E$4)*SUM(POZICIE_INTERNE!$I$61:$I$72))/POZICIE_INTERNE!$B$61)),0)+IFERROR(IF((EXTERNE_POZICIE!$B$41-12*('TCO TO BE- SW'!$D158-1))&gt;12,((O$4+'TCO TO BE - HW'!O$4)/($E$4+'TCO TO BE - HW'!$E$4)*SUM(EXTERNE_POZICIE!$M$41:$M$52)*1.23)/EXTERNE_POZICIE!$B$41*12,IF((EXTERNE_POZICIE!$B$41-12*('TCO TO BE- SW'!$D158-1))&lt;0,0,(EXTERNE_POZICIE!$B$41-12*('TCO TO BE- SW'!$D158-1))*((O$4+'TCO TO BE - HW'!O$4)/($E$4+'TCO TO BE - HW'!$E$4)*SUM(EXTERNE_POZICIE!$M$41:$M$52)*1.23)/EXTERNE_POZICIE!$B$41)),0)+IFERROR(SUM(#REF!)*'TCO TO BE- SW'!O$4/'TCO TO BE- SW'!$E$4,0)</f>
        <v>0</v>
      </c>
      <c r="P158" s="579">
        <f>IFERROR(IF((POZICIE_INTERNE!$B$61-12*('TCO TO BE- SW'!$D158-1))&gt;12,((P$4+'TCO TO BE - HW'!P$4)/($E$4+'TCO TO BE - HW'!$E$4)*SUM(POZICIE_INTERNE!$I$61:$I$72))/POZICIE_INTERNE!$B$61*12,IF((POZICIE_INTERNE!$B$61-12*('TCO TO BE- SW'!$D158-1))&lt;0,0,(POZICIE_INTERNE!$B$61-12*('TCO TO BE- SW'!$D158-1))*((P$4+'TCO TO BE - HW'!P$4)/($E$4+'TCO TO BE - HW'!$E$4)*SUM(POZICIE_INTERNE!$I$61:$I$72))/POZICIE_INTERNE!$B$61)),0)+IFERROR(IF((EXTERNE_POZICIE!$B$41-12*('TCO TO BE- SW'!$D158-1))&gt;12,((P$4+'TCO TO BE - HW'!P$4)/($E$4+'TCO TO BE - HW'!$E$4)*SUM(EXTERNE_POZICIE!$M$41:$M$52)*1.23)/EXTERNE_POZICIE!$B$41*12,IF((EXTERNE_POZICIE!$B$41-12*('TCO TO BE- SW'!$D158-1))&lt;0,0,(EXTERNE_POZICIE!$B$41-12*('TCO TO BE- SW'!$D158-1))*((P$4+'TCO TO BE - HW'!P$4)/($E$4+'TCO TO BE - HW'!$E$4)*SUM(EXTERNE_POZICIE!$M$41:$M$52)*1.23)/EXTERNE_POZICIE!$B$41)),0)+IFERROR(SUM(#REF!)*'TCO TO BE- SW'!P$4/'TCO TO BE- SW'!$E$4,0)</f>
        <v>0</v>
      </c>
      <c r="Q158" s="579">
        <f>IFERROR(IF((POZICIE_INTERNE!$B$61-12*('TCO TO BE- SW'!$D158-1))&gt;12,((Q$4+'TCO TO BE - HW'!Q$4)/($E$4+'TCO TO BE - HW'!$E$4)*SUM(POZICIE_INTERNE!$I$61:$I$72))/POZICIE_INTERNE!$B$61*12,IF((POZICIE_INTERNE!$B$61-12*('TCO TO BE- SW'!$D158-1))&lt;0,0,(POZICIE_INTERNE!$B$61-12*('TCO TO BE- SW'!$D158-1))*((Q$4+'TCO TO BE - HW'!Q$4)/($E$4+'TCO TO BE - HW'!$E$4)*SUM(POZICIE_INTERNE!$I$61:$I$72))/POZICIE_INTERNE!$B$61)),0)+IFERROR(IF((EXTERNE_POZICIE!$B$41-12*('TCO TO BE- SW'!$D158-1))&gt;12,((Q$4+'TCO TO BE - HW'!Q$4)/($E$4+'TCO TO BE - HW'!$E$4)*SUM(EXTERNE_POZICIE!$M$41:$M$52)*1.23)/EXTERNE_POZICIE!$B$41*12,IF((EXTERNE_POZICIE!$B$41-12*('TCO TO BE- SW'!$D158-1))&lt;0,0,(EXTERNE_POZICIE!$B$41-12*('TCO TO BE- SW'!$D158-1))*((Q$4+'TCO TO BE - HW'!Q$4)/($E$4+'TCO TO BE - HW'!$E$4)*SUM(EXTERNE_POZICIE!$M$41:$M$52)*1.23)/EXTERNE_POZICIE!$B$41)),0)+IFERROR(SUM(#REF!)*'TCO TO BE- SW'!Q$4/'TCO TO BE- SW'!$E$4,0)</f>
        <v>0</v>
      </c>
      <c r="R158" s="579">
        <f>IFERROR(IF((POZICIE_INTERNE!$B$61-12*('TCO TO BE- SW'!$D158-1))&gt;12,((R$4+'TCO TO BE - HW'!R$4)/($E$4+'TCO TO BE - HW'!$E$4)*SUM(POZICIE_INTERNE!$I$61:$I$72))/POZICIE_INTERNE!$B$61*12,IF((POZICIE_INTERNE!$B$61-12*('TCO TO BE- SW'!$D158-1))&lt;0,0,(POZICIE_INTERNE!$B$61-12*('TCO TO BE- SW'!$D158-1))*((R$4+'TCO TO BE - HW'!R$4)/($E$4+'TCO TO BE - HW'!$E$4)*SUM(POZICIE_INTERNE!$I$61:$I$72))/POZICIE_INTERNE!$B$61)),0)+IFERROR(IF((EXTERNE_POZICIE!$B$41-12*('TCO TO BE- SW'!$D158-1))&gt;12,((R$4+'TCO TO BE - HW'!R$4)/($E$4+'TCO TO BE - HW'!$E$4)*SUM(EXTERNE_POZICIE!$M$41:$M$52)*1.23)/EXTERNE_POZICIE!$B$41*12,IF((EXTERNE_POZICIE!$B$41-12*('TCO TO BE- SW'!$D158-1))&lt;0,0,(EXTERNE_POZICIE!$B$41-12*('TCO TO BE- SW'!$D158-1))*((R$4+'TCO TO BE - HW'!R$4)/($E$4+'TCO TO BE - HW'!$E$4)*SUM(EXTERNE_POZICIE!$M$41:$M$52)*1.23)/EXTERNE_POZICIE!$B$41)),0)+IFERROR(SUM(#REF!)*'TCO TO BE- SW'!R$4/'TCO TO BE- SW'!$E$4,0)</f>
        <v>0</v>
      </c>
      <c r="S158" s="579">
        <f>IFERROR(IF((POZICIE_INTERNE!$B$61-12*('TCO TO BE- SW'!$D158-1))&gt;12,((S$4+'TCO TO BE - HW'!S$4)/($E$4+'TCO TO BE - HW'!$E$4)*SUM(POZICIE_INTERNE!$I$61:$I$72))/POZICIE_INTERNE!$B$61*12,IF((POZICIE_INTERNE!$B$61-12*('TCO TO BE- SW'!$D158-1))&lt;0,0,(POZICIE_INTERNE!$B$61-12*('TCO TO BE- SW'!$D158-1))*((S$4+'TCO TO BE - HW'!S$4)/($E$4+'TCO TO BE - HW'!$E$4)*SUM(POZICIE_INTERNE!$I$61:$I$72))/POZICIE_INTERNE!$B$61)),0)+IFERROR(IF((EXTERNE_POZICIE!$B$41-12*('TCO TO BE- SW'!$D158-1))&gt;12,((S$4+'TCO TO BE - HW'!S$4)/($E$4+'TCO TO BE - HW'!$E$4)*SUM(EXTERNE_POZICIE!$M$41:$M$52)*1.23)/EXTERNE_POZICIE!$B$41*12,IF((EXTERNE_POZICIE!$B$41-12*('TCO TO BE- SW'!$D158-1))&lt;0,0,(EXTERNE_POZICIE!$B$41-12*('TCO TO BE- SW'!$D158-1))*((S$4+'TCO TO BE - HW'!S$4)/($E$4+'TCO TO BE - HW'!$E$4)*SUM(EXTERNE_POZICIE!$M$41:$M$52)*1.23)/EXTERNE_POZICIE!$B$41)),0)+IFERROR(SUM(#REF!)*'TCO TO BE- SW'!S$4/'TCO TO BE- SW'!$E$4,0)</f>
        <v>0</v>
      </c>
      <c r="T158" s="579">
        <f>IFERROR(IF((POZICIE_INTERNE!$B$61-12*('TCO TO BE- SW'!$D158-1))&gt;12,((T$4+'TCO TO BE - HW'!T$4)/($E$4+'TCO TO BE - HW'!$E$4)*SUM(POZICIE_INTERNE!$I$61:$I$72))/POZICIE_INTERNE!$B$61*12,IF((POZICIE_INTERNE!$B$61-12*('TCO TO BE- SW'!$D158-1))&lt;0,0,(POZICIE_INTERNE!$B$61-12*('TCO TO BE- SW'!$D158-1))*((T$4+'TCO TO BE - HW'!T$4)/($E$4+'TCO TO BE - HW'!$E$4)*SUM(POZICIE_INTERNE!$I$61:$I$72))/POZICIE_INTERNE!$B$61)),0)+IFERROR(IF((EXTERNE_POZICIE!$B$41-12*('TCO TO BE- SW'!$D158-1))&gt;12,((T$4+'TCO TO BE - HW'!T$4)/($E$4+'TCO TO BE - HW'!$E$4)*SUM(EXTERNE_POZICIE!$M$41:$M$52)*1.23)/EXTERNE_POZICIE!$B$41*12,IF((EXTERNE_POZICIE!$B$41-12*('TCO TO BE- SW'!$D158-1))&lt;0,0,(EXTERNE_POZICIE!$B$41-12*('TCO TO BE- SW'!$D158-1))*((T$4+'TCO TO BE - HW'!T$4)/($E$4+'TCO TO BE - HW'!$E$4)*SUM(EXTERNE_POZICIE!$M$41:$M$52)*1.23)/EXTERNE_POZICIE!$B$41)),0)+IFERROR(SUM(#REF!)*'TCO TO BE- SW'!T$4/'TCO TO BE- SW'!$E$4,0)</f>
        <v>0</v>
      </c>
      <c r="U158" s="579">
        <f>IFERROR(IF((POZICIE_INTERNE!$B$61-12*('TCO TO BE- SW'!$D158-1))&gt;12,((U$4+'TCO TO BE - HW'!U$4)/($E$4+'TCO TO BE - HW'!$E$4)*SUM(POZICIE_INTERNE!$I$61:$I$72))/POZICIE_INTERNE!$B$61*12,IF((POZICIE_INTERNE!$B$61-12*('TCO TO BE- SW'!$D158-1))&lt;0,0,(POZICIE_INTERNE!$B$61-12*('TCO TO BE- SW'!$D158-1))*((U$4+'TCO TO BE - HW'!U$4)/($E$4+'TCO TO BE - HW'!$E$4)*SUM(POZICIE_INTERNE!$I$61:$I$72))/POZICIE_INTERNE!$B$61)),0)+IFERROR(IF((EXTERNE_POZICIE!$B$41-12*('TCO TO BE- SW'!$D158-1))&gt;12,((U$4+'TCO TO BE - HW'!U$4)/($E$4+'TCO TO BE - HW'!$E$4)*SUM(EXTERNE_POZICIE!$M$41:$M$52)*1.23)/EXTERNE_POZICIE!$B$41*12,IF((EXTERNE_POZICIE!$B$41-12*('TCO TO BE- SW'!$D158-1))&lt;0,0,(EXTERNE_POZICIE!$B$41-12*('TCO TO BE- SW'!$D158-1))*((U$4+'TCO TO BE - HW'!U$4)/($E$4+'TCO TO BE - HW'!$E$4)*SUM(EXTERNE_POZICIE!$M$41:$M$52)*1.23)/EXTERNE_POZICIE!$B$41)),0)+IFERROR(SUM(#REF!)*'TCO TO BE- SW'!U$4/'TCO TO BE- SW'!$E$4,0)</f>
        <v>0</v>
      </c>
      <c r="V158" s="579">
        <f>IFERROR(IF((POZICIE_INTERNE!$B$61-12*('TCO TO BE- SW'!$D158-1))&gt;12,((V$4+'TCO TO BE - HW'!V$4)/($E$4+'TCO TO BE - HW'!$E$4)*SUM(POZICIE_INTERNE!$I$61:$I$72))/POZICIE_INTERNE!$B$61*12,IF((POZICIE_INTERNE!$B$61-12*('TCO TO BE- SW'!$D158-1))&lt;0,0,(POZICIE_INTERNE!$B$61-12*('TCO TO BE- SW'!$D158-1))*((V$4+'TCO TO BE - HW'!V$4)/($E$4+'TCO TO BE - HW'!$E$4)*SUM(POZICIE_INTERNE!$I$61:$I$72))/POZICIE_INTERNE!$B$61)),0)+IFERROR(IF((EXTERNE_POZICIE!$B$41-12*('TCO TO BE- SW'!$D158-1))&gt;12,((V$4+'TCO TO BE - HW'!V$4)/($E$4+'TCO TO BE - HW'!$E$4)*SUM(EXTERNE_POZICIE!$M$41:$M$52)*1.23)/EXTERNE_POZICIE!$B$41*12,IF((EXTERNE_POZICIE!$B$41-12*('TCO TO BE- SW'!$D158-1))&lt;0,0,(EXTERNE_POZICIE!$B$41-12*('TCO TO BE- SW'!$D158-1))*((V$4+'TCO TO BE - HW'!V$4)/($E$4+'TCO TO BE - HW'!$E$4)*SUM(EXTERNE_POZICIE!$M$41:$M$52)*1.23)/EXTERNE_POZICIE!$B$41)),0)+IFERROR(SUM(#REF!)*'TCO TO BE- SW'!V$4/'TCO TO BE- SW'!$E$4,0)</f>
        <v>0</v>
      </c>
      <c r="W158" s="579">
        <f>IFERROR(IF((POZICIE_INTERNE!$B$61-12*('TCO TO BE- SW'!$D158-1))&gt;12,((W$4+'TCO TO BE - HW'!W$4)/($E$4+'TCO TO BE - HW'!$E$4)*SUM(POZICIE_INTERNE!$I$61:$I$72))/POZICIE_INTERNE!$B$61*12,IF((POZICIE_INTERNE!$B$61-12*('TCO TO BE- SW'!$D158-1))&lt;0,0,(POZICIE_INTERNE!$B$61-12*('TCO TO BE- SW'!$D158-1))*((W$4+'TCO TO BE - HW'!W$4)/($E$4+'TCO TO BE - HW'!$E$4)*SUM(POZICIE_INTERNE!$I$61:$I$72))/POZICIE_INTERNE!$B$61)),0)+IFERROR(IF((EXTERNE_POZICIE!$B$41-12*('TCO TO BE- SW'!$D158-1))&gt;12,((W$4+'TCO TO BE - HW'!W$4)/($E$4+'TCO TO BE - HW'!$E$4)*SUM(EXTERNE_POZICIE!$M$41:$M$52)*1.23)/EXTERNE_POZICIE!$B$41*12,IF((EXTERNE_POZICIE!$B$41-12*('TCO TO BE- SW'!$D158-1))&lt;0,0,(EXTERNE_POZICIE!$B$41-12*('TCO TO BE- SW'!$D158-1))*((W$4+'TCO TO BE - HW'!W$4)/($E$4+'TCO TO BE - HW'!$E$4)*SUM(EXTERNE_POZICIE!$M$41:$M$52)*1.23)/EXTERNE_POZICIE!$B$41)),0)+IFERROR(SUM(#REF!)*'TCO TO BE- SW'!W$4/'TCO TO BE- SW'!$E$4,0)</f>
        <v>0</v>
      </c>
      <c r="X158" s="579">
        <f>IFERROR(IF((POZICIE_INTERNE!$B$61-12*('TCO TO BE- SW'!$D158-1))&gt;12,((X$4+'TCO TO BE - HW'!X$4)/($E$4+'TCO TO BE - HW'!$E$4)*SUM(POZICIE_INTERNE!$I$61:$I$72))/POZICIE_INTERNE!$B$61*12,IF((POZICIE_INTERNE!$B$61-12*('TCO TO BE- SW'!$D158-1))&lt;0,0,(POZICIE_INTERNE!$B$61-12*('TCO TO BE- SW'!$D158-1))*((X$4+'TCO TO BE - HW'!X$4)/($E$4+'TCO TO BE - HW'!$E$4)*SUM(POZICIE_INTERNE!$I$61:$I$72))/POZICIE_INTERNE!$B$61)),0)+IFERROR(IF((EXTERNE_POZICIE!$B$41-12*('TCO TO BE- SW'!$D158-1))&gt;12,((X$4+'TCO TO BE - HW'!X$4)/($E$4+'TCO TO BE - HW'!$E$4)*SUM(EXTERNE_POZICIE!$M$41:$M$52)*1.23)/EXTERNE_POZICIE!$B$41*12,IF((EXTERNE_POZICIE!$B$41-12*('TCO TO BE- SW'!$D158-1))&lt;0,0,(EXTERNE_POZICIE!$B$41-12*('TCO TO BE- SW'!$D158-1))*((X$4+'TCO TO BE - HW'!X$4)/($E$4+'TCO TO BE - HW'!$E$4)*SUM(EXTERNE_POZICIE!$M$41:$M$52)*1.23)/EXTERNE_POZICIE!$B$41)),0)+IFERROR(SUM(#REF!)*'TCO TO BE- SW'!X$4/'TCO TO BE- SW'!$E$4,0)</f>
        <v>0</v>
      </c>
      <c r="Y158" s="579">
        <f>IFERROR(IF((POZICIE_INTERNE!$B$61-12*('TCO TO BE- SW'!$D158-1))&gt;12,((Y$4+'TCO TO BE - HW'!Y$4)/($E$4+'TCO TO BE - HW'!$E$4)*SUM(POZICIE_INTERNE!$I$61:$I$72))/POZICIE_INTERNE!$B$61*12,IF((POZICIE_INTERNE!$B$61-12*('TCO TO BE- SW'!$D158-1))&lt;0,0,(POZICIE_INTERNE!$B$61-12*('TCO TO BE- SW'!$D158-1))*((Y$4+'TCO TO BE - HW'!Y$4)/($E$4+'TCO TO BE - HW'!$E$4)*SUM(POZICIE_INTERNE!$I$61:$I$72))/POZICIE_INTERNE!$B$61)),0)+IFERROR(IF((EXTERNE_POZICIE!$B$41-12*('TCO TO BE- SW'!$D158-1))&gt;12,((Y$4+'TCO TO BE - HW'!Y$4)/($E$4+'TCO TO BE - HW'!$E$4)*SUM(EXTERNE_POZICIE!$M$41:$M$52)*1.23)/EXTERNE_POZICIE!$B$41*12,IF((EXTERNE_POZICIE!$B$41-12*('TCO TO BE- SW'!$D158-1))&lt;0,0,(EXTERNE_POZICIE!$B$41-12*('TCO TO BE- SW'!$D158-1))*((Y$4+'TCO TO BE - HW'!Y$4)/($E$4+'TCO TO BE - HW'!$E$4)*SUM(EXTERNE_POZICIE!$M$41:$M$52)*1.23)/EXTERNE_POZICIE!$B$41)),0)+IFERROR(SUM(#REF!)*'TCO TO BE- SW'!Y$4/'TCO TO BE- SW'!$E$4,0)</f>
        <v>0</v>
      </c>
      <c r="Z158" s="579">
        <f>IFERROR(IF((POZICIE_INTERNE!$B$61-12*('TCO TO BE- SW'!$D158-1))&gt;12,((Z$4+'TCO TO BE - HW'!Z$4)/($E$4+'TCO TO BE - HW'!$E$4)*SUM(POZICIE_INTERNE!$I$61:$I$72))/POZICIE_INTERNE!$B$61*12,IF((POZICIE_INTERNE!$B$61-12*('TCO TO BE- SW'!$D158-1))&lt;0,0,(POZICIE_INTERNE!$B$61-12*('TCO TO BE- SW'!$D158-1))*((Z$4+'TCO TO BE - HW'!Z$4)/($E$4+'TCO TO BE - HW'!$E$4)*SUM(POZICIE_INTERNE!$I$61:$I$72))/POZICIE_INTERNE!$B$61)),0)+IFERROR(IF((EXTERNE_POZICIE!$B$41-12*('TCO TO BE- SW'!$D158-1))&gt;12,((Z$4+'TCO TO BE - HW'!Z$4)/($E$4+'TCO TO BE - HW'!$E$4)*SUM(EXTERNE_POZICIE!$M$41:$M$52)*1.23)/EXTERNE_POZICIE!$B$41*12,IF((EXTERNE_POZICIE!$B$41-12*('TCO TO BE- SW'!$D158-1))&lt;0,0,(EXTERNE_POZICIE!$B$41-12*('TCO TO BE- SW'!$D158-1))*((Z$4+'TCO TO BE - HW'!Z$4)/($E$4+'TCO TO BE - HW'!$E$4)*SUM(EXTERNE_POZICIE!$M$41:$M$52)*1.23)/EXTERNE_POZICIE!$B$41)),0)+IFERROR(SUM(#REF!)*'TCO TO BE- SW'!Z$4/'TCO TO BE- SW'!$E$4,0)</f>
        <v>0</v>
      </c>
    </row>
    <row r="159" spans="1:26" x14ac:dyDescent="0.2">
      <c r="A159" s="1390"/>
      <c r="B159" s="1391"/>
      <c r="C159" s="1391"/>
      <c r="D159" s="64">
        <v>9</v>
      </c>
      <c r="E159" s="68">
        <f t="shared" si="16"/>
        <v>0</v>
      </c>
      <c r="F159" s="579">
        <f>IFERROR(IF((POZICIE_INTERNE!$B$61-12*('TCO TO BE- SW'!$D159-1))&gt;12,((F$4+'TCO TO BE - HW'!F$4)/($E$4+'TCO TO BE - HW'!$E$4)*SUM(POZICIE_INTERNE!$I$61:$I$72))/POZICIE_INTERNE!$B$61*12,IF((POZICIE_INTERNE!$B$61-12*('TCO TO BE- SW'!$D159-1))&lt;0,0,(POZICIE_INTERNE!$B$61-12*('TCO TO BE- SW'!$D159-1))*((F$4+'TCO TO BE - HW'!F$4)/($E$4+'TCO TO BE - HW'!$E$4)*SUM(POZICIE_INTERNE!$I$61:$I$72))/POZICIE_INTERNE!$B$61)),0)+IFERROR(IF((EXTERNE_POZICIE!$B$41-12*('TCO TO BE- SW'!$D159-1))&gt;12,((F$4+'TCO TO BE - HW'!F$4)/($E$4+'TCO TO BE - HW'!$E$4)*SUM(EXTERNE_POZICIE!$M$41:$M$52)*1.23)/EXTERNE_POZICIE!$B$41*12,IF((EXTERNE_POZICIE!$B$41-12*('TCO TO BE- SW'!$D159-1))&lt;0,0,(EXTERNE_POZICIE!$B$41-12*('TCO TO BE- SW'!$D159-1))*((F$4+'TCO TO BE - HW'!F$4)/($E$4+'TCO TO BE - HW'!$E$4)*SUM(EXTERNE_POZICIE!$M$41:$M$52)*1.23)/EXTERNE_POZICIE!$B$41)),0)+IFERROR(SUM(#REF!)*'TCO TO BE- SW'!F$4/'TCO TO BE- SW'!$E$4,0)</f>
        <v>0</v>
      </c>
      <c r="G159" s="579">
        <f>IFERROR(IF((POZICIE_INTERNE!$B$61-12*('TCO TO BE- SW'!$D159-1))&gt;12,((G$4+'TCO TO BE - HW'!G$4)/($E$4+'TCO TO BE - HW'!$E$4)*SUM(POZICIE_INTERNE!$I$61:$I$72))/POZICIE_INTERNE!$B$61*12,IF((POZICIE_INTERNE!$B$61-12*('TCO TO BE- SW'!$D159-1))&lt;0,0,(POZICIE_INTERNE!$B$61-12*('TCO TO BE- SW'!$D159-1))*((G$4+'TCO TO BE - HW'!G$4)/($E$4+'TCO TO BE - HW'!$E$4)*SUM(POZICIE_INTERNE!$I$61:$I$72))/POZICIE_INTERNE!$B$61)),0)+IFERROR(IF((EXTERNE_POZICIE!$B$41-12*('TCO TO BE- SW'!$D159-1))&gt;12,((G$4+'TCO TO BE - HW'!G$4)/($E$4+'TCO TO BE - HW'!$E$4)*SUM(EXTERNE_POZICIE!$M$41:$M$52)*1.23)/EXTERNE_POZICIE!$B$41*12,IF((EXTERNE_POZICIE!$B$41-12*('TCO TO BE- SW'!$D159-1))&lt;0,0,(EXTERNE_POZICIE!$B$41-12*('TCO TO BE- SW'!$D159-1))*((G$4+'TCO TO BE - HW'!G$4)/($E$4+'TCO TO BE - HW'!$E$4)*SUM(EXTERNE_POZICIE!$M$41:$M$52)*1.23)/EXTERNE_POZICIE!$B$41)),0)+IFERROR(SUM(#REF!)*'TCO TO BE- SW'!G$4/'TCO TO BE- SW'!$E$4,0)</f>
        <v>0</v>
      </c>
      <c r="H159" s="579">
        <f>IFERROR(IF((POZICIE_INTERNE!$B$61-12*('TCO TO BE- SW'!$D159-1))&gt;12,((H$4+'TCO TO BE - HW'!H$4)/($E$4+'TCO TO BE - HW'!$E$4)*SUM(POZICIE_INTERNE!$I$61:$I$72))/POZICIE_INTERNE!$B$61*12,IF((POZICIE_INTERNE!$B$61-12*('TCO TO BE- SW'!$D159-1))&lt;0,0,(POZICIE_INTERNE!$B$61-12*('TCO TO BE- SW'!$D159-1))*((H$4+'TCO TO BE - HW'!H$4)/($E$4+'TCO TO BE - HW'!$E$4)*SUM(POZICIE_INTERNE!$I$61:$I$72))/POZICIE_INTERNE!$B$61)),0)+IFERROR(IF((EXTERNE_POZICIE!$B$41-12*('TCO TO BE- SW'!$D159-1))&gt;12,((H$4+'TCO TO BE - HW'!H$4)/($E$4+'TCO TO BE - HW'!$E$4)*SUM(EXTERNE_POZICIE!$M$41:$M$52)*1.23)/EXTERNE_POZICIE!$B$41*12,IF((EXTERNE_POZICIE!$B$41-12*('TCO TO BE- SW'!$D159-1))&lt;0,0,(EXTERNE_POZICIE!$B$41-12*('TCO TO BE- SW'!$D159-1))*((H$4+'TCO TO BE - HW'!H$4)/($E$4+'TCO TO BE - HW'!$E$4)*SUM(EXTERNE_POZICIE!$M$41:$M$52)*1.23)/EXTERNE_POZICIE!$B$41)),0)+IFERROR(SUM(#REF!)*'TCO TO BE- SW'!H$4/'TCO TO BE- SW'!$E$4,0)</f>
        <v>0</v>
      </c>
      <c r="I159" s="579">
        <f>IFERROR(IF((POZICIE_INTERNE!$B$61-12*('TCO TO BE- SW'!$D159-1))&gt;12,((I$4+'TCO TO BE - HW'!I$4)/($E$4+'TCO TO BE - HW'!$E$4)*SUM(POZICIE_INTERNE!$I$61:$I$72))/POZICIE_INTERNE!$B$61*12,IF((POZICIE_INTERNE!$B$61-12*('TCO TO BE- SW'!$D159-1))&lt;0,0,(POZICIE_INTERNE!$B$61-12*('TCO TO BE- SW'!$D159-1))*((I$4+'TCO TO BE - HW'!I$4)/($E$4+'TCO TO BE - HW'!$E$4)*SUM(POZICIE_INTERNE!$I$61:$I$72))/POZICIE_INTERNE!$B$61)),0)+IFERROR(IF((EXTERNE_POZICIE!$B$41-12*('TCO TO BE- SW'!$D159-1))&gt;12,((I$4+'TCO TO BE - HW'!I$4)/($E$4+'TCO TO BE - HW'!$E$4)*SUM(EXTERNE_POZICIE!$M$41:$M$52)*1.23)/EXTERNE_POZICIE!$B$41*12,IF((EXTERNE_POZICIE!$B$41-12*('TCO TO BE- SW'!$D159-1))&lt;0,0,(EXTERNE_POZICIE!$B$41-12*('TCO TO BE- SW'!$D159-1))*((I$4+'TCO TO BE - HW'!I$4)/($E$4+'TCO TO BE - HW'!$E$4)*SUM(EXTERNE_POZICIE!$M$41:$M$52)*1.23)/EXTERNE_POZICIE!$B$41)),0)+IFERROR(SUM(#REF!)*'TCO TO BE- SW'!I$4/'TCO TO BE- SW'!$E$4,0)</f>
        <v>0</v>
      </c>
      <c r="J159" s="579">
        <f>IFERROR(IF((POZICIE_INTERNE!$B$61-12*('TCO TO BE- SW'!$D159-1))&gt;12,((J$4+'TCO TO BE - HW'!J$4)/($E$4+'TCO TO BE - HW'!$E$4)*SUM(POZICIE_INTERNE!$I$61:$I$72))/POZICIE_INTERNE!$B$61*12,IF((POZICIE_INTERNE!$B$61-12*('TCO TO BE- SW'!$D159-1))&lt;0,0,(POZICIE_INTERNE!$B$61-12*('TCO TO BE- SW'!$D159-1))*((J$4+'TCO TO BE - HW'!J$4)/($E$4+'TCO TO BE - HW'!$E$4)*SUM(POZICIE_INTERNE!$I$61:$I$72))/POZICIE_INTERNE!$B$61)),0)+IFERROR(IF((EXTERNE_POZICIE!$B$41-12*('TCO TO BE- SW'!$D159-1))&gt;12,((J$4+'TCO TO BE - HW'!J$4)/($E$4+'TCO TO BE - HW'!$E$4)*SUM(EXTERNE_POZICIE!$M$41:$M$52)*1.23)/EXTERNE_POZICIE!$B$41*12,IF((EXTERNE_POZICIE!$B$41-12*('TCO TO BE- SW'!$D159-1))&lt;0,0,(EXTERNE_POZICIE!$B$41-12*('TCO TO BE- SW'!$D159-1))*((J$4+'TCO TO BE - HW'!J$4)/($E$4+'TCO TO BE - HW'!$E$4)*SUM(EXTERNE_POZICIE!$M$41:$M$52)*1.23)/EXTERNE_POZICIE!$B$41)),0)+IFERROR(SUM(#REF!)*'TCO TO BE- SW'!J$4/'TCO TO BE- SW'!$E$4,0)</f>
        <v>0</v>
      </c>
      <c r="K159" s="579">
        <f>IFERROR(IF((POZICIE_INTERNE!$B$61-12*('TCO TO BE- SW'!$D159-1))&gt;12,((K$4+'TCO TO BE - HW'!K$4)/($E$4+'TCO TO BE - HW'!$E$4)*SUM(POZICIE_INTERNE!$I$61:$I$72))/POZICIE_INTERNE!$B$61*12,IF((POZICIE_INTERNE!$B$61-12*('TCO TO BE- SW'!$D159-1))&lt;0,0,(POZICIE_INTERNE!$B$61-12*('TCO TO BE- SW'!$D159-1))*((K$4+'TCO TO BE - HW'!K$4)/($E$4+'TCO TO BE - HW'!$E$4)*SUM(POZICIE_INTERNE!$I$61:$I$72))/POZICIE_INTERNE!$B$61)),0)+IFERROR(IF((EXTERNE_POZICIE!$B$41-12*('TCO TO BE- SW'!$D159-1))&gt;12,((K$4+'TCO TO BE - HW'!K$4)/($E$4+'TCO TO BE - HW'!$E$4)*SUM(EXTERNE_POZICIE!$M$41:$M$52)*1.23)/EXTERNE_POZICIE!$B$41*12,IF((EXTERNE_POZICIE!$B$41-12*('TCO TO BE- SW'!$D159-1))&lt;0,0,(EXTERNE_POZICIE!$B$41-12*('TCO TO BE- SW'!$D159-1))*((K$4+'TCO TO BE - HW'!K$4)/($E$4+'TCO TO BE - HW'!$E$4)*SUM(EXTERNE_POZICIE!$M$41:$M$52)*1.23)/EXTERNE_POZICIE!$B$41)),0)+IFERROR(SUM(#REF!)*'TCO TO BE- SW'!K$4/'TCO TO BE- SW'!$E$4,0)</f>
        <v>0</v>
      </c>
      <c r="L159" s="579">
        <f>IFERROR(IF((POZICIE_INTERNE!$B$61-12*('TCO TO BE- SW'!$D159-1))&gt;12,((L$4+'TCO TO BE - HW'!L$4)/($E$4+'TCO TO BE - HW'!$E$4)*SUM(POZICIE_INTERNE!$I$61:$I$72))/POZICIE_INTERNE!$B$61*12,IF((POZICIE_INTERNE!$B$61-12*('TCO TO BE- SW'!$D159-1))&lt;0,0,(POZICIE_INTERNE!$B$61-12*('TCO TO BE- SW'!$D159-1))*((L$4+'TCO TO BE - HW'!L$4)/($E$4+'TCO TO BE - HW'!$E$4)*SUM(POZICIE_INTERNE!$I$61:$I$72))/POZICIE_INTERNE!$B$61)),0)+IFERROR(IF((EXTERNE_POZICIE!$B$41-12*('TCO TO BE- SW'!$D159-1))&gt;12,((L$4+'TCO TO BE - HW'!L$4)/($E$4+'TCO TO BE - HW'!$E$4)*SUM(EXTERNE_POZICIE!$M$41:$M$52)*1.23)/EXTERNE_POZICIE!$B$41*12,IF((EXTERNE_POZICIE!$B$41-12*('TCO TO BE- SW'!$D159-1))&lt;0,0,(EXTERNE_POZICIE!$B$41-12*('TCO TO BE- SW'!$D159-1))*((L$4+'TCO TO BE - HW'!L$4)/($E$4+'TCO TO BE - HW'!$E$4)*SUM(EXTERNE_POZICIE!$M$41:$M$52)*1.23)/EXTERNE_POZICIE!$B$41)),0)+IFERROR(SUM(#REF!)*'TCO TO BE- SW'!L$4/'TCO TO BE- SW'!$E$4,0)</f>
        <v>0</v>
      </c>
      <c r="M159" s="579">
        <f>IFERROR(IF((POZICIE_INTERNE!$B$61-12*('TCO TO BE- SW'!$D159-1))&gt;12,((M$4+'TCO TO BE - HW'!M$4)/($E$4+'TCO TO BE - HW'!$E$4)*SUM(POZICIE_INTERNE!$I$61:$I$72))/POZICIE_INTERNE!$B$61*12,IF((POZICIE_INTERNE!$B$61-12*('TCO TO BE- SW'!$D159-1))&lt;0,0,(POZICIE_INTERNE!$B$61-12*('TCO TO BE- SW'!$D159-1))*((M$4+'TCO TO BE - HW'!M$4)/($E$4+'TCO TO BE - HW'!$E$4)*SUM(POZICIE_INTERNE!$I$61:$I$72))/POZICIE_INTERNE!$B$61)),0)+IFERROR(IF((EXTERNE_POZICIE!$B$41-12*('TCO TO BE- SW'!$D159-1))&gt;12,((M$4+'TCO TO BE - HW'!M$4)/($E$4+'TCO TO BE - HW'!$E$4)*SUM(EXTERNE_POZICIE!$M$41:$M$52)*1.23)/EXTERNE_POZICIE!$B$41*12,IF((EXTERNE_POZICIE!$B$41-12*('TCO TO BE- SW'!$D159-1))&lt;0,0,(EXTERNE_POZICIE!$B$41-12*('TCO TO BE- SW'!$D159-1))*((M$4+'TCO TO BE - HW'!M$4)/($E$4+'TCO TO BE - HW'!$E$4)*SUM(EXTERNE_POZICIE!$M$41:$M$52)*1.23)/EXTERNE_POZICIE!$B$41)),0)+IFERROR(SUM(#REF!)*'TCO TO BE- SW'!M$4/'TCO TO BE- SW'!$E$4,0)</f>
        <v>0</v>
      </c>
      <c r="N159" s="579">
        <f>IFERROR(IF((POZICIE_INTERNE!$B$61-12*('TCO TO BE- SW'!$D159-1))&gt;12,((N$4+'TCO TO BE - HW'!N$4)/($E$4+'TCO TO BE - HW'!$E$4)*SUM(POZICIE_INTERNE!$I$61:$I$72))/POZICIE_INTERNE!$B$61*12,IF((POZICIE_INTERNE!$B$61-12*('TCO TO BE- SW'!$D159-1))&lt;0,0,(POZICIE_INTERNE!$B$61-12*('TCO TO BE- SW'!$D159-1))*((N$4+'TCO TO BE - HW'!N$4)/($E$4+'TCO TO BE - HW'!$E$4)*SUM(POZICIE_INTERNE!$I$61:$I$72))/POZICIE_INTERNE!$B$61)),0)+IFERROR(IF((EXTERNE_POZICIE!$B$41-12*('TCO TO BE- SW'!$D159-1))&gt;12,((N$4+'TCO TO BE - HW'!N$4)/($E$4+'TCO TO BE - HW'!$E$4)*SUM(EXTERNE_POZICIE!$M$41:$M$52)*1.23)/EXTERNE_POZICIE!$B$41*12,IF((EXTERNE_POZICIE!$B$41-12*('TCO TO BE- SW'!$D159-1))&lt;0,0,(EXTERNE_POZICIE!$B$41-12*('TCO TO BE- SW'!$D159-1))*((N$4+'TCO TO BE - HW'!N$4)/($E$4+'TCO TO BE - HW'!$E$4)*SUM(EXTERNE_POZICIE!$M$41:$M$52)*1.23)/EXTERNE_POZICIE!$B$41)),0)+IFERROR(SUM(#REF!)*'TCO TO BE- SW'!N$4/'TCO TO BE- SW'!$E$4,0)</f>
        <v>0</v>
      </c>
      <c r="O159" s="579">
        <f>IFERROR(IF((POZICIE_INTERNE!$B$61-12*('TCO TO BE- SW'!$D159-1))&gt;12,((O$4+'TCO TO BE - HW'!O$4)/($E$4+'TCO TO BE - HW'!$E$4)*SUM(POZICIE_INTERNE!$I$61:$I$72))/POZICIE_INTERNE!$B$61*12,IF((POZICIE_INTERNE!$B$61-12*('TCO TO BE- SW'!$D159-1))&lt;0,0,(POZICIE_INTERNE!$B$61-12*('TCO TO BE- SW'!$D159-1))*((O$4+'TCO TO BE - HW'!O$4)/($E$4+'TCO TO BE - HW'!$E$4)*SUM(POZICIE_INTERNE!$I$61:$I$72))/POZICIE_INTERNE!$B$61)),0)+IFERROR(IF((EXTERNE_POZICIE!$B$41-12*('TCO TO BE- SW'!$D159-1))&gt;12,((O$4+'TCO TO BE - HW'!O$4)/($E$4+'TCO TO BE - HW'!$E$4)*SUM(EXTERNE_POZICIE!$M$41:$M$52)*1.23)/EXTERNE_POZICIE!$B$41*12,IF((EXTERNE_POZICIE!$B$41-12*('TCO TO BE- SW'!$D159-1))&lt;0,0,(EXTERNE_POZICIE!$B$41-12*('TCO TO BE- SW'!$D159-1))*((O$4+'TCO TO BE - HW'!O$4)/($E$4+'TCO TO BE - HW'!$E$4)*SUM(EXTERNE_POZICIE!$M$41:$M$52)*1.23)/EXTERNE_POZICIE!$B$41)),0)+IFERROR(SUM(#REF!)*'TCO TO BE- SW'!O$4/'TCO TO BE- SW'!$E$4,0)</f>
        <v>0</v>
      </c>
      <c r="P159" s="579">
        <f>IFERROR(IF((POZICIE_INTERNE!$B$61-12*('TCO TO BE- SW'!$D159-1))&gt;12,((P$4+'TCO TO BE - HW'!P$4)/($E$4+'TCO TO BE - HW'!$E$4)*SUM(POZICIE_INTERNE!$I$61:$I$72))/POZICIE_INTERNE!$B$61*12,IF((POZICIE_INTERNE!$B$61-12*('TCO TO BE- SW'!$D159-1))&lt;0,0,(POZICIE_INTERNE!$B$61-12*('TCO TO BE- SW'!$D159-1))*((P$4+'TCO TO BE - HW'!P$4)/($E$4+'TCO TO BE - HW'!$E$4)*SUM(POZICIE_INTERNE!$I$61:$I$72))/POZICIE_INTERNE!$B$61)),0)+IFERROR(IF((EXTERNE_POZICIE!$B$41-12*('TCO TO BE- SW'!$D159-1))&gt;12,((P$4+'TCO TO BE - HW'!P$4)/($E$4+'TCO TO BE - HW'!$E$4)*SUM(EXTERNE_POZICIE!$M$41:$M$52)*1.23)/EXTERNE_POZICIE!$B$41*12,IF((EXTERNE_POZICIE!$B$41-12*('TCO TO BE- SW'!$D159-1))&lt;0,0,(EXTERNE_POZICIE!$B$41-12*('TCO TO BE- SW'!$D159-1))*((P$4+'TCO TO BE - HW'!P$4)/($E$4+'TCO TO BE - HW'!$E$4)*SUM(EXTERNE_POZICIE!$M$41:$M$52)*1.23)/EXTERNE_POZICIE!$B$41)),0)+IFERROR(SUM(#REF!)*'TCO TO BE- SW'!P$4/'TCO TO BE- SW'!$E$4,0)</f>
        <v>0</v>
      </c>
      <c r="Q159" s="579">
        <f>IFERROR(IF((POZICIE_INTERNE!$B$61-12*('TCO TO BE- SW'!$D159-1))&gt;12,((Q$4+'TCO TO BE - HW'!Q$4)/($E$4+'TCO TO BE - HW'!$E$4)*SUM(POZICIE_INTERNE!$I$61:$I$72))/POZICIE_INTERNE!$B$61*12,IF((POZICIE_INTERNE!$B$61-12*('TCO TO BE- SW'!$D159-1))&lt;0,0,(POZICIE_INTERNE!$B$61-12*('TCO TO BE- SW'!$D159-1))*((Q$4+'TCO TO BE - HW'!Q$4)/($E$4+'TCO TO BE - HW'!$E$4)*SUM(POZICIE_INTERNE!$I$61:$I$72))/POZICIE_INTERNE!$B$61)),0)+IFERROR(IF((EXTERNE_POZICIE!$B$41-12*('TCO TO BE- SW'!$D159-1))&gt;12,((Q$4+'TCO TO BE - HW'!Q$4)/($E$4+'TCO TO BE - HW'!$E$4)*SUM(EXTERNE_POZICIE!$M$41:$M$52)*1.23)/EXTERNE_POZICIE!$B$41*12,IF((EXTERNE_POZICIE!$B$41-12*('TCO TO BE- SW'!$D159-1))&lt;0,0,(EXTERNE_POZICIE!$B$41-12*('TCO TO BE- SW'!$D159-1))*((Q$4+'TCO TO BE - HW'!Q$4)/($E$4+'TCO TO BE - HW'!$E$4)*SUM(EXTERNE_POZICIE!$M$41:$M$52)*1.23)/EXTERNE_POZICIE!$B$41)),0)+IFERROR(SUM(#REF!)*'TCO TO BE- SW'!Q$4/'TCO TO BE- SW'!$E$4,0)</f>
        <v>0</v>
      </c>
      <c r="R159" s="579">
        <f>IFERROR(IF((POZICIE_INTERNE!$B$61-12*('TCO TO BE- SW'!$D159-1))&gt;12,((R$4+'TCO TO BE - HW'!R$4)/($E$4+'TCO TO BE - HW'!$E$4)*SUM(POZICIE_INTERNE!$I$61:$I$72))/POZICIE_INTERNE!$B$61*12,IF((POZICIE_INTERNE!$B$61-12*('TCO TO BE- SW'!$D159-1))&lt;0,0,(POZICIE_INTERNE!$B$61-12*('TCO TO BE- SW'!$D159-1))*((R$4+'TCO TO BE - HW'!R$4)/($E$4+'TCO TO BE - HW'!$E$4)*SUM(POZICIE_INTERNE!$I$61:$I$72))/POZICIE_INTERNE!$B$61)),0)+IFERROR(IF((EXTERNE_POZICIE!$B$41-12*('TCO TO BE- SW'!$D159-1))&gt;12,((R$4+'TCO TO BE - HW'!R$4)/($E$4+'TCO TO BE - HW'!$E$4)*SUM(EXTERNE_POZICIE!$M$41:$M$52)*1.23)/EXTERNE_POZICIE!$B$41*12,IF((EXTERNE_POZICIE!$B$41-12*('TCO TO BE- SW'!$D159-1))&lt;0,0,(EXTERNE_POZICIE!$B$41-12*('TCO TO BE- SW'!$D159-1))*((R$4+'TCO TO BE - HW'!R$4)/($E$4+'TCO TO BE - HW'!$E$4)*SUM(EXTERNE_POZICIE!$M$41:$M$52)*1.23)/EXTERNE_POZICIE!$B$41)),0)+IFERROR(SUM(#REF!)*'TCO TO BE- SW'!R$4/'TCO TO BE- SW'!$E$4,0)</f>
        <v>0</v>
      </c>
      <c r="S159" s="579">
        <f>IFERROR(IF((POZICIE_INTERNE!$B$61-12*('TCO TO BE- SW'!$D159-1))&gt;12,((S$4+'TCO TO BE - HW'!S$4)/($E$4+'TCO TO BE - HW'!$E$4)*SUM(POZICIE_INTERNE!$I$61:$I$72))/POZICIE_INTERNE!$B$61*12,IF((POZICIE_INTERNE!$B$61-12*('TCO TO BE- SW'!$D159-1))&lt;0,0,(POZICIE_INTERNE!$B$61-12*('TCO TO BE- SW'!$D159-1))*((S$4+'TCO TO BE - HW'!S$4)/($E$4+'TCO TO BE - HW'!$E$4)*SUM(POZICIE_INTERNE!$I$61:$I$72))/POZICIE_INTERNE!$B$61)),0)+IFERROR(IF((EXTERNE_POZICIE!$B$41-12*('TCO TO BE- SW'!$D159-1))&gt;12,((S$4+'TCO TO BE - HW'!S$4)/($E$4+'TCO TO BE - HW'!$E$4)*SUM(EXTERNE_POZICIE!$M$41:$M$52)*1.23)/EXTERNE_POZICIE!$B$41*12,IF((EXTERNE_POZICIE!$B$41-12*('TCO TO BE- SW'!$D159-1))&lt;0,0,(EXTERNE_POZICIE!$B$41-12*('TCO TO BE- SW'!$D159-1))*((S$4+'TCO TO BE - HW'!S$4)/($E$4+'TCO TO BE - HW'!$E$4)*SUM(EXTERNE_POZICIE!$M$41:$M$52)*1.23)/EXTERNE_POZICIE!$B$41)),0)+IFERROR(SUM(#REF!)*'TCO TO BE- SW'!S$4/'TCO TO BE- SW'!$E$4,0)</f>
        <v>0</v>
      </c>
      <c r="T159" s="579">
        <f>IFERROR(IF((POZICIE_INTERNE!$B$61-12*('TCO TO BE- SW'!$D159-1))&gt;12,((T$4+'TCO TO BE - HW'!T$4)/($E$4+'TCO TO BE - HW'!$E$4)*SUM(POZICIE_INTERNE!$I$61:$I$72))/POZICIE_INTERNE!$B$61*12,IF((POZICIE_INTERNE!$B$61-12*('TCO TO BE- SW'!$D159-1))&lt;0,0,(POZICIE_INTERNE!$B$61-12*('TCO TO BE- SW'!$D159-1))*((T$4+'TCO TO BE - HW'!T$4)/($E$4+'TCO TO BE - HW'!$E$4)*SUM(POZICIE_INTERNE!$I$61:$I$72))/POZICIE_INTERNE!$B$61)),0)+IFERROR(IF((EXTERNE_POZICIE!$B$41-12*('TCO TO BE- SW'!$D159-1))&gt;12,((T$4+'TCO TO BE - HW'!T$4)/($E$4+'TCO TO BE - HW'!$E$4)*SUM(EXTERNE_POZICIE!$M$41:$M$52)*1.23)/EXTERNE_POZICIE!$B$41*12,IF((EXTERNE_POZICIE!$B$41-12*('TCO TO BE- SW'!$D159-1))&lt;0,0,(EXTERNE_POZICIE!$B$41-12*('TCO TO BE- SW'!$D159-1))*((T$4+'TCO TO BE - HW'!T$4)/($E$4+'TCO TO BE - HW'!$E$4)*SUM(EXTERNE_POZICIE!$M$41:$M$52)*1.23)/EXTERNE_POZICIE!$B$41)),0)+IFERROR(SUM(#REF!)*'TCO TO BE- SW'!T$4/'TCO TO BE- SW'!$E$4,0)</f>
        <v>0</v>
      </c>
      <c r="U159" s="579">
        <f>IFERROR(IF((POZICIE_INTERNE!$B$61-12*('TCO TO BE- SW'!$D159-1))&gt;12,((U$4+'TCO TO BE - HW'!U$4)/($E$4+'TCO TO BE - HW'!$E$4)*SUM(POZICIE_INTERNE!$I$61:$I$72))/POZICIE_INTERNE!$B$61*12,IF((POZICIE_INTERNE!$B$61-12*('TCO TO BE- SW'!$D159-1))&lt;0,0,(POZICIE_INTERNE!$B$61-12*('TCO TO BE- SW'!$D159-1))*((U$4+'TCO TO BE - HW'!U$4)/($E$4+'TCO TO BE - HW'!$E$4)*SUM(POZICIE_INTERNE!$I$61:$I$72))/POZICIE_INTERNE!$B$61)),0)+IFERROR(IF((EXTERNE_POZICIE!$B$41-12*('TCO TO BE- SW'!$D159-1))&gt;12,((U$4+'TCO TO BE - HW'!U$4)/($E$4+'TCO TO BE - HW'!$E$4)*SUM(EXTERNE_POZICIE!$M$41:$M$52)*1.23)/EXTERNE_POZICIE!$B$41*12,IF((EXTERNE_POZICIE!$B$41-12*('TCO TO BE- SW'!$D159-1))&lt;0,0,(EXTERNE_POZICIE!$B$41-12*('TCO TO BE- SW'!$D159-1))*((U$4+'TCO TO BE - HW'!U$4)/($E$4+'TCO TO BE - HW'!$E$4)*SUM(EXTERNE_POZICIE!$M$41:$M$52)*1.23)/EXTERNE_POZICIE!$B$41)),0)+IFERROR(SUM(#REF!)*'TCO TO BE- SW'!U$4/'TCO TO BE- SW'!$E$4,0)</f>
        <v>0</v>
      </c>
      <c r="V159" s="579">
        <f>IFERROR(IF((POZICIE_INTERNE!$B$61-12*('TCO TO BE- SW'!$D159-1))&gt;12,((V$4+'TCO TO BE - HW'!V$4)/($E$4+'TCO TO BE - HW'!$E$4)*SUM(POZICIE_INTERNE!$I$61:$I$72))/POZICIE_INTERNE!$B$61*12,IF((POZICIE_INTERNE!$B$61-12*('TCO TO BE- SW'!$D159-1))&lt;0,0,(POZICIE_INTERNE!$B$61-12*('TCO TO BE- SW'!$D159-1))*((V$4+'TCO TO BE - HW'!V$4)/($E$4+'TCO TO BE - HW'!$E$4)*SUM(POZICIE_INTERNE!$I$61:$I$72))/POZICIE_INTERNE!$B$61)),0)+IFERROR(IF((EXTERNE_POZICIE!$B$41-12*('TCO TO BE- SW'!$D159-1))&gt;12,((V$4+'TCO TO BE - HW'!V$4)/($E$4+'TCO TO BE - HW'!$E$4)*SUM(EXTERNE_POZICIE!$M$41:$M$52)*1.23)/EXTERNE_POZICIE!$B$41*12,IF((EXTERNE_POZICIE!$B$41-12*('TCO TO BE- SW'!$D159-1))&lt;0,0,(EXTERNE_POZICIE!$B$41-12*('TCO TO BE- SW'!$D159-1))*((V$4+'TCO TO BE - HW'!V$4)/($E$4+'TCO TO BE - HW'!$E$4)*SUM(EXTERNE_POZICIE!$M$41:$M$52)*1.23)/EXTERNE_POZICIE!$B$41)),0)+IFERROR(SUM(#REF!)*'TCO TO BE- SW'!V$4/'TCO TO BE- SW'!$E$4,0)</f>
        <v>0</v>
      </c>
      <c r="W159" s="579">
        <f>IFERROR(IF((POZICIE_INTERNE!$B$61-12*('TCO TO BE- SW'!$D159-1))&gt;12,((W$4+'TCO TO BE - HW'!W$4)/($E$4+'TCO TO BE - HW'!$E$4)*SUM(POZICIE_INTERNE!$I$61:$I$72))/POZICIE_INTERNE!$B$61*12,IF((POZICIE_INTERNE!$B$61-12*('TCO TO BE- SW'!$D159-1))&lt;0,0,(POZICIE_INTERNE!$B$61-12*('TCO TO BE- SW'!$D159-1))*((W$4+'TCO TO BE - HW'!W$4)/($E$4+'TCO TO BE - HW'!$E$4)*SUM(POZICIE_INTERNE!$I$61:$I$72))/POZICIE_INTERNE!$B$61)),0)+IFERROR(IF((EXTERNE_POZICIE!$B$41-12*('TCO TO BE- SW'!$D159-1))&gt;12,((W$4+'TCO TO BE - HW'!W$4)/($E$4+'TCO TO BE - HW'!$E$4)*SUM(EXTERNE_POZICIE!$M$41:$M$52)*1.23)/EXTERNE_POZICIE!$B$41*12,IF((EXTERNE_POZICIE!$B$41-12*('TCO TO BE- SW'!$D159-1))&lt;0,0,(EXTERNE_POZICIE!$B$41-12*('TCO TO BE- SW'!$D159-1))*((W$4+'TCO TO BE - HW'!W$4)/($E$4+'TCO TO BE - HW'!$E$4)*SUM(EXTERNE_POZICIE!$M$41:$M$52)*1.23)/EXTERNE_POZICIE!$B$41)),0)+IFERROR(SUM(#REF!)*'TCO TO BE- SW'!W$4/'TCO TO BE- SW'!$E$4,0)</f>
        <v>0</v>
      </c>
      <c r="X159" s="579">
        <f>IFERROR(IF((POZICIE_INTERNE!$B$61-12*('TCO TO BE- SW'!$D159-1))&gt;12,((X$4+'TCO TO BE - HW'!X$4)/($E$4+'TCO TO BE - HW'!$E$4)*SUM(POZICIE_INTERNE!$I$61:$I$72))/POZICIE_INTERNE!$B$61*12,IF((POZICIE_INTERNE!$B$61-12*('TCO TO BE- SW'!$D159-1))&lt;0,0,(POZICIE_INTERNE!$B$61-12*('TCO TO BE- SW'!$D159-1))*((X$4+'TCO TO BE - HW'!X$4)/($E$4+'TCO TO BE - HW'!$E$4)*SUM(POZICIE_INTERNE!$I$61:$I$72))/POZICIE_INTERNE!$B$61)),0)+IFERROR(IF((EXTERNE_POZICIE!$B$41-12*('TCO TO BE- SW'!$D159-1))&gt;12,((X$4+'TCO TO BE - HW'!X$4)/($E$4+'TCO TO BE - HW'!$E$4)*SUM(EXTERNE_POZICIE!$M$41:$M$52)*1.23)/EXTERNE_POZICIE!$B$41*12,IF((EXTERNE_POZICIE!$B$41-12*('TCO TO BE- SW'!$D159-1))&lt;0,0,(EXTERNE_POZICIE!$B$41-12*('TCO TO BE- SW'!$D159-1))*((X$4+'TCO TO BE - HW'!X$4)/($E$4+'TCO TO BE - HW'!$E$4)*SUM(EXTERNE_POZICIE!$M$41:$M$52)*1.23)/EXTERNE_POZICIE!$B$41)),0)+IFERROR(SUM(#REF!)*'TCO TO BE- SW'!X$4/'TCO TO BE- SW'!$E$4,0)</f>
        <v>0</v>
      </c>
      <c r="Y159" s="579">
        <f>IFERROR(IF((POZICIE_INTERNE!$B$61-12*('TCO TO BE- SW'!$D159-1))&gt;12,((Y$4+'TCO TO BE - HW'!Y$4)/($E$4+'TCO TO BE - HW'!$E$4)*SUM(POZICIE_INTERNE!$I$61:$I$72))/POZICIE_INTERNE!$B$61*12,IF((POZICIE_INTERNE!$B$61-12*('TCO TO BE- SW'!$D159-1))&lt;0,0,(POZICIE_INTERNE!$B$61-12*('TCO TO BE- SW'!$D159-1))*((Y$4+'TCO TO BE - HW'!Y$4)/($E$4+'TCO TO BE - HW'!$E$4)*SUM(POZICIE_INTERNE!$I$61:$I$72))/POZICIE_INTERNE!$B$61)),0)+IFERROR(IF((EXTERNE_POZICIE!$B$41-12*('TCO TO BE- SW'!$D159-1))&gt;12,((Y$4+'TCO TO BE - HW'!Y$4)/($E$4+'TCO TO BE - HW'!$E$4)*SUM(EXTERNE_POZICIE!$M$41:$M$52)*1.23)/EXTERNE_POZICIE!$B$41*12,IF((EXTERNE_POZICIE!$B$41-12*('TCO TO BE- SW'!$D159-1))&lt;0,0,(EXTERNE_POZICIE!$B$41-12*('TCO TO BE- SW'!$D159-1))*((Y$4+'TCO TO BE - HW'!Y$4)/($E$4+'TCO TO BE - HW'!$E$4)*SUM(EXTERNE_POZICIE!$M$41:$M$52)*1.23)/EXTERNE_POZICIE!$B$41)),0)+IFERROR(SUM(#REF!)*'TCO TO BE- SW'!Y$4/'TCO TO BE- SW'!$E$4,0)</f>
        <v>0</v>
      </c>
      <c r="Z159" s="579">
        <f>IFERROR(IF((POZICIE_INTERNE!$B$61-12*('TCO TO BE- SW'!$D159-1))&gt;12,((Z$4+'TCO TO BE - HW'!Z$4)/($E$4+'TCO TO BE - HW'!$E$4)*SUM(POZICIE_INTERNE!$I$61:$I$72))/POZICIE_INTERNE!$B$61*12,IF((POZICIE_INTERNE!$B$61-12*('TCO TO BE- SW'!$D159-1))&lt;0,0,(POZICIE_INTERNE!$B$61-12*('TCO TO BE- SW'!$D159-1))*((Z$4+'TCO TO BE - HW'!Z$4)/($E$4+'TCO TO BE - HW'!$E$4)*SUM(POZICIE_INTERNE!$I$61:$I$72))/POZICIE_INTERNE!$B$61)),0)+IFERROR(IF((EXTERNE_POZICIE!$B$41-12*('TCO TO BE- SW'!$D159-1))&gt;12,((Z$4+'TCO TO BE - HW'!Z$4)/($E$4+'TCO TO BE - HW'!$E$4)*SUM(EXTERNE_POZICIE!$M$41:$M$52)*1.23)/EXTERNE_POZICIE!$B$41*12,IF((EXTERNE_POZICIE!$B$41-12*('TCO TO BE- SW'!$D159-1))&lt;0,0,(EXTERNE_POZICIE!$B$41-12*('TCO TO BE- SW'!$D159-1))*((Z$4+'TCO TO BE - HW'!Z$4)/($E$4+'TCO TO BE - HW'!$E$4)*SUM(EXTERNE_POZICIE!$M$41:$M$52)*1.23)/EXTERNE_POZICIE!$B$41)),0)+IFERROR(SUM(#REF!)*'TCO TO BE- SW'!Z$4/'TCO TO BE- SW'!$E$4,0)</f>
        <v>0</v>
      </c>
    </row>
    <row r="160" spans="1:26" ht="16" thickBot="1" x14ac:dyDescent="0.25">
      <c r="A160" s="1390"/>
      <c r="B160" s="1391"/>
      <c r="C160" s="1391"/>
      <c r="D160" s="65">
        <v>10</v>
      </c>
      <c r="E160" s="69">
        <f t="shared" si="16"/>
        <v>0</v>
      </c>
      <c r="F160" s="579">
        <f>IFERROR(IF((POZICIE_INTERNE!$B$61-12*('TCO TO BE- SW'!$D160-1))&gt;12,((F$4+'TCO TO BE - HW'!F$4)/($E$4+'TCO TO BE - HW'!$E$4)*SUM(POZICIE_INTERNE!$I$61:$I$72))/POZICIE_INTERNE!$B$61*12,IF((POZICIE_INTERNE!$B$61-12*('TCO TO BE- SW'!$D160-1))&lt;0,0,(POZICIE_INTERNE!$B$61-12*('TCO TO BE- SW'!$D160-1))*((F$4+'TCO TO BE - HW'!F$4)/($E$4+'TCO TO BE - HW'!$E$4)*SUM(POZICIE_INTERNE!$I$61:$I$72))/POZICIE_INTERNE!$B$61)),0)+IFERROR(IF((EXTERNE_POZICIE!$B$41-12*('TCO TO BE- SW'!$D160-1))&gt;12,((F$4+'TCO TO BE - HW'!F$4)/($E$4+'TCO TO BE - HW'!$E$4)*SUM(EXTERNE_POZICIE!$M$41:$M$52)*1.23)/EXTERNE_POZICIE!$B$41*12,IF((EXTERNE_POZICIE!$B$41-12*('TCO TO BE- SW'!$D160-1))&lt;0,0,(EXTERNE_POZICIE!$B$41-12*('TCO TO BE- SW'!$D160-1))*((F$4+'TCO TO BE - HW'!F$4)/($E$4+'TCO TO BE - HW'!$E$4)*SUM(EXTERNE_POZICIE!$M$41:$M$52)*1.23)/EXTERNE_POZICIE!$B$41)),0)+IFERROR(SUM(#REF!)*'TCO TO BE- SW'!F$4/'TCO TO BE- SW'!$E$4,0)</f>
        <v>0</v>
      </c>
      <c r="G160" s="579">
        <f>IFERROR(IF((POZICIE_INTERNE!$B$61-12*('TCO TO BE- SW'!$D160-1))&gt;12,((G$4+'TCO TO BE - HW'!G$4)/($E$4+'TCO TO BE - HW'!$E$4)*SUM(POZICIE_INTERNE!$I$61:$I$72))/POZICIE_INTERNE!$B$61*12,IF((POZICIE_INTERNE!$B$61-12*('TCO TO BE- SW'!$D160-1))&lt;0,0,(POZICIE_INTERNE!$B$61-12*('TCO TO BE- SW'!$D160-1))*((G$4+'TCO TO BE - HW'!G$4)/($E$4+'TCO TO BE - HW'!$E$4)*SUM(POZICIE_INTERNE!$I$61:$I$72))/POZICIE_INTERNE!$B$61)),0)+IFERROR(IF((EXTERNE_POZICIE!$B$41-12*('TCO TO BE- SW'!$D160-1))&gt;12,((G$4+'TCO TO BE - HW'!G$4)/($E$4+'TCO TO BE - HW'!$E$4)*SUM(EXTERNE_POZICIE!$M$41:$M$52)*1.23)/EXTERNE_POZICIE!$B$41*12,IF((EXTERNE_POZICIE!$B$41-12*('TCO TO BE- SW'!$D160-1))&lt;0,0,(EXTERNE_POZICIE!$B$41-12*('TCO TO BE- SW'!$D160-1))*((G$4+'TCO TO BE - HW'!G$4)/($E$4+'TCO TO BE - HW'!$E$4)*SUM(EXTERNE_POZICIE!$M$41:$M$52)*1.23)/EXTERNE_POZICIE!$B$41)),0)+IFERROR(SUM(#REF!)*'TCO TO BE- SW'!G$4/'TCO TO BE- SW'!$E$4,0)</f>
        <v>0</v>
      </c>
      <c r="H160" s="579">
        <f>IFERROR(IF((POZICIE_INTERNE!$B$61-12*('TCO TO BE- SW'!$D160-1))&gt;12,((H$4+'TCO TO BE - HW'!H$4)/($E$4+'TCO TO BE - HW'!$E$4)*SUM(POZICIE_INTERNE!$I$61:$I$72))/POZICIE_INTERNE!$B$61*12,IF((POZICIE_INTERNE!$B$61-12*('TCO TO BE- SW'!$D160-1))&lt;0,0,(POZICIE_INTERNE!$B$61-12*('TCO TO BE- SW'!$D160-1))*((H$4+'TCO TO BE - HW'!H$4)/($E$4+'TCO TO BE - HW'!$E$4)*SUM(POZICIE_INTERNE!$I$61:$I$72))/POZICIE_INTERNE!$B$61)),0)+IFERROR(IF((EXTERNE_POZICIE!$B$41-12*('TCO TO BE- SW'!$D160-1))&gt;12,((H$4+'TCO TO BE - HW'!H$4)/($E$4+'TCO TO BE - HW'!$E$4)*SUM(EXTERNE_POZICIE!$M$41:$M$52)*1.23)/EXTERNE_POZICIE!$B$41*12,IF((EXTERNE_POZICIE!$B$41-12*('TCO TO BE- SW'!$D160-1))&lt;0,0,(EXTERNE_POZICIE!$B$41-12*('TCO TO BE- SW'!$D160-1))*((H$4+'TCO TO BE - HW'!H$4)/($E$4+'TCO TO BE - HW'!$E$4)*SUM(EXTERNE_POZICIE!$M$41:$M$52)*1.23)/EXTERNE_POZICIE!$B$41)),0)+IFERROR(SUM(#REF!)*'TCO TO BE- SW'!H$4/'TCO TO BE- SW'!$E$4,0)</f>
        <v>0</v>
      </c>
      <c r="I160" s="579">
        <f>IFERROR(IF((POZICIE_INTERNE!$B$61-12*('TCO TO BE- SW'!$D160-1))&gt;12,((I$4+'TCO TO BE - HW'!I$4)/($E$4+'TCO TO BE - HW'!$E$4)*SUM(POZICIE_INTERNE!$I$61:$I$72))/POZICIE_INTERNE!$B$61*12,IF((POZICIE_INTERNE!$B$61-12*('TCO TO BE- SW'!$D160-1))&lt;0,0,(POZICIE_INTERNE!$B$61-12*('TCO TO BE- SW'!$D160-1))*((I$4+'TCO TO BE - HW'!I$4)/($E$4+'TCO TO BE - HW'!$E$4)*SUM(POZICIE_INTERNE!$I$61:$I$72))/POZICIE_INTERNE!$B$61)),0)+IFERROR(IF((EXTERNE_POZICIE!$B$41-12*('TCO TO BE- SW'!$D160-1))&gt;12,((I$4+'TCO TO BE - HW'!I$4)/($E$4+'TCO TO BE - HW'!$E$4)*SUM(EXTERNE_POZICIE!$M$41:$M$52)*1.23)/EXTERNE_POZICIE!$B$41*12,IF((EXTERNE_POZICIE!$B$41-12*('TCO TO BE- SW'!$D160-1))&lt;0,0,(EXTERNE_POZICIE!$B$41-12*('TCO TO BE- SW'!$D160-1))*((I$4+'TCO TO BE - HW'!I$4)/($E$4+'TCO TO BE - HW'!$E$4)*SUM(EXTERNE_POZICIE!$M$41:$M$52)*1.23)/EXTERNE_POZICIE!$B$41)),0)+IFERROR(SUM(#REF!)*'TCO TO BE- SW'!I$4/'TCO TO BE- SW'!$E$4,0)</f>
        <v>0</v>
      </c>
      <c r="J160" s="579">
        <f>IFERROR(IF((POZICIE_INTERNE!$B$61-12*('TCO TO BE- SW'!$D160-1))&gt;12,((J$4+'TCO TO BE - HW'!J$4)/($E$4+'TCO TO BE - HW'!$E$4)*SUM(POZICIE_INTERNE!$I$61:$I$72))/POZICIE_INTERNE!$B$61*12,IF((POZICIE_INTERNE!$B$61-12*('TCO TO BE- SW'!$D160-1))&lt;0,0,(POZICIE_INTERNE!$B$61-12*('TCO TO BE- SW'!$D160-1))*((J$4+'TCO TO BE - HW'!J$4)/($E$4+'TCO TO BE - HW'!$E$4)*SUM(POZICIE_INTERNE!$I$61:$I$72))/POZICIE_INTERNE!$B$61)),0)+IFERROR(IF((EXTERNE_POZICIE!$B$41-12*('TCO TO BE- SW'!$D160-1))&gt;12,((J$4+'TCO TO BE - HW'!J$4)/($E$4+'TCO TO BE - HW'!$E$4)*SUM(EXTERNE_POZICIE!$M$41:$M$52)*1.23)/EXTERNE_POZICIE!$B$41*12,IF((EXTERNE_POZICIE!$B$41-12*('TCO TO BE- SW'!$D160-1))&lt;0,0,(EXTERNE_POZICIE!$B$41-12*('TCO TO BE- SW'!$D160-1))*((J$4+'TCO TO BE - HW'!J$4)/($E$4+'TCO TO BE - HW'!$E$4)*SUM(EXTERNE_POZICIE!$M$41:$M$52)*1.23)/EXTERNE_POZICIE!$B$41)),0)+IFERROR(SUM(#REF!)*'TCO TO BE- SW'!J$4/'TCO TO BE- SW'!$E$4,0)</f>
        <v>0</v>
      </c>
      <c r="K160" s="579">
        <f>IFERROR(IF((POZICIE_INTERNE!$B$61-12*('TCO TO BE- SW'!$D160-1))&gt;12,((K$4+'TCO TO BE - HW'!K$4)/($E$4+'TCO TO BE - HW'!$E$4)*SUM(POZICIE_INTERNE!$I$61:$I$72))/POZICIE_INTERNE!$B$61*12,IF((POZICIE_INTERNE!$B$61-12*('TCO TO BE- SW'!$D160-1))&lt;0,0,(POZICIE_INTERNE!$B$61-12*('TCO TO BE- SW'!$D160-1))*((K$4+'TCO TO BE - HW'!K$4)/($E$4+'TCO TO BE - HW'!$E$4)*SUM(POZICIE_INTERNE!$I$61:$I$72))/POZICIE_INTERNE!$B$61)),0)+IFERROR(IF((EXTERNE_POZICIE!$B$41-12*('TCO TO BE- SW'!$D160-1))&gt;12,((K$4+'TCO TO BE - HW'!K$4)/($E$4+'TCO TO BE - HW'!$E$4)*SUM(EXTERNE_POZICIE!$M$41:$M$52)*1.23)/EXTERNE_POZICIE!$B$41*12,IF((EXTERNE_POZICIE!$B$41-12*('TCO TO BE- SW'!$D160-1))&lt;0,0,(EXTERNE_POZICIE!$B$41-12*('TCO TO BE- SW'!$D160-1))*((K$4+'TCO TO BE - HW'!K$4)/($E$4+'TCO TO BE - HW'!$E$4)*SUM(EXTERNE_POZICIE!$M$41:$M$52)*1.23)/EXTERNE_POZICIE!$B$41)),0)+IFERROR(SUM(#REF!)*'TCO TO BE- SW'!K$4/'TCO TO BE- SW'!$E$4,0)</f>
        <v>0</v>
      </c>
      <c r="L160" s="579">
        <f>IFERROR(IF((POZICIE_INTERNE!$B$61-12*('TCO TO BE- SW'!$D160-1))&gt;12,((L$4+'TCO TO BE - HW'!L$4)/($E$4+'TCO TO BE - HW'!$E$4)*SUM(POZICIE_INTERNE!$I$61:$I$72))/POZICIE_INTERNE!$B$61*12,IF((POZICIE_INTERNE!$B$61-12*('TCO TO BE- SW'!$D160-1))&lt;0,0,(POZICIE_INTERNE!$B$61-12*('TCO TO BE- SW'!$D160-1))*((L$4+'TCO TO BE - HW'!L$4)/($E$4+'TCO TO BE - HW'!$E$4)*SUM(POZICIE_INTERNE!$I$61:$I$72))/POZICIE_INTERNE!$B$61)),0)+IFERROR(IF((EXTERNE_POZICIE!$B$41-12*('TCO TO BE- SW'!$D160-1))&gt;12,((L$4+'TCO TO BE - HW'!L$4)/($E$4+'TCO TO BE - HW'!$E$4)*SUM(EXTERNE_POZICIE!$M$41:$M$52)*1.23)/EXTERNE_POZICIE!$B$41*12,IF((EXTERNE_POZICIE!$B$41-12*('TCO TO BE- SW'!$D160-1))&lt;0,0,(EXTERNE_POZICIE!$B$41-12*('TCO TO BE- SW'!$D160-1))*((L$4+'TCO TO BE - HW'!L$4)/($E$4+'TCO TO BE - HW'!$E$4)*SUM(EXTERNE_POZICIE!$M$41:$M$52)*1.23)/EXTERNE_POZICIE!$B$41)),0)+IFERROR(SUM(#REF!)*'TCO TO BE- SW'!L$4/'TCO TO BE- SW'!$E$4,0)</f>
        <v>0</v>
      </c>
      <c r="M160" s="579">
        <f>IFERROR(IF((POZICIE_INTERNE!$B$61-12*('TCO TO BE- SW'!$D160-1))&gt;12,((M$4+'TCO TO BE - HW'!M$4)/($E$4+'TCO TO BE - HW'!$E$4)*SUM(POZICIE_INTERNE!$I$61:$I$72))/POZICIE_INTERNE!$B$61*12,IF((POZICIE_INTERNE!$B$61-12*('TCO TO BE- SW'!$D160-1))&lt;0,0,(POZICIE_INTERNE!$B$61-12*('TCO TO BE- SW'!$D160-1))*((M$4+'TCO TO BE - HW'!M$4)/($E$4+'TCO TO BE - HW'!$E$4)*SUM(POZICIE_INTERNE!$I$61:$I$72))/POZICIE_INTERNE!$B$61)),0)+IFERROR(IF((EXTERNE_POZICIE!$B$41-12*('TCO TO BE- SW'!$D160-1))&gt;12,((M$4+'TCO TO BE - HW'!M$4)/($E$4+'TCO TO BE - HW'!$E$4)*SUM(EXTERNE_POZICIE!$M$41:$M$52)*1.23)/EXTERNE_POZICIE!$B$41*12,IF((EXTERNE_POZICIE!$B$41-12*('TCO TO BE- SW'!$D160-1))&lt;0,0,(EXTERNE_POZICIE!$B$41-12*('TCO TO BE- SW'!$D160-1))*((M$4+'TCO TO BE - HW'!M$4)/($E$4+'TCO TO BE - HW'!$E$4)*SUM(EXTERNE_POZICIE!$M$41:$M$52)*1.23)/EXTERNE_POZICIE!$B$41)),0)+IFERROR(SUM(#REF!)*'TCO TO BE- SW'!M$4/'TCO TO BE- SW'!$E$4,0)</f>
        <v>0</v>
      </c>
      <c r="N160" s="579">
        <f>IFERROR(IF((POZICIE_INTERNE!$B$61-12*('TCO TO BE- SW'!$D160-1))&gt;12,((N$4+'TCO TO BE - HW'!N$4)/($E$4+'TCO TO BE - HW'!$E$4)*SUM(POZICIE_INTERNE!$I$61:$I$72))/POZICIE_INTERNE!$B$61*12,IF((POZICIE_INTERNE!$B$61-12*('TCO TO BE- SW'!$D160-1))&lt;0,0,(POZICIE_INTERNE!$B$61-12*('TCO TO BE- SW'!$D160-1))*((N$4+'TCO TO BE - HW'!N$4)/($E$4+'TCO TO BE - HW'!$E$4)*SUM(POZICIE_INTERNE!$I$61:$I$72))/POZICIE_INTERNE!$B$61)),0)+IFERROR(IF((EXTERNE_POZICIE!$B$41-12*('TCO TO BE- SW'!$D160-1))&gt;12,((N$4+'TCO TO BE - HW'!N$4)/($E$4+'TCO TO BE - HW'!$E$4)*SUM(EXTERNE_POZICIE!$M$41:$M$52)*1.23)/EXTERNE_POZICIE!$B$41*12,IF((EXTERNE_POZICIE!$B$41-12*('TCO TO BE- SW'!$D160-1))&lt;0,0,(EXTERNE_POZICIE!$B$41-12*('TCO TO BE- SW'!$D160-1))*((N$4+'TCO TO BE - HW'!N$4)/($E$4+'TCO TO BE - HW'!$E$4)*SUM(EXTERNE_POZICIE!$M$41:$M$52)*1.23)/EXTERNE_POZICIE!$B$41)),0)+IFERROR(SUM(#REF!)*'TCO TO BE- SW'!N$4/'TCO TO BE- SW'!$E$4,0)</f>
        <v>0</v>
      </c>
      <c r="O160" s="579">
        <f>IFERROR(IF((POZICIE_INTERNE!$B$61-12*('TCO TO BE- SW'!$D160-1))&gt;12,((O$4+'TCO TO BE - HW'!O$4)/($E$4+'TCO TO BE - HW'!$E$4)*SUM(POZICIE_INTERNE!$I$61:$I$72))/POZICIE_INTERNE!$B$61*12,IF((POZICIE_INTERNE!$B$61-12*('TCO TO BE- SW'!$D160-1))&lt;0,0,(POZICIE_INTERNE!$B$61-12*('TCO TO BE- SW'!$D160-1))*((O$4+'TCO TO BE - HW'!O$4)/($E$4+'TCO TO BE - HW'!$E$4)*SUM(POZICIE_INTERNE!$I$61:$I$72))/POZICIE_INTERNE!$B$61)),0)+IFERROR(IF((EXTERNE_POZICIE!$B$41-12*('TCO TO BE- SW'!$D160-1))&gt;12,((O$4+'TCO TO BE - HW'!O$4)/($E$4+'TCO TO BE - HW'!$E$4)*SUM(EXTERNE_POZICIE!$M$41:$M$52)*1.23)/EXTERNE_POZICIE!$B$41*12,IF((EXTERNE_POZICIE!$B$41-12*('TCO TO BE- SW'!$D160-1))&lt;0,0,(EXTERNE_POZICIE!$B$41-12*('TCO TO BE- SW'!$D160-1))*((O$4+'TCO TO BE - HW'!O$4)/($E$4+'TCO TO BE - HW'!$E$4)*SUM(EXTERNE_POZICIE!$M$41:$M$52)*1.23)/EXTERNE_POZICIE!$B$41)),0)+IFERROR(SUM(#REF!)*'TCO TO BE- SW'!O$4/'TCO TO BE- SW'!$E$4,0)</f>
        <v>0</v>
      </c>
      <c r="P160" s="579">
        <f>IFERROR(IF((POZICIE_INTERNE!$B$61-12*('TCO TO BE- SW'!$D160-1))&gt;12,((P$4+'TCO TO BE - HW'!P$4)/($E$4+'TCO TO BE - HW'!$E$4)*SUM(POZICIE_INTERNE!$I$61:$I$72))/POZICIE_INTERNE!$B$61*12,IF((POZICIE_INTERNE!$B$61-12*('TCO TO BE- SW'!$D160-1))&lt;0,0,(POZICIE_INTERNE!$B$61-12*('TCO TO BE- SW'!$D160-1))*((P$4+'TCO TO BE - HW'!P$4)/($E$4+'TCO TO BE - HW'!$E$4)*SUM(POZICIE_INTERNE!$I$61:$I$72))/POZICIE_INTERNE!$B$61)),0)+IFERROR(IF((EXTERNE_POZICIE!$B$41-12*('TCO TO BE- SW'!$D160-1))&gt;12,((P$4+'TCO TO BE - HW'!P$4)/($E$4+'TCO TO BE - HW'!$E$4)*SUM(EXTERNE_POZICIE!$M$41:$M$52)*1.23)/EXTERNE_POZICIE!$B$41*12,IF((EXTERNE_POZICIE!$B$41-12*('TCO TO BE- SW'!$D160-1))&lt;0,0,(EXTERNE_POZICIE!$B$41-12*('TCO TO BE- SW'!$D160-1))*((P$4+'TCO TO BE - HW'!P$4)/($E$4+'TCO TO BE - HW'!$E$4)*SUM(EXTERNE_POZICIE!$M$41:$M$52)*1.23)/EXTERNE_POZICIE!$B$41)),0)+IFERROR(SUM(#REF!)*'TCO TO BE- SW'!P$4/'TCO TO BE- SW'!$E$4,0)</f>
        <v>0</v>
      </c>
      <c r="Q160" s="579">
        <f>IFERROR(IF((POZICIE_INTERNE!$B$61-12*('TCO TO BE- SW'!$D160-1))&gt;12,((Q$4+'TCO TO BE - HW'!Q$4)/($E$4+'TCO TO BE - HW'!$E$4)*SUM(POZICIE_INTERNE!$I$61:$I$72))/POZICIE_INTERNE!$B$61*12,IF((POZICIE_INTERNE!$B$61-12*('TCO TO BE- SW'!$D160-1))&lt;0,0,(POZICIE_INTERNE!$B$61-12*('TCO TO BE- SW'!$D160-1))*((Q$4+'TCO TO BE - HW'!Q$4)/($E$4+'TCO TO BE - HW'!$E$4)*SUM(POZICIE_INTERNE!$I$61:$I$72))/POZICIE_INTERNE!$B$61)),0)+IFERROR(IF((EXTERNE_POZICIE!$B$41-12*('TCO TO BE- SW'!$D160-1))&gt;12,((Q$4+'TCO TO BE - HW'!Q$4)/($E$4+'TCO TO BE - HW'!$E$4)*SUM(EXTERNE_POZICIE!$M$41:$M$52)*1.23)/EXTERNE_POZICIE!$B$41*12,IF((EXTERNE_POZICIE!$B$41-12*('TCO TO BE- SW'!$D160-1))&lt;0,0,(EXTERNE_POZICIE!$B$41-12*('TCO TO BE- SW'!$D160-1))*((Q$4+'TCO TO BE - HW'!Q$4)/($E$4+'TCO TO BE - HW'!$E$4)*SUM(EXTERNE_POZICIE!$M$41:$M$52)*1.23)/EXTERNE_POZICIE!$B$41)),0)+IFERROR(SUM(#REF!)*'TCO TO BE- SW'!Q$4/'TCO TO BE- SW'!$E$4,0)</f>
        <v>0</v>
      </c>
      <c r="R160" s="579">
        <f>IFERROR(IF((POZICIE_INTERNE!$B$61-12*('TCO TO BE- SW'!$D160-1))&gt;12,((R$4+'TCO TO BE - HW'!R$4)/($E$4+'TCO TO BE - HW'!$E$4)*SUM(POZICIE_INTERNE!$I$61:$I$72))/POZICIE_INTERNE!$B$61*12,IF((POZICIE_INTERNE!$B$61-12*('TCO TO BE- SW'!$D160-1))&lt;0,0,(POZICIE_INTERNE!$B$61-12*('TCO TO BE- SW'!$D160-1))*((R$4+'TCO TO BE - HW'!R$4)/($E$4+'TCO TO BE - HW'!$E$4)*SUM(POZICIE_INTERNE!$I$61:$I$72))/POZICIE_INTERNE!$B$61)),0)+IFERROR(IF((EXTERNE_POZICIE!$B$41-12*('TCO TO BE- SW'!$D160-1))&gt;12,((R$4+'TCO TO BE - HW'!R$4)/($E$4+'TCO TO BE - HW'!$E$4)*SUM(EXTERNE_POZICIE!$M$41:$M$52)*1.23)/EXTERNE_POZICIE!$B$41*12,IF((EXTERNE_POZICIE!$B$41-12*('TCO TO BE- SW'!$D160-1))&lt;0,0,(EXTERNE_POZICIE!$B$41-12*('TCO TO BE- SW'!$D160-1))*((R$4+'TCO TO BE - HW'!R$4)/($E$4+'TCO TO BE - HW'!$E$4)*SUM(EXTERNE_POZICIE!$M$41:$M$52)*1.23)/EXTERNE_POZICIE!$B$41)),0)+IFERROR(SUM(#REF!)*'TCO TO BE- SW'!R$4/'TCO TO BE- SW'!$E$4,0)</f>
        <v>0</v>
      </c>
      <c r="S160" s="579">
        <f>IFERROR(IF((POZICIE_INTERNE!$B$61-12*('TCO TO BE- SW'!$D160-1))&gt;12,((S$4+'TCO TO BE - HW'!S$4)/($E$4+'TCO TO BE - HW'!$E$4)*SUM(POZICIE_INTERNE!$I$61:$I$72))/POZICIE_INTERNE!$B$61*12,IF((POZICIE_INTERNE!$B$61-12*('TCO TO BE- SW'!$D160-1))&lt;0,0,(POZICIE_INTERNE!$B$61-12*('TCO TO BE- SW'!$D160-1))*((S$4+'TCO TO BE - HW'!S$4)/($E$4+'TCO TO BE - HW'!$E$4)*SUM(POZICIE_INTERNE!$I$61:$I$72))/POZICIE_INTERNE!$B$61)),0)+IFERROR(IF((EXTERNE_POZICIE!$B$41-12*('TCO TO BE- SW'!$D160-1))&gt;12,((S$4+'TCO TO BE - HW'!S$4)/($E$4+'TCO TO BE - HW'!$E$4)*SUM(EXTERNE_POZICIE!$M$41:$M$52)*1.23)/EXTERNE_POZICIE!$B$41*12,IF((EXTERNE_POZICIE!$B$41-12*('TCO TO BE- SW'!$D160-1))&lt;0,0,(EXTERNE_POZICIE!$B$41-12*('TCO TO BE- SW'!$D160-1))*((S$4+'TCO TO BE - HW'!S$4)/($E$4+'TCO TO BE - HW'!$E$4)*SUM(EXTERNE_POZICIE!$M$41:$M$52)*1.23)/EXTERNE_POZICIE!$B$41)),0)+IFERROR(SUM(#REF!)*'TCO TO BE- SW'!S$4/'TCO TO BE- SW'!$E$4,0)</f>
        <v>0</v>
      </c>
      <c r="T160" s="579">
        <f>IFERROR(IF((POZICIE_INTERNE!$B$61-12*('TCO TO BE- SW'!$D160-1))&gt;12,((T$4+'TCO TO BE - HW'!T$4)/($E$4+'TCO TO BE - HW'!$E$4)*SUM(POZICIE_INTERNE!$I$61:$I$72))/POZICIE_INTERNE!$B$61*12,IF((POZICIE_INTERNE!$B$61-12*('TCO TO BE- SW'!$D160-1))&lt;0,0,(POZICIE_INTERNE!$B$61-12*('TCO TO BE- SW'!$D160-1))*((T$4+'TCO TO BE - HW'!T$4)/($E$4+'TCO TO BE - HW'!$E$4)*SUM(POZICIE_INTERNE!$I$61:$I$72))/POZICIE_INTERNE!$B$61)),0)+IFERROR(IF((EXTERNE_POZICIE!$B$41-12*('TCO TO BE- SW'!$D160-1))&gt;12,((T$4+'TCO TO BE - HW'!T$4)/($E$4+'TCO TO BE - HW'!$E$4)*SUM(EXTERNE_POZICIE!$M$41:$M$52)*1.23)/EXTERNE_POZICIE!$B$41*12,IF((EXTERNE_POZICIE!$B$41-12*('TCO TO BE- SW'!$D160-1))&lt;0,0,(EXTERNE_POZICIE!$B$41-12*('TCO TO BE- SW'!$D160-1))*((T$4+'TCO TO BE - HW'!T$4)/($E$4+'TCO TO BE - HW'!$E$4)*SUM(EXTERNE_POZICIE!$M$41:$M$52)*1.23)/EXTERNE_POZICIE!$B$41)),0)+IFERROR(SUM(#REF!)*'TCO TO BE- SW'!T$4/'TCO TO BE- SW'!$E$4,0)</f>
        <v>0</v>
      </c>
      <c r="U160" s="579">
        <f>IFERROR(IF((POZICIE_INTERNE!$B$61-12*('TCO TO BE- SW'!$D160-1))&gt;12,((U$4+'TCO TO BE - HW'!U$4)/($E$4+'TCO TO BE - HW'!$E$4)*SUM(POZICIE_INTERNE!$I$61:$I$72))/POZICIE_INTERNE!$B$61*12,IF((POZICIE_INTERNE!$B$61-12*('TCO TO BE- SW'!$D160-1))&lt;0,0,(POZICIE_INTERNE!$B$61-12*('TCO TO BE- SW'!$D160-1))*((U$4+'TCO TO BE - HW'!U$4)/($E$4+'TCO TO BE - HW'!$E$4)*SUM(POZICIE_INTERNE!$I$61:$I$72))/POZICIE_INTERNE!$B$61)),0)+IFERROR(IF((EXTERNE_POZICIE!$B$41-12*('TCO TO BE- SW'!$D160-1))&gt;12,((U$4+'TCO TO BE - HW'!U$4)/($E$4+'TCO TO BE - HW'!$E$4)*SUM(EXTERNE_POZICIE!$M$41:$M$52)*1.23)/EXTERNE_POZICIE!$B$41*12,IF((EXTERNE_POZICIE!$B$41-12*('TCO TO BE- SW'!$D160-1))&lt;0,0,(EXTERNE_POZICIE!$B$41-12*('TCO TO BE- SW'!$D160-1))*((U$4+'TCO TO BE - HW'!U$4)/($E$4+'TCO TO BE - HW'!$E$4)*SUM(EXTERNE_POZICIE!$M$41:$M$52)*1.23)/EXTERNE_POZICIE!$B$41)),0)+IFERROR(SUM(#REF!)*'TCO TO BE- SW'!U$4/'TCO TO BE- SW'!$E$4,0)</f>
        <v>0</v>
      </c>
      <c r="V160" s="579">
        <f>IFERROR(IF((POZICIE_INTERNE!$B$61-12*('TCO TO BE- SW'!$D160-1))&gt;12,((V$4+'TCO TO BE - HW'!V$4)/($E$4+'TCO TO BE - HW'!$E$4)*SUM(POZICIE_INTERNE!$I$61:$I$72))/POZICIE_INTERNE!$B$61*12,IF((POZICIE_INTERNE!$B$61-12*('TCO TO BE- SW'!$D160-1))&lt;0,0,(POZICIE_INTERNE!$B$61-12*('TCO TO BE- SW'!$D160-1))*((V$4+'TCO TO BE - HW'!V$4)/($E$4+'TCO TO BE - HW'!$E$4)*SUM(POZICIE_INTERNE!$I$61:$I$72))/POZICIE_INTERNE!$B$61)),0)+IFERROR(IF((EXTERNE_POZICIE!$B$41-12*('TCO TO BE- SW'!$D160-1))&gt;12,((V$4+'TCO TO BE - HW'!V$4)/($E$4+'TCO TO BE - HW'!$E$4)*SUM(EXTERNE_POZICIE!$M$41:$M$52)*1.23)/EXTERNE_POZICIE!$B$41*12,IF((EXTERNE_POZICIE!$B$41-12*('TCO TO BE- SW'!$D160-1))&lt;0,0,(EXTERNE_POZICIE!$B$41-12*('TCO TO BE- SW'!$D160-1))*((V$4+'TCO TO BE - HW'!V$4)/($E$4+'TCO TO BE - HW'!$E$4)*SUM(EXTERNE_POZICIE!$M$41:$M$52)*1.23)/EXTERNE_POZICIE!$B$41)),0)+IFERROR(SUM(#REF!)*'TCO TO BE- SW'!V$4/'TCO TO BE- SW'!$E$4,0)</f>
        <v>0</v>
      </c>
      <c r="W160" s="579">
        <f>IFERROR(IF((POZICIE_INTERNE!$B$61-12*('TCO TO BE- SW'!$D160-1))&gt;12,((W$4+'TCO TO BE - HW'!W$4)/($E$4+'TCO TO BE - HW'!$E$4)*SUM(POZICIE_INTERNE!$I$61:$I$72))/POZICIE_INTERNE!$B$61*12,IF((POZICIE_INTERNE!$B$61-12*('TCO TO BE- SW'!$D160-1))&lt;0,0,(POZICIE_INTERNE!$B$61-12*('TCO TO BE- SW'!$D160-1))*((W$4+'TCO TO BE - HW'!W$4)/($E$4+'TCO TO BE - HW'!$E$4)*SUM(POZICIE_INTERNE!$I$61:$I$72))/POZICIE_INTERNE!$B$61)),0)+IFERROR(IF((EXTERNE_POZICIE!$B$41-12*('TCO TO BE- SW'!$D160-1))&gt;12,((W$4+'TCO TO BE - HW'!W$4)/($E$4+'TCO TO BE - HW'!$E$4)*SUM(EXTERNE_POZICIE!$M$41:$M$52)*1.23)/EXTERNE_POZICIE!$B$41*12,IF((EXTERNE_POZICIE!$B$41-12*('TCO TO BE- SW'!$D160-1))&lt;0,0,(EXTERNE_POZICIE!$B$41-12*('TCO TO BE- SW'!$D160-1))*((W$4+'TCO TO BE - HW'!W$4)/($E$4+'TCO TO BE - HW'!$E$4)*SUM(EXTERNE_POZICIE!$M$41:$M$52)*1.23)/EXTERNE_POZICIE!$B$41)),0)+IFERROR(SUM(#REF!)*'TCO TO BE- SW'!W$4/'TCO TO BE- SW'!$E$4,0)</f>
        <v>0</v>
      </c>
      <c r="X160" s="579">
        <f>IFERROR(IF((POZICIE_INTERNE!$B$61-12*('TCO TO BE- SW'!$D160-1))&gt;12,((X$4+'TCO TO BE - HW'!X$4)/($E$4+'TCO TO BE - HW'!$E$4)*SUM(POZICIE_INTERNE!$I$61:$I$72))/POZICIE_INTERNE!$B$61*12,IF((POZICIE_INTERNE!$B$61-12*('TCO TO BE- SW'!$D160-1))&lt;0,0,(POZICIE_INTERNE!$B$61-12*('TCO TO BE- SW'!$D160-1))*((X$4+'TCO TO BE - HW'!X$4)/($E$4+'TCO TO BE - HW'!$E$4)*SUM(POZICIE_INTERNE!$I$61:$I$72))/POZICIE_INTERNE!$B$61)),0)+IFERROR(IF((EXTERNE_POZICIE!$B$41-12*('TCO TO BE- SW'!$D160-1))&gt;12,((X$4+'TCO TO BE - HW'!X$4)/($E$4+'TCO TO BE - HW'!$E$4)*SUM(EXTERNE_POZICIE!$M$41:$M$52)*1.23)/EXTERNE_POZICIE!$B$41*12,IF((EXTERNE_POZICIE!$B$41-12*('TCO TO BE- SW'!$D160-1))&lt;0,0,(EXTERNE_POZICIE!$B$41-12*('TCO TO BE- SW'!$D160-1))*((X$4+'TCO TO BE - HW'!X$4)/($E$4+'TCO TO BE - HW'!$E$4)*SUM(EXTERNE_POZICIE!$M$41:$M$52)*1.23)/EXTERNE_POZICIE!$B$41)),0)+IFERROR(SUM(#REF!)*'TCO TO BE- SW'!X$4/'TCO TO BE- SW'!$E$4,0)</f>
        <v>0</v>
      </c>
      <c r="Y160" s="579">
        <f>IFERROR(IF((POZICIE_INTERNE!$B$61-12*('TCO TO BE- SW'!$D160-1))&gt;12,((Y$4+'TCO TO BE - HW'!Y$4)/($E$4+'TCO TO BE - HW'!$E$4)*SUM(POZICIE_INTERNE!$I$61:$I$72))/POZICIE_INTERNE!$B$61*12,IF((POZICIE_INTERNE!$B$61-12*('TCO TO BE- SW'!$D160-1))&lt;0,0,(POZICIE_INTERNE!$B$61-12*('TCO TO BE- SW'!$D160-1))*((Y$4+'TCO TO BE - HW'!Y$4)/($E$4+'TCO TO BE - HW'!$E$4)*SUM(POZICIE_INTERNE!$I$61:$I$72))/POZICIE_INTERNE!$B$61)),0)+IFERROR(IF((EXTERNE_POZICIE!$B$41-12*('TCO TO BE- SW'!$D160-1))&gt;12,((Y$4+'TCO TO BE - HW'!Y$4)/($E$4+'TCO TO BE - HW'!$E$4)*SUM(EXTERNE_POZICIE!$M$41:$M$52)*1.23)/EXTERNE_POZICIE!$B$41*12,IF((EXTERNE_POZICIE!$B$41-12*('TCO TO BE- SW'!$D160-1))&lt;0,0,(EXTERNE_POZICIE!$B$41-12*('TCO TO BE- SW'!$D160-1))*((Y$4+'TCO TO BE - HW'!Y$4)/($E$4+'TCO TO BE - HW'!$E$4)*SUM(EXTERNE_POZICIE!$M$41:$M$52)*1.23)/EXTERNE_POZICIE!$B$41)),0)+IFERROR(SUM(#REF!)*'TCO TO BE- SW'!Y$4/'TCO TO BE- SW'!$E$4,0)</f>
        <v>0</v>
      </c>
      <c r="Z160" s="579">
        <f>IFERROR(IF((POZICIE_INTERNE!$B$61-12*('TCO TO BE- SW'!$D160-1))&gt;12,((Z$4+'TCO TO BE - HW'!Z$4)/($E$4+'TCO TO BE - HW'!$E$4)*SUM(POZICIE_INTERNE!$I$61:$I$72))/POZICIE_INTERNE!$B$61*12,IF((POZICIE_INTERNE!$B$61-12*('TCO TO BE- SW'!$D160-1))&lt;0,0,(POZICIE_INTERNE!$B$61-12*('TCO TO BE- SW'!$D160-1))*((Z$4+'TCO TO BE - HW'!Z$4)/($E$4+'TCO TO BE - HW'!$E$4)*SUM(POZICIE_INTERNE!$I$61:$I$72))/POZICIE_INTERNE!$B$61)),0)+IFERROR(IF((EXTERNE_POZICIE!$B$41-12*('TCO TO BE- SW'!$D160-1))&gt;12,((Z$4+'TCO TO BE - HW'!Z$4)/($E$4+'TCO TO BE - HW'!$E$4)*SUM(EXTERNE_POZICIE!$M$41:$M$52)*1.23)/EXTERNE_POZICIE!$B$41*12,IF((EXTERNE_POZICIE!$B$41-12*('TCO TO BE- SW'!$D160-1))&lt;0,0,(EXTERNE_POZICIE!$B$41-12*('TCO TO BE- SW'!$D160-1))*((Z$4+'TCO TO BE - HW'!Z$4)/($E$4+'TCO TO BE - HW'!$E$4)*SUM(EXTERNE_POZICIE!$M$41:$M$52)*1.23)/EXTERNE_POZICIE!$B$41)),0)+IFERROR(SUM(#REF!)*'TCO TO BE- SW'!Z$4/'TCO TO BE- SW'!$E$4,0)</f>
        <v>0</v>
      </c>
    </row>
    <row r="161" spans="1:26" x14ac:dyDescent="0.2">
      <c r="A161" s="1390" t="s">
        <v>753</v>
      </c>
      <c r="B161" s="1391"/>
      <c r="C161" s="1391" t="s">
        <v>754</v>
      </c>
      <c r="D161" s="63">
        <v>1</v>
      </c>
      <c r="E161" s="68">
        <f t="shared" si="16"/>
        <v>1864482.9380306648</v>
      </c>
      <c r="F161" s="578">
        <f>IFERROR(IF((POZICIE_INTERNE!$B$73-12*('TCO TO BE- SW'!$D151-1))&gt;12,((F$4+'TCO TO BE - HW'!F$4)/($E$4+'TCO TO BE - HW'!$E$4)*SUM(POZICIE_INTERNE!$I$73:$I$84))/POZICIE_INTERNE!$B$73*12,IF((POZICIE_INTERNE!$B$73-12*('TCO TO BE- SW'!$D151-1))&lt;0,0,(POZICIE_INTERNE!$B$73-12*('TCO TO BE- SW'!$D151-1))*((F$4+'TCO TO BE - HW'!F$4)/($E$4+'TCO TO BE - HW'!$E$4)*SUM(POZICIE_INTERNE!$I$73:$I$84))/POZICIE_INTERNE!$B$73)),0)+IFERROR(IF((EXTERNE_POZICIE!$B$53-12*('TCO TO BE- SW'!$D151-1))&gt;12,((F$4+'TCO TO BE - HW'!F$4)/($E$4+'TCO TO BE - HW'!$E$4)*SUM(EXTERNE_POZICIE!$M$53:$M$64)*1.23)/EXTERNE_POZICIE!$B$41*12,IF((EXTERNE_POZICIE!$B$53-12*('TCO TO BE- SW'!$D151-1))&lt;0,0,(EXTERNE_POZICIE!$B$53-12*('TCO TO BE- SW'!$D151-1))*((F$4+'TCO TO BE - HW'!F$4)/($E$4+'TCO TO BE - HW'!$E$4)*SUM(EXTERNE_POZICIE!$M$53:$M$64)*1.23)/EXTERNE_POZICIE!$B$53)),0)+IFERROR(SUM(#REF!)*'TCO TO BE- SW'!F$4/'TCO TO BE- SW'!$E$4,0)</f>
        <v>556200.19519571995</v>
      </c>
      <c r="G161" s="578">
        <f>IFERROR(IF((POZICIE_INTERNE!$B$73-12*('TCO TO BE- SW'!$D151-1))&gt;12,((G$4+'TCO TO BE - HW'!G$4)/($E$4+'TCO TO BE - HW'!$E$4)*SUM(POZICIE_INTERNE!$I$73:$I$84))/POZICIE_INTERNE!$B$73*12,IF((POZICIE_INTERNE!$B$73-12*('TCO TO BE- SW'!$D151-1))&lt;0,0,(POZICIE_INTERNE!$B$73-12*('TCO TO BE- SW'!$D151-1))*((G$4+'TCO TO BE - HW'!G$4)/($E$4+'TCO TO BE - HW'!$E$4)*SUM(POZICIE_INTERNE!$I$73:$I$84))/POZICIE_INTERNE!$B$73)),0)+IFERROR(IF((EXTERNE_POZICIE!$B$53-12*('TCO TO BE- SW'!$D151-1))&gt;12,((G$4+'TCO TO BE - HW'!G$4)/($E$4+'TCO TO BE - HW'!$E$4)*SUM(EXTERNE_POZICIE!$M$53:$M$64)*1.23)/EXTERNE_POZICIE!$B$41*12,IF((EXTERNE_POZICIE!$B$53-12*('TCO TO BE- SW'!$D151-1))&lt;0,0,(EXTERNE_POZICIE!$B$53-12*('TCO TO BE- SW'!$D151-1))*((G$4+'TCO TO BE - HW'!G$4)/($E$4+'TCO TO BE - HW'!$E$4)*SUM(EXTERNE_POZICIE!$M$53:$M$64)*1.23)/EXTERNE_POZICIE!$B$53)),0)+IFERROR(SUM(#REF!)*'TCO TO BE- SW'!G$4/'TCO TO BE- SW'!$E$4,0)</f>
        <v>108818.79380182804</v>
      </c>
      <c r="H161" s="578">
        <f>IFERROR(IF((POZICIE_INTERNE!$B$73-12*('TCO TO BE- SW'!$D151-1))&gt;12,((H$4+'TCO TO BE - HW'!H$4)/($E$4+'TCO TO BE - HW'!$E$4)*SUM(POZICIE_INTERNE!$I$73:$I$84))/POZICIE_INTERNE!$B$73*12,IF((POZICIE_INTERNE!$B$73-12*('TCO TO BE- SW'!$D151-1))&lt;0,0,(POZICIE_INTERNE!$B$73-12*('TCO TO BE- SW'!$D151-1))*((H$4+'TCO TO BE - HW'!H$4)/($E$4+'TCO TO BE - HW'!$E$4)*SUM(POZICIE_INTERNE!$I$73:$I$84))/POZICIE_INTERNE!$B$73)),0)+IFERROR(IF((EXTERNE_POZICIE!$B$53-12*('TCO TO BE- SW'!$D151-1))&gt;12,((H$4+'TCO TO BE - HW'!H$4)/($E$4+'TCO TO BE - HW'!$E$4)*SUM(EXTERNE_POZICIE!$M$53:$M$64)*1.23)/EXTERNE_POZICIE!$B$41*12,IF((EXTERNE_POZICIE!$B$53-12*('TCO TO BE- SW'!$D151-1))&lt;0,0,(EXTERNE_POZICIE!$B$53-12*('TCO TO BE- SW'!$D151-1))*((H$4+'TCO TO BE - HW'!H$4)/($E$4+'TCO TO BE - HW'!$E$4)*SUM(EXTERNE_POZICIE!$M$53:$M$64)*1.23)/EXTERNE_POZICIE!$B$53)),0)+IFERROR(SUM(#REF!)*'TCO TO BE- SW'!H$4/'TCO TO BE- SW'!$E$4,0)</f>
        <v>27702.740928941977</v>
      </c>
      <c r="I161" s="578">
        <f>IFERROR(IF((POZICIE_INTERNE!$B$73-12*('TCO TO BE- SW'!$D151-1))&gt;12,((I$4+'TCO TO BE - HW'!I$4)/($E$4+'TCO TO BE - HW'!$E$4)*SUM(POZICIE_INTERNE!$I$73:$I$84))/POZICIE_INTERNE!$B$73*12,IF((POZICIE_INTERNE!$B$73-12*('TCO TO BE- SW'!$D151-1))&lt;0,0,(POZICIE_INTERNE!$B$73-12*('TCO TO BE- SW'!$D151-1))*((I$4+'TCO TO BE - HW'!I$4)/($E$4+'TCO TO BE - HW'!$E$4)*SUM(POZICIE_INTERNE!$I$73:$I$84))/POZICIE_INTERNE!$B$73)),0)+IFERROR(IF((EXTERNE_POZICIE!$B$53-12*('TCO TO BE- SW'!$D151-1))&gt;12,((I$4+'TCO TO BE - HW'!I$4)/($E$4+'TCO TO BE - HW'!$E$4)*SUM(EXTERNE_POZICIE!$M$53:$M$64)*1.23)/EXTERNE_POZICIE!$B$41*12,IF((EXTERNE_POZICIE!$B$53-12*('TCO TO BE- SW'!$D151-1))&lt;0,0,(EXTERNE_POZICIE!$B$53-12*('TCO TO BE- SW'!$D151-1))*((I$4+'TCO TO BE - HW'!I$4)/($E$4+'TCO TO BE - HW'!$E$4)*SUM(EXTERNE_POZICIE!$M$53:$M$64)*1.23)/EXTERNE_POZICIE!$B$53)),0)+IFERROR(SUM(#REF!)*'TCO TO BE- SW'!I$4/'TCO TO BE- SW'!$E$4,0)</f>
        <v>25830.000000000004</v>
      </c>
      <c r="J161" s="578">
        <f>IFERROR(IF((POZICIE_INTERNE!$B$73-12*('TCO TO BE- SW'!$D151-1))&gt;12,((J$4+'TCO TO BE - HW'!J$4)/($E$4+'TCO TO BE - HW'!$E$4)*SUM(POZICIE_INTERNE!$I$73:$I$84))/POZICIE_INTERNE!$B$73*12,IF((POZICIE_INTERNE!$B$73-12*('TCO TO BE- SW'!$D151-1))&lt;0,0,(POZICIE_INTERNE!$B$73-12*('TCO TO BE- SW'!$D151-1))*((J$4+'TCO TO BE - HW'!J$4)/($E$4+'TCO TO BE - HW'!$E$4)*SUM(POZICIE_INTERNE!$I$73:$I$84))/POZICIE_INTERNE!$B$73)),0)+IFERROR(IF((EXTERNE_POZICIE!$B$53-12*('TCO TO BE- SW'!$D151-1))&gt;12,((J$4+'TCO TO BE - HW'!J$4)/($E$4+'TCO TO BE - HW'!$E$4)*SUM(EXTERNE_POZICIE!$M$53:$M$64)*1.23)/EXTERNE_POZICIE!$B$41*12,IF((EXTERNE_POZICIE!$B$53-12*('TCO TO BE- SW'!$D151-1))&lt;0,0,(EXTERNE_POZICIE!$B$53-12*('TCO TO BE- SW'!$D151-1))*((J$4+'TCO TO BE - HW'!J$4)/($E$4+'TCO TO BE - HW'!$E$4)*SUM(EXTERNE_POZICIE!$M$53:$M$64)*1.23)/EXTERNE_POZICIE!$B$53)),0)+IFERROR(SUM(#REF!)*'TCO TO BE- SW'!J$4/'TCO TO BE- SW'!$E$4,0)</f>
        <v>87966.008759999982</v>
      </c>
      <c r="K161" s="578">
        <f>IFERROR(IF((POZICIE_INTERNE!$B$73-12*('TCO TO BE- SW'!$D151-1))&gt;12,((K$4+'TCO TO BE - HW'!K$4)/($E$4+'TCO TO BE - HW'!$E$4)*SUM(POZICIE_INTERNE!$I$73:$I$84))/POZICIE_INTERNE!$B$73*12,IF((POZICIE_INTERNE!$B$73-12*('TCO TO BE- SW'!$D151-1))&lt;0,0,(POZICIE_INTERNE!$B$73-12*('TCO TO BE- SW'!$D151-1))*((K$4+'TCO TO BE - HW'!K$4)/($E$4+'TCO TO BE - HW'!$E$4)*SUM(POZICIE_INTERNE!$I$73:$I$84))/POZICIE_INTERNE!$B$73)),0)+IFERROR(IF((EXTERNE_POZICIE!$B$53-12*('TCO TO BE- SW'!$D151-1))&gt;12,((K$4+'TCO TO BE - HW'!K$4)/($E$4+'TCO TO BE - HW'!$E$4)*SUM(EXTERNE_POZICIE!$M$53:$M$64)*1.23)/EXTERNE_POZICIE!$B$41*12,IF((EXTERNE_POZICIE!$B$53-12*('TCO TO BE- SW'!$D151-1))&lt;0,0,(EXTERNE_POZICIE!$B$53-12*('TCO TO BE- SW'!$D151-1))*((K$4+'TCO TO BE - HW'!K$4)/($E$4+'TCO TO BE - HW'!$E$4)*SUM(EXTERNE_POZICIE!$M$53:$M$64)*1.23)/EXTERNE_POZICIE!$B$53)),0)+IFERROR(SUM(#REF!)*'TCO TO BE- SW'!K$4/'TCO TO BE- SW'!$E$4,0)</f>
        <v>448821.32077020005</v>
      </c>
      <c r="L161" s="578">
        <f>IFERROR(IF((POZICIE_INTERNE!$B$73-12*('TCO TO BE- SW'!$D151-1))&gt;12,((L$4+'TCO TO BE - HW'!L$4)/($E$4+'TCO TO BE - HW'!$E$4)*SUM(POZICIE_INTERNE!$I$73:$I$84))/POZICIE_INTERNE!$B$73*12,IF((POZICIE_INTERNE!$B$73-12*('TCO TO BE- SW'!$D151-1))&lt;0,0,(POZICIE_INTERNE!$B$73-12*('TCO TO BE- SW'!$D151-1))*((L$4+'TCO TO BE - HW'!L$4)/($E$4+'TCO TO BE - HW'!$E$4)*SUM(POZICIE_INTERNE!$I$73:$I$84))/POZICIE_INTERNE!$B$73)),0)+IFERROR(IF((EXTERNE_POZICIE!$B$53-12*('TCO TO BE- SW'!$D151-1))&gt;12,((L$4+'TCO TO BE - HW'!L$4)/($E$4+'TCO TO BE - HW'!$E$4)*SUM(EXTERNE_POZICIE!$M$53:$M$64)*1.23)/EXTERNE_POZICIE!$B$41*12,IF((EXTERNE_POZICIE!$B$53-12*('TCO TO BE- SW'!$D151-1))&lt;0,0,(EXTERNE_POZICIE!$B$53-12*('TCO TO BE- SW'!$D151-1))*((L$4+'TCO TO BE - HW'!L$4)/($E$4+'TCO TO BE - HW'!$E$4)*SUM(EXTERNE_POZICIE!$M$53:$M$64)*1.23)/EXTERNE_POZICIE!$B$53)),0)+IFERROR(SUM(#REF!)*'TCO TO BE- SW'!L$4/'TCO TO BE- SW'!$E$4,0)</f>
        <v>277005.24489000003</v>
      </c>
      <c r="M161" s="578">
        <f>IFERROR(IF((POZICIE_INTERNE!$B$73-12*('TCO TO BE- SW'!$D151-1))&gt;12,((M$4+'TCO TO BE - HW'!M$4)/($E$4+'TCO TO BE - HW'!$E$4)*SUM(POZICIE_INTERNE!$I$73:$I$84))/POZICIE_INTERNE!$B$73*12,IF((POZICIE_INTERNE!$B$73-12*('TCO TO BE- SW'!$D151-1))&lt;0,0,(POZICIE_INTERNE!$B$73-12*('TCO TO BE- SW'!$D151-1))*((M$4+'TCO TO BE - HW'!M$4)/($E$4+'TCO TO BE - HW'!$E$4)*SUM(POZICIE_INTERNE!$I$73:$I$84))/POZICIE_INTERNE!$B$73)),0)+IFERROR(IF((EXTERNE_POZICIE!$B$53-12*('TCO TO BE- SW'!$D151-1))&gt;12,((M$4+'TCO TO BE - HW'!M$4)/($E$4+'TCO TO BE - HW'!$E$4)*SUM(EXTERNE_POZICIE!$M$53:$M$64)*1.23)/EXTERNE_POZICIE!$B$41*12,IF((EXTERNE_POZICIE!$B$53-12*('TCO TO BE- SW'!$D151-1))&lt;0,0,(EXTERNE_POZICIE!$B$53-12*('TCO TO BE- SW'!$D151-1))*((M$4+'TCO TO BE - HW'!M$4)/($E$4+'TCO TO BE - HW'!$E$4)*SUM(EXTERNE_POZICIE!$M$53:$M$64)*1.23)/EXTERNE_POZICIE!$B$53)),0)+IFERROR(SUM(#REF!)*'TCO TO BE- SW'!M$4/'TCO TO BE- SW'!$E$4,0)</f>
        <v>144154.7052</v>
      </c>
      <c r="N161" s="578">
        <f>IFERROR(IF((POZICIE_INTERNE!$B$73-12*('TCO TO BE- SW'!$D151-1))&gt;12,((N$4+'TCO TO BE - HW'!N$4)/($E$4+'TCO TO BE - HW'!$E$4)*SUM(POZICIE_INTERNE!$I$73:$I$84))/POZICIE_INTERNE!$B$73*12,IF((POZICIE_INTERNE!$B$73-12*('TCO TO BE- SW'!$D151-1))&lt;0,0,(POZICIE_INTERNE!$B$73-12*('TCO TO BE- SW'!$D151-1))*((N$4+'TCO TO BE - HW'!N$4)/($E$4+'TCO TO BE - HW'!$E$4)*SUM(POZICIE_INTERNE!$I$73:$I$84))/POZICIE_INTERNE!$B$73)),0)+IFERROR(IF((EXTERNE_POZICIE!$B$53-12*('TCO TO BE- SW'!$D151-1))&gt;12,((N$4+'TCO TO BE - HW'!N$4)/($E$4+'TCO TO BE - HW'!$E$4)*SUM(EXTERNE_POZICIE!$M$53:$M$64)*1.23)/EXTERNE_POZICIE!$B$41*12,IF((EXTERNE_POZICIE!$B$53-12*('TCO TO BE- SW'!$D151-1))&lt;0,0,(EXTERNE_POZICIE!$B$53-12*('TCO TO BE- SW'!$D151-1))*((N$4+'TCO TO BE - HW'!N$4)/($E$4+'TCO TO BE - HW'!$E$4)*SUM(EXTERNE_POZICIE!$M$53:$M$64)*1.23)/EXTERNE_POZICIE!$B$53)),0)+IFERROR(SUM(#REF!)*'TCO TO BE- SW'!N$4/'TCO TO BE- SW'!$E$4,0)</f>
        <v>42877.8</v>
      </c>
      <c r="O161" s="578">
        <f>IFERROR(IF((POZICIE_INTERNE!$B$73-12*('TCO TO BE- SW'!$D151-1))&gt;12,((O$4+'TCO TO BE - HW'!O$4)/($E$4+'TCO TO BE - HW'!$E$4)*SUM(POZICIE_INTERNE!$I$73:$I$84))/POZICIE_INTERNE!$B$73*12,IF((POZICIE_INTERNE!$B$73-12*('TCO TO BE- SW'!$D151-1))&lt;0,0,(POZICIE_INTERNE!$B$73-12*('TCO TO BE- SW'!$D151-1))*((O$4+'TCO TO BE - HW'!O$4)/($E$4+'TCO TO BE - HW'!$E$4)*SUM(POZICIE_INTERNE!$I$73:$I$84))/POZICIE_INTERNE!$B$73)),0)+IFERROR(IF((EXTERNE_POZICIE!$B$53-12*('TCO TO BE- SW'!$D151-1))&gt;12,((O$4+'TCO TO BE - HW'!O$4)/($E$4+'TCO TO BE - HW'!$E$4)*SUM(EXTERNE_POZICIE!$M$53:$M$64)*1.23)/EXTERNE_POZICIE!$B$41*12,IF((EXTERNE_POZICIE!$B$53-12*('TCO TO BE- SW'!$D151-1))&lt;0,0,(EXTERNE_POZICIE!$B$53-12*('TCO TO BE- SW'!$D151-1))*((O$4+'TCO TO BE - HW'!O$4)/($E$4+'TCO TO BE - HW'!$E$4)*SUM(EXTERNE_POZICIE!$M$53:$M$64)*1.23)/EXTERNE_POZICIE!$B$53)),0)+IFERROR(SUM(#REF!)*'TCO TO BE- SW'!O$4/'TCO TO BE- SW'!$E$4,0)</f>
        <v>22730.356693974998</v>
      </c>
      <c r="P161" s="578">
        <f>IFERROR(IF((POZICIE_INTERNE!$B$73-12*('TCO TO BE- SW'!$D151-1))&gt;12,((P$4+'TCO TO BE - HW'!P$4)/($E$4+'TCO TO BE - HW'!$E$4)*SUM(POZICIE_INTERNE!$I$73:$I$84))/POZICIE_INTERNE!$B$73*12,IF((POZICIE_INTERNE!$B$73-12*('TCO TO BE- SW'!$D151-1))&lt;0,0,(POZICIE_INTERNE!$B$73-12*('TCO TO BE- SW'!$D151-1))*((P$4+'TCO TO BE - HW'!P$4)/($E$4+'TCO TO BE - HW'!$E$4)*SUM(POZICIE_INTERNE!$I$73:$I$84))/POZICIE_INTERNE!$B$73)),0)+IFERROR(IF((EXTERNE_POZICIE!$B$53-12*('TCO TO BE- SW'!$D151-1))&gt;12,((P$4+'TCO TO BE - HW'!P$4)/($E$4+'TCO TO BE - HW'!$E$4)*SUM(EXTERNE_POZICIE!$M$53:$M$64)*1.23)/EXTERNE_POZICIE!$B$41*12,IF((EXTERNE_POZICIE!$B$53-12*('TCO TO BE- SW'!$D151-1))&lt;0,0,(EXTERNE_POZICIE!$B$53-12*('TCO TO BE- SW'!$D151-1))*((P$4+'TCO TO BE - HW'!P$4)/($E$4+'TCO TO BE - HW'!$E$4)*SUM(EXTERNE_POZICIE!$M$53:$M$64)*1.23)/EXTERNE_POZICIE!$B$53)),0)+IFERROR(SUM(#REF!)*'TCO TO BE- SW'!P$4/'TCO TO BE- SW'!$E$4,0)</f>
        <v>122375.77178999998</v>
      </c>
      <c r="Q161" s="578">
        <f>IFERROR(IF((POZICIE_INTERNE!$B$73-12*('TCO TO BE- SW'!$D151-1))&gt;12,((Q$4+'TCO TO BE - HW'!Q$4)/($E$4+'TCO TO BE - HW'!$E$4)*SUM(POZICIE_INTERNE!$I$73:$I$84))/POZICIE_INTERNE!$B$73*12,IF((POZICIE_INTERNE!$B$73-12*('TCO TO BE- SW'!$D151-1))&lt;0,0,(POZICIE_INTERNE!$B$73-12*('TCO TO BE- SW'!$D151-1))*((Q$4+'TCO TO BE - HW'!Q$4)/($E$4+'TCO TO BE - HW'!$E$4)*SUM(POZICIE_INTERNE!$I$73:$I$84))/POZICIE_INTERNE!$B$73)),0)+IFERROR(IF((EXTERNE_POZICIE!$B$53-12*('TCO TO BE- SW'!$D151-1))&gt;12,((Q$4+'TCO TO BE - HW'!Q$4)/($E$4+'TCO TO BE - HW'!$E$4)*SUM(EXTERNE_POZICIE!$M$53:$M$64)*1.23)/EXTERNE_POZICIE!$B$41*12,IF((EXTERNE_POZICIE!$B$53-12*('TCO TO BE- SW'!$D151-1))&lt;0,0,(EXTERNE_POZICIE!$B$53-12*('TCO TO BE- SW'!$D151-1))*((Q$4+'TCO TO BE - HW'!Q$4)/($E$4+'TCO TO BE - HW'!$E$4)*SUM(EXTERNE_POZICIE!$M$53:$M$64)*1.23)/EXTERNE_POZICIE!$B$53)),0)+IFERROR(SUM(#REF!)*'TCO TO BE- SW'!Q$4/'TCO TO BE- SW'!$E$4,0)</f>
        <v>0</v>
      </c>
      <c r="R161" s="578">
        <f>IFERROR(IF((POZICIE_INTERNE!$B$73-12*('TCO TO BE- SW'!$D151-1))&gt;12,((R$4+'TCO TO BE - HW'!R$4)/($E$4+'TCO TO BE - HW'!$E$4)*SUM(POZICIE_INTERNE!$I$73:$I$84))/POZICIE_INTERNE!$B$73*12,IF((POZICIE_INTERNE!$B$73-12*('TCO TO BE- SW'!$D151-1))&lt;0,0,(POZICIE_INTERNE!$B$73-12*('TCO TO BE- SW'!$D151-1))*((R$4+'TCO TO BE - HW'!R$4)/($E$4+'TCO TO BE - HW'!$E$4)*SUM(POZICIE_INTERNE!$I$73:$I$84))/POZICIE_INTERNE!$B$73)),0)+IFERROR(IF((EXTERNE_POZICIE!$B$53-12*('TCO TO BE- SW'!$D151-1))&gt;12,((R$4+'TCO TO BE - HW'!R$4)/($E$4+'TCO TO BE - HW'!$E$4)*SUM(EXTERNE_POZICIE!$M$53:$M$64)*1.23)/EXTERNE_POZICIE!$B$41*12,IF((EXTERNE_POZICIE!$B$53-12*('TCO TO BE- SW'!$D151-1))&lt;0,0,(EXTERNE_POZICIE!$B$53-12*('TCO TO BE- SW'!$D151-1))*((R$4+'TCO TO BE - HW'!R$4)/($E$4+'TCO TO BE - HW'!$E$4)*SUM(EXTERNE_POZICIE!$M$53:$M$64)*1.23)/EXTERNE_POZICIE!$B$53)),0)+IFERROR(SUM(#REF!)*'TCO TO BE- SW'!R$4/'TCO TO BE- SW'!$E$4,0)</f>
        <v>0</v>
      </c>
      <c r="S161" s="578">
        <f>IFERROR(IF((POZICIE_INTERNE!$B$73-12*('TCO TO BE- SW'!$D151-1))&gt;12,((S$4+'TCO TO BE - HW'!S$4)/($E$4+'TCO TO BE - HW'!$E$4)*SUM(POZICIE_INTERNE!$I$73:$I$84))/POZICIE_INTERNE!$B$73*12,IF((POZICIE_INTERNE!$B$73-12*('TCO TO BE- SW'!$D151-1))&lt;0,0,(POZICIE_INTERNE!$B$73-12*('TCO TO BE- SW'!$D151-1))*((S$4+'TCO TO BE - HW'!S$4)/($E$4+'TCO TO BE - HW'!$E$4)*SUM(POZICIE_INTERNE!$I$73:$I$84))/POZICIE_INTERNE!$B$73)),0)+IFERROR(IF((EXTERNE_POZICIE!$B$53-12*('TCO TO BE- SW'!$D151-1))&gt;12,((S$4+'TCO TO BE - HW'!S$4)/($E$4+'TCO TO BE - HW'!$E$4)*SUM(EXTERNE_POZICIE!$M$53:$M$64)*1.23)/EXTERNE_POZICIE!$B$41*12,IF((EXTERNE_POZICIE!$B$53-12*('TCO TO BE- SW'!$D151-1))&lt;0,0,(EXTERNE_POZICIE!$B$53-12*('TCO TO BE- SW'!$D151-1))*((S$4+'TCO TO BE - HW'!S$4)/($E$4+'TCO TO BE - HW'!$E$4)*SUM(EXTERNE_POZICIE!$M$53:$M$64)*1.23)/EXTERNE_POZICIE!$B$53)),0)+IFERROR(SUM(#REF!)*'TCO TO BE- SW'!S$4/'TCO TO BE- SW'!$E$4,0)</f>
        <v>0</v>
      </c>
      <c r="T161" s="578">
        <f>IFERROR(IF((POZICIE_INTERNE!$B$73-12*('TCO TO BE- SW'!$D151-1))&gt;12,((T$4+'TCO TO BE - HW'!T$4)/($E$4+'TCO TO BE - HW'!$E$4)*SUM(POZICIE_INTERNE!$I$73:$I$84))/POZICIE_INTERNE!$B$73*12,IF((POZICIE_INTERNE!$B$73-12*('TCO TO BE- SW'!$D151-1))&lt;0,0,(POZICIE_INTERNE!$B$73-12*('TCO TO BE- SW'!$D151-1))*((T$4+'TCO TO BE - HW'!T$4)/($E$4+'TCO TO BE - HW'!$E$4)*SUM(POZICIE_INTERNE!$I$73:$I$84))/POZICIE_INTERNE!$B$73)),0)+IFERROR(IF((EXTERNE_POZICIE!$B$53-12*('TCO TO BE- SW'!$D151-1))&gt;12,((T$4+'TCO TO BE - HW'!T$4)/($E$4+'TCO TO BE - HW'!$E$4)*SUM(EXTERNE_POZICIE!$M$53:$M$64)*1.23)/EXTERNE_POZICIE!$B$41*12,IF((EXTERNE_POZICIE!$B$53-12*('TCO TO BE- SW'!$D151-1))&lt;0,0,(EXTERNE_POZICIE!$B$53-12*('TCO TO BE- SW'!$D151-1))*((T$4+'TCO TO BE - HW'!T$4)/($E$4+'TCO TO BE - HW'!$E$4)*SUM(EXTERNE_POZICIE!$M$53:$M$64)*1.23)/EXTERNE_POZICIE!$B$53)),0)+IFERROR(SUM(#REF!)*'TCO TO BE- SW'!T$4/'TCO TO BE- SW'!$E$4,0)</f>
        <v>0</v>
      </c>
      <c r="U161" s="578">
        <f>IFERROR(IF((POZICIE_INTERNE!$B$73-12*('TCO TO BE- SW'!$D151-1))&gt;12,((U$4+'TCO TO BE - HW'!U$4)/($E$4+'TCO TO BE - HW'!$E$4)*SUM(POZICIE_INTERNE!$I$73:$I$84))/POZICIE_INTERNE!$B$73*12,IF((POZICIE_INTERNE!$B$73-12*('TCO TO BE- SW'!$D151-1))&lt;0,0,(POZICIE_INTERNE!$B$73-12*('TCO TO BE- SW'!$D151-1))*((U$4+'TCO TO BE - HW'!U$4)/($E$4+'TCO TO BE - HW'!$E$4)*SUM(POZICIE_INTERNE!$I$73:$I$84))/POZICIE_INTERNE!$B$73)),0)+IFERROR(IF((EXTERNE_POZICIE!$B$53-12*('TCO TO BE- SW'!$D151-1))&gt;12,((U$4+'TCO TO BE - HW'!U$4)/($E$4+'TCO TO BE - HW'!$E$4)*SUM(EXTERNE_POZICIE!$M$53:$M$64)*1.23)/EXTERNE_POZICIE!$B$41*12,IF((EXTERNE_POZICIE!$B$53-12*('TCO TO BE- SW'!$D151-1))&lt;0,0,(EXTERNE_POZICIE!$B$53-12*('TCO TO BE- SW'!$D151-1))*((U$4+'TCO TO BE - HW'!U$4)/($E$4+'TCO TO BE - HW'!$E$4)*SUM(EXTERNE_POZICIE!$M$53:$M$64)*1.23)/EXTERNE_POZICIE!$B$53)),0)+IFERROR(SUM(#REF!)*'TCO TO BE- SW'!U$4/'TCO TO BE- SW'!$E$4,0)</f>
        <v>0</v>
      </c>
      <c r="V161" s="578">
        <f>IFERROR(IF((POZICIE_INTERNE!$B$73-12*('TCO TO BE- SW'!$D151-1))&gt;12,((V$4+'TCO TO BE - HW'!V$4)/($E$4+'TCO TO BE - HW'!$E$4)*SUM(POZICIE_INTERNE!$I$73:$I$84))/POZICIE_INTERNE!$B$73*12,IF((POZICIE_INTERNE!$B$73-12*('TCO TO BE- SW'!$D151-1))&lt;0,0,(POZICIE_INTERNE!$B$73-12*('TCO TO BE- SW'!$D151-1))*((V$4+'TCO TO BE - HW'!V$4)/($E$4+'TCO TO BE - HW'!$E$4)*SUM(POZICIE_INTERNE!$I$73:$I$84))/POZICIE_INTERNE!$B$73)),0)+IFERROR(IF((EXTERNE_POZICIE!$B$53-12*('TCO TO BE- SW'!$D151-1))&gt;12,((V$4+'TCO TO BE - HW'!V$4)/($E$4+'TCO TO BE - HW'!$E$4)*SUM(EXTERNE_POZICIE!$M$53:$M$64)*1.23)/EXTERNE_POZICIE!$B$41*12,IF((EXTERNE_POZICIE!$B$53-12*('TCO TO BE- SW'!$D151-1))&lt;0,0,(EXTERNE_POZICIE!$B$53-12*('TCO TO BE- SW'!$D151-1))*((V$4+'TCO TO BE - HW'!V$4)/($E$4+'TCO TO BE - HW'!$E$4)*SUM(EXTERNE_POZICIE!$M$53:$M$64)*1.23)/EXTERNE_POZICIE!$B$53)),0)+IFERROR(SUM(#REF!)*'TCO TO BE- SW'!V$4/'TCO TO BE- SW'!$E$4,0)</f>
        <v>0</v>
      </c>
      <c r="W161" s="578">
        <f>IFERROR(IF((POZICIE_INTERNE!$B$73-12*('TCO TO BE- SW'!$D151-1))&gt;12,((W$4+'TCO TO BE - HW'!W$4)/($E$4+'TCO TO BE - HW'!$E$4)*SUM(POZICIE_INTERNE!$I$73:$I$84))/POZICIE_INTERNE!$B$73*12,IF((POZICIE_INTERNE!$B$73-12*('TCO TO BE- SW'!$D151-1))&lt;0,0,(POZICIE_INTERNE!$B$73-12*('TCO TO BE- SW'!$D151-1))*((W$4+'TCO TO BE - HW'!W$4)/($E$4+'TCO TO BE - HW'!$E$4)*SUM(POZICIE_INTERNE!$I$73:$I$84))/POZICIE_INTERNE!$B$73)),0)+IFERROR(IF((EXTERNE_POZICIE!$B$53-12*('TCO TO BE- SW'!$D151-1))&gt;12,((W$4+'TCO TO BE - HW'!W$4)/($E$4+'TCO TO BE - HW'!$E$4)*SUM(EXTERNE_POZICIE!$M$53:$M$64)*1.23)/EXTERNE_POZICIE!$B$41*12,IF((EXTERNE_POZICIE!$B$53-12*('TCO TO BE- SW'!$D151-1))&lt;0,0,(EXTERNE_POZICIE!$B$53-12*('TCO TO BE- SW'!$D151-1))*((W$4+'TCO TO BE - HW'!W$4)/($E$4+'TCO TO BE - HW'!$E$4)*SUM(EXTERNE_POZICIE!$M$53:$M$64)*1.23)/EXTERNE_POZICIE!$B$53)),0)+IFERROR(SUM(#REF!)*'TCO TO BE- SW'!W$4/'TCO TO BE- SW'!$E$4,0)</f>
        <v>0</v>
      </c>
      <c r="X161" s="578">
        <f>IFERROR(IF((POZICIE_INTERNE!$B$73-12*('TCO TO BE- SW'!$D151-1))&gt;12,((X$4+'TCO TO BE - HW'!X$4)/($E$4+'TCO TO BE - HW'!$E$4)*SUM(POZICIE_INTERNE!$I$73:$I$84))/POZICIE_INTERNE!$B$73*12,IF((POZICIE_INTERNE!$B$73-12*('TCO TO BE- SW'!$D151-1))&lt;0,0,(POZICIE_INTERNE!$B$73-12*('TCO TO BE- SW'!$D151-1))*((X$4+'TCO TO BE - HW'!X$4)/($E$4+'TCO TO BE - HW'!$E$4)*SUM(POZICIE_INTERNE!$I$73:$I$84))/POZICIE_INTERNE!$B$73)),0)+IFERROR(IF((EXTERNE_POZICIE!$B$53-12*('TCO TO BE- SW'!$D151-1))&gt;12,((X$4+'TCO TO BE - HW'!X$4)/($E$4+'TCO TO BE - HW'!$E$4)*SUM(EXTERNE_POZICIE!$M$53:$M$64)*1.23)/EXTERNE_POZICIE!$B$41*12,IF((EXTERNE_POZICIE!$B$53-12*('TCO TO BE- SW'!$D151-1))&lt;0,0,(EXTERNE_POZICIE!$B$53-12*('TCO TO BE- SW'!$D151-1))*((X$4+'TCO TO BE - HW'!X$4)/($E$4+'TCO TO BE - HW'!$E$4)*SUM(EXTERNE_POZICIE!$M$53:$M$64)*1.23)/EXTERNE_POZICIE!$B$53)),0)+IFERROR(SUM(#REF!)*'TCO TO BE- SW'!X$4/'TCO TO BE- SW'!$E$4,0)</f>
        <v>0</v>
      </c>
      <c r="Y161" s="578">
        <f>IFERROR(IF((POZICIE_INTERNE!$B$73-12*('TCO TO BE- SW'!$D151-1))&gt;12,((Y$4+'TCO TO BE - HW'!Y$4)/($E$4+'TCO TO BE - HW'!$E$4)*SUM(POZICIE_INTERNE!$I$73:$I$84))/POZICIE_INTERNE!$B$73*12,IF((POZICIE_INTERNE!$B$73-12*('TCO TO BE- SW'!$D151-1))&lt;0,0,(POZICIE_INTERNE!$B$73-12*('TCO TO BE- SW'!$D151-1))*((Y$4+'TCO TO BE - HW'!Y$4)/($E$4+'TCO TO BE - HW'!$E$4)*SUM(POZICIE_INTERNE!$I$73:$I$84))/POZICIE_INTERNE!$B$73)),0)+IFERROR(IF((EXTERNE_POZICIE!$B$53-12*('TCO TO BE- SW'!$D151-1))&gt;12,((Y$4+'TCO TO BE - HW'!Y$4)/($E$4+'TCO TO BE - HW'!$E$4)*SUM(EXTERNE_POZICIE!$M$53:$M$64)*1.23)/EXTERNE_POZICIE!$B$41*12,IF((EXTERNE_POZICIE!$B$53-12*('TCO TO BE- SW'!$D151-1))&lt;0,0,(EXTERNE_POZICIE!$B$53-12*('TCO TO BE- SW'!$D151-1))*((Y$4+'TCO TO BE - HW'!Y$4)/($E$4+'TCO TO BE - HW'!$E$4)*SUM(EXTERNE_POZICIE!$M$53:$M$64)*1.23)/EXTERNE_POZICIE!$B$53)),0)+IFERROR(SUM(#REF!)*'TCO TO BE- SW'!Y$4/'TCO TO BE- SW'!$E$4,0)</f>
        <v>0</v>
      </c>
      <c r="Z161" s="578">
        <f>IFERROR(IF((POZICIE_INTERNE!$B$73-12*('TCO TO BE- SW'!$D151-1))&gt;12,((Z$4+'TCO TO BE - HW'!Z$4)/($E$4+'TCO TO BE - HW'!$E$4)*SUM(POZICIE_INTERNE!$I$73:$I$84))/POZICIE_INTERNE!$B$73*12,IF((POZICIE_INTERNE!$B$73-12*('TCO TO BE- SW'!$D151-1))&lt;0,0,(POZICIE_INTERNE!$B$73-12*('TCO TO BE- SW'!$D151-1))*((Z$4+'TCO TO BE - HW'!Z$4)/($E$4+'TCO TO BE - HW'!$E$4)*SUM(POZICIE_INTERNE!$I$73:$I$84))/POZICIE_INTERNE!$B$73)),0)+IFERROR(IF((EXTERNE_POZICIE!$B$53-12*('TCO TO BE- SW'!$D151-1))&gt;12,((Z$4+'TCO TO BE - HW'!Z$4)/($E$4+'TCO TO BE - HW'!$E$4)*SUM(EXTERNE_POZICIE!$M$53:$M$64)*1.23)/EXTERNE_POZICIE!$B$41*12,IF((EXTERNE_POZICIE!$B$53-12*('TCO TO BE- SW'!$D151-1))&lt;0,0,(EXTERNE_POZICIE!$B$53-12*('TCO TO BE- SW'!$D151-1))*((Z$4+'TCO TO BE - HW'!Z$4)/($E$4+'TCO TO BE - HW'!$E$4)*SUM(EXTERNE_POZICIE!$M$53:$M$64)*1.23)/EXTERNE_POZICIE!$B$53)),0)+IFERROR(SUM(#REF!)*'TCO TO BE- SW'!Z$4/'TCO TO BE- SW'!$E$4,0)</f>
        <v>0</v>
      </c>
    </row>
    <row r="162" spans="1:26" x14ac:dyDescent="0.2">
      <c r="A162" s="1390"/>
      <c r="B162" s="1391"/>
      <c r="C162" s="1391"/>
      <c r="D162" s="64">
        <v>2</v>
      </c>
      <c r="E162" s="68">
        <f t="shared" si="16"/>
        <v>0</v>
      </c>
      <c r="F162" s="579">
        <f>IFERROR(IF((POZICIE_INTERNE!$B$73-12*('TCO TO BE- SW'!$D152-1))&gt;12,((F$4+'TCO TO BE - HW'!F$4)/($E$4+'TCO TO BE - HW'!$E$4)*SUM(POZICIE_INTERNE!$I$73:$I$84))/POZICIE_INTERNE!$B$73*12,IF((POZICIE_INTERNE!$B$73-12*('TCO TO BE- SW'!$D152-1))&lt;0,0,(POZICIE_INTERNE!$B$73-12*('TCO TO BE- SW'!$D152-1))*((F$4+'TCO TO BE - HW'!F$4)/($E$4+'TCO TO BE - HW'!$E$4)*SUM(POZICIE_INTERNE!$I$73:$I$84))/POZICIE_INTERNE!$B$73)),0)+IFERROR(IF((EXTERNE_POZICIE!$B$53-12*('TCO TO BE- SW'!$D152-1))&gt;12,((F$4+'TCO TO BE - HW'!F$4)/($E$4+'TCO TO BE - HW'!$E$4)*SUM(EXTERNE_POZICIE!$M$53:$M$64)*1.23)/EXTERNE_POZICIE!$B$41*12,IF((EXTERNE_POZICIE!$B$53-12*('TCO TO BE- SW'!$D152-1))&lt;0,0,(EXTERNE_POZICIE!$B$53-12*('TCO TO BE- SW'!$D152-1))*((F$4+'TCO TO BE - HW'!F$4)/($E$4+'TCO TO BE - HW'!$E$4)*SUM(EXTERNE_POZICIE!$M$53:$M$64)*1.23)/EXTERNE_POZICIE!$B$53)),0)+IFERROR(SUM(#REF!)*'TCO TO BE- SW'!F$4/'TCO TO BE- SW'!$E$4,0)</f>
        <v>0</v>
      </c>
      <c r="G162" s="579">
        <f>IFERROR(IF((POZICIE_INTERNE!$B$73-12*('TCO TO BE- SW'!$D152-1))&gt;12,((G$4+'TCO TO BE - HW'!G$4)/($E$4+'TCO TO BE - HW'!$E$4)*SUM(POZICIE_INTERNE!$I$73:$I$84))/POZICIE_INTERNE!$B$73*12,IF((POZICIE_INTERNE!$B$73-12*('TCO TO BE- SW'!$D152-1))&lt;0,0,(POZICIE_INTERNE!$B$73-12*('TCO TO BE- SW'!$D152-1))*((G$4+'TCO TO BE - HW'!G$4)/($E$4+'TCO TO BE - HW'!$E$4)*SUM(POZICIE_INTERNE!$I$73:$I$84))/POZICIE_INTERNE!$B$73)),0)+IFERROR(IF((EXTERNE_POZICIE!$B$53-12*('TCO TO BE- SW'!$D152-1))&gt;12,((G$4+'TCO TO BE - HW'!G$4)/($E$4+'TCO TO BE - HW'!$E$4)*SUM(EXTERNE_POZICIE!$M$53:$M$64)*1.2)/EXTERNE_POZICIE!$B$41*12,IF((EXTERNE_POZICIE!$B$53-12*('TCO TO BE- SW'!$D152-1))&lt;0,0,(EXTERNE_POZICIE!$B$53-12*('TCO TO BE- SW'!$D152-1))*((G$4+'TCO TO BE - HW'!G$4)/($E$4+'TCO TO BE - HW'!$E$4)*SUM(EXTERNE_POZICIE!$M$53:$M$64)*1.2)/EXTERNE_POZICIE!$B$53)),0)</f>
        <v>0</v>
      </c>
      <c r="H162" s="579">
        <f>IFERROR(IF((POZICIE_INTERNE!$B$73-12*('TCO TO BE- SW'!$D152-1))&gt;12,((H$4+'TCO TO BE - HW'!H$4)/($E$4+'TCO TO BE - HW'!$E$4)*SUM(POZICIE_INTERNE!$I$73:$I$84))/POZICIE_INTERNE!$B$73*12,IF((POZICIE_INTERNE!$B$73-12*('TCO TO BE- SW'!$D152-1))&lt;0,0,(POZICIE_INTERNE!$B$73-12*('TCO TO BE- SW'!$D152-1))*((H$4+'TCO TO BE - HW'!H$4)/($E$4+'TCO TO BE - HW'!$E$4)*SUM(POZICIE_INTERNE!$I$73:$I$84))/POZICIE_INTERNE!$B$73)),0)+IFERROR(IF((EXTERNE_POZICIE!$B$53-12*('TCO TO BE- SW'!$D152-1))&gt;12,((H$4+'TCO TO BE - HW'!H$4)/($E$4+'TCO TO BE - HW'!$E$4)*SUM(EXTERNE_POZICIE!$M$53:$M$64)*1.2)/EXTERNE_POZICIE!$B$41*12,IF((EXTERNE_POZICIE!$B$53-12*('TCO TO BE- SW'!$D152-1))&lt;0,0,(EXTERNE_POZICIE!$B$53-12*('TCO TO BE- SW'!$D152-1))*((H$4+'TCO TO BE - HW'!H$4)/($E$4+'TCO TO BE - HW'!$E$4)*SUM(EXTERNE_POZICIE!$M$53:$M$64)*1.2)/EXTERNE_POZICIE!$B$53)),0)</f>
        <v>0</v>
      </c>
      <c r="I162" s="579">
        <f>IFERROR(IF((POZICIE_INTERNE!$B$73-12*('TCO TO BE- SW'!$D152-1))&gt;12,((I$4+'TCO TO BE - HW'!I$4)/($E$4+'TCO TO BE - HW'!$E$4)*SUM(POZICIE_INTERNE!$I$73:$I$84))/POZICIE_INTERNE!$B$73*12,IF((POZICIE_INTERNE!$B$73-12*('TCO TO BE- SW'!$D152-1))&lt;0,0,(POZICIE_INTERNE!$B$73-12*('TCO TO BE- SW'!$D152-1))*((I$4+'TCO TO BE - HW'!I$4)/($E$4+'TCO TO BE - HW'!$E$4)*SUM(POZICIE_INTERNE!$I$73:$I$84))/POZICIE_INTERNE!$B$73)),0)+IFERROR(IF((EXTERNE_POZICIE!$B$53-12*('TCO TO BE- SW'!$D152-1))&gt;12,((I$4+'TCO TO BE - HW'!I$4)/($E$4+'TCO TO BE - HW'!$E$4)*SUM(EXTERNE_POZICIE!$M$53:$M$64)*1.2)/EXTERNE_POZICIE!$B$41*12,IF((EXTERNE_POZICIE!$B$53-12*('TCO TO BE- SW'!$D152-1))&lt;0,0,(EXTERNE_POZICIE!$B$53-12*('TCO TO BE- SW'!$D152-1))*((I$4+'TCO TO BE - HW'!I$4)/($E$4+'TCO TO BE - HW'!$E$4)*SUM(EXTERNE_POZICIE!$M$53:$M$64)*1.2)/EXTERNE_POZICIE!$B$53)),0)</f>
        <v>0</v>
      </c>
      <c r="J162" s="579">
        <f>IFERROR(IF((POZICIE_INTERNE!$B$73-12*('TCO TO BE- SW'!$D152-1))&gt;12,((J$4+'TCO TO BE - HW'!J$4)/($E$4+'TCO TO BE - HW'!$E$4)*SUM(POZICIE_INTERNE!$I$73:$I$84))/POZICIE_INTERNE!$B$73*12,IF((POZICIE_INTERNE!$B$73-12*('TCO TO BE- SW'!$D152-1))&lt;0,0,(POZICIE_INTERNE!$B$73-12*('TCO TO BE- SW'!$D152-1))*((J$4+'TCO TO BE - HW'!J$4)/($E$4+'TCO TO BE - HW'!$E$4)*SUM(POZICIE_INTERNE!$I$73:$I$84))/POZICIE_INTERNE!$B$73)),0)+IFERROR(IF((EXTERNE_POZICIE!$B$53-12*('TCO TO BE- SW'!$D152-1))&gt;12,((J$4+'TCO TO BE - HW'!J$4)/($E$4+'TCO TO BE - HW'!$E$4)*SUM(EXTERNE_POZICIE!$M$53:$M$64)*1.2)/EXTERNE_POZICIE!$B$41*12,IF((EXTERNE_POZICIE!$B$53-12*('TCO TO BE- SW'!$D152-1))&lt;0,0,(EXTERNE_POZICIE!$B$53-12*('TCO TO BE- SW'!$D152-1))*((J$4+'TCO TO BE - HW'!J$4)/($E$4+'TCO TO BE - HW'!$E$4)*SUM(EXTERNE_POZICIE!$M$53:$M$64)*1.2)/EXTERNE_POZICIE!$B$53)),0)</f>
        <v>0</v>
      </c>
      <c r="K162" s="579">
        <f>IFERROR(IF((POZICIE_INTERNE!$B$73-12*('TCO TO BE- SW'!$D152-1))&gt;12,((K$4+'TCO TO BE - HW'!K$4)/($E$4+'TCO TO BE - HW'!$E$4)*SUM(POZICIE_INTERNE!$I$73:$I$84))/POZICIE_INTERNE!$B$73*12,IF((POZICIE_INTERNE!$B$73-12*('TCO TO BE- SW'!$D152-1))&lt;0,0,(POZICIE_INTERNE!$B$73-12*('TCO TO BE- SW'!$D152-1))*((K$4+'TCO TO BE - HW'!K$4)/($E$4+'TCO TO BE - HW'!$E$4)*SUM(POZICIE_INTERNE!$I$73:$I$84))/POZICIE_INTERNE!$B$73)),0)+IFERROR(IF((EXTERNE_POZICIE!$B$53-12*('TCO TO BE- SW'!$D152-1))&gt;12,((K$4+'TCO TO BE - HW'!K$4)/($E$4+'TCO TO BE - HW'!$E$4)*SUM(EXTERNE_POZICIE!$M$53:$M$64)*1.2)/EXTERNE_POZICIE!$B$41*12,IF((EXTERNE_POZICIE!$B$53-12*('TCO TO BE- SW'!$D152-1))&lt;0,0,(EXTERNE_POZICIE!$B$53-12*('TCO TO BE- SW'!$D152-1))*((K$4+'TCO TO BE - HW'!K$4)/($E$4+'TCO TO BE - HW'!$E$4)*SUM(EXTERNE_POZICIE!$M$53:$M$64)*1.2)/EXTERNE_POZICIE!$B$53)),0)</f>
        <v>0</v>
      </c>
      <c r="L162" s="579">
        <f>IFERROR(IF((POZICIE_INTERNE!$B$73-12*('TCO TO BE- SW'!$D152-1))&gt;12,((L$4+'TCO TO BE - HW'!L$4)/($E$4+'TCO TO BE - HW'!$E$4)*SUM(POZICIE_INTERNE!$I$73:$I$84))/POZICIE_INTERNE!$B$73*12,IF((POZICIE_INTERNE!$B$73-12*('TCO TO BE- SW'!$D152-1))&lt;0,0,(POZICIE_INTERNE!$B$73-12*('TCO TO BE- SW'!$D152-1))*((L$4+'TCO TO BE - HW'!L$4)/($E$4+'TCO TO BE - HW'!$E$4)*SUM(POZICIE_INTERNE!$I$73:$I$84))/POZICIE_INTERNE!$B$73)),0)+IFERROR(IF((EXTERNE_POZICIE!$B$53-12*('TCO TO BE- SW'!$D152-1))&gt;12,((L$4+'TCO TO BE - HW'!L$4)/($E$4+'TCO TO BE - HW'!$E$4)*SUM(EXTERNE_POZICIE!$M$53:$M$64)*1.2)/EXTERNE_POZICIE!$B$41*12,IF((EXTERNE_POZICIE!$B$53-12*('TCO TO BE- SW'!$D152-1))&lt;0,0,(EXTERNE_POZICIE!$B$53-12*('TCO TO BE- SW'!$D152-1))*((L$4+'TCO TO BE - HW'!L$4)/($E$4+'TCO TO BE - HW'!$E$4)*SUM(EXTERNE_POZICIE!$M$53:$M$64)*1.2)/EXTERNE_POZICIE!$B$53)),0)</f>
        <v>0</v>
      </c>
      <c r="M162" s="579">
        <f>IFERROR(IF((POZICIE_INTERNE!$B$73-12*('TCO TO BE- SW'!$D152-1))&gt;12,((M$4+'TCO TO BE - HW'!M$4)/($E$4+'TCO TO BE - HW'!$E$4)*SUM(POZICIE_INTERNE!$I$73:$I$84))/POZICIE_INTERNE!$B$73*12,IF((POZICIE_INTERNE!$B$73-12*('TCO TO BE- SW'!$D152-1))&lt;0,0,(POZICIE_INTERNE!$B$73-12*('TCO TO BE- SW'!$D152-1))*((M$4+'TCO TO BE - HW'!M$4)/($E$4+'TCO TO BE - HW'!$E$4)*SUM(POZICIE_INTERNE!$I$73:$I$84))/POZICIE_INTERNE!$B$73)),0)+IFERROR(IF((EXTERNE_POZICIE!$B$53-12*('TCO TO BE- SW'!$D152-1))&gt;12,((M$4+'TCO TO BE - HW'!M$4)/($E$4+'TCO TO BE - HW'!$E$4)*SUM(EXTERNE_POZICIE!$M$53:$M$64)*1.2)/EXTERNE_POZICIE!$B$41*12,IF((EXTERNE_POZICIE!$B$53-12*('TCO TO BE- SW'!$D152-1))&lt;0,0,(EXTERNE_POZICIE!$B$53-12*('TCO TO BE- SW'!$D152-1))*((M$4+'TCO TO BE - HW'!M$4)/($E$4+'TCO TO BE - HW'!$E$4)*SUM(EXTERNE_POZICIE!$M$53:$M$64)*1.2)/EXTERNE_POZICIE!$B$53)),0)</f>
        <v>0</v>
      </c>
      <c r="N162" s="579">
        <f>IFERROR(IF((POZICIE_INTERNE!$B$73-12*('TCO TO BE- SW'!$D152-1))&gt;12,((N$4+'TCO TO BE - HW'!N$4)/($E$4+'TCO TO BE - HW'!$E$4)*SUM(POZICIE_INTERNE!$I$73:$I$84))/POZICIE_INTERNE!$B$73*12,IF((POZICIE_INTERNE!$B$73-12*('TCO TO BE- SW'!$D152-1))&lt;0,0,(POZICIE_INTERNE!$B$73-12*('TCO TO BE- SW'!$D152-1))*((N$4+'TCO TO BE - HW'!N$4)/($E$4+'TCO TO BE - HW'!$E$4)*SUM(POZICIE_INTERNE!$I$73:$I$84))/POZICIE_INTERNE!$B$73)),0)+IFERROR(IF((EXTERNE_POZICIE!$B$53-12*('TCO TO BE- SW'!$D152-1))&gt;12,((N$4+'TCO TO BE - HW'!N$4)/($E$4+'TCO TO BE - HW'!$E$4)*SUM(EXTERNE_POZICIE!$M$53:$M$64)*1.2)/EXTERNE_POZICIE!$B$41*12,IF((EXTERNE_POZICIE!$B$53-12*('TCO TO BE- SW'!$D152-1))&lt;0,0,(EXTERNE_POZICIE!$B$53-12*('TCO TO BE- SW'!$D152-1))*((N$4+'TCO TO BE - HW'!N$4)/($E$4+'TCO TO BE - HW'!$E$4)*SUM(EXTERNE_POZICIE!$M$53:$M$64)*1.2)/EXTERNE_POZICIE!$B$53)),0)</f>
        <v>0</v>
      </c>
      <c r="O162" s="579">
        <f>IFERROR(IF((POZICIE_INTERNE!$B$73-12*('TCO TO BE- SW'!$D152-1))&gt;12,((O$4+'TCO TO BE - HW'!O$4)/($E$4+'TCO TO BE - HW'!$E$4)*SUM(POZICIE_INTERNE!$I$73:$I$84))/POZICIE_INTERNE!$B$73*12,IF((POZICIE_INTERNE!$B$73-12*('TCO TO BE- SW'!$D152-1))&lt;0,0,(POZICIE_INTERNE!$B$73-12*('TCO TO BE- SW'!$D152-1))*((O$4+'TCO TO BE - HW'!O$4)/($E$4+'TCO TO BE - HW'!$E$4)*SUM(POZICIE_INTERNE!$I$73:$I$84))/POZICIE_INTERNE!$B$73)),0)+IFERROR(IF((EXTERNE_POZICIE!$B$53-12*('TCO TO BE- SW'!$D152-1))&gt;12,((O$4+'TCO TO BE - HW'!O$4)/($E$4+'TCO TO BE - HW'!$E$4)*SUM(EXTERNE_POZICIE!$M$53:$M$64)*1.2)/EXTERNE_POZICIE!$B$41*12,IF((EXTERNE_POZICIE!$B$53-12*('TCO TO BE- SW'!$D152-1))&lt;0,0,(EXTERNE_POZICIE!$B$53-12*('TCO TO BE- SW'!$D152-1))*((O$4+'TCO TO BE - HW'!O$4)/($E$4+'TCO TO BE - HW'!$E$4)*SUM(EXTERNE_POZICIE!$M$53:$M$64)*1.2)/EXTERNE_POZICIE!$B$53)),0)</f>
        <v>0</v>
      </c>
      <c r="P162" s="579">
        <f>IFERROR(IF((POZICIE_INTERNE!$B$73-12*('TCO TO BE- SW'!$D152-1))&gt;12,((P$4+'TCO TO BE - HW'!P$4)/($E$4+'TCO TO BE - HW'!$E$4)*SUM(POZICIE_INTERNE!$I$73:$I$84))/POZICIE_INTERNE!$B$73*12,IF((POZICIE_INTERNE!$B$73-12*('TCO TO BE- SW'!$D152-1))&lt;0,0,(POZICIE_INTERNE!$B$73-12*('TCO TO BE- SW'!$D152-1))*((P$4+'TCO TO BE - HW'!P$4)/($E$4+'TCO TO BE - HW'!$E$4)*SUM(POZICIE_INTERNE!$I$73:$I$84))/POZICIE_INTERNE!$B$73)),0)+IFERROR(IF((EXTERNE_POZICIE!$B$53-12*('TCO TO BE- SW'!$D152-1))&gt;12,((P$4+'TCO TO BE - HW'!P$4)/($E$4+'TCO TO BE - HW'!$E$4)*SUM(EXTERNE_POZICIE!$M$53:$M$64)*1.2)/EXTERNE_POZICIE!$B$41*12,IF((EXTERNE_POZICIE!$B$53-12*('TCO TO BE- SW'!$D152-1))&lt;0,0,(EXTERNE_POZICIE!$B$53-12*('TCO TO BE- SW'!$D152-1))*((P$4+'TCO TO BE - HW'!P$4)/($E$4+'TCO TO BE - HW'!$E$4)*SUM(EXTERNE_POZICIE!$M$53:$M$64)*1.2)/EXTERNE_POZICIE!$B$53)),0)</f>
        <v>0</v>
      </c>
      <c r="Q162" s="579">
        <f>IFERROR(IF((POZICIE_INTERNE!$B$73-12*('TCO TO BE- SW'!$D152-1))&gt;12,((Q$4+'TCO TO BE - HW'!Q$4)/($E$4+'TCO TO BE - HW'!$E$4)*SUM(POZICIE_INTERNE!$I$73:$I$84))/POZICIE_INTERNE!$B$73*12,IF((POZICIE_INTERNE!$B$73-12*('TCO TO BE- SW'!$D152-1))&lt;0,0,(POZICIE_INTERNE!$B$73-12*('TCO TO BE- SW'!$D152-1))*((Q$4+'TCO TO BE - HW'!Q$4)/($E$4+'TCO TO BE - HW'!$E$4)*SUM(POZICIE_INTERNE!$I$73:$I$84))/POZICIE_INTERNE!$B$73)),0)+IFERROR(IF((EXTERNE_POZICIE!$B$53-12*('TCO TO BE- SW'!$D152-1))&gt;12,((Q$4+'TCO TO BE - HW'!Q$4)/($E$4+'TCO TO BE - HW'!$E$4)*SUM(EXTERNE_POZICIE!$M$53:$M$64)*1.2)/EXTERNE_POZICIE!$B$41*12,IF((EXTERNE_POZICIE!$B$53-12*('TCO TO BE- SW'!$D152-1))&lt;0,0,(EXTERNE_POZICIE!$B$53-12*('TCO TO BE- SW'!$D152-1))*((Q$4+'TCO TO BE - HW'!Q$4)/($E$4+'TCO TO BE - HW'!$E$4)*SUM(EXTERNE_POZICIE!$M$53:$M$64)*1.2)/EXTERNE_POZICIE!$B$53)),0)</f>
        <v>0</v>
      </c>
      <c r="R162" s="579">
        <f>IFERROR(IF((POZICIE_INTERNE!$B$73-12*('TCO TO BE- SW'!$D152-1))&gt;12,((R$4+'TCO TO BE - HW'!R$4)/($E$4+'TCO TO BE - HW'!$E$4)*SUM(POZICIE_INTERNE!$I$73:$I$84))/POZICIE_INTERNE!$B$73*12,IF((POZICIE_INTERNE!$B$73-12*('TCO TO BE- SW'!$D152-1))&lt;0,0,(POZICIE_INTERNE!$B$73-12*('TCO TO BE- SW'!$D152-1))*((R$4+'TCO TO BE - HW'!R$4)/($E$4+'TCO TO BE - HW'!$E$4)*SUM(POZICIE_INTERNE!$I$73:$I$84))/POZICIE_INTERNE!$B$73)),0)+IFERROR(IF((EXTERNE_POZICIE!$B$53-12*('TCO TO BE- SW'!$D152-1))&gt;12,((R$4+'TCO TO BE - HW'!R$4)/($E$4+'TCO TO BE - HW'!$E$4)*SUM(EXTERNE_POZICIE!$M$53:$M$64)*1.2)/EXTERNE_POZICIE!$B$41*12,IF((EXTERNE_POZICIE!$B$53-12*('TCO TO BE- SW'!$D152-1))&lt;0,0,(EXTERNE_POZICIE!$B$53-12*('TCO TO BE- SW'!$D152-1))*((R$4+'TCO TO BE - HW'!R$4)/($E$4+'TCO TO BE - HW'!$E$4)*SUM(EXTERNE_POZICIE!$M$53:$M$64)*1.2)/EXTERNE_POZICIE!$B$53)),0)</f>
        <v>0</v>
      </c>
      <c r="S162" s="579">
        <f>IFERROR(IF((POZICIE_INTERNE!$B$73-12*('TCO TO BE- SW'!$D152-1))&gt;12,((S$4+'TCO TO BE - HW'!S$4)/($E$4+'TCO TO BE - HW'!$E$4)*SUM(POZICIE_INTERNE!$I$73:$I$84))/POZICIE_INTERNE!$B$73*12,IF((POZICIE_INTERNE!$B$73-12*('TCO TO BE- SW'!$D152-1))&lt;0,0,(POZICIE_INTERNE!$B$73-12*('TCO TO BE- SW'!$D152-1))*((S$4+'TCO TO BE - HW'!S$4)/($E$4+'TCO TO BE - HW'!$E$4)*SUM(POZICIE_INTERNE!$I$73:$I$84))/POZICIE_INTERNE!$B$73)),0)+IFERROR(IF((EXTERNE_POZICIE!$B$53-12*('TCO TO BE- SW'!$D152-1))&gt;12,((S$4+'TCO TO BE - HW'!S$4)/($E$4+'TCO TO BE - HW'!$E$4)*SUM(EXTERNE_POZICIE!$M$53:$M$64)*1.2)/EXTERNE_POZICIE!$B$41*12,IF((EXTERNE_POZICIE!$B$53-12*('TCO TO BE- SW'!$D152-1))&lt;0,0,(EXTERNE_POZICIE!$B$53-12*('TCO TO BE- SW'!$D152-1))*((S$4+'TCO TO BE - HW'!S$4)/($E$4+'TCO TO BE - HW'!$E$4)*SUM(EXTERNE_POZICIE!$M$53:$M$64)*1.2)/EXTERNE_POZICIE!$B$53)),0)</f>
        <v>0</v>
      </c>
      <c r="T162" s="579">
        <f>IFERROR(IF((POZICIE_INTERNE!$B$73-12*('TCO TO BE- SW'!$D152-1))&gt;12,((T$4+'TCO TO BE - HW'!T$4)/($E$4+'TCO TO BE - HW'!$E$4)*SUM(POZICIE_INTERNE!$I$73:$I$84))/POZICIE_INTERNE!$B$73*12,IF((POZICIE_INTERNE!$B$73-12*('TCO TO BE- SW'!$D152-1))&lt;0,0,(POZICIE_INTERNE!$B$73-12*('TCO TO BE- SW'!$D152-1))*((T$4+'TCO TO BE - HW'!T$4)/($E$4+'TCO TO BE - HW'!$E$4)*SUM(POZICIE_INTERNE!$I$73:$I$84))/POZICIE_INTERNE!$B$73)),0)+IFERROR(IF((EXTERNE_POZICIE!$B$53-12*('TCO TO BE- SW'!$D152-1))&gt;12,((T$4+'TCO TO BE - HW'!T$4)/($E$4+'TCO TO BE - HW'!$E$4)*SUM(EXTERNE_POZICIE!$M$53:$M$64)*1.2)/EXTERNE_POZICIE!$B$41*12,IF((EXTERNE_POZICIE!$B$53-12*('TCO TO BE- SW'!$D152-1))&lt;0,0,(EXTERNE_POZICIE!$B$53-12*('TCO TO BE- SW'!$D152-1))*((T$4+'TCO TO BE - HW'!T$4)/($E$4+'TCO TO BE - HW'!$E$4)*SUM(EXTERNE_POZICIE!$M$53:$M$64)*1.2)/EXTERNE_POZICIE!$B$53)),0)</f>
        <v>0</v>
      </c>
      <c r="U162" s="579">
        <f>IFERROR(IF((POZICIE_INTERNE!$B$73-12*('TCO TO BE- SW'!$D152-1))&gt;12,((U$4+'TCO TO BE - HW'!U$4)/($E$4+'TCO TO BE - HW'!$E$4)*SUM(POZICIE_INTERNE!$I$73:$I$84))/POZICIE_INTERNE!$B$73*12,IF((POZICIE_INTERNE!$B$73-12*('TCO TO BE- SW'!$D152-1))&lt;0,0,(POZICIE_INTERNE!$B$73-12*('TCO TO BE- SW'!$D152-1))*((U$4+'TCO TO BE - HW'!U$4)/($E$4+'TCO TO BE - HW'!$E$4)*SUM(POZICIE_INTERNE!$I$73:$I$84))/POZICIE_INTERNE!$B$73)),0)+IFERROR(IF((EXTERNE_POZICIE!$B$53-12*('TCO TO BE- SW'!$D152-1))&gt;12,((U$4+'TCO TO BE - HW'!U$4)/($E$4+'TCO TO BE - HW'!$E$4)*SUM(EXTERNE_POZICIE!$M$53:$M$64)*1.2)/EXTERNE_POZICIE!$B$41*12,IF((EXTERNE_POZICIE!$B$53-12*('TCO TO BE- SW'!$D152-1))&lt;0,0,(EXTERNE_POZICIE!$B$53-12*('TCO TO BE- SW'!$D152-1))*((U$4+'TCO TO BE - HW'!U$4)/($E$4+'TCO TO BE - HW'!$E$4)*SUM(EXTERNE_POZICIE!$M$53:$M$64)*1.2)/EXTERNE_POZICIE!$B$53)),0)</f>
        <v>0</v>
      </c>
      <c r="V162" s="579">
        <f>IFERROR(IF((POZICIE_INTERNE!$B$73-12*('TCO TO BE- SW'!$D152-1))&gt;12,((V$4+'TCO TO BE - HW'!V$4)/($E$4+'TCO TO BE - HW'!$E$4)*SUM(POZICIE_INTERNE!$I$73:$I$84))/POZICIE_INTERNE!$B$73*12,IF((POZICIE_INTERNE!$B$73-12*('TCO TO BE- SW'!$D152-1))&lt;0,0,(POZICIE_INTERNE!$B$73-12*('TCO TO BE- SW'!$D152-1))*((V$4+'TCO TO BE - HW'!V$4)/($E$4+'TCO TO BE - HW'!$E$4)*SUM(POZICIE_INTERNE!$I$73:$I$84))/POZICIE_INTERNE!$B$73)),0)+IFERROR(IF((EXTERNE_POZICIE!$B$53-12*('TCO TO BE- SW'!$D152-1))&gt;12,((V$4+'TCO TO BE - HW'!V$4)/($E$4+'TCO TO BE - HW'!$E$4)*SUM(EXTERNE_POZICIE!$M$53:$M$64)*1.2)/EXTERNE_POZICIE!$B$41*12,IF((EXTERNE_POZICIE!$B$53-12*('TCO TO BE- SW'!$D152-1))&lt;0,0,(EXTERNE_POZICIE!$B$53-12*('TCO TO BE- SW'!$D152-1))*((V$4+'TCO TO BE - HW'!V$4)/($E$4+'TCO TO BE - HW'!$E$4)*SUM(EXTERNE_POZICIE!$M$53:$M$64)*1.2)/EXTERNE_POZICIE!$B$53)),0)</f>
        <v>0</v>
      </c>
      <c r="W162" s="579">
        <f>IFERROR(IF((POZICIE_INTERNE!$B$73-12*('TCO TO BE- SW'!$D152-1))&gt;12,((W$4+'TCO TO BE - HW'!W$4)/($E$4+'TCO TO BE - HW'!$E$4)*SUM(POZICIE_INTERNE!$I$73:$I$84))/POZICIE_INTERNE!$B$73*12,IF((POZICIE_INTERNE!$B$73-12*('TCO TO BE- SW'!$D152-1))&lt;0,0,(POZICIE_INTERNE!$B$73-12*('TCO TO BE- SW'!$D152-1))*((W$4+'TCO TO BE - HW'!W$4)/($E$4+'TCO TO BE - HW'!$E$4)*SUM(POZICIE_INTERNE!$I$73:$I$84))/POZICIE_INTERNE!$B$73)),0)+IFERROR(IF((EXTERNE_POZICIE!$B$53-12*('TCO TO BE- SW'!$D152-1))&gt;12,((W$4+'TCO TO BE - HW'!W$4)/($E$4+'TCO TO BE - HW'!$E$4)*SUM(EXTERNE_POZICIE!$M$53:$M$64)*1.2)/EXTERNE_POZICIE!$B$41*12,IF((EXTERNE_POZICIE!$B$53-12*('TCO TO BE- SW'!$D152-1))&lt;0,0,(EXTERNE_POZICIE!$B$53-12*('TCO TO BE- SW'!$D152-1))*((W$4+'TCO TO BE - HW'!W$4)/($E$4+'TCO TO BE - HW'!$E$4)*SUM(EXTERNE_POZICIE!$M$53:$M$64)*1.2)/EXTERNE_POZICIE!$B$53)),0)</f>
        <v>0</v>
      </c>
      <c r="X162" s="579">
        <f>IFERROR(IF((POZICIE_INTERNE!$B$73-12*('TCO TO BE- SW'!$D152-1))&gt;12,((X$4+'TCO TO BE - HW'!X$4)/($E$4+'TCO TO BE - HW'!$E$4)*SUM(POZICIE_INTERNE!$I$73:$I$84))/POZICIE_INTERNE!$B$73*12,IF((POZICIE_INTERNE!$B$73-12*('TCO TO BE- SW'!$D152-1))&lt;0,0,(POZICIE_INTERNE!$B$73-12*('TCO TO BE- SW'!$D152-1))*((X$4+'TCO TO BE - HW'!X$4)/($E$4+'TCO TO BE - HW'!$E$4)*SUM(POZICIE_INTERNE!$I$73:$I$84))/POZICIE_INTERNE!$B$73)),0)+IFERROR(IF((EXTERNE_POZICIE!$B$53-12*('TCO TO BE- SW'!$D152-1))&gt;12,((X$4+'TCO TO BE - HW'!X$4)/($E$4+'TCO TO BE - HW'!$E$4)*SUM(EXTERNE_POZICIE!$M$53:$M$64)*1.2)/EXTERNE_POZICIE!$B$41*12,IF((EXTERNE_POZICIE!$B$53-12*('TCO TO BE- SW'!$D152-1))&lt;0,0,(EXTERNE_POZICIE!$B$53-12*('TCO TO BE- SW'!$D152-1))*((X$4+'TCO TO BE - HW'!X$4)/($E$4+'TCO TO BE - HW'!$E$4)*SUM(EXTERNE_POZICIE!$M$53:$M$64)*1.2)/EXTERNE_POZICIE!$B$53)),0)</f>
        <v>0</v>
      </c>
      <c r="Y162" s="579">
        <f>IFERROR(IF((POZICIE_INTERNE!$B$73-12*('TCO TO BE- SW'!$D152-1))&gt;12,((Y$4+'TCO TO BE - HW'!Y$4)/($E$4+'TCO TO BE - HW'!$E$4)*SUM(POZICIE_INTERNE!$I$73:$I$84))/POZICIE_INTERNE!$B$73*12,IF((POZICIE_INTERNE!$B$73-12*('TCO TO BE- SW'!$D152-1))&lt;0,0,(POZICIE_INTERNE!$B$73-12*('TCO TO BE- SW'!$D152-1))*((Y$4+'TCO TO BE - HW'!Y$4)/($E$4+'TCO TO BE - HW'!$E$4)*SUM(POZICIE_INTERNE!$I$73:$I$84))/POZICIE_INTERNE!$B$73)),0)+IFERROR(IF((EXTERNE_POZICIE!$B$53-12*('TCO TO BE- SW'!$D152-1))&gt;12,((Y$4+'TCO TO BE - HW'!Y$4)/($E$4+'TCO TO BE - HW'!$E$4)*SUM(EXTERNE_POZICIE!$M$53:$M$64)*1.2)/EXTERNE_POZICIE!$B$41*12,IF((EXTERNE_POZICIE!$B$53-12*('TCO TO BE- SW'!$D152-1))&lt;0,0,(EXTERNE_POZICIE!$B$53-12*('TCO TO BE- SW'!$D152-1))*((Y$4+'TCO TO BE - HW'!Y$4)/($E$4+'TCO TO BE - HW'!$E$4)*SUM(EXTERNE_POZICIE!$M$53:$M$64)*1.2)/EXTERNE_POZICIE!$B$53)),0)</f>
        <v>0</v>
      </c>
      <c r="Z162" s="579">
        <f>IFERROR(IF((POZICIE_INTERNE!$B$73-12*('TCO TO BE- SW'!$D152-1))&gt;12,((Z$4+'TCO TO BE - HW'!Z$4)/($E$4+'TCO TO BE - HW'!$E$4)*SUM(POZICIE_INTERNE!$I$73:$I$84))/POZICIE_INTERNE!$B$73*12,IF((POZICIE_INTERNE!$B$73-12*('TCO TO BE- SW'!$D152-1))&lt;0,0,(POZICIE_INTERNE!$B$73-12*('TCO TO BE- SW'!$D152-1))*((Z$4+'TCO TO BE - HW'!Z$4)/($E$4+'TCO TO BE - HW'!$E$4)*SUM(POZICIE_INTERNE!$I$73:$I$84))/POZICIE_INTERNE!$B$73)),0)+IFERROR(IF((EXTERNE_POZICIE!$B$53-12*('TCO TO BE- SW'!$D152-1))&gt;12,((Z$4+'TCO TO BE - HW'!Z$4)/($E$4+'TCO TO BE - HW'!$E$4)*SUM(EXTERNE_POZICIE!$M$53:$M$64)*1.2)/EXTERNE_POZICIE!$B$41*12,IF((EXTERNE_POZICIE!$B$53-12*('TCO TO BE- SW'!$D152-1))&lt;0,0,(EXTERNE_POZICIE!$B$53-12*('TCO TO BE- SW'!$D152-1))*((Z$4+'TCO TO BE - HW'!Z$4)/($E$4+'TCO TO BE - HW'!$E$4)*SUM(EXTERNE_POZICIE!$M$53:$M$64)*1.2)/EXTERNE_POZICIE!$B$53)),0)</f>
        <v>0</v>
      </c>
    </row>
    <row r="163" spans="1:26" x14ac:dyDescent="0.2">
      <c r="A163" s="1390"/>
      <c r="B163" s="1391"/>
      <c r="C163" s="1391"/>
      <c r="D163" s="64">
        <v>3</v>
      </c>
      <c r="E163" s="68">
        <f t="shared" si="16"/>
        <v>0</v>
      </c>
      <c r="F163" s="579">
        <f>IFERROR(IF((POZICIE_INTERNE!$B$73-12*('TCO TO BE- SW'!$D153-1))&gt;12,((F$4+'TCO TO BE - HW'!F$4)/($E$4+'TCO TO BE - HW'!$E$4)*SUM(POZICIE_INTERNE!$I$73:$I$84))/POZICIE_INTERNE!$B$73*12,IF((POZICIE_INTERNE!$B$73-12*('TCO TO BE- SW'!$D153-1))&lt;0,0,(POZICIE_INTERNE!$B$73-12*('TCO TO BE- SW'!$D153-1))*((F$4+'TCO TO BE - HW'!F$4)/($E$4+'TCO TO BE - HW'!$E$4)*SUM(POZICIE_INTERNE!$I$73:$I$84))/POZICIE_INTERNE!$B$73)),0)+IFERROR(IF((EXTERNE_POZICIE!$B$53-12*('TCO TO BE- SW'!$D153-1))&gt;12,((F$4+'TCO TO BE - HW'!F$4)/($E$4+'TCO TO BE - HW'!$E$4)*SUM(EXTERNE_POZICIE!$M$53:$M$64)*1.23)/EXTERNE_POZICIE!$B$41*12,IF((EXTERNE_POZICIE!$B$53-12*('TCO TO BE- SW'!$D153-1))&lt;0,0,(EXTERNE_POZICIE!$B$53-12*('TCO TO BE- SW'!$D153-1))*((F$4+'TCO TO BE - HW'!F$4)/($E$4+'TCO TO BE - HW'!$E$4)*SUM(EXTERNE_POZICIE!$M$53:$M$64)*1.23)/EXTERNE_POZICIE!$B$53)),0)+IFERROR(SUM(#REF!)*'TCO TO BE- SW'!F$4/'TCO TO BE- SW'!$E$4,0)</f>
        <v>0</v>
      </c>
      <c r="G163" s="579">
        <f>IFERROR(IF((POZICIE_INTERNE!$B$73-12*('TCO TO BE- SW'!$D153-1))&gt;12,((G$4+'TCO TO BE - HW'!G$4)/($E$4+'TCO TO BE - HW'!$E$4)*SUM(POZICIE_INTERNE!$I$73:$I$84))/POZICIE_INTERNE!$B$73*12,IF((POZICIE_INTERNE!$B$73-12*('TCO TO BE- SW'!$D153-1))&lt;0,0,(POZICIE_INTERNE!$B$73-12*('TCO TO BE- SW'!$D153-1))*((G$4+'TCO TO BE - HW'!G$4)/($E$4+'TCO TO BE - HW'!$E$4)*SUM(POZICIE_INTERNE!$I$73:$I$84))/POZICIE_INTERNE!$B$73)),0)+IFERROR(IF((EXTERNE_POZICIE!$B$53-12*('TCO TO BE- SW'!$D153-1))&gt;12,((G$4+'TCO TO BE - HW'!G$4)/($E$4+'TCO TO BE - HW'!$E$4)*SUM(EXTERNE_POZICIE!$M$53:$M$64)*1.23)/EXTERNE_POZICIE!$B$41*12,IF((EXTERNE_POZICIE!$B$53-12*('TCO TO BE- SW'!$D153-1))&lt;0,0,(EXTERNE_POZICIE!$B$53-12*('TCO TO BE- SW'!$D153-1))*((G$4+'TCO TO BE - HW'!G$4)/($E$4+'TCO TO BE - HW'!$E$4)*SUM(EXTERNE_POZICIE!$M$53:$M$64)*1.23)/EXTERNE_POZICIE!$B$53)),0)+IFERROR(SUM(#REF!)*'TCO TO BE- SW'!G$4/'TCO TO BE- SW'!$E$4,0)</f>
        <v>0</v>
      </c>
      <c r="H163" s="579">
        <f>IFERROR(IF((POZICIE_INTERNE!$B$73-12*('TCO TO BE- SW'!$D153-1))&gt;12,((H$4+'TCO TO BE - HW'!H$4)/($E$4+'TCO TO BE - HW'!$E$4)*SUM(POZICIE_INTERNE!$I$73:$I$84))/POZICIE_INTERNE!$B$73*12,IF((POZICIE_INTERNE!$B$73-12*('TCO TO BE- SW'!$D153-1))&lt;0,0,(POZICIE_INTERNE!$B$73-12*('TCO TO BE- SW'!$D153-1))*((H$4+'TCO TO BE - HW'!H$4)/($E$4+'TCO TO BE - HW'!$E$4)*SUM(POZICIE_INTERNE!$I$73:$I$84))/POZICIE_INTERNE!$B$73)),0)+IFERROR(IF((EXTERNE_POZICIE!$B$53-12*('TCO TO BE- SW'!$D153-1))&gt;12,((H$4+'TCO TO BE - HW'!H$4)/($E$4+'TCO TO BE - HW'!$E$4)*SUM(EXTERNE_POZICIE!$M$53:$M$64)*1.23)/EXTERNE_POZICIE!$B$41*12,IF((EXTERNE_POZICIE!$B$53-12*('TCO TO BE- SW'!$D153-1))&lt;0,0,(EXTERNE_POZICIE!$B$53-12*('TCO TO BE- SW'!$D153-1))*((H$4+'TCO TO BE - HW'!H$4)/($E$4+'TCO TO BE - HW'!$E$4)*SUM(EXTERNE_POZICIE!$M$53:$M$64)*1.23)/EXTERNE_POZICIE!$B$53)),0)+IFERROR(SUM(#REF!)*'TCO TO BE- SW'!H$4/'TCO TO BE- SW'!$E$4,0)</f>
        <v>0</v>
      </c>
      <c r="I163" s="579">
        <f>IFERROR(IF((POZICIE_INTERNE!$B$73-12*('TCO TO BE- SW'!$D153-1))&gt;12,((I$4+'TCO TO BE - HW'!I$4)/($E$4+'TCO TO BE - HW'!$E$4)*SUM(POZICIE_INTERNE!$I$73:$I$84))/POZICIE_INTERNE!$B$73*12,IF((POZICIE_INTERNE!$B$73-12*('TCO TO BE- SW'!$D153-1))&lt;0,0,(POZICIE_INTERNE!$B$73-12*('TCO TO BE- SW'!$D153-1))*((I$4+'TCO TO BE - HW'!I$4)/($E$4+'TCO TO BE - HW'!$E$4)*SUM(POZICIE_INTERNE!$I$73:$I$84))/POZICIE_INTERNE!$B$73)),0)+IFERROR(IF((EXTERNE_POZICIE!$B$53-12*('TCO TO BE- SW'!$D153-1))&gt;12,((I$4+'TCO TO BE - HW'!I$4)/($E$4+'TCO TO BE - HW'!$E$4)*SUM(EXTERNE_POZICIE!$M$53:$M$64)*1.23)/EXTERNE_POZICIE!$B$41*12,IF((EXTERNE_POZICIE!$B$53-12*('TCO TO BE- SW'!$D153-1))&lt;0,0,(EXTERNE_POZICIE!$B$53-12*('TCO TO BE- SW'!$D153-1))*((I$4+'TCO TO BE - HW'!I$4)/($E$4+'TCO TO BE - HW'!$E$4)*SUM(EXTERNE_POZICIE!$M$53:$M$64)*1.23)/EXTERNE_POZICIE!$B$53)),0)+IFERROR(SUM(#REF!)*'TCO TO BE- SW'!I$4/'TCO TO BE- SW'!$E$4,0)</f>
        <v>0</v>
      </c>
      <c r="J163" s="579">
        <f>IFERROR(IF((POZICIE_INTERNE!$B$73-12*('TCO TO BE- SW'!$D153-1))&gt;12,((J$4+'TCO TO BE - HW'!J$4)/($E$4+'TCO TO BE - HW'!$E$4)*SUM(POZICIE_INTERNE!$I$73:$I$84))/POZICIE_INTERNE!$B$73*12,IF((POZICIE_INTERNE!$B$73-12*('TCO TO BE- SW'!$D153-1))&lt;0,0,(POZICIE_INTERNE!$B$73-12*('TCO TO BE- SW'!$D153-1))*((J$4+'TCO TO BE - HW'!J$4)/($E$4+'TCO TO BE - HW'!$E$4)*SUM(POZICIE_INTERNE!$I$73:$I$84))/POZICIE_INTERNE!$B$73)),0)+IFERROR(IF((EXTERNE_POZICIE!$B$53-12*('TCO TO BE- SW'!$D153-1))&gt;12,((J$4+'TCO TO BE - HW'!J$4)/($E$4+'TCO TO BE - HW'!$E$4)*SUM(EXTERNE_POZICIE!$M$53:$M$64)*1.23)/EXTERNE_POZICIE!$B$41*12,IF((EXTERNE_POZICIE!$B$53-12*('TCO TO BE- SW'!$D153-1))&lt;0,0,(EXTERNE_POZICIE!$B$53-12*('TCO TO BE- SW'!$D153-1))*((J$4+'TCO TO BE - HW'!J$4)/($E$4+'TCO TO BE - HW'!$E$4)*SUM(EXTERNE_POZICIE!$M$53:$M$64)*1.23)/EXTERNE_POZICIE!$B$53)),0)+IFERROR(SUM(#REF!)*'TCO TO BE- SW'!J$4/'TCO TO BE- SW'!$E$4,0)</f>
        <v>0</v>
      </c>
      <c r="K163" s="579">
        <f>IFERROR(IF((POZICIE_INTERNE!$B$73-12*('TCO TO BE- SW'!$D153-1))&gt;12,((K$4+'TCO TO BE - HW'!K$4)/($E$4+'TCO TO BE - HW'!$E$4)*SUM(POZICIE_INTERNE!$I$73:$I$84))/POZICIE_INTERNE!$B$73*12,IF((POZICIE_INTERNE!$B$73-12*('TCO TO BE- SW'!$D153-1))&lt;0,0,(POZICIE_INTERNE!$B$73-12*('TCO TO BE- SW'!$D153-1))*((K$4+'TCO TO BE - HW'!K$4)/($E$4+'TCO TO BE - HW'!$E$4)*SUM(POZICIE_INTERNE!$I$73:$I$84))/POZICIE_INTERNE!$B$73)),0)+IFERROR(IF((EXTERNE_POZICIE!$B$53-12*('TCO TO BE- SW'!$D153-1))&gt;12,((K$4+'TCO TO BE - HW'!K$4)/($E$4+'TCO TO BE - HW'!$E$4)*SUM(EXTERNE_POZICIE!$M$53:$M$64)*1.23)/EXTERNE_POZICIE!$B$41*12,IF((EXTERNE_POZICIE!$B$53-12*('TCO TO BE- SW'!$D153-1))&lt;0,0,(EXTERNE_POZICIE!$B$53-12*('TCO TO BE- SW'!$D153-1))*((K$4+'TCO TO BE - HW'!K$4)/($E$4+'TCO TO BE - HW'!$E$4)*SUM(EXTERNE_POZICIE!$M$53:$M$64)*1.23)/EXTERNE_POZICIE!$B$53)),0)+IFERROR(SUM(#REF!)*'TCO TO BE- SW'!K$4/'TCO TO BE- SW'!$E$4,0)</f>
        <v>0</v>
      </c>
      <c r="L163" s="579">
        <f>IFERROR(IF((POZICIE_INTERNE!$B$73-12*('TCO TO BE- SW'!$D153-1))&gt;12,((L$4+'TCO TO BE - HW'!L$4)/($E$4+'TCO TO BE - HW'!$E$4)*SUM(POZICIE_INTERNE!$I$73:$I$84))/POZICIE_INTERNE!$B$73*12,IF((POZICIE_INTERNE!$B$73-12*('TCO TO BE- SW'!$D153-1))&lt;0,0,(POZICIE_INTERNE!$B$73-12*('TCO TO BE- SW'!$D153-1))*((L$4+'TCO TO BE - HW'!L$4)/($E$4+'TCO TO BE - HW'!$E$4)*SUM(POZICIE_INTERNE!$I$73:$I$84))/POZICIE_INTERNE!$B$73)),0)+IFERROR(IF((EXTERNE_POZICIE!$B$53-12*('TCO TO BE- SW'!$D153-1))&gt;12,((L$4+'TCO TO BE - HW'!L$4)/($E$4+'TCO TO BE - HW'!$E$4)*SUM(EXTERNE_POZICIE!$M$53:$M$64)*1.23)/EXTERNE_POZICIE!$B$41*12,IF((EXTERNE_POZICIE!$B$53-12*('TCO TO BE- SW'!$D153-1))&lt;0,0,(EXTERNE_POZICIE!$B$53-12*('TCO TO BE- SW'!$D153-1))*((L$4+'TCO TO BE - HW'!L$4)/($E$4+'TCO TO BE - HW'!$E$4)*SUM(EXTERNE_POZICIE!$M$53:$M$64)*1.23)/EXTERNE_POZICIE!$B$53)),0)+IFERROR(SUM(#REF!)*'TCO TO BE- SW'!L$4/'TCO TO BE- SW'!$E$4,0)</f>
        <v>0</v>
      </c>
      <c r="M163" s="579">
        <f>IFERROR(IF((POZICIE_INTERNE!$B$73-12*('TCO TO BE- SW'!$D153-1))&gt;12,((M$4+'TCO TO BE - HW'!M$4)/($E$4+'TCO TO BE - HW'!$E$4)*SUM(POZICIE_INTERNE!$I$73:$I$84))/POZICIE_INTERNE!$B$73*12,IF((POZICIE_INTERNE!$B$73-12*('TCO TO BE- SW'!$D153-1))&lt;0,0,(POZICIE_INTERNE!$B$73-12*('TCO TO BE- SW'!$D153-1))*((M$4+'TCO TO BE - HW'!M$4)/($E$4+'TCO TO BE - HW'!$E$4)*SUM(POZICIE_INTERNE!$I$73:$I$84))/POZICIE_INTERNE!$B$73)),0)+IFERROR(IF((EXTERNE_POZICIE!$B$53-12*('TCO TO BE- SW'!$D153-1))&gt;12,((M$4+'TCO TO BE - HW'!M$4)/($E$4+'TCO TO BE - HW'!$E$4)*SUM(EXTERNE_POZICIE!$M$53:$M$64)*1.23)/EXTERNE_POZICIE!$B$41*12,IF((EXTERNE_POZICIE!$B$53-12*('TCO TO BE- SW'!$D153-1))&lt;0,0,(EXTERNE_POZICIE!$B$53-12*('TCO TO BE- SW'!$D153-1))*((M$4+'TCO TO BE - HW'!M$4)/($E$4+'TCO TO BE - HW'!$E$4)*SUM(EXTERNE_POZICIE!$M$53:$M$64)*1.23)/EXTERNE_POZICIE!$B$53)),0)+IFERROR(SUM(#REF!)*'TCO TO BE- SW'!M$4/'TCO TO BE- SW'!$E$4,0)</f>
        <v>0</v>
      </c>
      <c r="N163" s="579">
        <f>IFERROR(IF((POZICIE_INTERNE!$B$73-12*('TCO TO BE- SW'!$D153-1))&gt;12,((N$4+'TCO TO BE - HW'!N$4)/($E$4+'TCO TO BE - HW'!$E$4)*SUM(POZICIE_INTERNE!$I$73:$I$84))/POZICIE_INTERNE!$B$73*12,IF((POZICIE_INTERNE!$B$73-12*('TCO TO BE- SW'!$D153-1))&lt;0,0,(POZICIE_INTERNE!$B$73-12*('TCO TO BE- SW'!$D153-1))*((N$4+'TCO TO BE - HW'!N$4)/($E$4+'TCO TO BE - HW'!$E$4)*SUM(POZICIE_INTERNE!$I$73:$I$84))/POZICIE_INTERNE!$B$73)),0)+IFERROR(IF((EXTERNE_POZICIE!$B$53-12*('TCO TO BE- SW'!$D153-1))&gt;12,((N$4+'TCO TO BE - HW'!N$4)/($E$4+'TCO TO BE - HW'!$E$4)*SUM(EXTERNE_POZICIE!$M$53:$M$64)*1.23)/EXTERNE_POZICIE!$B$41*12,IF((EXTERNE_POZICIE!$B$53-12*('TCO TO BE- SW'!$D153-1))&lt;0,0,(EXTERNE_POZICIE!$B$53-12*('TCO TO BE- SW'!$D153-1))*((N$4+'TCO TO BE - HW'!N$4)/($E$4+'TCO TO BE - HW'!$E$4)*SUM(EXTERNE_POZICIE!$M$53:$M$64)*1.23)/EXTERNE_POZICIE!$B$53)),0)+IFERROR(SUM(#REF!)*'TCO TO BE- SW'!N$4/'TCO TO BE- SW'!$E$4,0)</f>
        <v>0</v>
      </c>
      <c r="O163" s="579">
        <f>IFERROR(IF((POZICIE_INTERNE!$B$73-12*('TCO TO BE- SW'!$D153-1))&gt;12,((O$4+'TCO TO BE - HW'!O$4)/($E$4+'TCO TO BE - HW'!$E$4)*SUM(POZICIE_INTERNE!$I$73:$I$84))/POZICIE_INTERNE!$B$73*12,IF((POZICIE_INTERNE!$B$73-12*('TCO TO BE- SW'!$D153-1))&lt;0,0,(POZICIE_INTERNE!$B$73-12*('TCO TO BE- SW'!$D153-1))*((O$4+'TCO TO BE - HW'!O$4)/($E$4+'TCO TO BE - HW'!$E$4)*SUM(POZICIE_INTERNE!$I$73:$I$84))/POZICIE_INTERNE!$B$73)),0)+IFERROR(IF((EXTERNE_POZICIE!$B$53-12*('TCO TO BE- SW'!$D153-1))&gt;12,((O$4+'TCO TO BE - HW'!O$4)/($E$4+'TCO TO BE - HW'!$E$4)*SUM(EXTERNE_POZICIE!$M$53:$M$64)*1.23)/EXTERNE_POZICIE!$B$41*12,IF((EXTERNE_POZICIE!$B$53-12*('TCO TO BE- SW'!$D153-1))&lt;0,0,(EXTERNE_POZICIE!$B$53-12*('TCO TO BE- SW'!$D153-1))*((O$4+'TCO TO BE - HW'!O$4)/($E$4+'TCO TO BE - HW'!$E$4)*SUM(EXTERNE_POZICIE!$M$53:$M$64)*1.23)/EXTERNE_POZICIE!$B$53)),0)+IFERROR(SUM(#REF!)*'TCO TO BE- SW'!O$4/'TCO TO BE- SW'!$E$4,0)</f>
        <v>0</v>
      </c>
      <c r="P163" s="579">
        <f>IFERROR(IF((POZICIE_INTERNE!$B$73-12*('TCO TO BE- SW'!$D153-1))&gt;12,((P$4+'TCO TO BE - HW'!P$4)/($E$4+'TCO TO BE - HW'!$E$4)*SUM(POZICIE_INTERNE!$I$73:$I$84))/POZICIE_INTERNE!$B$73*12,IF((POZICIE_INTERNE!$B$73-12*('TCO TO BE- SW'!$D153-1))&lt;0,0,(POZICIE_INTERNE!$B$73-12*('TCO TO BE- SW'!$D153-1))*((P$4+'TCO TO BE - HW'!P$4)/($E$4+'TCO TO BE - HW'!$E$4)*SUM(POZICIE_INTERNE!$I$73:$I$84))/POZICIE_INTERNE!$B$73)),0)+IFERROR(IF((EXTERNE_POZICIE!$B$53-12*('TCO TO BE- SW'!$D153-1))&gt;12,((P$4+'TCO TO BE - HW'!P$4)/($E$4+'TCO TO BE - HW'!$E$4)*SUM(EXTERNE_POZICIE!$M$53:$M$64)*1.23)/EXTERNE_POZICIE!$B$41*12,IF((EXTERNE_POZICIE!$B$53-12*('TCO TO BE- SW'!$D153-1))&lt;0,0,(EXTERNE_POZICIE!$B$53-12*('TCO TO BE- SW'!$D153-1))*((P$4+'TCO TO BE - HW'!P$4)/($E$4+'TCO TO BE - HW'!$E$4)*SUM(EXTERNE_POZICIE!$M$53:$M$64)*1.23)/EXTERNE_POZICIE!$B$53)),0)+IFERROR(SUM(#REF!)*'TCO TO BE- SW'!P$4/'TCO TO BE- SW'!$E$4,0)</f>
        <v>0</v>
      </c>
      <c r="Q163" s="579">
        <f>IFERROR(IF((POZICIE_INTERNE!$B$73-12*('TCO TO BE- SW'!$D153-1))&gt;12,((Q$4+'TCO TO BE - HW'!Q$4)/($E$4+'TCO TO BE - HW'!$E$4)*SUM(POZICIE_INTERNE!$I$73:$I$84))/POZICIE_INTERNE!$B$73*12,IF((POZICIE_INTERNE!$B$73-12*('TCO TO BE- SW'!$D153-1))&lt;0,0,(POZICIE_INTERNE!$B$73-12*('TCO TO BE- SW'!$D153-1))*((Q$4+'TCO TO BE - HW'!Q$4)/($E$4+'TCO TO BE - HW'!$E$4)*SUM(POZICIE_INTERNE!$I$73:$I$84))/POZICIE_INTERNE!$B$73)),0)+IFERROR(IF((EXTERNE_POZICIE!$B$53-12*('TCO TO BE- SW'!$D153-1))&gt;12,((Q$4+'TCO TO BE - HW'!Q$4)/($E$4+'TCO TO BE - HW'!$E$4)*SUM(EXTERNE_POZICIE!$M$53:$M$64)*1.23)/EXTERNE_POZICIE!$B$41*12,IF((EXTERNE_POZICIE!$B$53-12*('TCO TO BE- SW'!$D153-1))&lt;0,0,(EXTERNE_POZICIE!$B$53-12*('TCO TO BE- SW'!$D153-1))*((Q$4+'TCO TO BE - HW'!Q$4)/($E$4+'TCO TO BE - HW'!$E$4)*SUM(EXTERNE_POZICIE!$M$53:$M$64)*1.23)/EXTERNE_POZICIE!$B$53)),0)+IFERROR(SUM(#REF!)*'TCO TO BE- SW'!Q$4/'TCO TO BE- SW'!$E$4,0)</f>
        <v>0</v>
      </c>
      <c r="R163" s="579">
        <f>IFERROR(IF((POZICIE_INTERNE!$B$73-12*('TCO TO BE- SW'!$D153-1))&gt;12,((R$4+'TCO TO BE - HW'!R$4)/($E$4+'TCO TO BE - HW'!$E$4)*SUM(POZICIE_INTERNE!$I$73:$I$84))/POZICIE_INTERNE!$B$73*12,IF((POZICIE_INTERNE!$B$73-12*('TCO TO BE- SW'!$D153-1))&lt;0,0,(POZICIE_INTERNE!$B$73-12*('TCO TO BE- SW'!$D153-1))*((R$4+'TCO TO BE - HW'!R$4)/($E$4+'TCO TO BE - HW'!$E$4)*SUM(POZICIE_INTERNE!$I$73:$I$84))/POZICIE_INTERNE!$B$73)),0)+IFERROR(IF((EXTERNE_POZICIE!$B$53-12*('TCO TO BE- SW'!$D153-1))&gt;12,((R$4+'TCO TO BE - HW'!R$4)/($E$4+'TCO TO BE - HW'!$E$4)*SUM(EXTERNE_POZICIE!$M$53:$M$64)*1.23)/EXTERNE_POZICIE!$B$41*12,IF((EXTERNE_POZICIE!$B$53-12*('TCO TO BE- SW'!$D153-1))&lt;0,0,(EXTERNE_POZICIE!$B$53-12*('TCO TO BE- SW'!$D153-1))*((R$4+'TCO TO BE - HW'!R$4)/($E$4+'TCO TO BE - HW'!$E$4)*SUM(EXTERNE_POZICIE!$M$53:$M$64)*1.23)/EXTERNE_POZICIE!$B$53)),0)+IFERROR(SUM(#REF!)*'TCO TO BE- SW'!R$4/'TCO TO BE- SW'!$E$4,0)</f>
        <v>0</v>
      </c>
      <c r="S163" s="579">
        <f>IFERROR(IF((POZICIE_INTERNE!$B$73-12*('TCO TO BE- SW'!$D153-1))&gt;12,((S$4+'TCO TO BE - HW'!S$4)/($E$4+'TCO TO BE - HW'!$E$4)*SUM(POZICIE_INTERNE!$I$73:$I$84))/POZICIE_INTERNE!$B$73*12,IF((POZICIE_INTERNE!$B$73-12*('TCO TO BE- SW'!$D153-1))&lt;0,0,(POZICIE_INTERNE!$B$73-12*('TCO TO BE- SW'!$D153-1))*((S$4+'TCO TO BE - HW'!S$4)/($E$4+'TCO TO BE - HW'!$E$4)*SUM(POZICIE_INTERNE!$I$73:$I$84))/POZICIE_INTERNE!$B$73)),0)+IFERROR(IF((EXTERNE_POZICIE!$B$53-12*('TCO TO BE- SW'!$D153-1))&gt;12,((S$4+'TCO TO BE - HW'!S$4)/($E$4+'TCO TO BE - HW'!$E$4)*SUM(EXTERNE_POZICIE!$M$53:$M$64)*1.23)/EXTERNE_POZICIE!$B$41*12,IF((EXTERNE_POZICIE!$B$53-12*('TCO TO BE- SW'!$D153-1))&lt;0,0,(EXTERNE_POZICIE!$B$53-12*('TCO TO BE- SW'!$D153-1))*((S$4+'TCO TO BE - HW'!S$4)/($E$4+'TCO TO BE - HW'!$E$4)*SUM(EXTERNE_POZICIE!$M$53:$M$64)*1.23)/EXTERNE_POZICIE!$B$53)),0)+IFERROR(SUM(#REF!)*'TCO TO BE- SW'!S$4/'TCO TO BE- SW'!$E$4,0)</f>
        <v>0</v>
      </c>
      <c r="T163" s="579">
        <f>IFERROR(IF((POZICIE_INTERNE!$B$73-12*('TCO TO BE- SW'!$D153-1))&gt;12,((T$4+'TCO TO BE - HW'!T$4)/($E$4+'TCO TO BE - HW'!$E$4)*SUM(POZICIE_INTERNE!$I$73:$I$84))/POZICIE_INTERNE!$B$73*12,IF((POZICIE_INTERNE!$B$73-12*('TCO TO BE- SW'!$D153-1))&lt;0,0,(POZICIE_INTERNE!$B$73-12*('TCO TO BE- SW'!$D153-1))*((T$4+'TCO TO BE - HW'!T$4)/($E$4+'TCO TO BE - HW'!$E$4)*SUM(POZICIE_INTERNE!$I$73:$I$84))/POZICIE_INTERNE!$B$73)),0)+IFERROR(IF((EXTERNE_POZICIE!$B$53-12*('TCO TO BE- SW'!$D153-1))&gt;12,((T$4+'TCO TO BE - HW'!T$4)/($E$4+'TCO TO BE - HW'!$E$4)*SUM(EXTERNE_POZICIE!$M$53:$M$64)*1.23)/EXTERNE_POZICIE!$B$41*12,IF((EXTERNE_POZICIE!$B$53-12*('TCO TO BE- SW'!$D153-1))&lt;0,0,(EXTERNE_POZICIE!$B$53-12*('TCO TO BE- SW'!$D153-1))*((T$4+'TCO TO BE - HW'!T$4)/($E$4+'TCO TO BE - HW'!$E$4)*SUM(EXTERNE_POZICIE!$M$53:$M$64)*1.23)/EXTERNE_POZICIE!$B$53)),0)+IFERROR(SUM(#REF!)*'TCO TO BE- SW'!T$4/'TCO TO BE- SW'!$E$4,0)</f>
        <v>0</v>
      </c>
      <c r="U163" s="579">
        <f>IFERROR(IF((POZICIE_INTERNE!$B$73-12*('TCO TO BE- SW'!$D153-1))&gt;12,((U$4+'TCO TO BE - HW'!U$4)/($E$4+'TCO TO BE - HW'!$E$4)*SUM(POZICIE_INTERNE!$I$73:$I$84))/POZICIE_INTERNE!$B$73*12,IF((POZICIE_INTERNE!$B$73-12*('TCO TO BE- SW'!$D153-1))&lt;0,0,(POZICIE_INTERNE!$B$73-12*('TCO TO BE- SW'!$D153-1))*((U$4+'TCO TO BE - HW'!U$4)/($E$4+'TCO TO BE - HW'!$E$4)*SUM(POZICIE_INTERNE!$I$73:$I$84))/POZICIE_INTERNE!$B$73)),0)+IFERROR(IF((EXTERNE_POZICIE!$B$53-12*('TCO TO BE- SW'!$D153-1))&gt;12,((U$4+'TCO TO BE - HW'!U$4)/($E$4+'TCO TO BE - HW'!$E$4)*SUM(EXTERNE_POZICIE!$M$53:$M$64)*1.23)/EXTERNE_POZICIE!$B$41*12,IF((EXTERNE_POZICIE!$B$53-12*('TCO TO BE- SW'!$D153-1))&lt;0,0,(EXTERNE_POZICIE!$B$53-12*('TCO TO BE- SW'!$D153-1))*((U$4+'TCO TO BE - HW'!U$4)/($E$4+'TCO TO BE - HW'!$E$4)*SUM(EXTERNE_POZICIE!$M$53:$M$64)*1.23)/EXTERNE_POZICIE!$B$53)),0)+IFERROR(SUM(#REF!)*'TCO TO BE- SW'!U$4/'TCO TO BE- SW'!$E$4,0)</f>
        <v>0</v>
      </c>
      <c r="V163" s="579">
        <f>IFERROR(IF((POZICIE_INTERNE!$B$73-12*('TCO TO BE- SW'!$D153-1))&gt;12,((V$4+'TCO TO BE - HW'!V$4)/($E$4+'TCO TO BE - HW'!$E$4)*SUM(POZICIE_INTERNE!$I$73:$I$84))/POZICIE_INTERNE!$B$73*12,IF((POZICIE_INTERNE!$B$73-12*('TCO TO BE- SW'!$D153-1))&lt;0,0,(POZICIE_INTERNE!$B$73-12*('TCO TO BE- SW'!$D153-1))*((V$4+'TCO TO BE - HW'!V$4)/($E$4+'TCO TO BE - HW'!$E$4)*SUM(POZICIE_INTERNE!$I$73:$I$84))/POZICIE_INTERNE!$B$73)),0)+IFERROR(IF((EXTERNE_POZICIE!$B$53-12*('TCO TO BE- SW'!$D153-1))&gt;12,((V$4+'TCO TO BE - HW'!V$4)/($E$4+'TCO TO BE - HW'!$E$4)*SUM(EXTERNE_POZICIE!$M$53:$M$64)*1.23)/EXTERNE_POZICIE!$B$41*12,IF((EXTERNE_POZICIE!$B$53-12*('TCO TO BE- SW'!$D153-1))&lt;0,0,(EXTERNE_POZICIE!$B$53-12*('TCO TO BE- SW'!$D153-1))*((V$4+'TCO TO BE - HW'!V$4)/($E$4+'TCO TO BE - HW'!$E$4)*SUM(EXTERNE_POZICIE!$M$53:$M$64)*1.23)/EXTERNE_POZICIE!$B$53)),0)+IFERROR(SUM(#REF!)*'TCO TO BE- SW'!V$4/'TCO TO BE- SW'!$E$4,0)</f>
        <v>0</v>
      </c>
      <c r="W163" s="579">
        <f>IFERROR(IF((POZICIE_INTERNE!$B$73-12*('TCO TO BE- SW'!$D153-1))&gt;12,((W$4+'TCO TO BE - HW'!W$4)/($E$4+'TCO TO BE - HW'!$E$4)*SUM(POZICIE_INTERNE!$I$73:$I$84))/POZICIE_INTERNE!$B$73*12,IF((POZICIE_INTERNE!$B$73-12*('TCO TO BE- SW'!$D153-1))&lt;0,0,(POZICIE_INTERNE!$B$73-12*('TCO TO BE- SW'!$D153-1))*((W$4+'TCO TO BE - HW'!W$4)/($E$4+'TCO TO BE - HW'!$E$4)*SUM(POZICIE_INTERNE!$I$73:$I$84))/POZICIE_INTERNE!$B$73)),0)+IFERROR(IF((EXTERNE_POZICIE!$B$53-12*('TCO TO BE- SW'!$D153-1))&gt;12,((W$4+'TCO TO BE - HW'!W$4)/($E$4+'TCO TO BE - HW'!$E$4)*SUM(EXTERNE_POZICIE!$M$53:$M$64)*1.23)/EXTERNE_POZICIE!$B$41*12,IF((EXTERNE_POZICIE!$B$53-12*('TCO TO BE- SW'!$D153-1))&lt;0,0,(EXTERNE_POZICIE!$B$53-12*('TCO TO BE- SW'!$D153-1))*((W$4+'TCO TO BE - HW'!W$4)/($E$4+'TCO TO BE - HW'!$E$4)*SUM(EXTERNE_POZICIE!$M$53:$M$64)*1.23)/EXTERNE_POZICIE!$B$53)),0)+IFERROR(SUM(#REF!)*'TCO TO BE- SW'!W$4/'TCO TO BE- SW'!$E$4,0)</f>
        <v>0</v>
      </c>
      <c r="X163" s="579">
        <f>IFERROR(IF((POZICIE_INTERNE!$B$73-12*('TCO TO BE- SW'!$D153-1))&gt;12,((X$4+'TCO TO BE - HW'!X$4)/($E$4+'TCO TO BE - HW'!$E$4)*SUM(POZICIE_INTERNE!$I$73:$I$84))/POZICIE_INTERNE!$B$73*12,IF((POZICIE_INTERNE!$B$73-12*('TCO TO BE- SW'!$D153-1))&lt;0,0,(POZICIE_INTERNE!$B$73-12*('TCO TO BE- SW'!$D153-1))*((X$4+'TCO TO BE - HW'!X$4)/($E$4+'TCO TO BE - HW'!$E$4)*SUM(POZICIE_INTERNE!$I$73:$I$84))/POZICIE_INTERNE!$B$73)),0)+IFERROR(IF((EXTERNE_POZICIE!$B$53-12*('TCO TO BE- SW'!$D153-1))&gt;12,((X$4+'TCO TO BE - HW'!X$4)/($E$4+'TCO TO BE - HW'!$E$4)*SUM(EXTERNE_POZICIE!$M$53:$M$64)*1.23)/EXTERNE_POZICIE!$B$41*12,IF((EXTERNE_POZICIE!$B$53-12*('TCO TO BE- SW'!$D153-1))&lt;0,0,(EXTERNE_POZICIE!$B$53-12*('TCO TO BE- SW'!$D153-1))*((X$4+'TCO TO BE - HW'!X$4)/($E$4+'TCO TO BE - HW'!$E$4)*SUM(EXTERNE_POZICIE!$M$53:$M$64)*1.23)/EXTERNE_POZICIE!$B$53)),0)+IFERROR(SUM(#REF!)*'TCO TO BE- SW'!X$4/'TCO TO BE- SW'!$E$4,0)</f>
        <v>0</v>
      </c>
      <c r="Y163" s="579">
        <f>IFERROR(IF((POZICIE_INTERNE!$B$73-12*('TCO TO BE- SW'!$D153-1))&gt;12,((Y$4+'TCO TO BE - HW'!Y$4)/($E$4+'TCO TO BE - HW'!$E$4)*SUM(POZICIE_INTERNE!$I$73:$I$84))/POZICIE_INTERNE!$B$73*12,IF((POZICIE_INTERNE!$B$73-12*('TCO TO BE- SW'!$D153-1))&lt;0,0,(POZICIE_INTERNE!$B$73-12*('TCO TO BE- SW'!$D153-1))*((Y$4+'TCO TO BE - HW'!Y$4)/($E$4+'TCO TO BE - HW'!$E$4)*SUM(POZICIE_INTERNE!$I$73:$I$84))/POZICIE_INTERNE!$B$73)),0)+IFERROR(IF((EXTERNE_POZICIE!$B$53-12*('TCO TO BE- SW'!$D153-1))&gt;12,((Y$4+'TCO TO BE - HW'!Y$4)/($E$4+'TCO TO BE - HW'!$E$4)*SUM(EXTERNE_POZICIE!$M$53:$M$64)*1.23)/EXTERNE_POZICIE!$B$41*12,IF((EXTERNE_POZICIE!$B$53-12*('TCO TO BE- SW'!$D153-1))&lt;0,0,(EXTERNE_POZICIE!$B$53-12*('TCO TO BE- SW'!$D153-1))*((Y$4+'TCO TO BE - HW'!Y$4)/($E$4+'TCO TO BE - HW'!$E$4)*SUM(EXTERNE_POZICIE!$M$53:$M$64)*1.23)/EXTERNE_POZICIE!$B$53)),0)+IFERROR(SUM(#REF!)*'TCO TO BE- SW'!Y$4/'TCO TO BE- SW'!$E$4,0)</f>
        <v>0</v>
      </c>
      <c r="Z163" s="579">
        <f>IFERROR(IF((POZICIE_INTERNE!$B$73-12*('TCO TO BE- SW'!$D153-1))&gt;12,((Z$4+'TCO TO BE - HW'!Z$4)/($E$4+'TCO TO BE - HW'!$E$4)*SUM(POZICIE_INTERNE!$I$73:$I$84))/POZICIE_INTERNE!$B$73*12,IF((POZICIE_INTERNE!$B$73-12*('TCO TO BE- SW'!$D153-1))&lt;0,0,(POZICIE_INTERNE!$B$73-12*('TCO TO BE- SW'!$D153-1))*((Z$4+'TCO TO BE - HW'!Z$4)/($E$4+'TCO TO BE - HW'!$E$4)*SUM(POZICIE_INTERNE!$I$73:$I$84))/POZICIE_INTERNE!$B$73)),0)+IFERROR(IF((EXTERNE_POZICIE!$B$53-12*('TCO TO BE- SW'!$D153-1))&gt;12,((Z$4+'TCO TO BE - HW'!Z$4)/($E$4+'TCO TO BE - HW'!$E$4)*SUM(EXTERNE_POZICIE!$M$53:$M$64)*1.23)/EXTERNE_POZICIE!$B$41*12,IF((EXTERNE_POZICIE!$B$53-12*('TCO TO BE- SW'!$D153-1))&lt;0,0,(EXTERNE_POZICIE!$B$53-12*('TCO TO BE- SW'!$D153-1))*((Z$4+'TCO TO BE - HW'!Z$4)/($E$4+'TCO TO BE - HW'!$E$4)*SUM(EXTERNE_POZICIE!$M$53:$M$64)*1.23)/EXTERNE_POZICIE!$B$53)),0)+IFERROR(SUM(#REF!)*'TCO TO BE- SW'!Z$4/'TCO TO BE- SW'!$E$4,0)</f>
        <v>0</v>
      </c>
    </row>
    <row r="164" spans="1:26" x14ac:dyDescent="0.2">
      <c r="A164" s="1390"/>
      <c r="B164" s="1391"/>
      <c r="C164" s="1391"/>
      <c r="D164" s="64">
        <v>4</v>
      </c>
      <c r="E164" s="68">
        <f t="shared" si="16"/>
        <v>0</v>
      </c>
      <c r="F164" s="579">
        <f>IFERROR(IF((POZICIE_INTERNE!$B$73-12*('TCO TO BE- SW'!$D154-1))&gt;12,((F$4+'TCO TO BE - HW'!F$4)/($E$4+'TCO TO BE - HW'!$E$4)*SUM(POZICIE_INTERNE!$I$73:$I$84))/POZICIE_INTERNE!$B$73*12,IF((POZICIE_INTERNE!$B$73-12*('TCO TO BE- SW'!$D154-1))&lt;0,0,(POZICIE_INTERNE!$B$73-12*('TCO TO BE- SW'!$D154-1))*((F$4+'TCO TO BE - HW'!F$4)/($E$4+'TCO TO BE - HW'!$E$4)*SUM(POZICIE_INTERNE!$I$73:$I$84))/POZICIE_INTERNE!$B$73)),0)+IFERROR(IF((EXTERNE_POZICIE!$B$53-12*('TCO TO BE- SW'!$D154-1))&gt;12,((F$4+'TCO TO BE - HW'!F$4)/($E$4+'TCO TO BE - HW'!$E$4)*SUM(EXTERNE_POZICIE!$M$53:$M$64)*1.23)/EXTERNE_POZICIE!$B$41*12,IF((EXTERNE_POZICIE!$B$53-12*('TCO TO BE- SW'!$D154-1))&lt;0,0,(EXTERNE_POZICIE!$B$53-12*('TCO TO BE- SW'!$D154-1))*((F$4+'TCO TO BE - HW'!F$4)/($E$4+'TCO TO BE - HW'!$E$4)*SUM(EXTERNE_POZICIE!$M$53:$M$64)*1.23)/EXTERNE_POZICIE!$B$53)),0)+IFERROR(SUM(#REF!)*'TCO TO BE- SW'!F$4/'TCO TO BE- SW'!$E$4,0)</f>
        <v>0</v>
      </c>
      <c r="G164" s="579">
        <f>IFERROR(IF((POZICIE_INTERNE!$B$73-12*('TCO TO BE- SW'!$D154-1))&gt;12,((G$4+'TCO TO BE - HW'!G$4)/($E$4+'TCO TO BE - HW'!$E$4)*SUM(POZICIE_INTERNE!$I$73:$I$84))/POZICIE_INTERNE!$B$73*12,IF((POZICIE_INTERNE!$B$73-12*('TCO TO BE- SW'!$D154-1))&lt;0,0,(POZICIE_INTERNE!$B$73-12*('TCO TO BE- SW'!$D154-1))*((G$4+'TCO TO BE - HW'!G$4)/($E$4+'TCO TO BE - HW'!$E$4)*SUM(POZICIE_INTERNE!$I$73:$I$84))/POZICIE_INTERNE!$B$73)),0)+IFERROR(IF((EXTERNE_POZICIE!$B$53-12*('TCO TO BE- SW'!$D154-1))&gt;12,((G$4+'TCO TO BE - HW'!G$4)/($E$4+'TCO TO BE - HW'!$E$4)*SUM(EXTERNE_POZICIE!$M$53:$M$64)*1.23)/EXTERNE_POZICIE!$B$41*12,IF((EXTERNE_POZICIE!$B$53-12*('TCO TO BE- SW'!$D154-1))&lt;0,0,(EXTERNE_POZICIE!$B$53-12*('TCO TO BE- SW'!$D154-1))*((G$4+'TCO TO BE - HW'!G$4)/($E$4+'TCO TO BE - HW'!$E$4)*SUM(EXTERNE_POZICIE!$M$53:$M$64)*1.23)/EXTERNE_POZICIE!$B$53)),0)+IFERROR(SUM(#REF!)*'TCO TO BE- SW'!G$4/'TCO TO BE- SW'!$E$4,0)</f>
        <v>0</v>
      </c>
      <c r="H164" s="579">
        <f>IFERROR(IF((POZICIE_INTERNE!$B$73-12*('TCO TO BE- SW'!$D154-1))&gt;12,((H$4+'TCO TO BE - HW'!H$4)/($E$4+'TCO TO BE - HW'!$E$4)*SUM(POZICIE_INTERNE!$I$73:$I$84))/POZICIE_INTERNE!$B$73*12,IF((POZICIE_INTERNE!$B$73-12*('TCO TO BE- SW'!$D154-1))&lt;0,0,(POZICIE_INTERNE!$B$73-12*('TCO TO BE- SW'!$D154-1))*((H$4+'TCO TO BE - HW'!H$4)/($E$4+'TCO TO BE - HW'!$E$4)*SUM(POZICIE_INTERNE!$I$73:$I$84))/POZICIE_INTERNE!$B$73)),0)+IFERROR(IF((EXTERNE_POZICIE!$B$53-12*('TCO TO BE- SW'!$D154-1))&gt;12,((H$4+'TCO TO BE - HW'!H$4)/($E$4+'TCO TO BE - HW'!$E$4)*SUM(EXTERNE_POZICIE!$M$53:$M$64)*1.23)/EXTERNE_POZICIE!$B$41*12,IF((EXTERNE_POZICIE!$B$53-12*('TCO TO BE- SW'!$D154-1))&lt;0,0,(EXTERNE_POZICIE!$B$53-12*('TCO TO BE- SW'!$D154-1))*((H$4+'TCO TO BE - HW'!H$4)/($E$4+'TCO TO BE - HW'!$E$4)*SUM(EXTERNE_POZICIE!$M$53:$M$64)*1.23)/EXTERNE_POZICIE!$B$53)),0)+IFERROR(SUM(#REF!)*'TCO TO BE- SW'!H$4/'TCO TO BE- SW'!$E$4,0)</f>
        <v>0</v>
      </c>
      <c r="I164" s="579">
        <f>IFERROR(IF((POZICIE_INTERNE!$B$73-12*('TCO TO BE- SW'!$D154-1))&gt;12,((I$4+'TCO TO BE - HW'!I$4)/($E$4+'TCO TO BE - HW'!$E$4)*SUM(POZICIE_INTERNE!$I$73:$I$84))/POZICIE_INTERNE!$B$73*12,IF((POZICIE_INTERNE!$B$73-12*('TCO TO BE- SW'!$D154-1))&lt;0,0,(POZICIE_INTERNE!$B$73-12*('TCO TO BE- SW'!$D154-1))*((I$4+'TCO TO BE - HW'!I$4)/($E$4+'TCO TO BE - HW'!$E$4)*SUM(POZICIE_INTERNE!$I$73:$I$84))/POZICIE_INTERNE!$B$73)),0)+IFERROR(IF((EXTERNE_POZICIE!$B$53-12*('TCO TO BE- SW'!$D154-1))&gt;12,((I$4+'TCO TO BE - HW'!I$4)/($E$4+'TCO TO BE - HW'!$E$4)*SUM(EXTERNE_POZICIE!$M$53:$M$64)*1.23)/EXTERNE_POZICIE!$B$41*12,IF((EXTERNE_POZICIE!$B$53-12*('TCO TO BE- SW'!$D154-1))&lt;0,0,(EXTERNE_POZICIE!$B$53-12*('TCO TO BE- SW'!$D154-1))*((I$4+'TCO TO BE - HW'!I$4)/($E$4+'TCO TO BE - HW'!$E$4)*SUM(EXTERNE_POZICIE!$M$53:$M$64)*1.23)/EXTERNE_POZICIE!$B$53)),0)+IFERROR(SUM(#REF!)*'TCO TO BE- SW'!I$4/'TCO TO BE- SW'!$E$4,0)</f>
        <v>0</v>
      </c>
      <c r="J164" s="579">
        <f>IFERROR(IF((POZICIE_INTERNE!$B$73-12*('TCO TO BE- SW'!$D154-1))&gt;12,((J$4+'TCO TO BE - HW'!J$4)/($E$4+'TCO TO BE - HW'!$E$4)*SUM(POZICIE_INTERNE!$I$73:$I$84))/POZICIE_INTERNE!$B$73*12,IF((POZICIE_INTERNE!$B$73-12*('TCO TO BE- SW'!$D154-1))&lt;0,0,(POZICIE_INTERNE!$B$73-12*('TCO TO BE- SW'!$D154-1))*((J$4+'TCO TO BE - HW'!J$4)/($E$4+'TCO TO BE - HW'!$E$4)*SUM(POZICIE_INTERNE!$I$73:$I$84))/POZICIE_INTERNE!$B$73)),0)+IFERROR(IF((EXTERNE_POZICIE!$B$53-12*('TCO TO BE- SW'!$D154-1))&gt;12,((J$4+'TCO TO BE - HW'!J$4)/($E$4+'TCO TO BE - HW'!$E$4)*SUM(EXTERNE_POZICIE!$M$53:$M$64)*1.23)/EXTERNE_POZICIE!$B$41*12,IF((EXTERNE_POZICIE!$B$53-12*('TCO TO BE- SW'!$D154-1))&lt;0,0,(EXTERNE_POZICIE!$B$53-12*('TCO TO BE- SW'!$D154-1))*((J$4+'TCO TO BE - HW'!J$4)/($E$4+'TCO TO BE - HW'!$E$4)*SUM(EXTERNE_POZICIE!$M$53:$M$64)*1.23)/EXTERNE_POZICIE!$B$53)),0)+IFERROR(SUM(#REF!)*'TCO TO BE- SW'!J$4/'TCO TO BE- SW'!$E$4,0)</f>
        <v>0</v>
      </c>
      <c r="K164" s="579">
        <f>IFERROR(IF((POZICIE_INTERNE!$B$73-12*('TCO TO BE- SW'!$D154-1))&gt;12,((K$4+'TCO TO BE - HW'!K$4)/($E$4+'TCO TO BE - HW'!$E$4)*SUM(POZICIE_INTERNE!$I$73:$I$84))/POZICIE_INTERNE!$B$73*12,IF((POZICIE_INTERNE!$B$73-12*('TCO TO BE- SW'!$D154-1))&lt;0,0,(POZICIE_INTERNE!$B$73-12*('TCO TO BE- SW'!$D154-1))*((K$4+'TCO TO BE - HW'!K$4)/($E$4+'TCO TO BE - HW'!$E$4)*SUM(POZICIE_INTERNE!$I$73:$I$84))/POZICIE_INTERNE!$B$73)),0)+IFERROR(IF((EXTERNE_POZICIE!$B$53-12*('TCO TO BE- SW'!$D154-1))&gt;12,((K$4+'TCO TO BE - HW'!K$4)/($E$4+'TCO TO BE - HW'!$E$4)*SUM(EXTERNE_POZICIE!$M$53:$M$64)*1.23)/EXTERNE_POZICIE!$B$41*12,IF((EXTERNE_POZICIE!$B$53-12*('TCO TO BE- SW'!$D154-1))&lt;0,0,(EXTERNE_POZICIE!$B$53-12*('TCO TO BE- SW'!$D154-1))*((K$4+'TCO TO BE - HW'!K$4)/($E$4+'TCO TO BE - HW'!$E$4)*SUM(EXTERNE_POZICIE!$M$53:$M$64)*1.23)/EXTERNE_POZICIE!$B$53)),0)+IFERROR(SUM(#REF!)*'TCO TO BE- SW'!K$4/'TCO TO BE- SW'!$E$4,0)</f>
        <v>0</v>
      </c>
      <c r="L164" s="579">
        <f>IFERROR(IF((POZICIE_INTERNE!$B$73-12*('TCO TO BE- SW'!$D154-1))&gt;12,((L$4+'TCO TO BE - HW'!L$4)/($E$4+'TCO TO BE - HW'!$E$4)*SUM(POZICIE_INTERNE!$I$73:$I$84))/POZICIE_INTERNE!$B$73*12,IF((POZICIE_INTERNE!$B$73-12*('TCO TO BE- SW'!$D154-1))&lt;0,0,(POZICIE_INTERNE!$B$73-12*('TCO TO BE- SW'!$D154-1))*((L$4+'TCO TO BE - HW'!L$4)/($E$4+'TCO TO BE - HW'!$E$4)*SUM(POZICIE_INTERNE!$I$73:$I$84))/POZICIE_INTERNE!$B$73)),0)+IFERROR(IF((EXTERNE_POZICIE!$B$53-12*('TCO TO BE- SW'!$D154-1))&gt;12,((L$4+'TCO TO BE - HW'!L$4)/($E$4+'TCO TO BE - HW'!$E$4)*SUM(EXTERNE_POZICIE!$M$53:$M$64)*1.23)/EXTERNE_POZICIE!$B$41*12,IF((EXTERNE_POZICIE!$B$53-12*('TCO TO BE- SW'!$D154-1))&lt;0,0,(EXTERNE_POZICIE!$B$53-12*('TCO TO BE- SW'!$D154-1))*((L$4+'TCO TO BE - HW'!L$4)/($E$4+'TCO TO BE - HW'!$E$4)*SUM(EXTERNE_POZICIE!$M$53:$M$64)*1.23)/EXTERNE_POZICIE!$B$53)),0)+IFERROR(SUM(#REF!)*'TCO TO BE- SW'!L$4/'TCO TO BE- SW'!$E$4,0)</f>
        <v>0</v>
      </c>
      <c r="M164" s="579">
        <f>IFERROR(IF((POZICIE_INTERNE!$B$73-12*('TCO TO BE- SW'!$D154-1))&gt;12,((M$4+'TCO TO BE - HW'!M$4)/($E$4+'TCO TO BE - HW'!$E$4)*SUM(POZICIE_INTERNE!$I$73:$I$84))/POZICIE_INTERNE!$B$73*12,IF((POZICIE_INTERNE!$B$73-12*('TCO TO BE- SW'!$D154-1))&lt;0,0,(POZICIE_INTERNE!$B$73-12*('TCO TO BE- SW'!$D154-1))*((M$4+'TCO TO BE - HW'!M$4)/($E$4+'TCO TO BE - HW'!$E$4)*SUM(POZICIE_INTERNE!$I$73:$I$84))/POZICIE_INTERNE!$B$73)),0)+IFERROR(IF((EXTERNE_POZICIE!$B$53-12*('TCO TO BE- SW'!$D154-1))&gt;12,((M$4+'TCO TO BE - HW'!M$4)/($E$4+'TCO TO BE - HW'!$E$4)*SUM(EXTERNE_POZICIE!$M$53:$M$64)*1.23)/EXTERNE_POZICIE!$B$41*12,IF((EXTERNE_POZICIE!$B$53-12*('TCO TO BE- SW'!$D154-1))&lt;0,0,(EXTERNE_POZICIE!$B$53-12*('TCO TO BE- SW'!$D154-1))*((M$4+'TCO TO BE - HW'!M$4)/($E$4+'TCO TO BE - HW'!$E$4)*SUM(EXTERNE_POZICIE!$M$53:$M$64)*1.23)/EXTERNE_POZICIE!$B$53)),0)+IFERROR(SUM(#REF!)*'TCO TO BE- SW'!M$4/'TCO TO BE- SW'!$E$4,0)</f>
        <v>0</v>
      </c>
      <c r="N164" s="579">
        <f>IFERROR(IF((POZICIE_INTERNE!$B$73-12*('TCO TO BE- SW'!$D154-1))&gt;12,((N$4+'TCO TO BE - HW'!N$4)/($E$4+'TCO TO BE - HW'!$E$4)*SUM(POZICIE_INTERNE!$I$73:$I$84))/POZICIE_INTERNE!$B$73*12,IF((POZICIE_INTERNE!$B$73-12*('TCO TO BE- SW'!$D154-1))&lt;0,0,(POZICIE_INTERNE!$B$73-12*('TCO TO BE- SW'!$D154-1))*((N$4+'TCO TO BE - HW'!N$4)/($E$4+'TCO TO BE - HW'!$E$4)*SUM(POZICIE_INTERNE!$I$73:$I$84))/POZICIE_INTERNE!$B$73)),0)+IFERROR(IF((EXTERNE_POZICIE!$B$53-12*('TCO TO BE- SW'!$D154-1))&gt;12,((N$4+'TCO TO BE - HW'!N$4)/($E$4+'TCO TO BE - HW'!$E$4)*SUM(EXTERNE_POZICIE!$M$53:$M$64)*1.23)/EXTERNE_POZICIE!$B$41*12,IF((EXTERNE_POZICIE!$B$53-12*('TCO TO BE- SW'!$D154-1))&lt;0,0,(EXTERNE_POZICIE!$B$53-12*('TCO TO BE- SW'!$D154-1))*((N$4+'TCO TO BE - HW'!N$4)/($E$4+'TCO TO BE - HW'!$E$4)*SUM(EXTERNE_POZICIE!$M$53:$M$64)*1.23)/EXTERNE_POZICIE!$B$53)),0)+IFERROR(SUM(#REF!)*'TCO TO BE- SW'!N$4/'TCO TO BE- SW'!$E$4,0)</f>
        <v>0</v>
      </c>
      <c r="O164" s="579">
        <f>IFERROR(IF((POZICIE_INTERNE!$B$73-12*('TCO TO BE- SW'!$D154-1))&gt;12,((O$4+'TCO TO BE - HW'!O$4)/($E$4+'TCO TO BE - HW'!$E$4)*SUM(POZICIE_INTERNE!$I$73:$I$84))/POZICIE_INTERNE!$B$73*12,IF((POZICIE_INTERNE!$B$73-12*('TCO TO BE- SW'!$D154-1))&lt;0,0,(POZICIE_INTERNE!$B$73-12*('TCO TO BE- SW'!$D154-1))*((O$4+'TCO TO BE - HW'!O$4)/($E$4+'TCO TO BE - HW'!$E$4)*SUM(POZICIE_INTERNE!$I$73:$I$84))/POZICIE_INTERNE!$B$73)),0)+IFERROR(IF((EXTERNE_POZICIE!$B$53-12*('TCO TO BE- SW'!$D154-1))&gt;12,((O$4+'TCO TO BE - HW'!O$4)/($E$4+'TCO TO BE - HW'!$E$4)*SUM(EXTERNE_POZICIE!$M$53:$M$64)*1.23)/EXTERNE_POZICIE!$B$41*12,IF((EXTERNE_POZICIE!$B$53-12*('TCO TO BE- SW'!$D154-1))&lt;0,0,(EXTERNE_POZICIE!$B$53-12*('TCO TO BE- SW'!$D154-1))*((O$4+'TCO TO BE - HW'!O$4)/($E$4+'TCO TO BE - HW'!$E$4)*SUM(EXTERNE_POZICIE!$M$53:$M$64)*1.23)/EXTERNE_POZICIE!$B$53)),0)+IFERROR(SUM(#REF!)*'TCO TO BE- SW'!O$4/'TCO TO BE- SW'!$E$4,0)</f>
        <v>0</v>
      </c>
      <c r="P164" s="579">
        <f>IFERROR(IF((POZICIE_INTERNE!$B$73-12*('TCO TO BE- SW'!$D154-1))&gt;12,((P$4+'TCO TO BE - HW'!P$4)/($E$4+'TCO TO BE - HW'!$E$4)*SUM(POZICIE_INTERNE!$I$73:$I$84))/POZICIE_INTERNE!$B$73*12,IF((POZICIE_INTERNE!$B$73-12*('TCO TO BE- SW'!$D154-1))&lt;0,0,(POZICIE_INTERNE!$B$73-12*('TCO TO BE- SW'!$D154-1))*((P$4+'TCO TO BE - HW'!P$4)/($E$4+'TCO TO BE - HW'!$E$4)*SUM(POZICIE_INTERNE!$I$73:$I$84))/POZICIE_INTERNE!$B$73)),0)+IFERROR(IF((EXTERNE_POZICIE!$B$53-12*('TCO TO BE- SW'!$D154-1))&gt;12,((P$4+'TCO TO BE - HW'!P$4)/($E$4+'TCO TO BE - HW'!$E$4)*SUM(EXTERNE_POZICIE!$M$53:$M$64)*1.23)/EXTERNE_POZICIE!$B$41*12,IF((EXTERNE_POZICIE!$B$53-12*('TCO TO BE- SW'!$D154-1))&lt;0,0,(EXTERNE_POZICIE!$B$53-12*('TCO TO BE- SW'!$D154-1))*((P$4+'TCO TO BE - HW'!P$4)/($E$4+'TCO TO BE - HW'!$E$4)*SUM(EXTERNE_POZICIE!$M$53:$M$64)*1.23)/EXTERNE_POZICIE!$B$53)),0)+IFERROR(SUM(#REF!)*'TCO TO BE- SW'!P$4/'TCO TO BE- SW'!$E$4,0)</f>
        <v>0</v>
      </c>
      <c r="Q164" s="579">
        <f>IFERROR(IF((POZICIE_INTERNE!$B$73-12*('TCO TO BE- SW'!$D154-1))&gt;12,((Q$4+'TCO TO BE - HW'!Q$4)/($E$4+'TCO TO BE - HW'!$E$4)*SUM(POZICIE_INTERNE!$I$73:$I$84))/POZICIE_INTERNE!$B$73*12,IF((POZICIE_INTERNE!$B$73-12*('TCO TO BE- SW'!$D154-1))&lt;0,0,(POZICIE_INTERNE!$B$73-12*('TCO TO BE- SW'!$D154-1))*((Q$4+'TCO TO BE - HW'!Q$4)/($E$4+'TCO TO BE - HW'!$E$4)*SUM(POZICIE_INTERNE!$I$73:$I$84))/POZICIE_INTERNE!$B$73)),0)+IFERROR(IF((EXTERNE_POZICIE!$B$53-12*('TCO TO BE- SW'!$D154-1))&gt;12,((Q$4+'TCO TO BE - HW'!Q$4)/($E$4+'TCO TO BE - HW'!$E$4)*SUM(EXTERNE_POZICIE!$M$53:$M$64)*1.23)/EXTERNE_POZICIE!$B$41*12,IF((EXTERNE_POZICIE!$B$53-12*('TCO TO BE- SW'!$D154-1))&lt;0,0,(EXTERNE_POZICIE!$B$53-12*('TCO TO BE- SW'!$D154-1))*((Q$4+'TCO TO BE - HW'!Q$4)/($E$4+'TCO TO BE - HW'!$E$4)*SUM(EXTERNE_POZICIE!$M$53:$M$64)*1.23)/EXTERNE_POZICIE!$B$53)),0)+IFERROR(SUM(#REF!)*'TCO TO BE- SW'!Q$4/'TCO TO BE- SW'!$E$4,0)</f>
        <v>0</v>
      </c>
      <c r="R164" s="579">
        <f>IFERROR(IF((POZICIE_INTERNE!$B$73-12*('TCO TO BE- SW'!$D154-1))&gt;12,((R$4+'TCO TO BE - HW'!R$4)/($E$4+'TCO TO BE - HW'!$E$4)*SUM(POZICIE_INTERNE!$I$73:$I$84))/POZICIE_INTERNE!$B$73*12,IF((POZICIE_INTERNE!$B$73-12*('TCO TO BE- SW'!$D154-1))&lt;0,0,(POZICIE_INTERNE!$B$73-12*('TCO TO BE- SW'!$D154-1))*((R$4+'TCO TO BE - HW'!R$4)/($E$4+'TCO TO BE - HW'!$E$4)*SUM(POZICIE_INTERNE!$I$73:$I$84))/POZICIE_INTERNE!$B$73)),0)+IFERROR(IF((EXTERNE_POZICIE!$B$53-12*('TCO TO BE- SW'!$D154-1))&gt;12,((R$4+'TCO TO BE - HW'!R$4)/($E$4+'TCO TO BE - HW'!$E$4)*SUM(EXTERNE_POZICIE!$M$53:$M$64)*1.23)/EXTERNE_POZICIE!$B$41*12,IF((EXTERNE_POZICIE!$B$53-12*('TCO TO BE- SW'!$D154-1))&lt;0,0,(EXTERNE_POZICIE!$B$53-12*('TCO TO BE- SW'!$D154-1))*((R$4+'TCO TO BE - HW'!R$4)/($E$4+'TCO TO BE - HW'!$E$4)*SUM(EXTERNE_POZICIE!$M$53:$M$64)*1.23)/EXTERNE_POZICIE!$B$53)),0)+IFERROR(SUM(#REF!)*'TCO TO BE- SW'!R$4/'TCO TO BE- SW'!$E$4,0)</f>
        <v>0</v>
      </c>
      <c r="S164" s="579">
        <f>IFERROR(IF((POZICIE_INTERNE!$B$73-12*('TCO TO BE- SW'!$D154-1))&gt;12,((S$4+'TCO TO BE - HW'!S$4)/($E$4+'TCO TO BE - HW'!$E$4)*SUM(POZICIE_INTERNE!$I$73:$I$84))/POZICIE_INTERNE!$B$73*12,IF((POZICIE_INTERNE!$B$73-12*('TCO TO BE- SW'!$D154-1))&lt;0,0,(POZICIE_INTERNE!$B$73-12*('TCO TO BE- SW'!$D154-1))*((S$4+'TCO TO BE - HW'!S$4)/($E$4+'TCO TO BE - HW'!$E$4)*SUM(POZICIE_INTERNE!$I$73:$I$84))/POZICIE_INTERNE!$B$73)),0)+IFERROR(IF((EXTERNE_POZICIE!$B$53-12*('TCO TO BE- SW'!$D154-1))&gt;12,((S$4+'TCO TO BE - HW'!S$4)/($E$4+'TCO TO BE - HW'!$E$4)*SUM(EXTERNE_POZICIE!$M$53:$M$64)*1.23)/EXTERNE_POZICIE!$B$41*12,IF((EXTERNE_POZICIE!$B$53-12*('TCO TO BE- SW'!$D154-1))&lt;0,0,(EXTERNE_POZICIE!$B$53-12*('TCO TO BE- SW'!$D154-1))*((S$4+'TCO TO BE - HW'!S$4)/($E$4+'TCO TO BE - HW'!$E$4)*SUM(EXTERNE_POZICIE!$M$53:$M$64)*1.23)/EXTERNE_POZICIE!$B$53)),0)+IFERROR(SUM(#REF!)*'TCO TO BE- SW'!S$4/'TCO TO BE- SW'!$E$4,0)</f>
        <v>0</v>
      </c>
      <c r="T164" s="579">
        <f>IFERROR(IF((POZICIE_INTERNE!$B$73-12*('TCO TO BE- SW'!$D154-1))&gt;12,((T$4+'TCO TO BE - HW'!T$4)/($E$4+'TCO TO BE - HW'!$E$4)*SUM(POZICIE_INTERNE!$I$73:$I$84))/POZICIE_INTERNE!$B$73*12,IF((POZICIE_INTERNE!$B$73-12*('TCO TO BE- SW'!$D154-1))&lt;0,0,(POZICIE_INTERNE!$B$73-12*('TCO TO BE- SW'!$D154-1))*((T$4+'TCO TO BE - HW'!T$4)/($E$4+'TCO TO BE - HW'!$E$4)*SUM(POZICIE_INTERNE!$I$73:$I$84))/POZICIE_INTERNE!$B$73)),0)+IFERROR(IF((EXTERNE_POZICIE!$B$53-12*('TCO TO BE- SW'!$D154-1))&gt;12,((T$4+'TCO TO BE - HW'!T$4)/($E$4+'TCO TO BE - HW'!$E$4)*SUM(EXTERNE_POZICIE!$M$53:$M$64)*1.23)/EXTERNE_POZICIE!$B$41*12,IF((EXTERNE_POZICIE!$B$53-12*('TCO TO BE- SW'!$D154-1))&lt;0,0,(EXTERNE_POZICIE!$B$53-12*('TCO TO BE- SW'!$D154-1))*((T$4+'TCO TO BE - HW'!T$4)/($E$4+'TCO TO BE - HW'!$E$4)*SUM(EXTERNE_POZICIE!$M$53:$M$64)*1.23)/EXTERNE_POZICIE!$B$53)),0)+IFERROR(SUM(#REF!)*'TCO TO BE- SW'!T$4/'TCO TO BE- SW'!$E$4,0)</f>
        <v>0</v>
      </c>
      <c r="U164" s="579">
        <f>IFERROR(IF((POZICIE_INTERNE!$B$73-12*('TCO TO BE- SW'!$D154-1))&gt;12,((U$4+'TCO TO BE - HW'!U$4)/($E$4+'TCO TO BE - HW'!$E$4)*SUM(POZICIE_INTERNE!$I$73:$I$84))/POZICIE_INTERNE!$B$73*12,IF((POZICIE_INTERNE!$B$73-12*('TCO TO BE- SW'!$D154-1))&lt;0,0,(POZICIE_INTERNE!$B$73-12*('TCO TO BE- SW'!$D154-1))*((U$4+'TCO TO BE - HW'!U$4)/($E$4+'TCO TO BE - HW'!$E$4)*SUM(POZICIE_INTERNE!$I$73:$I$84))/POZICIE_INTERNE!$B$73)),0)+IFERROR(IF((EXTERNE_POZICIE!$B$53-12*('TCO TO BE- SW'!$D154-1))&gt;12,((U$4+'TCO TO BE - HW'!U$4)/($E$4+'TCO TO BE - HW'!$E$4)*SUM(EXTERNE_POZICIE!$M$53:$M$64)*1.23)/EXTERNE_POZICIE!$B$41*12,IF((EXTERNE_POZICIE!$B$53-12*('TCO TO BE- SW'!$D154-1))&lt;0,0,(EXTERNE_POZICIE!$B$53-12*('TCO TO BE- SW'!$D154-1))*((U$4+'TCO TO BE - HW'!U$4)/($E$4+'TCO TO BE - HW'!$E$4)*SUM(EXTERNE_POZICIE!$M$53:$M$64)*1.23)/EXTERNE_POZICIE!$B$53)),0)+IFERROR(SUM(#REF!)*'TCO TO BE- SW'!U$4/'TCO TO BE- SW'!$E$4,0)</f>
        <v>0</v>
      </c>
      <c r="V164" s="579">
        <f>IFERROR(IF((POZICIE_INTERNE!$B$73-12*('TCO TO BE- SW'!$D154-1))&gt;12,((V$4+'TCO TO BE - HW'!V$4)/($E$4+'TCO TO BE - HW'!$E$4)*SUM(POZICIE_INTERNE!$I$73:$I$84))/POZICIE_INTERNE!$B$73*12,IF((POZICIE_INTERNE!$B$73-12*('TCO TO BE- SW'!$D154-1))&lt;0,0,(POZICIE_INTERNE!$B$73-12*('TCO TO BE- SW'!$D154-1))*((V$4+'TCO TO BE - HW'!V$4)/($E$4+'TCO TO BE - HW'!$E$4)*SUM(POZICIE_INTERNE!$I$73:$I$84))/POZICIE_INTERNE!$B$73)),0)+IFERROR(IF((EXTERNE_POZICIE!$B$53-12*('TCO TO BE- SW'!$D154-1))&gt;12,((V$4+'TCO TO BE - HW'!V$4)/($E$4+'TCO TO BE - HW'!$E$4)*SUM(EXTERNE_POZICIE!$M$53:$M$64)*1.23)/EXTERNE_POZICIE!$B$41*12,IF((EXTERNE_POZICIE!$B$53-12*('TCO TO BE- SW'!$D154-1))&lt;0,0,(EXTERNE_POZICIE!$B$53-12*('TCO TO BE- SW'!$D154-1))*((V$4+'TCO TO BE - HW'!V$4)/($E$4+'TCO TO BE - HW'!$E$4)*SUM(EXTERNE_POZICIE!$M$53:$M$64)*1.23)/EXTERNE_POZICIE!$B$53)),0)+IFERROR(SUM(#REF!)*'TCO TO BE- SW'!V$4/'TCO TO BE- SW'!$E$4,0)</f>
        <v>0</v>
      </c>
      <c r="W164" s="579">
        <f>IFERROR(IF((POZICIE_INTERNE!$B$73-12*('TCO TO BE- SW'!$D154-1))&gt;12,((W$4+'TCO TO BE - HW'!W$4)/($E$4+'TCO TO BE - HW'!$E$4)*SUM(POZICIE_INTERNE!$I$73:$I$84))/POZICIE_INTERNE!$B$73*12,IF((POZICIE_INTERNE!$B$73-12*('TCO TO BE- SW'!$D154-1))&lt;0,0,(POZICIE_INTERNE!$B$73-12*('TCO TO BE- SW'!$D154-1))*((W$4+'TCO TO BE - HW'!W$4)/($E$4+'TCO TO BE - HW'!$E$4)*SUM(POZICIE_INTERNE!$I$73:$I$84))/POZICIE_INTERNE!$B$73)),0)+IFERROR(IF((EXTERNE_POZICIE!$B$53-12*('TCO TO BE- SW'!$D154-1))&gt;12,((W$4+'TCO TO BE - HW'!W$4)/($E$4+'TCO TO BE - HW'!$E$4)*SUM(EXTERNE_POZICIE!$M$53:$M$64)*1.23)/EXTERNE_POZICIE!$B$41*12,IF((EXTERNE_POZICIE!$B$53-12*('TCO TO BE- SW'!$D154-1))&lt;0,0,(EXTERNE_POZICIE!$B$53-12*('TCO TO BE- SW'!$D154-1))*((W$4+'TCO TO BE - HW'!W$4)/($E$4+'TCO TO BE - HW'!$E$4)*SUM(EXTERNE_POZICIE!$M$53:$M$64)*1.23)/EXTERNE_POZICIE!$B$53)),0)+IFERROR(SUM(#REF!)*'TCO TO BE- SW'!W$4/'TCO TO BE- SW'!$E$4,0)</f>
        <v>0</v>
      </c>
      <c r="X164" s="579">
        <f>IFERROR(IF((POZICIE_INTERNE!$B$73-12*('TCO TO BE- SW'!$D154-1))&gt;12,((X$4+'TCO TO BE - HW'!X$4)/($E$4+'TCO TO BE - HW'!$E$4)*SUM(POZICIE_INTERNE!$I$73:$I$84))/POZICIE_INTERNE!$B$73*12,IF((POZICIE_INTERNE!$B$73-12*('TCO TO BE- SW'!$D154-1))&lt;0,0,(POZICIE_INTERNE!$B$73-12*('TCO TO BE- SW'!$D154-1))*((X$4+'TCO TO BE - HW'!X$4)/($E$4+'TCO TO BE - HW'!$E$4)*SUM(POZICIE_INTERNE!$I$73:$I$84))/POZICIE_INTERNE!$B$73)),0)+IFERROR(IF((EXTERNE_POZICIE!$B$53-12*('TCO TO BE- SW'!$D154-1))&gt;12,((X$4+'TCO TO BE - HW'!X$4)/($E$4+'TCO TO BE - HW'!$E$4)*SUM(EXTERNE_POZICIE!$M$53:$M$64)*1.23)/EXTERNE_POZICIE!$B$41*12,IF((EXTERNE_POZICIE!$B$53-12*('TCO TO BE- SW'!$D154-1))&lt;0,0,(EXTERNE_POZICIE!$B$53-12*('TCO TO BE- SW'!$D154-1))*((X$4+'TCO TO BE - HW'!X$4)/($E$4+'TCO TO BE - HW'!$E$4)*SUM(EXTERNE_POZICIE!$M$53:$M$64)*1.23)/EXTERNE_POZICIE!$B$53)),0)+IFERROR(SUM(#REF!)*'TCO TO BE- SW'!X$4/'TCO TO BE- SW'!$E$4,0)</f>
        <v>0</v>
      </c>
      <c r="Y164" s="579">
        <f>IFERROR(IF((POZICIE_INTERNE!$B$73-12*('TCO TO BE- SW'!$D154-1))&gt;12,((Y$4+'TCO TO BE - HW'!Y$4)/($E$4+'TCO TO BE - HW'!$E$4)*SUM(POZICIE_INTERNE!$I$73:$I$84))/POZICIE_INTERNE!$B$73*12,IF((POZICIE_INTERNE!$B$73-12*('TCO TO BE- SW'!$D154-1))&lt;0,0,(POZICIE_INTERNE!$B$73-12*('TCO TO BE- SW'!$D154-1))*((Y$4+'TCO TO BE - HW'!Y$4)/($E$4+'TCO TO BE - HW'!$E$4)*SUM(POZICIE_INTERNE!$I$73:$I$84))/POZICIE_INTERNE!$B$73)),0)+IFERROR(IF((EXTERNE_POZICIE!$B$53-12*('TCO TO BE- SW'!$D154-1))&gt;12,((Y$4+'TCO TO BE - HW'!Y$4)/($E$4+'TCO TO BE - HW'!$E$4)*SUM(EXTERNE_POZICIE!$M$53:$M$64)*1.23)/EXTERNE_POZICIE!$B$41*12,IF((EXTERNE_POZICIE!$B$53-12*('TCO TO BE- SW'!$D154-1))&lt;0,0,(EXTERNE_POZICIE!$B$53-12*('TCO TO BE- SW'!$D154-1))*((Y$4+'TCO TO BE - HW'!Y$4)/($E$4+'TCO TO BE - HW'!$E$4)*SUM(EXTERNE_POZICIE!$M$53:$M$64)*1.23)/EXTERNE_POZICIE!$B$53)),0)+IFERROR(SUM(#REF!)*'TCO TO BE- SW'!Y$4/'TCO TO BE- SW'!$E$4,0)</f>
        <v>0</v>
      </c>
      <c r="Z164" s="579">
        <f>IFERROR(IF((POZICIE_INTERNE!$B$73-12*('TCO TO BE- SW'!$D154-1))&gt;12,((Z$4+'TCO TO BE - HW'!Z$4)/($E$4+'TCO TO BE - HW'!$E$4)*SUM(POZICIE_INTERNE!$I$73:$I$84))/POZICIE_INTERNE!$B$73*12,IF((POZICIE_INTERNE!$B$73-12*('TCO TO BE- SW'!$D154-1))&lt;0,0,(POZICIE_INTERNE!$B$73-12*('TCO TO BE- SW'!$D154-1))*((Z$4+'TCO TO BE - HW'!Z$4)/($E$4+'TCO TO BE - HW'!$E$4)*SUM(POZICIE_INTERNE!$I$73:$I$84))/POZICIE_INTERNE!$B$73)),0)+IFERROR(IF((EXTERNE_POZICIE!$B$53-12*('TCO TO BE- SW'!$D154-1))&gt;12,((Z$4+'TCO TO BE - HW'!Z$4)/($E$4+'TCO TO BE - HW'!$E$4)*SUM(EXTERNE_POZICIE!$M$53:$M$64)*1.23)/EXTERNE_POZICIE!$B$41*12,IF((EXTERNE_POZICIE!$B$53-12*('TCO TO BE- SW'!$D154-1))&lt;0,0,(EXTERNE_POZICIE!$B$53-12*('TCO TO BE- SW'!$D154-1))*((Z$4+'TCO TO BE - HW'!Z$4)/($E$4+'TCO TO BE - HW'!$E$4)*SUM(EXTERNE_POZICIE!$M$53:$M$64)*1.23)/EXTERNE_POZICIE!$B$53)),0)+IFERROR(SUM(#REF!)*'TCO TO BE- SW'!Z$4/'TCO TO BE- SW'!$E$4,0)</f>
        <v>0</v>
      </c>
    </row>
    <row r="165" spans="1:26" x14ac:dyDescent="0.2">
      <c r="A165" s="1390"/>
      <c r="B165" s="1391"/>
      <c r="C165" s="1391"/>
      <c r="D165" s="64">
        <v>5</v>
      </c>
      <c r="E165" s="68">
        <f t="shared" si="16"/>
        <v>0</v>
      </c>
      <c r="F165" s="579">
        <f>IFERROR(IF((POZICIE_INTERNE!$B$73-12*('TCO TO BE- SW'!$D155-1))&gt;12,((F$4+'TCO TO BE - HW'!F$4)/($E$4+'TCO TO BE - HW'!$E$4)*SUM(POZICIE_INTERNE!$I$73:$I$84))/POZICIE_INTERNE!$B$73*12,IF((POZICIE_INTERNE!$B$73-12*('TCO TO BE- SW'!$D155-1))&lt;0,0,(POZICIE_INTERNE!$B$73-12*('TCO TO BE- SW'!$D155-1))*((F$4+'TCO TO BE - HW'!F$4)/($E$4+'TCO TO BE - HW'!$E$4)*SUM(POZICIE_INTERNE!$I$73:$I$84))/POZICIE_INTERNE!$B$73)),0)+IFERROR(IF((EXTERNE_POZICIE!$B$53-12*('TCO TO BE- SW'!$D155-1))&gt;12,((F$4+'TCO TO BE - HW'!F$4)/($E$4+'TCO TO BE - HW'!$E$4)*SUM(EXTERNE_POZICIE!$M$53:$M$64)*1.23)/EXTERNE_POZICIE!$B$41*12,IF((EXTERNE_POZICIE!$B$53-12*('TCO TO BE- SW'!$D155-1))&lt;0,0,(EXTERNE_POZICIE!$B$53-12*('TCO TO BE- SW'!$D155-1))*((F$4+'TCO TO BE - HW'!F$4)/($E$4+'TCO TO BE - HW'!$E$4)*SUM(EXTERNE_POZICIE!$M$53:$M$64)*1.23)/EXTERNE_POZICIE!$B$53)),0)+IFERROR(SUM(#REF!)*'TCO TO BE- SW'!F$4/'TCO TO BE- SW'!$E$4,0)</f>
        <v>0</v>
      </c>
      <c r="G165" s="579">
        <f>IFERROR(IF((POZICIE_INTERNE!$B$73-12*('TCO TO BE- SW'!$D155-1))&gt;12,((G$4+'TCO TO BE - HW'!G$4)/($E$4+'TCO TO BE - HW'!$E$4)*SUM(POZICIE_INTERNE!$I$73:$I$84))/POZICIE_INTERNE!$B$73*12,IF((POZICIE_INTERNE!$B$73-12*('TCO TO BE- SW'!$D155-1))&lt;0,0,(POZICIE_INTERNE!$B$73-12*('TCO TO BE- SW'!$D155-1))*((G$4+'TCO TO BE - HW'!G$4)/($E$4+'TCO TO BE - HW'!$E$4)*SUM(POZICIE_INTERNE!$I$73:$I$84))/POZICIE_INTERNE!$B$73)),0)+IFERROR(IF((EXTERNE_POZICIE!$B$53-12*('TCO TO BE- SW'!$D155-1))&gt;12,((G$4+'TCO TO BE - HW'!G$4)/($E$4+'TCO TO BE - HW'!$E$4)*SUM(EXTERNE_POZICIE!$M$53:$M$64)*1.23)/EXTERNE_POZICIE!$B$41*12,IF((EXTERNE_POZICIE!$B$53-12*('TCO TO BE- SW'!$D155-1))&lt;0,0,(EXTERNE_POZICIE!$B$53-12*('TCO TO BE- SW'!$D155-1))*((G$4+'TCO TO BE - HW'!G$4)/($E$4+'TCO TO BE - HW'!$E$4)*SUM(EXTERNE_POZICIE!$M$53:$M$64)*1.23)/EXTERNE_POZICIE!$B$53)),0)+IFERROR(SUM(#REF!)*'TCO TO BE- SW'!G$4/'TCO TO BE- SW'!$E$4,0)</f>
        <v>0</v>
      </c>
      <c r="H165" s="579">
        <f>IFERROR(IF((POZICIE_INTERNE!$B$73-12*('TCO TO BE- SW'!$D155-1))&gt;12,((H$4+'TCO TO BE - HW'!H$4)/($E$4+'TCO TO BE - HW'!$E$4)*SUM(POZICIE_INTERNE!$I$73:$I$84))/POZICIE_INTERNE!$B$73*12,IF((POZICIE_INTERNE!$B$73-12*('TCO TO BE- SW'!$D155-1))&lt;0,0,(POZICIE_INTERNE!$B$73-12*('TCO TO BE- SW'!$D155-1))*((H$4+'TCO TO BE - HW'!H$4)/($E$4+'TCO TO BE - HW'!$E$4)*SUM(POZICIE_INTERNE!$I$73:$I$84))/POZICIE_INTERNE!$B$73)),0)+IFERROR(IF((EXTERNE_POZICIE!$B$53-12*('TCO TO BE- SW'!$D155-1))&gt;12,((H$4+'TCO TO BE - HW'!H$4)/($E$4+'TCO TO BE - HW'!$E$4)*SUM(EXTERNE_POZICIE!$M$53:$M$64)*1.23)/EXTERNE_POZICIE!$B$41*12,IF((EXTERNE_POZICIE!$B$53-12*('TCO TO BE- SW'!$D155-1))&lt;0,0,(EXTERNE_POZICIE!$B$53-12*('TCO TO BE- SW'!$D155-1))*((H$4+'TCO TO BE - HW'!H$4)/($E$4+'TCO TO BE - HW'!$E$4)*SUM(EXTERNE_POZICIE!$M$53:$M$64)*1.23)/EXTERNE_POZICIE!$B$53)),0)+IFERROR(SUM(#REF!)*'TCO TO BE- SW'!H$4/'TCO TO BE- SW'!$E$4,0)</f>
        <v>0</v>
      </c>
      <c r="I165" s="579">
        <f>IFERROR(IF((POZICIE_INTERNE!$B$73-12*('TCO TO BE- SW'!$D155-1))&gt;12,((I$4+'TCO TO BE - HW'!I$4)/($E$4+'TCO TO BE - HW'!$E$4)*SUM(POZICIE_INTERNE!$I$73:$I$84))/POZICIE_INTERNE!$B$73*12,IF((POZICIE_INTERNE!$B$73-12*('TCO TO BE- SW'!$D155-1))&lt;0,0,(POZICIE_INTERNE!$B$73-12*('TCO TO BE- SW'!$D155-1))*((I$4+'TCO TO BE - HW'!I$4)/($E$4+'TCO TO BE - HW'!$E$4)*SUM(POZICIE_INTERNE!$I$73:$I$84))/POZICIE_INTERNE!$B$73)),0)+IFERROR(IF((EXTERNE_POZICIE!$B$53-12*('TCO TO BE- SW'!$D155-1))&gt;12,((I$4+'TCO TO BE - HW'!I$4)/($E$4+'TCO TO BE - HW'!$E$4)*SUM(EXTERNE_POZICIE!$M$53:$M$64)*1.23)/EXTERNE_POZICIE!$B$41*12,IF((EXTERNE_POZICIE!$B$53-12*('TCO TO BE- SW'!$D155-1))&lt;0,0,(EXTERNE_POZICIE!$B$53-12*('TCO TO BE- SW'!$D155-1))*((I$4+'TCO TO BE - HW'!I$4)/($E$4+'TCO TO BE - HW'!$E$4)*SUM(EXTERNE_POZICIE!$M$53:$M$64)*1.23)/EXTERNE_POZICIE!$B$53)),0)+IFERROR(SUM(#REF!)*'TCO TO BE- SW'!I$4/'TCO TO BE- SW'!$E$4,0)</f>
        <v>0</v>
      </c>
      <c r="J165" s="579">
        <f>IFERROR(IF((POZICIE_INTERNE!$B$73-12*('TCO TO BE- SW'!$D155-1))&gt;12,((J$4+'TCO TO BE - HW'!J$4)/($E$4+'TCO TO BE - HW'!$E$4)*SUM(POZICIE_INTERNE!$I$73:$I$84))/POZICIE_INTERNE!$B$73*12,IF((POZICIE_INTERNE!$B$73-12*('TCO TO BE- SW'!$D155-1))&lt;0,0,(POZICIE_INTERNE!$B$73-12*('TCO TO BE- SW'!$D155-1))*((J$4+'TCO TO BE - HW'!J$4)/($E$4+'TCO TO BE - HW'!$E$4)*SUM(POZICIE_INTERNE!$I$73:$I$84))/POZICIE_INTERNE!$B$73)),0)+IFERROR(IF((EXTERNE_POZICIE!$B$53-12*('TCO TO BE- SW'!$D155-1))&gt;12,((J$4+'TCO TO BE - HW'!J$4)/($E$4+'TCO TO BE - HW'!$E$4)*SUM(EXTERNE_POZICIE!$M$53:$M$64)*1.23)/EXTERNE_POZICIE!$B$41*12,IF((EXTERNE_POZICIE!$B$53-12*('TCO TO BE- SW'!$D155-1))&lt;0,0,(EXTERNE_POZICIE!$B$53-12*('TCO TO BE- SW'!$D155-1))*((J$4+'TCO TO BE - HW'!J$4)/($E$4+'TCO TO BE - HW'!$E$4)*SUM(EXTERNE_POZICIE!$M$53:$M$64)*1.23)/EXTERNE_POZICIE!$B$53)),0)+IFERROR(SUM(#REF!)*'TCO TO BE- SW'!J$4/'TCO TO BE- SW'!$E$4,0)</f>
        <v>0</v>
      </c>
      <c r="K165" s="579">
        <f>IFERROR(IF((POZICIE_INTERNE!$B$73-12*('TCO TO BE- SW'!$D155-1))&gt;12,((K$4+'TCO TO BE - HW'!K$4)/($E$4+'TCO TO BE - HW'!$E$4)*SUM(POZICIE_INTERNE!$I$73:$I$84))/POZICIE_INTERNE!$B$73*12,IF((POZICIE_INTERNE!$B$73-12*('TCO TO BE- SW'!$D155-1))&lt;0,0,(POZICIE_INTERNE!$B$73-12*('TCO TO BE- SW'!$D155-1))*((K$4+'TCO TO BE - HW'!K$4)/($E$4+'TCO TO BE - HW'!$E$4)*SUM(POZICIE_INTERNE!$I$73:$I$84))/POZICIE_INTERNE!$B$73)),0)+IFERROR(IF((EXTERNE_POZICIE!$B$53-12*('TCO TO BE- SW'!$D155-1))&gt;12,((K$4+'TCO TO BE - HW'!K$4)/($E$4+'TCO TO BE - HW'!$E$4)*SUM(EXTERNE_POZICIE!$M$53:$M$64)*1.23)/EXTERNE_POZICIE!$B$41*12,IF((EXTERNE_POZICIE!$B$53-12*('TCO TO BE- SW'!$D155-1))&lt;0,0,(EXTERNE_POZICIE!$B$53-12*('TCO TO BE- SW'!$D155-1))*((K$4+'TCO TO BE - HW'!K$4)/($E$4+'TCO TO BE - HW'!$E$4)*SUM(EXTERNE_POZICIE!$M$53:$M$64)*1.23)/EXTERNE_POZICIE!$B$53)),0)+IFERROR(SUM(#REF!)*'TCO TO BE- SW'!K$4/'TCO TO BE- SW'!$E$4,0)</f>
        <v>0</v>
      </c>
      <c r="L165" s="579">
        <f>IFERROR(IF((POZICIE_INTERNE!$B$73-12*('TCO TO BE- SW'!$D155-1))&gt;12,((L$4+'TCO TO BE - HW'!L$4)/($E$4+'TCO TO BE - HW'!$E$4)*SUM(POZICIE_INTERNE!$I$73:$I$84))/POZICIE_INTERNE!$B$73*12,IF((POZICIE_INTERNE!$B$73-12*('TCO TO BE- SW'!$D155-1))&lt;0,0,(POZICIE_INTERNE!$B$73-12*('TCO TO BE- SW'!$D155-1))*((L$4+'TCO TO BE - HW'!L$4)/($E$4+'TCO TO BE - HW'!$E$4)*SUM(POZICIE_INTERNE!$I$73:$I$84))/POZICIE_INTERNE!$B$73)),0)+IFERROR(IF((EXTERNE_POZICIE!$B$53-12*('TCO TO BE- SW'!$D155-1))&gt;12,((L$4+'TCO TO BE - HW'!L$4)/($E$4+'TCO TO BE - HW'!$E$4)*SUM(EXTERNE_POZICIE!$M$53:$M$64)*1.23)/EXTERNE_POZICIE!$B$41*12,IF((EXTERNE_POZICIE!$B$53-12*('TCO TO BE- SW'!$D155-1))&lt;0,0,(EXTERNE_POZICIE!$B$53-12*('TCO TO BE- SW'!$D155-1))*((L$4+'TCO TO BE - HW'!L$4)/($E$4+'TCO TO BE - HW'!$E$4)*SUM(EXTERNE_POZICIE!$M$53:$M$64)*1.23)/EXTERNE_POZICIE!$B$53)),0)+IFERROR(SUM(#REF!)*'TCO TO BE- SW'!L$4/'TCO TO BE- SW'!$E$4,0)</f>
        <v>0</v>
      </c>
      <c r="M165" s="579">
        <f>IFERROR(IF((POZICIE_INTERNE!$B$73-12*('TCO TO BE- SW'!$D155-1))&gt;12,((M$4+'TCO TO BE - HW'!M$4)/($E$4+'TCO TO BE - HW'!$E$4)*SUM(POZICIE_INTERNE!$I$73:$I$84))/POZICIE_INTERNE!$B$73*12,IF((POZICIE_INTERNE!$B$73-12*('TCO TO BE- SW'!$D155-1))&lt;0,0,(POZICIE_INTERNE!$B$73-12*('TCO TO BE- SW'!$D155-1))*((M$4+'TCO TO BE - HW'!M$4)/($E$4+'TCO TO BE - HW'!$E$4)*SUM(POZICIE_INTERNE!$I$73:$I$84))/POZICIE_INTERNE!$B$73)),0)+IFERROR(IF((EXTERNE_POZICIE!$B$53-12*('TCO TO BE- SW'!$D155-1))&gt;12,((M$4+'TCO TO BE - HW'!M$4)/($E$4+'TCO TO BE - HW'!$E$4)*SUM(EXTERNE_POZICIE!$M$53:$M$64)*1.23)/EXTERNE_POZICIE!$B$41*12,IF((EXTERNE_POZICIE!$B$53-12*('TCO TO BE- SW'!$D155-1))&lt;0,0,(EXTERNE_POZICIE!$B$53-12*('TCO TO BE- SW'!$D155-1))*((M$4+'TCO TO BE - HW'!M$4)/($E$4+'TCO TO BE - HW'!$E$4)*SUM(EXTERNE_POZICIE!$M$53:$M$64)*1.23)/EXTERNE_POZICIE!$B$53)),0)+IFERROR(SUM(#REF!)*'TCO TO BE- SW'!M$4/'TCO TO BE- SW'!$E$4,0)</f>
        <v>0</v>
      </c>
      <c r="N165" s="579">
        <f>IFERROR(IF((POZICIE_INTERNE!$B$73-12*('TCO TO BE- SW'!$D155-1))&gt;12,((N$4+'TCO TO BE - HW'!N$4)/($E$4+'TCO TO BE - HW'!$E$4)*SUM(POZICIE_INTERNE!$I$73:$I$84))/POZICIE_INTERNE!$B$73*12,IF((POZICIE_INTERNE!$B$73-12*('TCO TO BE- SW'!$D155-1))&lt;0,0,(POZICIE_INTERNE!$B$73-12*('TCO TO BE- SW'!$D155-1))*((N$4+'TCO TO BE - HW'!N$4)/($E$4+'TCO TO BE - HW'!$E$4)*SUM(POZICIE_INTERNE!$I$73:$I$84))/POZICIE_INTERNE!$B$73)),0)+IFERROR(IF((EXTERNE_POZICIE!$B$53-12*('TCO TO BE- SW'!$D155-1))&gt;12,((N$4+'TCO TO BE - HW'!N$4)/($E$4+'TCO TO BE - HW'!$E$4)*SUM(EXTERNE_POZICIE!$M$53:$M$64)*1.23)/EXTERNE_POZICIE!$B$41*12,IF((EXTERNE_POZICIE!$B$53-12*('TCO TO BE- SW'!$D155-1))&lt;0,0,(EXTERNE_POZICIE!$B$53-12*('TCO TO BE- SW'!$D155-1))*((N$4+'TCO TO BE - HW'!N$4)/($E$4+'TCO TO BE - HW'!$E$4)*SUM(EXTERNE_POZICIE!$M$53:$M$64)*1.23)/EXTERNE_POZICIE!$B$53)),0)+IFERROR(SUM(#REF!)*'TCO TO BE- SW'!N$4/'TCO TO BE- SW'!$E$4,0)</f>
        <v>0</v>
      </c>
      <c r="O165" s="579">
        <f>IFERROR(IF((POZICIE_INTERNE!$B$73-12*('TCO TO BE- SW'!$D155-1))&gt;12,((O$4+'TCO TO BE - HW'!O$4)/($E$4+'TCO TO BE - HW'!$E$4)*SUM(POZICIE_INTERNE!$I$73:$I$84))/POZICIE_INTERNE!$B$73*12,IF((POZICIE_INTERNE!$B$73-12*('TCO TO BE- SW'!$D155-1))&lt;0,0,(POZICIE_INTERNE!$B$73-12*('TCO TO BE- SW'!$D155-1))*((O$4+'TCO TO BE - HW'!O$4)/($E$4+'TCO TO BE - HW'!$E$4)*SUM(POZICIE_INTERNE!$I$73:$I$84))/POZICIE_INTERNE!$B$73)),0)+IFERROR(IF((EXTERNE_POZICIE!$B$53-12*('TCO TO BE- SW'!$D155-1))&gt;12,((O$4+'TCO TO BE - HW'!O$4)/($E$4+'TCO TO BE - HW'!$E$4)*SUM(EXTERNE_POZICIE!$M$53:$M$64)*1.23)/EXTERNE_POZICIE!$B$41*12,IF((EXTERNE_POZICIE!$B$53-12*('TCO TO BE- SW'!$D155-1))&lt;0,0,(EXTERNE_POZICIE!$B$53-12*('TCO TO BE- SW'!$D155-1))*((O$4+'TCO TO BE - HW'!O$4)/($E$4+'TCO TO BE - HW'!$E$4)*SUM(EXTERNE_POZICIE!$M$53:$M$64)*1.23)/EXTERNE_POZICIE!$B$53)),0)+IFERROR(SUM(#REF!)*'TCO TO BE- SW'!O$4/'TCO TO BE- SW'!$E$4,0)</f>
        <v>0</v>
      </c>
      <c r="P165" s="579">
        <f>IFERROR(IF((POZICIE_INTERNE!$B$73-12*('TCO TO BE- SW'!$D155-1))&gt;12,((P$4+'TCO TO BE - HW'!P$4)/($E$4+'TCO TO BE - HW'!$E$4)*SUM(POZICIE_INTERNE!$I$73:$I$84))/POZICIE_INTERNE!$B$73*12,IF((POZICIE_INTERNE!$B$73-12*('TCO TO BE- SW'!$D155-1))&lt;0,0,(POZICIE_INTERNE!$B$73-12*('TCO TO BE- SW'!$D155-1))*((P$4+'TCO TO BE - HW'!P$4)/($E$4+'TCO TO BE - HW'!$E$4)*SUM(POZICIE_INTERNE!$I$73:$I$84))/POZICIE_INTERNE!$B$73)),0)+IFERROR(IF((EXTERNE_POZICIE!$B$53-12*('TCO TO BE- SW'!$D155-1))&gt;12,((P$4+'TCO TO BE - HW'!P$4)/($E$4+'TCO TO BE - HW'!$E$4)*SUM(EXTERNE_POZICIE!$M$53:$M$64)*1.23)/EXTERNE_POZICIE!$B$41*12,IF((EXTERNE_POZICIE!$B$53-12*('TCO TO BE- SW'!$D155-1))&lt;0,0,(EXTERNE_POZICIE!$B$53-12*('TCO TO BE- SW'!$D155-1))*((P$4+'TCO TO BE - HW'!P$4)/($E$4+'TCO TO BE - HW'!$E$4)*SUM(EXTERNE_POZICIE!$M$53:$M$64)*1.23)/EXTERNE_POZICIE!$B$53)),0)+IFERROR(SUM(#REF!)*'TCO TO BE- SW'!P$4/'TCO TO BE- SW'!$E$4,0)</f>
        <v>0</v>
      </c>
      <c r="Q165" s="579">
        <f>IFERROR(IF((POZICIE_INTERNE!$B$73-12*('TCO TO BE- SW'!$D155-1))&gt;12,((Q$4+'TCO TO BE - HW'!Q$4)/($E$4+'TCO TO BE - HW'!$E$4)*SUM(POZICIE_INTERNE!$I$73:$I$84))/POZICIE_INTERNE!$B$73*12,IF((POZICIE_INTERNE!$B$73-12*('TCO TO BE- SW'!$D155-1))&lt;0,0,(POZICIE_INTERNE!$B$73-12*('TCO TO BE- SW'!$D155-1))*((Q$4+'TCO TO BE - HW'!Q$4)/($E$4+'TCO TO BE - HW'!$E$4)*SUM(POZICIE_INTERNE!$I$73:$I$84))/POZICIE_INTERNE!$B$73)),0)+IFERROR(IF((EXTERNE_POZICIE!$B$53-12*('TCO TO BE- SW'!$D155-1))&gt;12,((Q$4+'TCO TO BE - HW'!Q$4)/($E$4+'TCO TO BE - HW'!$E$4)*SUM(EXTERNE_POZICIE!$M$53:$M$64)*1.23)/EXTERNE_POZICIE!$B$41*12,IF((EXTERNE_POZICIE!$B$53-12*('TCO TO BE- SW'!$D155-1))&lt;0,0,(EXTERNE_POZICIE!$B$53-12*('TCO TO BE- SW'!$D155-1))*((Q$4+'TCO TO BE - HW'!Q$4)/($E$4+'TCO TO BE - HW'!$E$4)*SUM(EXTERNE_POZICIE!$M$53:$M$64)*1.23)/EXTERNE_POZICIE!$B$53)),0)+IFERROR(SUM(#REF!)*'TCO TO BE- SW'!Q$4/'TCO TO BE- SW'!$E$4,0)</f>
        <v>0</v>
      </c>
      <c r="R165" s="579">
        <f>IFERROR(IF((POZICIE_INTERNE!$B$73-12*('TCO TO BE- SW'!$D155-1))&gt;12,((R$4+'TCO TO BE - HW'!R$4)/($E$4+'TCO TO BE - HW'!$E$4)*SUM(POZICIE_INTERNE!$I$73:$I$84))/POZICIE_INTERNE!$B$73*12,IF((POZICIE_INTERNE!$B$73-12*('TCO TO BE- SW'!$D155-1))&lt;0,0,(POZICIE_INTERNE!$B$73-12*('TCO TO BE- SW'!$D155-1))*((R$4+'TCO TO BE - HW'!R$4)/($E$4+'TCO TO BE - HW'!$E$4)*SUM(POZICIE_INTERNE!$I$73:$I$84))/POZICIE_INTERNE!$B$73)),0)+IFERROR(IF((EXTERNE_POZICIE!$B$53-12*('TCO TO BE- SW'!$D155-1))&gt;12,((R$4+'TCO TO BE - HW'!R$4)/($E$4+'TCO TO BE - HW'!$E$4)*SUM(EXTERNE_POZICIE!$M$53:$M$64)*1.23)/EXTERNE_POZICIE!$B$41*12,IF((EXTERNE_POZICIE!$B$53-12*('TCO TO BE- SW'!$D155-1))&lt;0,0,(EXTERNE_POZICIE!$B$53-12*('TCO TO BE- SW'!$D155-1))*((R$4+'TCO TO BE - HW'!R$4)/($E$4+'TCO TO BE - HW'!$E$4)*SUM(EXTERNE_POZICIE!$M$53:$M$64)*1.23)/EXTERNE_POZICIE!$B$53)),0)+IFERROR(SUM(#REF!)*'TCO TO BE- SW'!R$4/'TCO TO BE- SW'!$E$4,0)</f>
        <v>0</v>
      </c>
      <c r="S165" s="579">
        <f>IFERROR(IF((POZICIE_INTERNE!$B$73-12*('TCO TO BE- SW'!$D155-1))&gt;12,((S$4+'TCO TO BE - HW'!S$4)/($E$4+'TCO TO BE - HW'!$E$4)*SUM(POZICIE_INTERNE!$I$73:$I$84))/POZICIE_INTERNE!$B$73*12,IF((POZICIE_INTERNE!$B$73-12*('TCO TO BE- SW'!$D155-1))&lt;0,0,(POZICIE_INTERNE!$B$73-12*('TCO TO BE- SW'!$D155-1))*((S$4+'TCO TO BE - HW'!S$4)/($E$4+'TCO TO BE - HW'!$E$4)*SUM(POZICIE_INTERNE!$I$73:$I$84))/POZICIE_INTERNE!$B$73)),0)+IFERROR(IF((EXTERNE_POZICIE!$B$53-12*('TCO TO BE- SW'!$D155-1))&gt;12,((S$4+'TCO TO BE - HW'!S$4)/($E$4+'TCO TO BE - HW'!$E$4)*SUM(EXTERNE_POZICIE!$M$53:$M$64)*1.23)/EXTERNE_POZICIE!$B$41*12,IF((EXTERNE_POZICIE!$B$53-12*('TCO TO BE- SW'!$D155-1))&lt;0,0,(EXTERNE_POZICIE!$B$53-12*('TCO TO BE- SW'!$D155-1))*((S$4+'TCO TO BE - HW'!S$4)/($E$4+'TCO TO BE - HW'!$E$4)*SUM(EXTERNE_POZICIE!$M$53:$M$64)*1.23)/EXTERNE_POZICIE!$B$53)),0)+IFERROR(SUM(#REF!)*'TCO TO BE- SW'!S$4/'TCO TO BE- SW'!$E$4,0)</f>
        <v>0</v>
      </c>
      <c r="T165" s="579">
        <f>IFERROR(IF((POZICIE_INTERNE!$B$73-12*('TCO TO BE- SW'!$D155-1))&gt;12,((T$4+'TCO TO BE - HW'!T$4)/($E$4+'TCO TO BE - HW'!$E$4)*SUM(POZICIE_INTERNE!$I$73:$I$84))/POZICIE_INTERNE!$B$73*12,IF((POZICIE_INTERNE!$B$73-12*('TCO TO BE- SW'!$D155-1))&lt;0,0,(POZICIE_INTERNE!$B$73-12*('TCO TO BE- SW'!$D155-1))*((T$4+'TCO TO BE - HW'!T$4)/($E$4+'TCO TO BE - HW'!$E$4)*SUM(POZICIE_INTERNE!$I$73:$I$84))/POZICIE_INTERNE!$B$73)),0)+IFERROR(IF((EXTERNE_POZICIE!$B$53-12*('TCO TO BE- SW'!$D155-1))&gt;12,((T$4+'TCO TO BE - HW'!T$4)/($E$4+'TCO TO BE - HW'!$E$4)*SUM(EXTERNE_POZICIE!$M$53:$M$64)*1.23)/EXTERNE_POZICIE!$B$41*12,IF((EXTERNE_POZICIE!$B$53-12*('TCO TO BE- SW'!$D155-1))&lt;0,0,(EXTERNE_POZICIE!$B$53-12*('TCO TO BE- SW'!$D155-1))*((T$4+'TCO TO BE - HW'!T$4)/($E$4+'TCO TO BE - HW'!$E$4)*SUM(EXTERNE_POZICIE!$M$53:$M$64)*1.23)/EXTERNE_POZICIE!$B$53)),0)+IFERROR(SUM(#REF!)*'TCO TO BE- SW'!T$4/'TCO TO BE- SW'!$E$4,0)</f>
        <v>0</v>
      </c>
      <c r="U165" s="579">
        <f>IFERROR(IF((POZICIE_INTERNE!$B$73-12*('TCO TO BE- SW'!$D155-1))&gt;12,((U$4+'TCO TO BE - HW'!U$4)/($E$4+'TCO TO BE - HW'!$E$4)*SUM(POZICIE_INTERNE!$I$73:$I$84))/POZICIE_INTERNE!$B$73*12,IF((POZICIE_INTERNE!$B$73-12*('TCO TO BE- SW'!$D155-1))&lt;0,0,(POZICIE_INTERNE!$B$73-12*('TCO TO BE- SW'!$D155-1))*((U$4+'TCO TO BE - HW'!U$4)/($E$4+'TCO TO BE - HW'!$E$4)*SUM(POZICIE_INTERNE!$I$73:$I$84))/POZICIE_INTERNE!$B$73)),0)+IFERROR(IF((EXTERNE_POZICIE!$B$53-12*('TCO TO BE- SW'!$D155-1))&gt;12,((U$4+'TCO TO BE - HW'!U$4)/($E$4+'TCO TO BE - HW'!$E$4)*SUM(EXTERNE_POZICIE!$M$53:$M$64)*1.23)/EXTERNE_POZICIE!$B$41*12,IF((EXTERNE_POZICIE!$B$53-12*('TCO TO BE- SW'!$D155-1))&lt;0,0,(EXTERNE_POZICIE!$B$53-12*('TCO TO BE- SW'!$D155-1))*((U$4+'TCO TO BE - HW'!U$4)/($E$4+'TCO TO BE - HW'!$E$4)*SUM(EXTERNE_POZICIE!$M$53:$M$64)*1.23)/EXTERNE_POZICIE!$B$53)),0)+IFERROR(SUM(#REF!)*'TCO TO BE- SW'!U$4/'TCO TO BE- SW'!$E$4,0)</f>
        <v>0</v>
      </c>
      <c r="V165" s="579">
        <f>IFERROR(IF((POZICIE_INTERNE!$B$73-12*('TCO TO BE- SW'!$D155-1))&gt;12,((V$4+'TCO TO BE - HW'!V$4)/($E$4+'TCO TO BE - HW'!$E$4)*SUM(POZICIE_INTERNE!$I$73:$I$84))/POZICIE_INTERNE!$B$73*12,IF((POZICIE_INTERNE!$B$73-12*('TCO TO BE- SW'!$D155-1))&lt;0,0,(POZICIE_INTERNE!$B$73-12*('TCO TO BE- SW'!$D155-1))*((V$4+'TCO TO BE - HW'!V$4)/($E$4+'TCO TO BE - HW'!$E$4)*SUM(POZICIE_INTERNE!$I$73:$I$84))/POZICIE_INTERNE!$B$73)),0)+IFERROR(IF((EXTERNE_POZICIE!$B$53-12*('TCO TO BE- SW'!$D155-1))&gt;12,((V$4+'TCO TO BE - HW'!V$4)/($E$4+'TCO TO BE - HW'!$E$4)*SUM(EXTERNE_POZICIE!$M$53:$M$64)*1.23)/EXTERNE_POZICIE!$B$41*12,IF((EXTERNE_POZICIE!$B$53-12*('TCO TO BE- SW'!$D155-1))&lt;0,0,(EXTERNE_POZICIE!$B$53-12*('TCO TO BE- SW'!$D155-1))*((V$4+'TCO TO BE - HW'!V$4)/($E$4+'TCO TO BE - HW'!$E$4)*SUM(EXTERNE_POZICIE!$M$53:$M$64)*1.23)/EXTERNE_POZICIE!$B$53)),0)+IFERROR(SUM(#REF!)*'TCO TO BE- SW'!V$4/'TCO TO BE- SW'!$E$4,0)</f>
        <v>0</v>
      </c>
      <c r="W165" s="579">
        <f>IFERROR(IF((POZICIE_INTERNE!$B$73-12*('TCO TO BE- SW'!$D155-1))&gt;12,((W$4+'TCO TO BE - HW'!W$4)/($E$4+'TCO TO BE - HW'!$E$4)*SUM(POZICIE_INTERNE!$I$73:$I$84))/POZICIE_INTERNE!$B$73*12,IF((POZICIE_INTERNE!$B$73-12*('TCO TO BE- SW'!$D155-1))&lt;0,0,(POZICIE_INTERNE!$B$73-12*('TCO TO BE- SW'!$D155-1))*((W$4+'TCO TO BE - HW'!W$4)/($E$4+'TCO TO BE - HW'!$E$4)*SUM(POZICIE_INTERNE!$I$73:$I$84))/POZICIE_INTERNE!$B$73)),0)+IFERROR(IF((EXTERNE_POZICIE!$B$53-12*('TCO TO BE- SW'!$D155-1))&gt;12,((W$4+'TCO TO BE - HW'!W$4)/($E$4+'TCO TO BE - HW'!$E$4)*SUM(EXTERNE_POZICIE!$M$53:$M$64)*1.23)/EXTERNE_POZICIE!$B$41*12,IF((EXTERNE_POZICIE!$B$53-12*('TCO TO BE- SW'!$D155-1))&lt;0,0,(EXTERNE_POZICIE!$B$53-12*('TCO TO BE- SW'!$D155-1))*((W$4+'TCO TO BE - HW'!W$4)/($E$4+'TCO TO BE - HW'!$E$4)*SUM(EXTERNE_POZICIE!$M$53:$M$64)*1.23)/EXTERNE_POZICIE!$B$53)),0)+IFERROR(SUM(#REF!)*'TCO TO BE- SW'!W$4/'TCO TO BE- SW'!$E$4,0)</f>
        <v>0</v>
      </c>
      <c r="X165" s="579">
        <f>IFERROR(IF((POZICIE_INTERNE!$B$73-12*('TCO TO BE- SW'!$D155-1))&gt;12,((X$4+'TCO TO BE - HW'!X$4)/($E$4+'TCO TO BE - HW'!$E$4)*SUM(POZICIE_INTERNE!$I$73:$I$84))/POZICIE_INTERNE!$B$73*12,IF((POZICIE_INTERNE!$B$73-12*('TCO TO BE- SW'!$D155-1))&lt;0,0,(POZICIE_INTERNE!$B$73-12*('TCO TO BE- SW'!$D155-1))*((X$4+'TCO TO BE - HW'!X$4)/($E$4+'TCO TO BE - HW'!$E$4)*SUM(POZICIE_INTERNE!$I$73:$I$84))/POZICIE_INTERNE!$B$73)),0)+IFERROR(IF((EXTERNE_POZICIE!$B$53-12*('TCO TO BE- SW'!$D155-1))&gt;12,((X$4+'TCO TO BE - HW'!X$4)/($E$4+'TCO TO BE - HW'!$E$4)*SUM(EXTERNE_POZICIE!$M$53:$M$64)*1.23)/EXTERNE_POZICIE!$B$41*12,IF((EXTERNE_POZICIE!$B$53-12*('TCO TO BE- SW'!$D155-1))&lt;0,0,(EXTERNE_POZICIE!$B$53-12*('TCO TO BE- SW'!$D155-1))*((X$4+'TCO TO BE - HW'!X$4)/($E$4+'TCO TO BE - HW'!$E$4)*SUM(EXTERNE_POZICIE!$M$53:$M$64)*1.23)/EXTERNE_POZICIE!$B$53)),0)+IFERROR(SUM(#REF!)*'TCO TO BE- SW'!X$4/'TCO TO BE- SW'!$E$4,0)</f>
        <v>0</v>
      </c>
      <c r="Y165" s="579">
        <f>IFERROR(IF((POZICIE_INTERNE!$B$73-12*('TCO TO BE- SW'!$D155-1))&gt;12,((Y$4+'TCO TO BE - HW'!Y$4)/($E$4+'TCO TO BE - HW'!$E$4)*SUM(POZICIE_INTERNE!$I$73:$I$84))/POZICIE_INTERNE!$B$73*12,IF((POZICIE_INTERNE!$B$73-12*('TCO TO BE- SW'!$D155-1))&lt;0,0,(POZICIE_INTERNE!$B$73-12*('TCO TO BE- SW'!$D155-1))*((Y$4+'TCO TO BE - HW'!Y$4)/($E$4+'TCO TO BE - HW'!$E$4)*SUM(POZICIE_INTERNE!$I$73:$I$84))/POZICIE_INTERNE!$B$73)),0)+IFERROR(IF((EXTERNE_POZICIE!$B$53-12*('TCO TO BE- SW'!$D155-1))&gt;12,((Y$4+'TCO TO BE - HW'!Y$4)/($E$4+'TCO TO BE - HW'!$E$4)*SUM(EXTERNE_POZICIE!$M$53:$M$64)*1.23)/EXTERNE_POZICIE!$B$41*12,IF((EXTERNE_POZICIE!$B$53-12*('TCO TO BE- SW'!$D155-1))&lt;0,0,(EXTERNE_POZICIE!$B$53-12*('TCO TO BE- SW'!$D155-1))*((Y$4+'TCO TO BE - HW'!Y$4)/($E$4+'TCO TO BE - HW'!$E$4)*SUM(EXTERNE_POZICIE!$M$53:$M$64)*1.23)/EXTERNE_POZICIE!$B$53)),0)+IFERROR(SUM(#REF!)*'TCO TO BE- SW'!Y$4/'TCO TO BE- SW'!$E$4,0)</f>
        <v>0</v>
      </c>
      <c r="Z165" s="579">
        <f>IFERROR(IF((POZICIE_INTERNE!$B$73-12*('TCO TO BE- SW'!$D155-1))&gt;12,((Z$4+'TCO TO BE - HW'!Z$4)/($E$4+'TCO TO BE - HW'!$E$4)*SUM(POZICIE_INTERNE!$I$73:$I$84))/POZICIE_INTERNE!$B$73*12,IF((POZICIE_INTERNE!$B$73-12*('TCO TO BE- SW'!$D155-1))&lt;0,0,(POZICIE_INTERNE!$B$73-12*('TCO TO BE- SW'!$D155-1))*((Z$4+'TCO TO BE - HW'!Z$4)/($E$4+'TCO TO BE - HW'!$E$4)*SUM(POZICIE_INTERNE!$I$73:$I$84))/POZICIE_INTERNE!$B$73)),0)+IFERROR(IF((EXTERNE_POZICIE!$B$53-12*('TCO TO BE- SW'!$D155-1))&gt;12,((Z$4+'TCO TO BE - HW'!Z$4)/($E$4+'TCO TO BE - HW'!$E$4)*SUM(EXTERNE_POZICIE!$M$53:$M$64)*1.23)/EXTERNE_POZICIE!$B$41*12,IF((EXTERNE_POZICIE!$B$53-12*('TCO TO BE- SW'!$D155-1))&lt;0,0,(EXTERNE_POZICIE!$B$53-12*('TCO TO BE- SW'!$D155-1))*((Z$4+'TCO TO BE - HW'!Z$4)/($E$4+'TCO TO BE - HW'!$E$4)*SUM(EXTERNE_POZICIE!$M$53:$M$64)*1.23)/EXTERNE_POZICIE!$B$53)),0)+IFERROR(SUM(#REF!)*'TCO TO BE- SW'!Z$4/'TCO TO BE- SW'!$E$4,0)</f>
        <v>0</v>
      </c>
    </row>
    <row r="166" spans="1:26" x14ac:dyDescent="0.2">
      <c r="A166" s="1390"/>
      <c r="B166" s="1391"/>
      <c r="C166" s="1391"/>
      <c r="D166" s="64">
        <v>6</v>
      </c>
      <c r="E166" s="68">
        <f t="shared" si="16"/>
        <v>0</v>
      </c>
      <c r="F166" s="579">
        <f>IFERROR(IF((POZICIE_INTERNE!$B$73-12*('TCO TO BE- SW'!$D156-1))&gt;12,((F$4+'TCO TO BE - HW'!F$4)/($E$4+'TCO TO BE - HW'!$E$4)*SUM(POZICIE_INTERNE!$I$73:$I$84))/POZICIE_INTERNE!$B$73*12,IF((POZICIE_INTERNE!$B$73-12*('TCO TO BE- SW'!$D156-1))&lt;0,0,(POZICIE_INTERNE!$B$73-12*('TCO TO BE- SW'!$D156-1))*((F$4+'TCO TO BE - HW'!F$4)/($E$4+'TCO TO BE - HW'!$E$4)*SUM(POZICIE_INTERNE!$I$73:$I$84))/POZICIE_INTERNE!$B$73)),0)+IFERROR(IF((EXTERNE_POZICIE!$B$53-12*('TCO TO BE- SW'!$D156-1))&gt;12,((F$4+'TCO TO BE - HW'!F$4)/($E$4+'TCO TO BE - HW'!$E$4)*SUM(EXTERNE_POZICIE!$M$53:$M$64)*1.23)/EXTERNE_POZICIE!$B$41*12,IF((EXTERNE_POZICIE!$B$53-12*('TCO TO BE- SW'!$D156-1))&lt;0,0,(EXTERNE_POZICIE!$B$53-12*('TCO TO BE- SW'!$D156-1))*((F$4+'TCO TO BE - HW'!F$4)/($E$4+'TCO TO BE - HW'!$E$4)*SUM(EXTERNE_POZICIE!$M$53:$M$64)*1.23)/EXTERNE_POZICIE!$B$53)),0)+IFERROR(SUM(#REF!)*'TCO TO BE- SW'!F$4/'TCO TO BE- SW'!$E$4,0)</f>
        <v>0</v>
      </c>
      <c r="G166" s="579">
        <f>IFERROR(IF((POZICIE_INTERNE!$B$73-12*('TCO TO BE- SW'!$D156-1))&gt;12,((G$4+'TCO TO BE - HW'!G$4)/($E$4+'TCO TO BE - HW'!$E$4)*SUM(POZICIE_INTERNE!$I$73:$I$84))/POZICIE_INTERNE!$B$73*12,IF((POZICIE_INTERNE!$B$73-12*('TCO TO BE- SW'!$D156-1))&lt;0,0,(POZICIE_INTERNE!$B$73-12*('TCO TO BE- SW'!$D156-1))*((G$4+'TCO TO BE - HW'!G$4)/($E$4+'TCO TO BE - HW'!$E$4)*SUM(POZICIE_INTERNE!$I$73:$I$84))/POZICIE_INTERNE!$B$73)),0)+IFERROR(IF((EXTERNE_POZICIE!$B$53-12*('TCO TO BE- SW'!$D156-1))&gt;12,((G$4+'TCO TO BE - HW'!G$4)/($E$4+'TCO TO BE - HW'!$E$4)*SUM(EXTERNE_POZICIE!$M$53:$M$64)*1.23)/EXTERNE_POZICIE!$B$41*12,IF((EXTERNE_POZICIE!$B$53-12*('TCO TO BE- SW'!$D156-1))&lt;0,0,(EXTERNE_POZICIE!$B$53-12*('TCO TO BE- SW'!$D156-1))*((G$4+'TCO TO BE - HW'!G$4)/($E$4+'TCO TO BE - HW'!$E$4)*SUM(EXTERNE_POZICIE!$M$53:$M$64)*1.23)/EXTERNE_POZICIE!$B$53)),0)+IFERROR(SUM(#REF!)*'TCO TO BE- SW'!G$4/'TCO TO BE- SW'!$E$4,0)</f>
        <v>0</v>
      </c>
      <c r="H166" s="579">
        <f>IFERROR(IF((POZICIE_INTERNE!$B$73-12*('TCO TO BE- SW'!$D156-1))&gt;12,((H$4+'TCO TO BE - HW'!H$4)/($E$4+'TCO TO BE - HW'!$E$4)*SUM(POZICIE_INTERNE!$I$73:$I$84))/POZICIE_INTERNE!$B$73*12,IF((POZICIE_INTERNE!$B$73-12*('TCO TO BE- SW'!$D156-1))&lt;0,0,(POZICIE_INTERNE!$B$73-12*('TCO TO BE- SW'!$D156-1))*((H$4+'TCO TO BE - HW'!H$4)/($E$4+'TCO TO BE - HW'!$E$4)*SUM(POZICIE_INTERNE!$I$73:$I$84))/POZICIE_INTERNE!$B$73)),0)+IFERROR(IF((EXTERNE_POZICIE!$B$53-12*('TCO TO BE- SW'!$D156-1))&gt;12,((H$4+'TCO TO BE - HW'!H$4)/($E$4+'TCO TO BE - HW'!$E$4)*SUM(EXTERNE_POZICIE!$M$53:$M$64)*1.23)/EXTERNE_POZICIE!$B$41*12,IF((EXTERNE_POZICIE!$B$53-12*('TCO TO BE- SW'!$D156-1))&lt;0,0,(EXTERNE_POZICIE!$B$53-12*('TCO TO BE- SW'!$D156-1))*((H$4+'TCO TO BE - HW'!H$4)/($E$4+'TCO TO BE - HW'!$E$4)*SUM(EXTERNE_POZICIE!$M$53:$M$64)*1.23)/EXTERNE_POZICIE!$B$53)),0)+IFERROR(SUM(#REF!)*'TCO TO BE- SW'!H$4/'TCO TO BE- SW'!$E$4,0)</f>
        <v>0</v>
      </c>
      <c r="I166" s="579">
        <f>IFERROR(IF((POZICIE_INTERNE!$B$73-12*('TCO TO BE- SW'!$D156-1))&gt;12,((I$4+'TCO TO BE - HW'!I$4)/($E$4+'TCO TO BE - HW'!$E$4)*SUM(POZICIE_INTERNE!$I$73:$I$84))/POZICIE_INTERNE!$B$73*12,IF((POZICIE_INTERNE!$B$73-12*('TCO TO BE- SW'!$D156-1))&lt;0,0,(POZICIE_INTERNE!$B$73-12*('TCO TO BE- SW'!$D156-1))*((I$4+'TCO TO BE - HW'!I$4)/($E$4+'TCO TO BE - HW'!$E$4)*SUM(POZICIE_INTERNE!$I$73:$I$84))/POZICIE_INTERNE!$B$73)),0)+IFERROR(IF((EXTERNE_POZICIE!$B$53-12*('TCO TO BE- SW'!$D156-1))&gt;12,((I$4+'TCO TO BE - HW'!I$4)/($E$4+'TCO TO BE - HW'!$E$4)*SUM(EXTERNE_POZICIE!$M$53:$M$64)*1.23)/EXTERNE_POZICIE!$B$41*12,IF((EXTERNE_POZICIE!$B$53-12*('TCO TO BE- SW'!$D156-1))&lt;0,0,(EXTERNE_POZICIE!$B$53-12*('TCO TO BE- SW'!$D156-1))*((I$4+'TCO TO BE - HW'!I$4)/($E$4+'TCO TO BE - HW'!$E$4)*SUM(EXTERNE_POZICIE!$M$53:$M$64)*1.23)/EXTERNE_POZICIE!$B$53)),0)+IFERROR(SUM(#REF!)*'TCO TO BE- SW'!I$4/'TCO TO BE- SW'!$E$4,0)</f>
        <v>0</v>
      </c>
      <c r="J166" s="579">
        <f>IFERROR(IF((POZICIE_INTERNE!$B$73-12*('TCO TO BE- SW'!$D156-1))&gt;12,((J$4+'TCO TO BE - HW'!J$4)/($E$4+'TCO TO BE - HW'!$E$4)*SUM(POZICIE_INTERNE!$I$73:$I$84))/POZICIE_INTERNE!$B$73*12,IF((POZICIE_INTERNE!$B$73-12*('TCO TO BE- SW'!$D156-1))&lt;0,0,(POZICIE_INTERNE!$B$73-12*('TCO TO BE- SW'!$D156-1))*((J$4+'TCO TO BE - HW'!J$4)/($E$4+'TCO TO BE - HW'!$E$4)*SUM(POZICIE_INTERNE!$I$73:$I$84))/POZICIE_INTERNE!$B$73)),0)+IFERROR(IF((EXTERNE_POZICIE!$B$53-12*('TCO TO BE- SW'!$D156-1))&gt;12,((J$4+'TCO TO BE - HW'!J$4)/($E$4+'TCO TO BE - HW'!$E$4)*SUM(EXTERNE_POZICIE!$M$53:$M$64)*1.23)/EXTERNE_POZICIE!$B$41*12,IF((EXTERNE_POZICIE!$B$53-12*('TCO TO BE- SW'!$D156-1))&lt;0,0,(EXTERNE_POZICIE!$B$53-12*('TCO TO BE- SW'!$D156-1))*((J$4+'TCO TO BE - HW'!J$4)/($E$4+'TCO TO BE - HW'!$E$4)*SUM(EXTERNE_POZICIE!$M$53:$M$64)*1.23)/EXTERNE_POZICIE!$B$53)),0)+IFERROR(SUM(#REF!)*'TCO TO BE- SW'!J$4/'TCO TO BE- SW'!$E$4,0)</f>
        <v>0</v>
      </c>
      <c r="K166" s="579">
        <f>IFERROR(IF((POZICIE_INTERNE!$B$73-12*('TCO TO BE- SW'!$D156-1))&gt;12,((K$4+'TCO TO BE - HW'!K$4)/($E$4+'TCO TO BE - HW'!$E$4)*SUM(POZICIE_INTERNE!$I$73:$I$84))/POZICIE_INTERNE!$B$73*12,IF((POZICIE_INTERNE!$B$73-12*('TCO TO BE- SW'!$D156-1))&lt;0,0,(POZICIE_INTERNE!$B$73-12*('TCO TO BE- SW'!$D156-1))*((K$4+'TCO TO BE - HW'!K$4)/($E$4+'TCO TO BE - HW'!$E$4)*SUM(POZICIE_INTERNE!$I$73:$I$84))/POZICIE_INTERNE!$B$73)),0)+IFERROR(IF((EXTERNE_POZICIE!$B$53-12*('TCO TO BE- SW'!$D156-1))&gt;12,((K$4+'TCO TO BE - HW'!K$4)/($E$4+'TCO TO BE - HW'!$E$4)*SUM(EXTERNE_POZICIE!$M$53:$M$64)*1.23)/EXTERNE_POZICIE!$B$41*12,IF((EXTERNE_POZICIE!$B$53-12*('TCO TO BE- SW'!$D156-1))&lt;0,0,(EXTERNE_POZICIE!$B$53-12*('TCO TO BE- SW'!$D156-1))*((K$4+'TCO TO BE - HW'!K$4)/($E$4+'TCO TO BE - HW'!$E$4)*SUM(EXTERNE_POZICIE!$M$53:$M$64)*1.23)/EXTERNE_POZICIE!$B$53)),0)+IFERROR(SUM(#REF!)*'TCO TO BE- SW'!K$4/'TCO TO BE- SW'!$E$4,0)</f>
        <v>0</v>
      </c>
      <c r="L166" s="579">
        <f>IFERROR(IF((POZICIE_INTERNE!$B$73-12*('TCO TO BE- SW'!$D156-1))&gt;12,((L$4+'TCO TO BE - HW'!L$4)/($E$4+'TCO TO BE - HW'!$E$4)*SUM(POZICIE_INTERNE!$I$73:$I$84))/POZICIE_INTERNE!$B$73*12,IF((POZICIE_INTERNE!$B$73-12*('TCO TO BE- SW'!$D156-1))&lt;0,0,(POZICIE_INTERNE!$B$73-12*('TCO TO BE- SW'!$D156-1))*((L$4+'TCO TO BE - HW'!L$4)/($E$4+'TCO TO BE - HW'!$E$4)*SUM(POZICIE_INTERNE!$I$73:$I$84))/POZICIE_INTERNE!$B$73)),0)+IFERROR(IF((EXTERNE_POZICIE!$B$53-12*('TCO TO BE- SW'!$D156-1))&gt;12,((L$4+'TCO TO BE - HW'!L$4)/($E$4+'TCO TO BE - HW'!$E$4)*SUM(EXTERNE_POZICIE!$M$53:$M$64)*1.23)/EXTERNE_POZICIE!$B$41*12,IF((EXTERNE_POZICIE!$B$53-12*('TCO TO BE- SW'!$D156-1))&lt;0,0,(EXTERNE_POZICIE!$B$53-12*('TCO TO BE- SW'!$D156-1))*((L$4+'TCO TO BE - HW'!L$4)/($E$4+'TCO TO BE - HW'!$E$4)*SUM(EXTERNE_POZICIE!$M$53:$M$64)*1.23)/EXTERNE_POZICIE!$B$53)),0)+IFERROR(SUM(#REF!)*'TCO TO BE- SW'!L$4/'TCO TO BE- SW'!$E$4,0)</f>
        <v>0</v>
      </c>
      <c r="M166" s="579">
        <f>IFERROR(IF((POZICIE_INTERNE!$B$73-12*('TCO TO BE- SW'!$D156-1))&gt;12,((M$4+'TCO TO BE - HW'!M$4)/($E$4+'TCO TO BE - HW'!$E$4)*SUM(POZICIE_INTERNE!$I$73:$I$84))/POZICIE_INTERNE!$B$73*12,IF((POZICIE_INTERNE!$B$73-12*('TCO TO BE- SW'!$D156-1))&lt;0,0,(POZICIE_INTERNE!$B$73-12*('TCO TO BE- SW'!$D156-1))*((M$4+'TCO TO BE - HW'!M$4)/($E$4+'TCO TO BE - HW'!$E$4)*SUM(POZICIE_INTERNE!$I$73:$I$84))/POZICIE_INTERNE!$B$73)),0)+IFERROR(IF((EXTERNE_POZICIE!$B$53-12*('TCO TO BE- SW'!$D156-1))&gt;12,((M$4+'TCO TO BE - HW'!M$4)/($E$4+'TCO TO BE - HW'!$E$4)*SUM(EXTERNE_POZICIE!$M$53:$M$64)*1.23)/EXTERNE_POZICIE!$B$41*12,IF((EXTERNE_POZICIE!$B$53-12*('TCO TO BE- SW'!$D156-1))&lt;0,0,(EXTERNE_POZICIE!$B$53-12*('TCO TO BE- SW'!$D156-1))*((M$4+'TCO TO BE - HW'!M$4)/($E$4+'TCO TO BE - HW'!$E$4)*SUM(EXTERNE_POZICIE!$M$53:$M$64)*1.23)/EXTERNE_POZICIE!$B$53)),0)+IFERROR(SUM(#REF!)*'TCO TO BE- SW'!M$4/'TCO TO BE- SW'!$E$4,0)</f>
        <v>0</v>
      </c>
      <c r="N166" s="579">
        <f>IFERROR(IF((POZICIE_INTERNE!$B$73-12*('TCO TO BE- SW'!$D156-1))&gt;12,((N$4+'TCO TO BE - HW'!N$4)/($E$4+'TCO TO BE - HW'!$E$4)*SUM(POZICIE_INTERNE!$I$73:$I$84))/POZICIE_INTERNE!$B$73*12,IF((POZICIE_INTERNE!$B$73-12*('TCO TO BE- SW'!$D156-1))&lt;0,0,(POZICIE_INTERNE!$B$73-12*('TCO TO BE- SW'!$D156-1))*((N$4+'TCO TO BE - HW'!N$4)/($E$4+'TCO TO BE - HW'!$E$4)*SUM(POZICIE_INTERNE!$I$73:$I$84))/POZICIE_INTERNE!$B$73)),0)+IFERROR(IF((EXTERNE_POZICIE!$B$53-12*('TCO TO BE- SW'!$D156-1))&gt;12,((N$4+'TCO TO BE - HW'!N$4)/($E$4+'TCO TO BE - HW'!$E$4)*SUM(EXTERNE_POZICIE!$M$53:$M$64)*1.23)/EXTERNE_POZICIE!$B$41*12,IF((EXTERNE_POZICIE!$B$53-12*('TCO TO BE- SW'!$D156-1))&lt;0,0,(EXTERNE_POZICIE!$B$53-12*('TCO TO BE- SW'!$D156-1))*((N$4+'TCO TO BE - HW'!N$4)/($E$4+'TCO TO BE - HW'!$E$4)*SUM(EXTERNE_POZICIE!$M$53:$M$64)*1.23)/EXTERNE_POZICIE!$B$53)),0)+IFERROR(SUM(#REF!)*'TCO TO BE- SW'!N$4/'TCO TO BE- SW'!$E$4,0)</f>
        <v>0</v>
      </c>
      <c r="O166" s="579">
        <f>IFERROR(IF((POZICIE_INTERNE!$B$73-12*('TCO TO BE- SW'!$D156-1))&gt;12,((O$4+'TCO TO BE - HW'!O$4)/($E$4+'TCO TO BE - HW'!$E$4)*SUM(POZICIE_INTERNE!$I$73:$I$84))/POZICIE_INTERNE!$B$73*12,IF((POZICIE_INTERNE!$B$73-12*('TCO TO BE- SW'!$D156-1))&lt;0,0,(POZICIE_INTERNE!$B$73-12*('TCO TO BE- SW'!$D156-1))*((O$4+'TCO TO BE - HW'!O$4)/($E$4+'TCO TO BE - HW'!$E$4)*SUM(POZICIE_INTERNE!$I$73:$I$84))/POZICIE_INTERNE!$B$73)),0)+IFERROR(IF((EXTERNE_POZICIE!$B$53-12*('TCO TO BE- SW'!$D156-1))&gt;12,((O$4+'TCO TO BE - HW'!O$4)/($E$4+'TCO TO BE - HW'!$E$4)*SUM(EXTERNE_POZICIE!$M$53:$M$64)*1.23)/EXTERNE_POZICIE!$B$41*12,IF((EXTERNE_POZICIE!$B$53-12*('TCO TO BE- SW'!$D156-1))&lt;0,0,(EXTERNE_POZICIE!$B$53-12*('TCO TO BE- SW'!$D156-1))*((O$4+'TCO TO BE - HW'!O$4)/($E$4+'TCO TO BE - HW'!$E$4)*SUM(EXTERNE_POZICIE!$M$53:$M$64)*1.23)/EXTERNE_POZICIE!$B$53)),0)+IFERROR(SUM(#REF!)*'TCO TO BE- SW'!O$4/'TCO TO BE- SW'!$E$4,0)</f>
        <v>0</v>
      </c>
      <c r="P166" s="579">
        <f>IFERROR(IF((POZICIE_INTERNE!$B$73-12*('TCO TO BE- SW'!$D156-1))&gt;12,((P$4+'TCO TO BE - HW'!P$4)/($E$4+'TCO TO BE - HW'!$E$4)*SUM(POZICIE_INTERNE!$I$73:$I$84))/POZICIE_INTERNE!$B$73*12,IF((POZICIE_INTERNE!$B$73-12*('TCO TO BE- SW'!$D156-1))&lt;0,0,(POZICIE_INTERNE!$B$73-12*('TCO TO BE- SW'!$D156-1))*((P$4+'TCO TO BE - HW'!P$4)/($E$4+'TCO TO BE - HW'!$E$4)*SUM(POZICIE_INTERNE!$I$73:$I$84))/POZICIE_INTERNE!$B$73)),0)+IFERROR(IF((EXTERNE_POZICIE!$B$53-12*('TCO TO BE- SW'!$D156-1))&gt;12,((P$4+'TCO TO BE - HW'!P$4)/($E$4+'TCO TO BE - HW'!$E$4)*SUM(EXTERNE_POZICIE!$M$53:$M$64)*1.23)/EXTERNE_POZICIE!$B$41*12,IF((EXTERNE_POZICIE!$B$53-12*('TCO TO BE- SW'!$D156-1))&lt;0,0,(EXTERNE_POZICIE!$B$53-12*('TCO TO BE- SW'!$D156-1))*((P$4+'TCO TO BE - HW'!P$4)/($E$4+'TCO TO BE - HW'!$E$4)*SUM(EXTERNE_POZICIE!$M$53:$M$64)*1.23)/EXTERNE_POZICIE!$B$53)),0)+IFERROR(SUM(#REF!)*'TCO TO BE- SW'!P$4/'TCO TO BE- SW'!$E$4,0)</f>
        <v>0</v>
      </c>
      <c r="Q166" s="579">
        <f>IFERROR(IF((POZICIE_INTERNE!$B$73-12*('TCO TO BE- SW'!$D156-1))&gt;12,((Q$4+'TCO TO BE - HW'!Q$4)/($E$4+'TCO TO BE - HW'!$E$4)*SUM(POZICIE_INTERNE!$I$73:$I$84))/POZICIE_INTERNE!$B$73*12,IF((POZICIE_INTERNE!$B$73-12*('TCO TO BE- SW'!$D156-1))&lt;0,0,(POZICIE_INTERNE!$B$73-12*('TCO TO BE- SW'!$D156-1))*((Q$4+'TCO TO BE - HW'!Q$4)/($E$4+'TCO TO BE - HW'!$E$4)*SUM(POZICIE_INTERNE!$I$73:$I$84))/POZICIE_INTERNE!$B$73)),0)+IFERROR(IF((EXTERNE_POZICIE!$B$53-12*('TCO TO BE- SW'!$D156-1))&gt;12,((Q$4+'TCO TO BE - HW'!Q$4)/($E$4+'TCO TO BE - HW'!$E$4)*SUM(EXTERNE_POZICIE!$M$53:$M$64)*1.23)/EXTERNE_POZICIE!$B$41*12,IF((EXTERNE_POZICIE!$B$53-12*('TCO TO BE- SW'!$D156-1))&lt;0,0,(EXTERNE_POZICIE!$B$53-12*('TCO TO BE- SW'!$D156-1))*((Q$4+'TCO TO BE - HW'!Q$4)/($E$4+'TCO TO BE - HW'!$E$4)*SUM(EXTERNE_POZICIE!$M$53:$M$64)*1.23)/EXTERNE_POZICIE!$B$53)),0)+IFERROR(SUM(#REF!)*'TCO TO BE- SW'!Q$4/'TCO TO BE- SW'!$E$4,0)</f>
        <v>0</v>
      </c>
      <c r="R166" s="579">
        <f>IFERROR(IF((POZICIE_INTERNE!$B$73-12*('TCO TO BE- SW'!$D156-1))&gt;12,((R$4+'TCO TO BE - HW'!R$4)/($E$4+'TCO TO BE - HW'!$E$4)*SUM(POZICIE_INTERNE!$I$73:$I$84))/POZICIE_INTERNE!$B$73*12,IF((POZICIE_INTERNE!$B$73-12*('TCO TO BE- SW'!$D156-1))&lt;0,0,(POZICIE_INTERNE!$B$73-12*('TCO TO BE- SW'!$D156-1))*((R$4+'TCO TO BE - HW'!R$4)/($E$4+'TCO TO BE - HW'!$E$4)*SUM(POZICIE_INTERNE!$I$73:$I$84))/POZICIE_INTERNE!$B$73)),0)+IFERROR(IF((EXTERNE_POZICIE!$B$53-12*('TCO TO BE- SW'!$D156-1))&gt;12,((R$4+'TCO TO BE - HW'!R$4)/($E$4+'TCO TO BE - HW'!$E$4)*SUM(EXTERNE_POZICIE!$M$53:$M$64)*1.23)/EXTERNE_POZICIE!$B$41*12,IF((EXTERNE_POZICIE!$B$53-12*('TCO TO BE- SW'!$D156-1))&lt;0,0,(EXTERNE_POZICIE!$B$53-12*('TCO TO BE- SW'!$D156-1))*((R$4+'TCO TO BE - HW'!R$4)/($E$4+'TCO TO BE - HW'!$E$4)*SUM(EXTERNE_POZICIE!$M$53:$M$64)*1.23)/EXTERNE_POZICIE!$B$53)),0)+IFERROR(SUM(#REF!)*'TCO TO BE- SW'!R$4/'TCO TO BE- SW'!$E$4,0)</f>
        <v>0</v>
      </c>
      <c r="S166" s="579">
        <f>IFERROR(IF((POZICIE_INTERNE!$B$73-12*('TCO TO BE- SW'!$D156-1))&gt;12,((S$4+'TCO TO BE - HW'!S$4)/($E$4+'TCO TO BE - HW'!$E$4)*SUM(POZICIE_INTERNE!$I$73:$I$84))/POZICIE_INTERNE!$B$73*12,IF((POZICIE_INTERNE!$B$73-12*('TCO TO BE- SW'!$D156-1))&lt;0,0,(POZICIE_INTERNE!$B$73-12*('TCO TO BE- SW'!$D156-1))*((S$4+'TCO TO BE - HW'!S$4)/($E$4+'TCO TO BE - HW'!$E$4)*SUM(POZICIE_INTERNE!$I$73:$I$84))/POZICIE_INTERNE!$B$73)),0)+IFERROR(IF((EXTERNE_POZICIE!$B$53-12*('TCO TO BE- SW'!$D156-1))&gt;12,((S$4+'TCO TO BE - HW'!S$4)/($E$4+'TCO TO BE - HW'!$E$4)*SUM(EXTERNE_POZICIE!$M$53:$M$64)*1.23)/EXTERNE_POZICIE!$B$41*12,IF((EXTERNE_POZICIE!$B$53-12*('TCO TO BE- SW'!$D156-1))&lt;0,0,(EXTERNE_POZICIE!$B$53-12*('TCO TO BE- SW'!$D156-1))*((S$4+'TCO TO BE - HW'!S$4)/($E$4+'TCO TO BE - HW'!$E$4)*SUM(EXTERNE_POZICIE!$M$53:$M$64)*1.23)/EXTERNE_POZICIE!$B$53)),0)+IFERROR(SUM(#REF!)*'TCO TO BE- SW'!S$4/'TCO TO BE- SW'!$E$4,0)</f>
        <v>0</v>
      </c>
      <c r="T166" s="579">
        <f>IFERROR(IF((POZICIE_INTERNE!$B$73-12*('TCO TO BE- SW'!$D156-1))&gt;12,((T$4+'TCO TO BE - HW'!T$4)/($E$4+'TCO TO BE - HW'!$E$4)*SUM(POZICIE_INTERNE!$I$73:$I$84))/POZICIE_INTERNE!$B$73*12,IF((POZICIE_INTERNE!$B$73-12*('TCO TO BE- SW'!$D156-1))&lt;0,0,(POZICIE_INTERNE!$B$73-12*('TCO TO BE- SW'!$D156-1))*((T$4+'TCO TO BE - HW'!T$4)/($E$4+'TCO TO BE - HW'!$E$4)*SUM(POZICIE_INTERNE!$I$73:$I$84))/POZICIE_INTERNE!$B$73)),0)+IFERROR(IF((EXTERNE_POZICIE!$B$53-12*('TCO TO BE- SW'!$D156-1))&gt;12,((T$4+'TCO TO BE - HW'!T$4)/($E$4+'TCO TO BE - HW'!$E$4)*SUM(EXTERNE_POZICIE!$M$53:$M$64)*1.23)/EXTERNE_POZICIE!$B$41*12,IF((EXTERNE_POZICIE!$B$53-12*('TCO TO BE- SW'!$D156-1))&lt;0,0,(EXTERNE_POZICIE!$B$53-12*('TCO TO BE- SW'!$D156-1))*((T$4+'TCO TO BE - HW'!T$4)/($E$4+'TCO TO BE - HW'!$E$4)*SUM(EXTERNE_POZICIE!$M$53:$M$64)*1.23)/EXTERNE_POZICIE!$B$53)),0)+IFERROR(SUM(#REF!)*'TCO TO BE- SW'!T$4/'TCO TO BE- SW'!$E$4,0)</f>
        <v>0</v>
      </c>
      <c r="U166" s="579">
        <f>IFERROR(IF((POZICIE_INTERNE!$B$73-12*('TCO TO BE- SW'!$D156-1))&gt;12,((U$4+'TCO TO BE - HW'!U$4)/($E$4+'TCO TO BE - HW'!$E$4)*SUM(POZICIE_INTERNE!$I$73:$I$84))/POZICIE_INTERNE!$B$73*12,IF((POZICIE_INTERNE!$B$73-12*('TCO TO BE- SW'!$D156-1))&lt;0,0,(POZICIE_INTERNE!$B$73-12*('TCO TO BE- SW'!$D156-1))*((U$4+'TCO TO BE - HW'!U$4)/($E$4+'TCO TO BE - HW'!$E$4)*SUM(POZICIE_INTERNE!$I$73:$I$84))/POZICIE_INTERNE!$B$73)),0)+IFERROR(IF((EXTERNE_POZICIE!$B$53-12*('TCO TO BE- SW'!$D156-1))&gt;12,((U$4+'TCO TO BE - HW'!U$4)/($E$4+'TCO TO BE - HW'!$E$4)*SUM(EXTERNE_POZICIE!$M$53:$M$64)*1.23)/EXTERNE_POZICIE!$B$41*12,IF((EXTERNE_POZICIE!$B$53-12*('TCO TO BE- SW'!$D156-1))&lt;0,0,(EXTERNE_POZICIE!$B$53-12*('TCO TO BE- SW'!$D156-1))*((U$4+'TCO TO BE - HW'!U$4)/($E$4+'TCO TO BE - HW'!$E$4)*SUM(EXTERNE_POZICIE!$M$53:$M$64)*1.23)/EXTERNE_POZICIE!$B$53)),0)+IFERROR(SUM(#REF!)*'TCO TO BE- SW'!U$4/'TCO TO BE- SW'!$E$4,0)</f>
        <v>0</v>
      </c>
      <c r="V166" s="579">
        <f>IFERROR(IF((POZICIE_INTERNE!$B$73-12*('TCO TO BE- SW'!$D156-1))&gt;12,((V$4+'TCO TO BE - HW'!V$4)/($E$4+'TCO TO BE - HW'!$E$4)*SUM(POZICIE_INTERNE!$I$73:$I$84))/POZICIE_INTERNE!$B$73*12,IF((POZICIE_INTERNE!$B$73-12*('TCO TO BE- SW'!$D156-1))&lt;0,0,(POZICIE_INTERNE!$B$73-12*('TCO TO BE- SW'!$D156-1))*((V$4+'TCO TO BE - HW'!V$4)/($E$4+'TCO TO BE - HW'!$E$4)*SUM(POZICIE_INTERNE!$I$73:$I$84))/POZICIE_INTERNE!$B$73)),0)+IFERROR(IF((EXTERNE_POZICIE!$B$53-12*('TCO TO BE- SW'!$D156-1))&gt;12,((V$4+'TCO TO BE - HW'!V$4)/($E$4+'TCO TO BE - HW'!$E$4)*SUM(EXTERNE_POZICIE!$M$53:$M$64)*1.23)/EXTERNE_POZICIE!$B$41*12,IF((EXTERNE_POZICIE!$B$53-12*('TCO TO BE- SW'!$D156-1))&lt;0,0,(EXTERNE_POZICIE!$B$53-12*('TCO TO BE- SW'!$D156-1))*((V$4+'TCO TO BE - HW'!V$4)/($E$4+'TCO TO BE - HW'!$E$4)*SUM(EXTERNE_POZICIE!$M$53:$M$64)*1.23)/EXTERNE_POZICIE!$B$53)),0)+IFERROR(SUM(#REF!)*'TCO TO BE- SW'!V$4/'TCO TO BE- SW'!$E$4,0)</f>
        <v>0</v>
      </c>
      <c r="W166" s="579">
        <f>IFERROR(IF((POZICIE_INTERNE!$B$73-12*('TCO TO BE- SW'!$D156-1))&gt;12,((W$4+'TCO TO BE - HW'!W$4)/($E$4+'TCO TO BE - HW'!$E$4)*SUM(POZICIE_INTERNE!$I$73:$I$84))/POZICIE_INTERNE!$B$73*12,IF((POZICIE_INTERNE!$B$73-12*('TCO TO BE- SW'!$D156-1))&lt;0,0,(POZICIE_INTERNE!$B$73-12*('TCO TO BE- SW'!$D156-1))*((W$4+'TCO TO BE - HW'!W$4)/($E$4+'TCO TO BE - HW'!$E$4)*SUM(POZICIE_INTERNE!$I$73:$I$84))/POZICIE_INTERNE!$B$73)),0)+IFERROR(IF((EXTERNE_POZICIE!$B$53-12*('TCO TO BE- SW'!$D156-1))&gt;12,((W$4+'TCO TO BE - HW'!W$4)/($E$4+'TCO TO BE - HW'!$E$4)*SUM(EXTERNE_POZICIE!$M$53:$M$64)*1.23)/EXTERNE_POZICIE!$B$41*12,IF((EXTERNE_POZICIE!$B$53-12*('TCO TO BE- SW'!$D156-1))&lt;0,0,(EXTERNE_POZICIE!$B$53-12*('TCO TO BE- SW'!$D156-1))*((W$4+'TCO TO BE - HW'!W$4)/($E$4+'TCO TO BE - HW'!$E$4)*SUM(EXTERNE_POZICIE!$M$53:$M$64)*1.23)/EXTERNE_POZICIE!$B$53)),0)+IFERROR(SUM(#REF!)*'TCO TO BE- SW'!W$4/'TCO TO BE- SW'!$E$4,0)</f>
        <v>0</v>
      </c>
      <c r="X166" s="579">
        <f>IFERROR(IF((POZICIE_INTERNE!$B$73-12*('TCO TO BE- SW'!$D156-1))&gt;12,((X$4+'TCO TO BE - HW'!X$4)/($E$4+'TCO TO BE - HW'!$E$4)*SUM(POZICIE_INTERNE!$I$73:$I$84))/POZICIE_INTERNE!$B$73*12,IF((POZICIE_INTERNE!$B$73-12*('TCO TO BE- SW'!$D156-1))&lt;0,0,(POZICIE_INTERNE!$B$73-12*('TCO TO BE- SW'!$D156-1))*((X$4+'TCO TO BE - HW'!X$4)/($E$4+'TCO TO BE - HW'!$E$4)*SUM(POZICIE_INTERNE!$I$73:$I$84))/POZICIE_INTERNE!$B$73)),0)+IFERROR(IF((EXTERNE_POZICIE!$B$53-12*('TCO TO BE- SW'!$D156-1))&gt;12,((X$4+'TCO TO BE - HW'!X$4)/($E$4+'TCO TO BE - HW'!$E$4)*SUM(EXTERNE_POZICIE!$M$53:$M$64)*1.23)/EXTERNE_POZICIE!$B$41*12,IF((EXTERNE_POZICIE!$B$53-12*('TCO TO BE- SW'!$D156-1))&lt;0,0,(EXTERNE_POZICIE!$B$53-12*('TCO TO BE- SW'!$D156-1))*((X$4+'TCO TO BE - HW'!X$4)/($E$4+'TCO TO BE - HW'!$E$4)*SUM(EXTERNE_POZICIE!$M$53:$M$64)*1.23)/EXTERNE_POZICIE!$B$53)),0)+IFERROR(SUM(#REF!)*'TCO TO BE- SW'!X$4/'TCO TO BE- SW'!$E$4,0)</f>
        <v>0</v>
      </c>
      <c r="Y166" s="579">
        <f>IFERROR(IF((POZICIE_INTERNE!$B$73-12*('TCO TO BE- SW'!$D156-1))&gt;12,((Y$4+'TCO TO BE - HW'!Y$4)/($E$4+'TCO TO BE - HW'!$E$4)*SUM(POZICIE_INTERNE!$I$73:$I$84))/POZICIE_INTERNE!$B$73*12,IF((POZICIE_INTERNE!$B$73-12*('TCO TO BE- SW'!$D156-1))&lt;0,0,(POZICIE_INTERNE!$B$73-12*('TCO TO BE- SW'!$D156-1))*((Y$4+'TCO TO BE - HW'!Y$4)/($E$4+'TCO TO BE - HW'!$E$4)*SUM(POZICIE_INTERNE!$I$73:$I$84))/POZICIE_INTERNE!$B$73)),0)+IFERROR(IF((EXTERNE_POZICIE!$B$53-12*('TCO TO BE- SW'!$D156-1))&gt;12,((Y$4+'TCO TO BE - HW'!Y$4)/($E$4+'TCO TO BE - HW'!$E$4)*SUM(EXTERNE_POZICIE!$M$53:$M$64)*1.23)/EXTERNE_POZICIE!$B$41*12,IF((EXTERNE_POZICIE!$B$53-12*('TCO TO BE- SW'!$D156-1))&lt;0,0,(EXTERNE_POZICIE!$B$53-12*('TCO TO BE- SW'!$D156-1))*((Y$4+'TCO TO BE - HW'!Y$4)/($E$4+'TCO TO BE - HW'!$E$4)*SUM(EXTERNE_POZICIE!$M$53:$M$64)*1.23)/EXTERNE_POZICIE!$B$53)),0)+IFERROR(SUM(#REF!)*'TCO TO BE- SW'!Y$4/'TCO TO BE- SW'!$E$4,0)</f>
        <v>0</v>
      </c>
      <c r="Z166" s="579">
        <f>IFERROR(IF((POZICIE_INTERNE!$B$73-12*('TCO TO BE- SW'!$D156-1))&gt;12,((Z$4+'TCO TO BE - HW'!Z$4)/($E$4+'TCO TO BE - HW'!$E$4)*SUM(POZICIE_INTERNE!$I$73:$I$84))/POZICIE_INTERNE!$B$73*12,IF((POZICIE_INTERNE!$B$73-12*('TCO TO BE- SW'!$D156-1))&lt;0,0,(POZICIE_INTERNE!$B$73-12*('TCO TO BE- SW'!$D156-1))*((Z$4+'TCO TO BE - HW'!Z$4)/($E$4+'TCO TO BE - HW'!$E$4)*SUM(POZICIE_INTERNE!$I$73:$I$84))/POZICIE_INTERNE!$B$73)),0)+IFERROR(IF((EXTERNE_POZICIE!$B$53-12*('TCO TO BE- SW'!$D156-1))&gt;12,((Z$4+'TCO TO BE - HW'!Z$4)/($E$4+'TCO TO BE - HW'!$E$4)*SUM(EXTERNE_POZICIE!$M$53:$M$64)*1.23)/EXTERNE_POZICIE!$B$41*12,IF((EXTERNE_POZICIE!$B$53-12*('TCO TO BE- SW'!$D156-1))&lt;0,0,(EXTERNE_POZICIE!$B$53-12*('TCO TO BE- SW'!$D156-1))*((Z$4+'TCO TO BE - HW'!Z$4)/($E$4+'TCO TO BE - HW'!$E$4)*SUM(EXTERNE_POZICIE!$M$53:$M$64)*1.23)/EXTERNE_POZICIE!$B$53)),0)+IFERROR(SUM(#REF!)*'TCO TO BE- SW'!Z$4/'TCO TO BE- SW'!$E$4,0)</f>
        <v>0</v>
      </c>
    </row>
    <row r="167" spans="1:26" x14ac:dyDescent="0.2">
      <c r="A167" s="1390"/>
      <c r="B167" s="1391"/>
      <c r="C167" s="1391"/>
      <c r="D167" s="64">
        <v>7</v>
      </c>
      <c r="E167" s="68">
        <f t="shared" si="16"/>
        <v>0</v>
      </c>
      <c r="F167" s="579">
        <f>IFERROR(IF((POZICIE_INTERNE!$B$73-12*('TCO TO BE- SW'!$D157-1))&gt;12,((F$4+'TCO TO BE - HW'!F$4)/($E$4+'TCO TO BE - HW'!$E$4)*SUM(POZICIE_INTERNE!$I$73:$I$84))/POZICIE_INTERNE!$B$73*12,IF((POZICIE_INTERNE!$B$73-12*('TCO TO BE- SW'!$D157-1))&lt;0,0,(POZICIE_INTERNE!$B$73-12*('TCO TO BE- SW'!$D157-1))*((F$4+'TCO TO BE - HW'!F$4)/($E$4+'TCO TO BE - HW'!$E$4)*SUM(POZICIE_INTERNE!$I$73:$I$84))/POZICIE_INTERNE!$B$73)),0)+IFERROR(IF((EXTERNE_POZICIE!$B$53-12*('TCO TO BE- SW'!$D157-1))&gt;12,((F$4+'TCO TO BE - HW'!F$4)/($E$4+'TCO TO BE - HW'!$E$4)*SUM(EXTERNE_POZICIE!$M$53:$M$64)*1.23)/EXTERNE_POZICIE!$B$41*12,IF((EXTERNE_POZICIE!$B$53-12*('TCO TO BE- SW'!$D157-1))&lt;0,0,(EXTERNE_POZICIE!$B$53-12*('TCO TO BE- SW'!$D157-1))*((F$4+'TCO TO BE - HW'!F$4)/($E$4+'TCO TO BE - HW'!$E$4)*SUM(EXTERNE_POZICIE!$M$53:$M$64)*1.23)/EXTERNE_POZICIE!$B$53)),0)+IFERROR(SUM(#REF!)*'TCO TO BE- SW'!F$4/'TCO TO BE- SW'!$E$4,0)</f>
        <v>0</v>
      </c>
      <c r="G167" s="579">
        <f>IFERROR(IF((POZICIE_INTERNE!$B$73-12*('TCO TO BE- SW'!$D157-1))&gt;12,((G$4+'TCO TO BE - HW'!G$4)/($E$4+'TCO TO BE - HW'!$E$4)*SUM(POZICIE_INTERNE!$I$73:$I$84))/POZICIE_INTERNE!$B$73*12,IF((POZICIE_INTERNE!$B$73-12*('TCO TO BE- SW'!$D157-1))&lt;0,0,(POZICIE_INTERNE!$B$73-12*('TCO TO BE- SW'!$D157-1))*((G$4+'TCO TO BE - HW'!G$4)/($E$4+'TCO TO BE - HW'!$E$4)*SUM(POZICIE_INTERNE!$I$73:$I$84))/POZICIE_INTERNE!$B$73)),0)+IFERROR(IF((EXTERNE_POZICIE!$B$53-12*('TCO TO BE- SW'!$D157-1))&gt;12,((G$4+'TCO TO BE - HW'!G$4)/($E$4+'TCO TO BE - HW'!$E$4)*SUM(EXTERNE_POZICIE!$M$53:$M$64)*1.23)/EXTERNE_POZICIE!$B$41*12,IF((EXTERNE_POZICIE!$B$53-12*('TCO TO BE- SW'!$D157-1))&lt;0,0,(EXTERNE_POZICIE!$B$53-12*('TCO TO BE- SW'!$D157-1))*((G$4+'TCO TO BE - HW'!G$4)/($E$4+'TCO TO BE - HW'!$E$4)*SUM(EXTERNE_POZICIE!$M$53:$M$64)*1.23)/EXTERNE_POZICIE!$B$53)),0)+IFERROR(SUM(#REF!)*'TCO TO BE- SW'!G$4/'TCO TO BE- SW'!$E$4,0)</f>
        <v>0</v>
      </c>
      <c r="H167" s="579">
        <f>IFERROR(IF((POZICIE_INTERNE!$B$73-12*('TCO TO BE- SW'!$D157-1))&gt;12,((H$4+'TCO TO BE - HW'!H$4)/($E$4+'TCO TO BE - HW'!$E$4)*SUM(POZICIE_INTERNE!$I$73:$I$84))/POZICIE_INTERNE!$B$73*12,IF((POZICIE_INTERNE!$B$73-12*('TCO TO BE- SW'!$D157-1))&lt;0,0,(POZICIE_INTERNE!$B$73-12*('TCO TO BE- SW'!$D157-1))*((H$4+'TCO TO BE - HW'!H$4)/($E$4+'TCO TO BE - HW'!$E$4)*SUM(POZICIE_INTERNE!$I$73:$I$84))/POZICIE_INTERNE!$B$73)),0)+IFERROR(IF((EXTERNE_POZICIE!$B$53-12*('TCO TO BE- SW'!$D157-1))&gt;12,((H$4+'TCO TO BE - HW'!H$4)/($E$4+'TCO TO BE - HW'!$E$4)*SUM(EXTERNE_POZICIE!$M$53:$M$64)*1.23)/EXTERNE_POZICIE!$B$41*12,IF((EXTERNE_POZICIE!$B$53-12*('TCO TO BE- SW'!$D157-1))&lt;0,0,(EXTERNE_POZICIE!$B$53-12*('TCO TO BE- SW'!$D157-1))*((H$4+'TCO TO BE - HW'!H$4)/($E$4+'TCO TO BE - HW'!$E$4)*SUM(EXTERNE_POZICIE!$M$53:$M$64)*1.23)/EXTERNE_POZICIE!$B$53)),0)+IFERROR(SUM(#REF!)*'TCO TO BE- SW'!H$4/'TCO TO BE- SW'!$E$4,0)</f>
        <v>0</v>
      </c>
      <c r="I167" s="579">
        <f>IFERROR(IF((POZICIE_INTERNE!$B$73-12*('TCO TO BE- SW'!$D157-1))&gt;12,((I$4+'TCO TO BE - HW'!I$4)/($E$4+'TCO TO BE - HW'!$E$4)*SUM(POZICIE_INTERNE!$I$73:$I$84))/POZICIE_INTERNE!$B$73*12,IF((POZICIE_INTERNE!$B$73-12*('TCO TO BE- SW'!$D157-1))&lt;0,0,(POZICIE_INTERNE!$B$73-12*('TCO TO BE- SW'!$D157-1))*((I$4+'TCO TO BE - HW'!I$4)/($E$4+'TCO TO BE - HW'!$E$4)*SUM(POZICIE_INTERNE!$I$73:$I$84))/POZICIE_INTERNE!$B$73)),0)+IFERROR(IF((EXTERNE_POZICIE!$B$53-12*('TCO TO BE- SW'!$D157-1))&gt;12,((I$4+'TCO TO BE - HW'!I$4)/($E$4+'TCO TO BE - HW'!$E$4)*SUM(EXTERNE_POZICIE!$M$53:$M$64)*1.23)/EXTERNE_POZICIE!$B$41*12,IF((EXTERNE_POZICIE!$B$53-12*('TCO TO BE- SW'!$D157-1))&lt;0,0,(EXTERNE_POZICIE!$B$53-12*('TCO TO BE- SW'!$D157-1))*((I$4+'TCO TO BE - HW'!I$4)/($E$4+'TCO TO BE - HW'!$E$4)*SUM(EXTERNE_POZICIE!$M$53:$M$64)*1.23)/EXTERNE_POZICIE!$B$53)),0)+IFERROR(SUM(#REF!)*'TCO TO BE- SW'!I$4/'TCO TO BE- SW'!$E$4,0)</f>
        <v>0</v>
      </c>
      <c r="J167" s="579">
        <f>IFERROR(IF((POZICIE_INTERNE!$B$73-12*('TCO TO BE- SW'!$D157-1))&gt;12,((J$4+'TCO TO BE - HW'!J$4)/($E$4+'TCO TO BE - HW'!$E$4)*SUM(POZICIE_INTERNE!$I$73:$I$84))/POZICIE_INTERNE!$B$73*12,IF((POZICIE_INTERNE!$B$73-12*('TCO TO BE- SW'!$D157-1))&lt;0,0,(POZICIE_INTERNE!$B$73-12*('TCO TO BE- SW'!$D157-1))*((J$4+'TCO TO BE - HW'!J$4)/($E$4+'TCO TO BE - HW'!$E$4)*SUM(POZICIE_INTERNE!$I$73:$I$84))/POZICIE_INTERNE!$B$73)),0)+IFERROR(IF((EXTERNE_POZICIE!$B$53-12*('TCO TO BE- SW'!$D157-1))&gt;12,((J$4+'TCO TO BE - HW'!J$4)/($E$4+'TCO TO BE - HW'!$E$4)*SUM(EXTERNE_POZICIE!$M$53:$M$64)*1.23)/EXTERNE_POZICIE!$B$41*12,IF((EXTERNE_POZICIE!$B$53-12*('TCO TO BE- SW'!$D157-1))&lt;0,0,(EXTERNE_POZICIE!$B$53-12*('TCO TO BE- SW'!$D157-1))*((J$4+'TCO TO BE - HW'!J$4)/($E$4+'TCO TO BE - HW'!$E$4)*SUM(EXTERNE_POZICIE!$M$53:$M$64)*1.23)/EXTERNE_POZICIE!$B$53)),0)+IFERROR(SUM(#REF!)*'TCO TO BE- SW'!J$4/'TCO TO BE- SW'!$E$4,0)</f>
        <v>0</v>
      </c>
      <c r="K167" s="579">
        <f>IFERROR(IF((POZICIE_INTERNE!$B$73-12*('TCO TO BE- SW'!$D157-1))&gt;12,((K$4+'TCO TO BE - HW'!K$4)/($E$4+'TCO TO BE - HW'!$E$4)*SUM(POZICIE_INTERNE!$I$73:$I$84))/POZICIE_INTERNE!$B$73*12,IF((POZICIE_INTERNE!$B$73-12*('TCO TO BE- SW'!$D157-1))&lt;0,0,(POZICIE_INTERNE!$B$73-12*('TCO TO BE- SW'!$D157-1))*((K$4+'TCO TO BE - HW'!K$4)/($E$4+'TCO TO BE - HW'!$E$4)*SUM(POZICIE_INTERNE!$I$73:$I$84))/POZICIE_INTERNE!$B$73)),0)+IFERROR(IF((EXTERNE_POZICIE!$B$53-12*('TCO TO BE- SW'!$D157-1))&gt;12,((K$4+'TCO TO BE - HW'!K$4)/($E$4+'TCO TO BE - HW'!$E$4)*SUM(EXTERNE_POZICIE!$M$53:$M$64)*1.23)/EXTERNE_POZICIE!$B$41*12,IF((EXTERNE_POZICIE!$B$53-12*('TCO TO BE- SW'!$D157-1))&lt;0,0,(EXTERNE_POZICIE!$B$53-12*('TCO TO BE- SW'!$D157-1))*((K$4+'TCO TO BE - HW'!K$4)/($E$4+'TCO TO BE - HW'!$E$4)*SUM(EXTERNE_POZICIE!$M$53:$M$64)*1.23)/EXTERNE_POZICIE!$B$53)),0)+IFERROR(SUM(#REF!)*'TCO TO BE- SW'!K$4/'TCO TO BE- SW'!$E$4,0)</f>
        <v>0</v>
      </c>
      <c r="L167" s="579">
        <f>IFERROR(IF((POZICIE_INTERNE!$B$73-12*('TCO TO BE- SW'!$D157-1))&gt;12,((L$4+'TCO TO BE - HW'!L$4)/($E$4+'TCO TO BE - HW'!$E$4)*SUM(POZICIE_INTERNE!$I$73:$I$84))/POZICIE_INTERNE!$B$73*12,IF((POZICIE_INTERNE!$B$73-12*('TCO TO BE- SW'!$D157-1))&lt;0,0,(POZICIE_INTERNE!$B$73-12*('TCO TO BE- SW'!$D157-1))*((L$4+'TCO TO BE - HW'!L$4)/($E$4+'TCO TO BE - HW'!$E$4)*SUM(POZICIE_INTERNE!$I$73:$I$84))/POZICIE_INTERNE!$B$73)),0)+IFERROR(IF((EXTERNE_POZICIE!$B$53-12*('TCO TO BE- SW'!$D157-1))&gt;12,((L$4+'TCO TO BE - HW'!L$4)/($E$4+'TCO TO BE - HW'!$E$4)*SUM(EXTERNE_POZICIE!$M$53:$M$64)*1.23)/EXTERNE_POZICIE!$B$41*12,IF((EXTERNE_POZICIE!$B$53-12*('TCO TO BE- SW'!$D157-1))&lt;0,0,(EXTERNE_POZICIE!$B$53-12*('TCO TO BE- SW'!$D157-1))*((L$4+'TCO TO BE - HW'!L$4)/($E$4+'TCO TO BE - HW'!$E$4)*SUM(EXTERNE_POZICIE!$M$53:$M$64)*1.23)/EXTERNE_POZICIE!$B$53)),0)+IFERROR(SUM(#REF!)*'TCO TO BE- SW'!L$4/'TCO TO BE- SW'!$E$4,0)</f>
        <v>0</v>
      </c>
      <c r="M167" s="579">
        <f>IFERROR(IF((POZICIE_INTERNE!$B$73-12*('TCO TO BE- SW'!$D157-1))&gt;12,((M$4+'TCO TO BE - HW'!M$4)/($E$4+'TCO TO BE - HW'!$E$4)*SUM(POZICIE_INTERNE!$I$73:$I$84))/POZICIE_INTERNE!$B$73*12,IF((POZICIE_INTERNE!$B$73-12*('TCO TO BE- SW'!$D157-1))&lt;0,0,(POZICIE_INTERNE!$B$73-12*('TCO TO BE- SW'!$D157-1))*((M$4+'TCO TO BE - HW'!M$4)/($E$4+'TCO TO BE - HW'!$E$4)*SUM(POZICIE_INTERNE!$I$73:$I$84))/POZICIE_INTERNE!$B$73)),0)+IFERROR(IF((EXTERNE_POZICIE!$B$53-12*('TCO TO BE- SW'!$D157-1))&gt;12,((M$4+'TCO TO BE - HW'!M$4)/($E$4+'TCO TO BE - HW'!$E$4)*SUM(EXTERNE_POZICIE!$M$53:$M$64)*1.23)/EXTERNE_POZICIE!$B$41*12,IF((EXTERNE_POZICIE!$B$53-12*('TCO TO BE- SW'!$D157-1))&lt;0,0,(EXTERNE_POZICIE!$B$53-12*('TCO TO BE- SW'!$D157-1))*((M$4+'TCO TO BE - HW'!M$4)/($E$4+'TCO TO BE - HW'!$E$4)*SUM(EXTERNE_POZICIE!$M$53:$M$64)*1.23)/EXTERNE_POZICIE!$B$53)),0)+IFERROR(SUM(#REF!)*'TCO TO BE- SW'!M$4/'TCO TO BE- SW'!$E$4,0)</f>
        <v>0</v>
      </c>
      <c r="N167" s="579">
        <f>IFERROR(IF((POZICIE_INTERNE!$B$73-12*('TCO TO BE- SW'!$D157-1))&gt;12,((N$4+'TCO TO BE - HW'!N$4)/($E$4+'TCO TO BE - HW'!$E$4)*SUM(POZICIE_INTERNE!$I$73:$I$84))/POZICIE_INTERNE!$B$73*12,IF((POZICIE_INTERNE!$B$73-12*('TCO TO BE- SW'!$D157-1))&lt;0,0,(POZICIE_INTERNE!$B$73-12*('TCO TO BE- SW'!$D157-1))*((N$4+'TCO TO BE - HW'!N$4)/($E$4+'TCO TO BE - HW'!$E$4)*SUM(POZICIE_INTERNE!$I$73:$I$84))/POZICIE_INTERNE!$B$73)),0)+IFERROR(IF((EXTERNE_POZICIE!$B$53-12*('TCO TO BE- SW'!$D157-1))&gt;12,((N$4+'TCO TO BE - HW'!N$4)/($E$4+'TCO TO BE - HW'!$E$4)*SUM(EXTERNE_POZICIE!$M$53:$M$64)*1.23)/EXTERNE_POZICIE!$B$41*12,IF((EXTERNE_POZICIE!$B$53-12*('TCO TO BE- SW'!$D157-1))&lt;0,0,(EXTERNE_POZICIE!$B$53-12*('TCO TO BE- SW'!$D157-1))*((N$4+'TCO TO BE - HW'!N$4)/($E$4+'TCO TO BE - HW'!$E$4)*SUM(EXTERNE_POZICIE!$M$53:$M$64)*1.23)/EXTERNE_POZICIE!$B$53)),0)+IFERROR(SUM(#REF!)*'TCO TO BE- SW'!N$4/'TCO TO BE- SW'!$E$4,0)</f>
        <v>0</v>
      </c>
      <c r="O167" s="579">
        <f>IFERROR(IF((POZICIE_INTERNE!$B$73-12*('TCO TO BE- SW'!$D157-1))&gt;12,((O$4+'TCO TO BE - HW'!O$4)/($E$4+'TCO TO BE - HW'!$E$4)*SUM(POZICIE_INTERNE!$I$73:$I$84))/POZICIE_INTERNE!$B$73*12,IF((POZICIE_INTERNE!$B$73-12*('TCO TO BE- SW'!$D157-1))&lt;0,0,(POZICIE_INTERNE!$B$73-12*('TCO TO BE- SW'!$D157-1))*((O$4+'TCO TO BE - HW'!O$4)/($E$4+'TCO TO BE - HW'!$E$4)*SUM(POZICIE_INTERNE!$I$73:$I$84))/POZICIE_INTERNE!$B$73)),0)+IFERROR(IF((EXTERNE_POZICIE!$B$53-12*('TCO TO BE- SW'!$D157-1))&gt;12,((O$4+'TCO TO BE - HW'!O$4)/($E$4+'TCO TO BE - HW'!$E$4)*SUM(EXTERNE_POZICIE!$M$53:$M$64)*1.23)/EXTERNE_POZICIE!$B$41*12,IF((EXTERNE_POZICIE!$B$53-12*('TCO TO BE- SW'!$D157-1))&lt;0,0,(EXTERNE_POZICIE!$B$53-12*('TCO TO BE- SW'!$D157-1))*((O$4+'TCO TO BE - HW'!O$4)/($E$4+'TCO TO BE - HW'!$E$4)*SUM(EXTERNE_POZICIE!$M$53:$M$64)*1.23)/EXTERNE_POZICIE!$B$53)),0)+IFERROR(SUM(#REF!)*'TCO TO BE- SW'!O$4/'TCO TO BE- SW'!$E$4,0)</f>
        <v>0</v>
      </c>
      <c r="P167" s="579">
        <f>IFERROR(IF((POZICIE_INTERNE!$B$73-12*('TCO TO BE- SW'!$D157-1))&gt;12,((P$4+'TCO TO BE - HW'!P$4)/($E$4+'TCO TO BE - HW'!$E$4)*SUM(POZICIE_INTERNE!$I$73:$I$84))/POZICIE_INTERNE!$B$73*12,IF((POZICIE_INTERNE!$B$73-12*('TCO TO BE- SW'!$D157-1))&lt;0,0,(POZICIE_INTERNE!$B$73-12*('TCO TO BE- SW'!$D157-1))*((P$4+'TCO TO BE - HW'!P$4)/($E$4+'TCO TO BE - HW'!$E$4)*SUM(POZICIE_INTERNE!$I$73:$I$84))/POZICIE_INTERNE!$B$73)),0)+IFERROR(IF((EXTERNE_POZICIE!$B$53-12*('TCO TO BE- SW'!$D157-1))&gt;12,((P$4+'TCO TO BE - HW'!P$4)/($E$4+'TCO TO BE - HW'!$E$4)*SUM(EXTERNE_POZICIE!$M$53:$M$64)*1.23)/EXTERNE_POZICIE!$B$41*12,IF((EXTERNE_POZICIE!$B$53-12*('TCO TO BE- SW'!$D157-1))&lt;0,0,(EXTERNE_POZICIE!$B$53-12*('TCO TO BE- SW'!$D157-1))*((P$4+'TCO TO BE - HW'!P$4)/($E$4+'TCO TO BE - HW'!$E$4)*SUM(EXTERNE_POZICIE!$M$53:$M$64)*1.23)/EXTERNE_POZICIE!$B$53)),0)+IFERROR(SUM(#REF!)*'TCO TO BE- SW'!P$4/'TCO TO BE- SW'!$E$4,0)</f>
        <v>0</v>
      </c>
      <c r="Q167" s="579">
        <f>IFERROR(IF((POZICIE_INTERNE!$B$73-12*('TCO TO BE- SW'!$D157-1))&gt;12,((Q$4+'TCO TO BE - HW'!Q$4)/($E$4+'TCO TO BE - HW'!$E$4)*SUM(POZICIE_INTERNE!$I$73:$I$84))/POZICIE_INTERNE!$B$73*12,IF((POZICIE_INTERNE!$B$73-12*('TCO TO BE- SW'!$D157-1))&lt;0,0,(POZICIE_INTERNE!$B$73-12*('TCO TO BE- SW'!$D157-1))*((Q$4+'TCO TO BE - HW'!Q$4)/($E$4+'TCO TO BE - HW'!$E$4)*SUM(POZICIE_INTERNE!$I$73:$I$84))/POZICIE_INTERNE!$B$73)),0)+IFERROR(IF((EXTERNE_POZICIE!$B$53-12*('TCO TO BE- SW'!$D157-1))&gt;12,((Q$4+'TCO TO BE - HW'!Q$4)/($E$4+'TCO TO BE - HW'!$E$4)*SUM(EXTERNE_POZICIE!$M$53:$M$64)*1.23)/EXTERNE_POZICIE!$B$41*12,IF((EXTERNE_POZICIE!$B$53-12*('TCO TO BE- SW'!$D157-1))&lt;0,0,(EXTERNE_POZICIE!$B$53-12*('TCO TO BE- SW'!$D157-1))*((Q$4+'TCO TO BE - HW'!Q$4)/($E$4+'TCO TO BE - HW'!$E$4)*SUM(EXTERNE_POZICIE!$M$53:$M$64)*1.23)/EXTERNE_POZICIE!$B$53)),0)+IFERROR(SUM(#REF!)*'TCO TO BE- SW'!Q$4/'TCO TO BE- SW'!$E$4,0)</f>
        <v>0</v>
      </c>
      <c r="R167" s="579">
        <f>IFERROR(IF((POZICIE_INTERNE!$B$73-12*('TCO TO BE- SW'!$D157-1))&gt;12,((R$4+'TCO TO BE - HW'!R$4)/($E$4+'TCO TO BE - HW'!$E$4)*SUM(POZICIE_INTERNE!$I$73:$I$84))/POZICIE_INTERNE!$B$73*12,IF((POZICIE_INTERNE!$B$73-12*('TCO TO BE- SW'!$D157-1))&lt;0,0,(POZICIE_INTERNE!$B$73-12*('TCO TO BE- SW'!$D157-1))*((R$4+'TCO TO BE - HW'!R$4)/($E$4+'TCO TO BE - HW'!$E$4)*SUM(POZICIE_INTERNE!$I$73:$I$84))/POZICIE_INTERNE!$B$73)),0)+IFERROR(IF((EXTERNE_POZICIE!$B$53-12*('TCO TO BE- SW'!$D157-1))&gt;12,((R$4+'TCO TO BE - HW'!R$4)/($E$4+'TCO TO BE - HW'!$E$4)*SUM(EXTERNE_POZICIE!$M$53:$M$64)*1.23)/EXTERNE_POZICIE!$B$41*12,IF((EXTERNE_POZICIE!$B$53-12*('TCO TO BE- SW'!$D157-1))&lt;0,0,(EXTERNE_POZICIE!$B$53-12*('TCO TO BE- SW'!$D157-1))*((R$4+'TCO TO BE - HW'!R$4)/($E$4+'TCO TO BE - HW'!$E$4)*SUM(EXTERNE_POZICIE!$M$53:$M$64)*1.23)/EXTERNE_POZICIE!$B$53)),0)+IFERROR(SUM(#REF!)*'TCO TO BE- SW'!R$4/'TCO TO BE- SW'!$E$4,0)</f>
        <v>0</v>
      </c>
      <c r="S167" s="579">
        <f>IFERROR(IF((POZICIE_INTERNE!$B$73-12*('TCO TO BE- SW'!$D157-1))&gt;12,((S$4+'TCO TO BE - HW'!S$4)/($E$4+'TCO TO BE - HW'!$E$4)*SUM(POZICIE_INTERNE!$I$73:$I$84))/POZICIE_INTERNE!$B$73*12,IF((POZICIE_INTERNE!$B$73-12*('TCO TO BE- SW'!$D157-1))&lt;0,0,(POZICIE_INTERNE!$B$73-12*('TCO TO BE- SW'!$D157-1))*((S$4+'TCO TO BE - HW'!S$4)/($E$4+'TCO TO BE - HW'!$E$4)*SUM(POZICIE_INTERNE!$I$73:$I$84))/POZICIE_INTERNE!$B$73)),0)+IFERROR(IF((EXTERNE_POZICIE!$B$53-12*('TCO TO BE- SW'!$D157-1))&gt;12,((S$4+'TCO TO BE - HW'!S$4)/($E$4+'TCO TO BE - HW'!$E$4)*SUM(EXTERNE_POZICIE!$M$53:$M$64)*1.23)/EXTERNE_POZICIE!$B$41*12,IF((EXTERNE_POZICIE!$B$53-12*('TCO TO BE- SW'!$D157-1))&lt;0,0,(EXTERNE_POZICIE!$B$53-12*('TCO TO BE- SW'!$D157-1))*((S$4+'TCO TO BE - HW'!S$4)/($E$4+'TCO TO BE - HW'!$E$4)*SUM(EXTERNE_POZICIE!$M$53:$M$64)*1.23)/EXTERNE_POZICIE!$B$53)),0)+IFERROR(SUM(#REF!)*'TCO TO BE- SW'!S$4/'TCO TO BE- SW'!$E$4,0)</f>
        <v>0</v>
      </c>
      <c r="T167" s="579">
        <f>IFERROR(IF((POZICIE_INTERNE!$B$73-12*('TCO TO BE- SW'!$D157-1))&gt;12,((T$4+'TCO TO BE - HW'!T$4)/($E$4+'TCO TO BE - HW'!$E$4)*SUM(POZICIE_INTERNE!$I$73:$I$84))/POZICIE_INTERNE!$B$73*12,IF((POZICIE_INTERNE!$B$73-12*('TCO TO BE- SW'!$D157-1))&lt;0,0,(POZICIE_INTERNE!$B$73-12*('TCO TO BE- SW'!$D157-1))*((T$4+'TCO TO BE - HW'!T$4)/($E$4+'TCO TO BE - HW'!$E$4)*SUM(POZICIE_INTERNE!$I$73:$I$84))/POZICIE_INTERNE!$B$73)),0)+IFERROR(IF((EXTERNE_POZICIE!$B$53-12*('TCO TO BE- SW'!$D157-1))&gt;12,((T$4+'TCO TO BE - HW'!T$4)/($E$4+'TCO TO BE - HW'!$E$4)*SUM(EXTERNE_POZICIE!$M$53:$M$64)*1.23)/EXTERNE_POZICIE!$B$41*12,IF((EXTERNE_POZICIE!$B$53-12*('TCO TO BE- SW'!$D157-1))&lt;0,0,(EXTERNE_POZICIE!$B$53-12*('TCO TO BE- SW'!$D157-1))*((T$4+'TCO TO BE - HW'!T$4)/($E$4+'TCO TO BE - HW'!$E$4)*SUM(EXTERNE_POZICIE!$M$53:$M$64)*1.23)/EXTERNE_POZICIE!$B$53)),0)+IFERROR(SUM(#REF!)*'TCO TO BE- SW'!T$4/'TCO TO BE- SW'!$E$4,0)</f>
        <v>0</v>
      </c>
      <c r="U167" s="579">
        <f>IFERROR(IF((POZICIE_INTERNE!$B$73-12*('TCO TO BE- SW'!$D157-1))&gt;12,((U$4+'TCO TO BE - HW'!U$4)/($E$4+'TCO TO BE - HW'!$E$4)*SUM(POZICIE_INTERNE!$I$73:$I$84))/POZICIE_INTERNE!$B$73*12,IF((POZICIE_INTERNE!$B$73-12*('TCO TO BE- SW'!$D157-1))&lt;0,0,(POZICIE_INTERNE!$B$73-12*('TCO TO BE- SW'!$D157-1))*((U$4+'TCO TO BE - HW'!U$4)/($E$4+'TCO TO BE - HW'!$E$4)*SUM(POZICIE_INTERNE!$I$73:$I$84))/POZICIE_INTERNE!$B$73)),0)+IFERROR(IF((EXTERNE_POZICIE!$B$53-12*('TCO TO BE- SW'!$D157-1))&gt;12,((U$4+'TCO TO BE - HW'!U$4)/($E$4+'TCO TO BE - HW'!$E$4)*SUM(EXTERNE_POZICIE!$M$53:$M$64)*1.23)/EXTERNE_POZICIE!$B$41*12,IF((EXTERNE_POZICIE!$B$53-12*('TCO TO BE- SW'!$D157-1))&lt;0,0,(EXTERNE_POZICIE!$B$53-12*('TCO TO BE- SW'!$D157-1))*((U$4+'TCO TO BE - HW'!U$4)/($E$4+'TCO TO BE - HW'!$E$4)*SUM(EXTERNE_POZICIE!$M$53:$M$64)*1.23)/EXTERNE_POZICIE!$B$53)),0)+IFERROR(SUM(#REF!)*'TCO TO BE- SW'!U$4/'TCO TO BE- SW'!$E$4,0)</f>
        <v>0</v>
      </c>
      <c r="V167" s="579">
        <f>IFERROR(IF((POZICIE_INTERNE!$B$73-12*('TCO TO BE- SW'!$D157-1))&gt;12,((V$4+'TCO TO BE - HW'!V$4)/($E$4+'TCO TO BE - HW'!$E$4)*SUM(POZICIE_INTERNE!$I$73:$I$84))/POZICIE_INTERNE!$B$73*12,IF((POZICIE_INTERNE!$B$73-12*('TCO TO BE- SW'!$D157-1))&lt;0,0,(POZICIE_INTERNE!$B$73-12*('TCO TO BE- SW'!$D157-1))*((V$4+'TCO TO BE - HW'!V$4)/($E$4+'TCO TO BE - HW'!$E$4)*SUM(POZICIE_INTERNE!$I$73:$I$84))/POZICIE_INTERNE!$B$73)),0)+IFERROR(IF((EXTERNE_POZICIE!$B$53-12*('TCO TO BE- SW'!$D157-1))&gt;12,((V$4+'TCO TO BE - HW'!V$4)/($E$4+'TCO TO BE - HW'!$E$4)*SUM(EXTERNE_POZICIE!$M$53:$M$64)*1.23)/EXTERNE_POZICIE!$B$41*12,IF((EXTERNE_POZICIE!$B$53-12*('TCO TO BE- SW'!$D157-1))&lt;0,0,(EXTERNE_POZICIE!$B$53-12*('TCO TO BE- SW'!$D157-1))*((V$4+'TCO TO BE - HW'!V$4)/($E$4+'TCO TO BE - HW'!$E$4)*SUM(EXTERNE_POZICIE!$M$53:$M$64)*1.23)/EXTERNE_POZICIE!$B$53)),0)+IFERROR(SUM(#REF!)*'TCO TO BE- SW'!V$4/'TCO TO BE- SW'!$E$4,0)</f>
        <v>0</v>
      </c>
      <c r="W167" s="579">
        <f>IFERROR(IF((POZICIE_INTERNE!$B$73-12*('TCO TO BE- SW'!$D157-1))&gt;12,((W$4+'TCO TO BE - HW'!W$4)/($E$4+'TCO TO BE - HW'!$E$4)*SUM(POZICIE_INTERNE!$I$73:$I$84))/POZICIE_INTERNE!$B$73*12,IF((POZICIE_INTERNE!$B$73-12*('TCO TO BE- SW'!$D157-1))&lt;0,0,(POZICIE_INTERNE!$B$73-12*('TCO TO BE- SW'!$D157-1))*((W$4+'TCO TO BE - HW'!W$4)/($E$4+'TCO TO BE - HW'!$E$4)*SUM(POZICIE_INTERNE!$I$73:$I$84))/POZICIE_INTERNE!$B$73)),0)+IFERROR(IF((EXTERNE_POZICIE!$B$53-12*('TCO TO BE- SW'!$D157-1))&gt;12,((W$4+'TCO TO BE - HW'!W$4)/($E$4+'TCO TO BE - HW'!$E$4)*SUM(EXTERNE_POZICIE!$M$53:$M$64)*1.23)/EXTERNE_POZICIE!$B$41*12,IF((EXTERNE_POZICIE!$B$53-12*('TCO TO BE- SW'!$D157-1))&lt;0,0,(EXTERNE_POZICIE!$B$53-12*('TCO TO BE- SW'!$D157-1))*((W$4+'TCO TO BE - HW'!W$4)/($E$4+'TCO TO BE - HW'!$E$4)*SUM(EXTERNE_POZICIE!$M$53:$M$64)*1.23)/EXTERNE_POZICIE!$B$53)),0)+IFERROR(SUM(#REF!)*'TCO TO BE- SW'!W$4/'TCO TO BE- SW'!$E$4,0)</f>
        <v>0</v>
      </c>
      <c r="X167" s="579">
        <f>IFERROR(IF((POZICIE_INTERNE!$B$73-12*('TCO TO BE- SW'!$D157-1))&gt;12,((X$4+'TCO TO BE - HW'!X$4)/($E$4+'TCO TO BE - HW'!$E$4)*SUM(POZICIE_INTERNE!$I$73:$I$84))/POZICIE_INTERNE!$B$73*12,IF((POZICIE_INTERNE!$B$73-12*('TCO TO BE- SW'!$D157-1))&lt;0,0,(POZICIE_INTERNE!$B$73-12*('TCO TO BE- SW'!$D157-1))*((X$4+'TCO TO BE - HW'!X$4)/($E$4+'TCO TO BE - HW'!$E$4)*SUM(POZICIE_INTERNE!$I$73:$I$84))/POZICIE_INTERNE!$B$73)),0)+IFERROR(IF((EXTERNE_POZICIE!$B$53-12*('TCO TO BE- SW'!$D157-1))&gt;12,((X$4+'TCO TO BE - HW'!X$4)/($E$4+'TCO TO BE - HW'!$E$4)*SUM(EXTERNE_POZICIE!$M$53:$M$64)*1.23)/EXTERNE_POZICIE!$B$41*12,IF((EXTERNE_POZICIE!$B$53-12*('TCO TO BE- SW'!$D157-1))&lt;0,0,(EXTERNE_POZICIE!$B$53-12*('TCO TO BE- SW'!$D157-1))*((X$4+'TCO TO BE - HW'!X$4)/($E$4+'TCO TO BE - HW'!$E$4)*SUM(EXTERNE_POZICIE!$M$53:$M$64)*1.23)/EXTERNE_POZICIE!$B$53)),0)+IFERROR(SUM(#REF!)*'TCO TO BE- SW'!X$4/'TCO TO BE- SW'!$E$4,0)</f>
        <v>0</v>
      </c>
      <c r="Y167" s="579">
        <f>IFERROR(IF((POZICIE_INTERNE!$B$73-12*('TCO TO BE- SW'!$D157-1))&gt;12,((Y$4+'TCO TO BE - HW'!Y$4)/($E$4+'TCO TO BE - HW'!$E$4)*SUM(POZICIE_INTERNE!$I$73:$I$84))/POZICIE_INTERNE!$B$73*12,IF((POZICIE_INTERNE!$B$73-12*('TCO TO BE- SW'!$D157-1))&lt;0,0,(POZICIE_INTERNE!$B$73-12*('TCO TO BE- SW'!$D157-1))*((Y$4+'TCO TO BE - HW'!Y$4)/($E$4+'TCO TO BE - HW'!$E$4)*SUM(POZICIE_INTERNE!$I$73:$I$84))/POZICIE_INTERNE!$B$73)),0)+IFERROR(IF((EXTERNE_POZICIE!$B$53-12*('TCO TO BE- SW'!$D157-1))&gt;12,((Y$4+'TCO TO BE - HW'!Y$4)/($E$4+'TCO TO BE - HW'!$E$4)*SUM(EXTERNE_POZICIE!$M$53:$M$64)*1.23)/EXTERNE_POZICIE!$B$41*12,IF((EXTERNE_POZICIE!$B$53-12*('TCO TO BE- SW'!$D157-1))&lt;0,0,(EXTERNE_POZICIE!$B$53-12*('TCO TO BE- SW'!$D157-1))*((Y$4+'TCO TO BE - HW'!Y$4)/($E$4+'TCO TO BE - HW'!$E$4)*SUM(EXTERNE_POZICIE!$M$53:$M$64)*1.23)/EXTERNE_POZICIE!$B$53)),0)+IFERROR(SUM(#REF!)*'TCO TO BE- SW'!Y$4/'TCO TO BE- SW'!$E$4,0)</f>
        <v>0</v>
      </c>
      <c r="Z167" s="579">
        <f>IFERROR(IF((POZICIE_INTERNE!$B$73-12*('TCO TO BE- SW'!$D157-1))&gt;12,((Z$4+'TCO TO BE - HW'!Z$4)/($E$4+'TCO TO BE - HW'!$E$4)*SUM(POZICIE_INTERNE!$I$73:$I$84))/POZICIE_INTERNE!$B$73*12,IF((POZICIE_INTERNE!$B$73-12*('TCO TO BE- SW'!$D157-1))&lt;0,0,(POZICIE_INTERNE!$B$73-12*('TCO TO BE- SW'!$D157-1))*((Z$4+'TCO TO BE - HW'!Z$4)/($E$4+'TCO TO BE - HW'!$E$4)*SUM(POZICIE_INTERNE!$I$73:$I$84))/POZICIE_INTERNE!$B$73)),0)+IFERROR(IF((EXTERNE_POZICIE!$B$53-12*('TCO TO BE- SW'!$D157-1))&gt;12,((Z$4+'TCO TO BE - HW'!Z$4)/($E$4+'TCO TO BE - HW'!$E$4)*SUM(EXTERNE_POZICIE!$M$53:$M$64)*1.23)/EXTERNE_POZICIE!$B$41*12,IF((EXTERNE_POZICIE!$B$53-12*('TCO TO BE- SW'!$D157-1))&lt;0,0,(EXTERNE_POZICIE!$B$53-12*('TCO TO BE- SW'!$D157-1))*((Z$4+'TCO TO BE - HW'!Z$4)/($E$4+'TCO TO BE - HW'!$E$4)*SUM(EXTERNE_POZICIE!$M$53:$M$64)*1.23)/EXTERNE_POZICIE!$B$53)),0)+IFERROR(SUM(#REF!)*'TCO TO BE- SW'!Z$4/'TCO TO BE- SW'!$E$4,0)</f>
        <v>0</v>
      </c>
    </row>
    <row r="168" spans="1:26" x14ac:dyDescent="0.2">
      <c r="A168" s="1390"/>
      <c r="B168" s="1391"/>
      <c r="C168" s="1391"/>
      <c r="D168" s="64">
        <v>8</v>
      </c>
      <c r="E168" s="68">
        <f t="shared" si="16"/>
        <v>0</v>
      </c>
      <c r="F168" s="579">
        <f>IFERROR(IF((POZICIE_INTERNE!$B$73-12*('TCO TO BE- SW'!$D158-1))&gt;12,((F$4+'TCO TO BE - HW'!F$4)/($E$4+'TCO TO BE - HW'!$E$4)*SUM(POZICIE_INTERNE!$I$73:$I$84))/POZICIE_INTERNE!$B$73*12,IF((POZICIE_INTERNE!$B$73-12*('TCO TO BE- SW'!$D158-1))&lt;0,0,(POZICIE_INTERNE!$B$73-12*('TCO TO BE- SW'!$D158-1))*((F$4+'TCO TO BE - HW'!F$4)/($E$4+'TCO TO BE - HW'!$E$4)*SUM(POZICIE_INTERNE!$I$73:$I$84))/POZICIE_INTERNE!$B$73)),0)+IFERROR(IF((EXTERNE_POZICIE!$B$53-12*('TCO TO BE- SW'!$D158-1))&gt;12,((F$4+'TCO TO BE - HW'!F$4)/($E$4+'TCO TO BE - HW'!$E$4)*SUM(EXTERNE_POZICIE!$M$53:$M$64)*1.23)/EXTERNE_POZICIE!$B$41*12,IF((EXTERNE_POZICIE!$B$53-12*('TCO TO BE- SW'!$D158-1))&lt;0,0,(EXTERNE_POZICIE!$B$53-12*('TCO TO BE- SW'!$D158-1))*((F$4+'TCO TO BE - HW'!F$4)/($E$4+'TCO TO BE - HW'!$E$4)*SUM(EXTERNE_POZICIE!$M$53:$M$64)*1.23)/EXTERNE_POZICIE!$B$53)),0)+IFERROR(SUM(#REF!)*'TCO TO BE- SW'!F$4/'TCO TO BE- SW'!$E$4,0)</f>
        <v>0</v>
      </c>
      <c r="G168" s="579">
        <f>IFERROR(IF((POZICIE_INTERNE!$B$73-12*('TCO TO BE- SW'!$D158-1))&gt;12,((G$4+'TCO TO BE - HW'!G$4)/($E$4+'TCO TO BE - HW'!$E$4)*SUM(POZICIE_INTERNE!$I$73:$I$84))/POZICIE_INTERNE!$B$73*12,IF((POZICIE_INTERNE!$B$73-12*('TCO TO BE- SW'!$D158-1))&lt;0,0,(POZICIE_INTERNE!$B$73-12*('TCO TO BE- SW'!$D158-1))*((G$4+'TCO TO BE - HW'!G$4)/($E$4+'TCO TO BE - HW'!$E$4)*SUM(POZICIE_INTERNE!$I$73:$I$84))/POZICIE_INTERNE!$B$73)),0)+IFERROR(IF((EXTERNE_POZICIE!$B$53-12*('TCO TO BE- SW'!$D158-1))&gt;12,((G$4+'TCO TO BE - HW'!G$4)/($E$4+'TCO TO BE - HW'!$E$4)*SUM(EXTERNE_POZICIE!$M$53:$M$64)*1.23)/EXTERNE_POZICIE!$B$41*12,IF((EXTERNE_POZICIE!$B$53-12*('TCO TO BE- SW'!$D158-1))&lt;0,0,(EXTERNE_POZICIE!$B$53-12*('TCO TO BE- SW'!$D158-1))*((G$4+'TCO TO BE - HW'!G$4)/($E$4+'TCO TO BE - HW'!$E$4)*SUM(EXTERNE_POZICIE!$M$53:$M$64)*1.23)/EXTERNE_POZICIE!$B$53)),0)+IFERROR(SUM(#REF!)*'TCO TO BE- SW'!G$4/'TCO TO BE- SW'!$E$4,0)</f>
        <v>0</v>
      </c>
      <c r="H168" s="579">
        <f>IFERROR(IF((POZICIE_INTERNE!$B$73-12*('TCO TO BE- SW'!$D158-1))&gt;12,((H$4+'TCO TO BE - HW'!H$4)/($E$4+'TCO TO BE - HW'!$E$4)*SUM(POZICIE_INTERNE!$I$73:$I$84))/POZICIE_INTERNE!$B$73*12,IF((POZICIE_INTERNE!$B$73-12*('TCO TO BE- SW'!$D158-1))&lt;0,0,(POZICIE_INTERNE!$B$73-12*('TCO TO BE- SW'!$D158-1))*((H$4+'TCO TO BE - HW'!H$4)/($E$4+'TCO TO BE - HW'!$E$4)*SUM(POZICIE_INTERNE!$I$73:$I$84))/POZICIE_INTERNE!$B$73)),0)+IFERROR(IF((EXTERNE_POZICIE!$B$53-12*('TCO TO BE- SW'!$D158-1))&gt;12,((H$4+'TCO TO BE - HW'!H$4)/($E$4+'TCO TO BE - HW'!$E$4)*SUM(EXTERNE_POZICIE!$M$53:$M$64)*1.23)/EXTERNE_POZICIE!$B$41*12,IF((EXTERNE_POZICIE!$B$53-12*('TCO TO BE- SW'!$D158-1))&lt;0,0,(EXTERNE_POZICIE!$B$53-12*('TCO TO BE- SW'!$D158-1))*((H$4+'TCO TO BE - HW'!H$4)/($E$4+'TCO TO BE - HW'!$E$4)*SUM(EXTERNE_POZICIE!$M$53:$M$64)*1.23)/EXTERNE_POZICIE!$B$53)),0)+IFERROR(SUM(#REF!)*'TCO TO BE- SW'!H$4/'TCO TO BE- SW'!$E$4,0)</f>
        <v>0</v>
      </c>
      <c r="I168" s="579">
        <f>IFERROR(IF((POZICIE_INTERNE!$B$73-12*('TCO TO BE- SW'!$D158-1))&gt;12,((I$4+'TCO TO BE - HW'!I$4)/($E$4+'TCO TO BE - HW'!$E$4)*SUM(POZICIE_INTERNE!$I$73:$I$84))/POZICIE_INTERNE!$B$73*12,IF((POZICIE_INTERNE!$B$73-12*('TCO TO BE- SW'!$D158-1))&lt;0,0,(POZICIE_INTERNE!$B$73-12*('TCO TO BE- SW'!$D158-1))*((I$4+'TCO TO BE - HW'!I$4)/($E$4+'TCO TO BE - HW'!$E$4)*SUM(POZICIE_INTERNE!$I$73:$I$84))/POZICIE_INTERNE!$B$73)),0)+IFERROR(IF((EXTERNE_POZICIE!$B$53-12*('TCO TO BE- SW'!$D158-1))&gt;12,((I$4+'TCO TO BE - HW'!I$4)/($E$4+'TCO TO BE - HW'!$E$4)*SUM(EXTERNE_POZICIE!$M$53:$M$64)*1.23)/EXTERNE_POZICIE!$B$41*12,IF((EXTERNE_POZICIE!$B$53-12*('TCO TO BE- SW'!$D158-1))&lt;0,0,(EXTERNE_POZICIE!$B$53-12*('TCO TO BE- SW'!$D158-1))*((I$4+'TCO TO BE - HW'!I$4)/($E$4+'TCO TO BE - HW'!$E$4)*SUM(EXTERNE_POZICIE!$M$53:$M$64)*1.23)/EXTERNE_POZICIE!$B$53)),0)+IFERROR(SUM(#REF!)*'TCO TO BE- SW'!I$4/'TCO TO BE- SW'!$E$4,0)</f>
        <v>0</v>
      </c>
      <c r="J168" s="579">
        <f>IFERROR(IF((POZICIE_INTERNE!$B$73-12*('TCO TO BE- SW'!$D158-1))&gt;12,((J$4+'TCO TO BE - HW'!J$4)/($E$4+'TCO TO BE - HW'!$E$4)*SUM(POZICIE_INTERNE!$I$73:$I$84))/POZICIE_INTERNE!$B$73*12,IF((POZICIE_INTERNE!$B$73-12*('TCO TO BE- SW'!$D158-1))&lt;0,0,(POZICIE_INTERNE!$B$73-12*('TCO TO BE- SW'!$D158-1))*((J$4+'TCO TO BE - HW'!J$4)/($E$4+'TCO TO BE - HW'!$E$4)*SUM(POZICIE_INTERNE!$I$73:$I$84))/POZICIE_INTERNE!$B$73)),0)+IFERROR(IF((EXTERNE_POZICIE!$B$53-12*('TCO TO BE- SW'!$D158-1))&gt;12,((J$4+'TCO TO BE - HW'!J$4)/($E$4+'TCO TO BE - HW'!$E$4)*SUM(EXTERNE_POZICIE!$M$53:$M$64)*1.23)/EXTERNE_POZICIE!$B$41*12,IF((EXTERNE_POZICIE!$B$53-12*('TCO TO BE- SW'!$D158-1))&lt;0,0,(EXTERNE_POZICIE!$B$53-12*('TCO TO BE- SW'!$D158-1))*((J$4+'TCO TO BE - HW'!J$4)/($E$4+'TCO TO BE - HW'!$E$4)*SUM(EXTERNE_POZICIE!$M$53:$M$64)*1.23)/EXTERNE_POZICIE!$B$53)),0)+IFERROR(SUM(#REF!)*'TCO TO BE- SW'!J$4/'TCO TO BE- SW'!$E$4,0)</f>
        <v>0</v>
      </c>
      <c r="K168" s="579">
        <f>IFERROR(IF((POZICIE_INTERNE!$B$73-12*('TCO TO BE- SW'!$D158-1))&gt;12,((K$4+'TCO TO BE - HW'!K$4)/($E$4+'TCO TO BE - HW'!$E$4)*SUM(POZICIE_INTERNE!$I$73:$I$84))/POZICIE_INTERNE!$B$73*12,IF((POZICIE_INTERNE!$B$73-12*('TCO TO BE- SW'!$D158-1))&lt;0,0,(POZICIE_INTERNE!$B$73-12*('TCO TO BE- SW'!$D158-1))*((K$4+'TCO TO BE - HW'!K$4)/($E$4+'TCO TO BE - HW'!$E$4)*SUM(POZICIE_INTERNE!$I$73:$I$84))/POZICIE_INTERNE!$B$73)),0)+IFERROR(IF((EXTERNE_POZICIE!$B$53-12*('TCO TO BE- SW'!$D158-1))&gt;12,((K$4+'TCO TO BE - HW'!K$4)/($E$4+'TCO TO BE - HW'!$E$4)*SUM(EXTERNE_POZICIE!$M$53:$M$64)*1.23)/EXTERNE_POZICIE!$B$41*12,IF((EXTERNE_POZICIE!$B$53-12*('TCO TO BE- SW'!$D158-1))&lt;0,0,(EXTERNE_POZICIE!$B$53-12*('TCO TO BE- SW'!$D158-1))*((K$4+'TCO TO BE - HW'!K$4)/($E$4+'TCO TO BE - HW'!$E$4)*SUM(EXTERNE_POZICIE!$M$53:$M$64)*1.23)/EXTERNE_POZICIE!$B$53)),0)+IFERROR(SUM(#REF!)*'TCO TO BE- SW'!K$4/'TCO TO BE- SW'!$E$4,0)</f>
        <v>0</v>
      </c>
      <c r="L168" s="579">
        <f>IFERROR(IF((POZICIE_INTERNE!$B$73-12*('TCO TO BE- SW'!$D158-1))&gt;12,((L$4+'TCO TO BE - HW'!L$4)/($E$4+'TCO TO BE - HW'!$E$4)*SUM(POZICIE_INTERNE!$I$73:$I$84))/POZICIE_INTERNE!$B$73*12,IF((POZICIE_INTERNE!$B$73-12*('TCO TO BE- SW'!$D158-1))&lt;0,0,(POZICIE_INTERNE!$B$73-12*('TCO TO BE- SW'!$D158-1))*((L$4+'TCO TO BE - HW'!L$4)/($E$4+'TCO TO BE - HW'!$E$4)*SUM(POZICIE_INTERNE!$I$73:$I$84))/POZICIE_INTERNE!$B$73)),0)+IFERROR(IF((EXTERNE_POZICIE!$B$53-12*('TCO TO BE- SW'!$D158-1))&gt;12,((L$4+'TCO TO BE - HW'!L$4)/($E$4+'TCO TO BE - HW'!$E$4)*SUM(EXTERNE_POZICIE!$M$53:$M$64)*1.23)/EXTERNE_POZICIE!$B$41*12,IF((EXTERNE_POZICIE!$B$53-12*('TCO TO BE- SW'!$D158-1))&lt;0,0,(EXTERNE_POZICIE!$B$53-12*('TCO TO BE- SW'!$D158-1))*((L$4+'TCO TO BE - HW'!L$4)/($E$4+'TCO TO BE - HW'!$E$4)*SUM(EXTERNE_POZICIE!$M$53:$M$64)*1.23)/EXTERNE_POZICIE!$B$53)),0)+IFERROR(SUM(#REF!)*'TCO TO BE- SW'!L$4/'TCO TO BE- SW'!$E$4,0)</f>
        <v>0</v>
      </c>
      <c r="M168" s="579">
        <f>IFERROR(IF((POZICIE_INTERNE!$B$73-12*('TCO TO BE- SW'!$D158-1))&gt;12,((M$4+'TCO TO BE - HW'!M$4)/($E$4+'TCO TO BE - HW'!$E$4)*SUM(POZICIE_INTERNE!$I$73:$I$84))/POZICIE_INTERNE!$B$73*12,IF((POZICIE_INTERNE!$B$73-12*('TCO TO BE- SW'!$D158-1))&lt;0,0,(POZICIE_INTERNE!$B$73-12*('TCO TO BE- SW'!$D158-1))*((M$4+'TCO TO BE - HW'!M$4)/($E$4+'TCO TO BE - HW'!$E$4)*SUM(POZICIE_INTERNE!$I$73:$I$84))/POZICIE_INTERNE!$B$73)),0)+IFERROR(IF((EXTERNE_POZICIE!$B$53-12*('TCO TO BE- SW'!$D158-1))&gt;12,((M$4+'TCO TO BE - HW'!M$4)/($E$4+'TCO TO BE - HW'!$E$4)*SUM(EXTERNE_POZICIE!$M$53:$M$64)*1.23)/EXTERNE_POZICIE!$B$41*12,IF((EXTERNE_POZICIE!$B$53-12*('TCO TO BE- SW'!$D158-1))&lt;0,0,(EXTERNE_POZICIE!$B$53-12*('TCO TO BE- SW'!$D158-1))*((M$4+'TCO TO BE - HW'!M$4)/($E$4+'TCO TO BE - HW'!$E$4)*SUM(EXTERNE_POZICIE!$M$53:$M$64)*1.23)/EXTERNE_POZICIE!$B$53)),0)+IFERROR(SUM(#REF!)*'TCO TO BE- SW'!M$4/'TCO TO BE- SW'!$E$4,0)</f>
        <v>0</v>
      </c>
      <c r="N168" s="579">
        <f>IFERROR(IF((POZICIE_INTERNE!$B$73-12*('TCO TO BE- SW'!$D158-1))&gt;12,((N$4+'TCO TO BE - HW'!N$4)/($E$4+'TCO TO BE - HW'!$E$4)*SUM(POZICIE_INTERNE!$I$73:$I$84))/POZICIE_INTERNE!$B$73*12,IF((POZICIE_INTERNE!$B$73-12*('TCO TO BE- SW'!$D158-1))&lt;0,0,(POZICIE_INTERNE!$B$73-12*('TCO TO BE- SW'!$D158-1))*((N$4+'TCO TO BE - HW'!N$4)/($E$4+'TCO TO BE - HW'!$E$4)*SUM(POZICIE_INTERNE!$I$73:$I$84))/POZICIE_INTERNE!$B$73)),0)+IFERROR(IF((EXTERNE_POZICIE!$B$53-12*('TCO TO BE- SW'!$D158-1))&gt;12,((N$4+'TCO TO BE - HW'!N$4)/($E$4+'TCO TO BE - HW'!$E$4)*SUM(EXTERNE_POZICIE!$M$53:$M$64)*1.23)/EXTERNE_POZICIE!$B$41*12,IF((EXTERNE_POZICIE!$B$53-12*('TCO TO BE- SW'!$D158-1))&lt;0,0,(EXTERNE_POZICIE!$B$53-12*('TCO TO BE- SW'!$D158-1))*((N$4+'TCO TO BE - HW'!N$4)/($E$4+'TCO TO BE - HW'!$E$4)*SUM(EXTERNE_POZICIE!$M$53:$M$64)*1.23)/EXTERNE_POZICIE!$B$53)),0)+IFERROR(SUM(#REF!)*'TCO TO BE- SW'!N$4/'TCO TO BE- SW'!$E$4,0)</f>
        <v>0</v>
      </c>
      <c r="O168" s="579">
        <f>IFERROR(IF((POZICIE_INTERNE!$B$73-12*('TCO TO BE- SW'!$D158-1))&gt;12,((O$4+'TCO TO BE - HW'!O$4)/($E$4+'TCO TO BE - HW'!$E$4)*SUM(POZICIE_INTERNE!$I$73:$I$84))/POZICIE_INTERNE!$B$73*12,IF((POZICIE_INTERNE!$B$73-12*('TCO TO BE- SW'!$D158-1))&lt;0,0,(POZICIE_INTERNE!$B$73-12*('TCO TO BE- SW'!$D158-1))*((O$4+'TCO TO BE - HW'!O$4)/($E$4+'TCO TO BE - HW'!$E$4)*SUM(POZICIE_INTERNE!$I$73:$I$84))/POZICIE_INTERNE!$B$73)),0)+IFERROR(IF((EXTERNE_POZICIE!$B$53-12*('TCO TO BE- SW'!$D158-1))&gt;12,((O$4+'TCO TO BE - HW'!O$4)/($E$4+'TCO TO BE - HW'!$E$4)*SUM(EXTERNE_POZICIE!$M$53:$M$64)*1.23)/EXTERNE_POZICIE!$B$41*12,IF((EXTERNE_POZICIE!$B$53-12*('TCO TO BE- SW'!$D158-1))&lt;0,0,(EXTERNE_POZICIE!$B$53-12*('TCO TO BE- SW'!$D158-1))*((O$4+'TCO TO BE - HW'!O$4)/($E$4+'TCO TO BE - HW'!$E$4)*SUM(EXTERNE_POZICIE!$M$53:$M$64)*1.23)/EXTERNE_POZICIE!$B$53)),0)+IFERROR(SUM(#REF!)*'TCO TO BE- SW'!O$4/'TCO TO BE- SW'!$E$4,0)</f>
        <v>0</v>
      </c>
      <c r="P168" s="579">
        <f>IFERROR(IF((POZICIE_INTERNE!$B$73-12*('TCO TO BE- SW'!$D158-1))&gt;12,((P$4+'TCO TO BE - HW'!P$4)/($E$4+'TCO TO BE - HW'!$E$4)*SUM(POZICIE_INTERNE!$I$73:$I$84))/POZICIE_INTERNE!$B$73*12,IF((POZICIE_INTERNE!$B$73-12*('TCO TO BE- SW'!$D158-1))&lt;0,0,(POZICIE_INTERNE!$B$73-12*('TCO TO BE- SW'!$D158-1))*((P$4+'TCO TO BE - HW'!P$4)/($E$4+'TCO TO BE - HW'!$E$4)*SUM(POZICIE_INTERNE!$I$73:$I$84))/POZICIE_INTERNE!$B$73)),0)+IFERROR(IF((EXTERNE_POZICIE!$B$53-12*('TCO TO BE- SW'!$D158-1))&gt;12,((P$4+'TCO TO BE - HW'!P$4)/($E$4+'TCO TO BE - HW'!$E$4)*SUM(EXTERNE_POZICIE!$M$53:$M$64)*1.23)/EXTERNE_POZICIE!$B$41*12,IF((EXTERNE_POZICIE!$B$53-12*('TCO TO BE- SW'!$D158-1))&lt;0,0,(EXTERNE_POZICIE!$B$53-12*('TCO TO BE- SW'!$D158-1))*((P$4+'TCO TO BE - HW'!P$4)/($E$4+'TCO TO BE - HW'!$E$4)*SUM(EXTERNE_POZICIE!$M$53:$M$64)*1.23)/EXTERNE_POZICIE!$B$53)),0)+IFERROR(SUM(#REF!)*'TCO TO BE- SW'!P$4/'TCO TO BE- SW'!$E$4,0)</f>
        <v>0</v>
      </c>
      <c r="Q168" s="579">
        <f>IFERROR(IF((POZICIE_INTERNE!$B$73-12*('TCO TO BE- SW'!$D158-1))&gt;12,((Q$4+'TCO TO BE - HW'!Q$4)/($E$4+'TCO TO BE - HW'!$E$4)*SUM(POZICIE_INTERNE!$I$73:$I$84))/POZICIE_INTERNE!$B$73*12,IF((POZICIE_INTERNE!$B$73-12*('TCO TO BE- SW'!$D158-1))&lt;0,0,(POZICIE_INTERNE!$B$73-12*('TCO TO BE- SW'!$D158-1))*((Q$4+'TCO TO BE - HW'!Q$4)/($E$4+'TCO TO BE - HW'!$E$4)*SUM(POZICIE_INTERNE!$I$73:$I$84))/POZICIE_INTERNE!$B$73)),0)+IFERROR(IF((EXTERNE_POZICIE!$B$53-12*('TCO TO BE- SW'!$D158-1))&gt;12,((Q$4+'TCO TO BE - HW'!Q$4)/($E$4+'TCO TO BE - HW'!$E$4)*SUM(EXTERNE_POZICIE!$M$53:$M$64)*1.23)/EXTERNE_POZICIE!$B$41*12,IF((EXTERNE_POZICIE!$B$53-12*('TCO TO BE- SW'!$D158-1))&lt;0,0,(EXTERNE_POZICIE!$B$53-12*('TCO TO BE- SW'!$D158-1))*((Q$4+'TCO TO BE - HW'!Q$4)/($E$4+'TCO TO BE - HW'!$E$4)*SUM(EXTERNE_POZICIE!$M$53:$M$64)*1.23)/EXTERNE_POZICIE!$B$53)),0)+IFERROR(SUM(#REF!)*'TCO TO BE- SW'!Q$4/'TCO TO BE- SW'!$E$4,0)</f>
        <v>0</v>
      </c>
      <c r="R168" s="579">
        <f>IFERROR(IF((POZICIE_INTERNE!$B$73-12*('TCO TO BE- SW'!$D158-1))&gt;12,((R$4+'TCO TO BE - HW'!R$4)/($E$4+'TCO TO BE - HW'!$E$4)*SUM(POZICIE_INTERNE!$I$73:$I$84))/POZICIE_INTERNE!$B$73*12,IF((POZICIE_INTERNE!$B$73-12*('TCO TO BE- SW'!$D158-1))&lt;0,0,(POZICIE_INTERNE!$B$73-12*('TCO TO BE- SW'!$D158-1))*((R$4+'TCO TO BE - HW'!R$4)/($E$4+'TCO TO BE - HW'!$E$4)*SUM(POZICIE_INTERNE!$I$73:$I$84))/POZICIE_INTERNE!$B$73)),0)+IFERROR(IF((EXTERNE_POZICIE!$B$53-12*('TCO TO BE- SW'!$D158-1))&gt;12,((R$4+'TCO TO BE - HW'!R$4)/($E$4+'TCO TO BE - HW'!$E$4)*SUM(EXTERNE_POZICIE!$M$53:$M$64)*1.23)/EXTERNE_POZICIE!$B$41*12,IF((EXTERNE_POZICIE!$B$53-12*('TCO TO BE- SW'!$D158-1))&lt;0,0,(EXTERNE_POZICIE!$B$53-12*('TCO TO BE- SW'!$D158-1))*((R$4+'TCO TO BE - HW'!R$4)/($E$4+'TCO TO BE - HW'!$E$4)*SUM(EXTERNE_POZICIE!$M$53:$M$64)*1.23)/EXTERNE_POZICIE!$B$53)),0)+IFERROR(SUM(#REF!)*'TCO TO BE- SW'!R$4/'TCO TO BE- SW'!$E$4,0)</f>
        <v>0</v>
      </c>
      <c r="S168" s="579">
        <f>IFERROR(IF((POZICIE_INTERNE!$B$73-12*('TCO TO BE- SW'!$D158-1))&gt;12,((S$4+'TCO TO BE - HW'!S$4)/($E$4+'TCO TO BE - HW'!$E$4)*SUM(POZICIE_INTERNE!$I$73:$I$84))/POZICIE_INTERNE!$B$73*12,IF((POZICIE_INTERNE!$B$73-12*('TCO TO BE- SW'!$D158-1))&lt;0,0,(POZICIE_INTERNE!$B$73-12*('TCO TO BE- SW'!$D158-1))*((S$4+'TCO TO BE - HW'!S$4)/($E$4+'TCO TO BE - HW'!$E$4)*SUM(POZICIE_INTERNE!$I$73:$I$84))/POZICIE_INTERNE!$B$73)),0)+IFERROR(IF((EXTERNE_POZICIE!$B$53-12*('TCO TO BE- SW'!$D158-1))&gt;12,((S$4+'TCO TO BE - HW'!S$4)/($E$4+'TCO TO BE - HW'!$E$4)*SUM(EXTERNE_POZICIE!$M$53:$M$64)*1.23)/EXTERNE_POZICIE!$B$41*12,IF((EXTERNE_POZICIE!$B$53-12*('TCO TO BE- SW'!$D158-1))&lt;0,0,(EXTERNE_POZICIE!$B$53-12*('TCO TO BE- SW'!$D158-1))*((S$4+'TCO TO BE - HW'!S$4)/($E$4+'TCO TO BE - HW'!$E$4)*SUM(EXTERNE_POZICIE!$M$53:$M$64)*1.23)/EXTERNE_POZICIE!$B$53)),0)+IFERROR(SUM(#REF!)*'TCO TO BE- SW'!S$4/'TCO TO BE- SW'!$E$4,0)</f>
        <v>0</v>
      </c>
      <c r="T168" s="579">
        <f>IFERROR(IF((POZICIE_INTERNE!$B$73-12*('TCO TO BE- SW'!$D158-1))&gt;12,((T$4+'TCO TO BE - HW'!T$4)/($E$4+'TCO TO BE - HW'!$E$4)*SUM(POZICIE_INTERNE!$I$73:$I$84))/POZICIE_INTERNE!$B$73*12,IF((POZICIE_INTERNE!$B$73-12*('TCO TO BE- SW'!$D158-1))&lt;0,0,(POZICIE_INTERNE!$B$73-12*('TCO TO BE- SW'!$D158-1))*((T$4+'TCO TO BE - HW'!T$4)/($E$4+'TCO TO BE - HW'!$E$4)*SUM(POZICIE_INTERNE!$I$73:$I$84))/POZICIE_INTERNE!$B$73)),0)+IFERROR(IF((EXTERNE_POZICIE!$B$53-12*('TCO TO BE- SW'!$D158-1))&gt;12,((T$4+'TCO TO BE - HW'!T$4)/($E$4+'TCO TO BE - HW'!$E$4)*SUM(EXTERNE_POZICIE!$M$53:$M$64)*1.23)/EXTERNE_POZICIE!$B$41*12,IF((EXTERNE_POZICIE!$B$53-12*('TCO TO BE- SW'!$D158-1))&lt;0,0,(EXTERNE_POZICIE!$B$53-12*('TCO TO BE- SW'!$D158-1))*((T$4+'TCO TO BE - HW'!T$4)/($E$4+'TCO TO BE - HW'!$E$4)*SUM(EXTERNE_POZICIE!$M$53:$M$64)*1.23)/EXTERNE_POZICIE!$B$53)),0)+IFERROR(SUM(#REF!)*'TCO TO BE- SW'!T$4/'TCO TO BE- SW'!$E$4,0)</f>
        <v>0</v>
      </c>
      <c r="U168" s="579">
        <f>IFERROR(IF((POZICIE_INTERNE!$B$73-12*('TCO TO BE- SW'!$D158-1))&gt;12,((U$4+'TCO TO BE - HW'!U$4)/($E$4+'TCO TO BE - HW'!$E$4)*SUM(POZICIE_INTERNE!$I$73:$I$84))/POZICIE_INTERNE!$B$73*12,IF((POZICIE_INTERNE!$B$73-12*('TCO TO BE- SW'!$D158-1))&lt;0,0,(POZICIE_INTERNE!$B$73-12*('TCO TO BE- SW'!$D158-1))*((U$4+'TCO TO BE - HW'!U$4)/($E$4+'TCO TO BE - HW'!$E$4)*SUM(POZICIE_INTERNE!$I$73:$I$84))/POZICIE_INTERNE!$B$73)),0)+IFERROR(IF((EXTERNE_POZICIE!$B$53-12*('TCO TO BE- SW'!$D158-1))&gt;12,((U$4+'TCO TO BE - HW'!U$4)/($E$4+'TCO TO BE - HW'!$E$4)*SUM(EXTERNE_POZICIE!$M$53:$M$64)*1.23)/EXTERNE_POZICIE!$B$41*12,IF((EXTERNE_POZICIE!$B$53-12*('TCO TO BE- SW'!$D158-1))&lt;0,0,(EXTERNE_POZICIE!$B$53-12*('TCO TO BE- SW'!$D158-1))*((U$4+'TCO TO BE - HW'!U$4)/($E$4+'TCO TO BE - HW'!$E$4)*SUM(EXTERNE_POZICIE!$M$53:$M$64)*1.23)/EXTERNE_POZICIE!$B$53)),0)+IFERROR(SUM(#REF!)*'TCO TO BE- SW'!U$4/'TCO TO BE- SW'!$E$4,0)</f>
        <v>0</v>
      </c>
      <c r="V168" s="579">
        <f>IFERROR(IF((POZICIE_INTERNE!$B$73-12*('TCO TO BE- SW'!$D158-1))&gt;12,((V$4+'TCO TO BE - HW'!V$4)/($E$4+'TCO TO BE - HW'!$E$4)*SUM(POZICIE_INTERNE!$I$73:$I$84))/POZICIE_INTERNE!$B$73*12,IF((POZICIE_INTERNE!$B$73-12*('TCO TO BE- SW'!$D158-1))&lt;0,0,(POZICIE_INTERNE!$B$73-12*('TCO TO BE- SW'!$D158-1))*((V$4+'TCO TO BE - HW'!V$4)/($E$4+'TCO TO BE - HW'!$E$4)*SUM(POZICIE_INTERNE!$I$73:$I$84))/POZICIE_INTERNE!$B$73)),0)+IFERROR(IF((EXTERNE_POZICIE!$B$53-12*('TCO TO BE- SW'!$D158-1))&gt;12,((V$4+'TCO TO BE - HW'!V$4)/($E$4+'TCO TO BE - HW'!$E$4)*SUM(EXTERNE_POZICIE!$M$53:$M$64)*1.23)/EXTERNE_POZICIE!$B$41*12,IF((EXTERNE_POZICIE!$B$53-12*('TCO TO BE- SW'!$D158-1))&lt;0,0,(EXTERNE_POZICIE!$B$53-12*('TCO TO BE- SW'!$D158-1))*((V$4+'TCO TO BE - HW'!V$4)/($E$4+'TCO TO BE - HW'!$E$4)*SUM(EXTERNE_POZICIE!$M$53:$M$64)*1.23)/EXTERNE_POZICIE!$B$53)),0)+IFERROR(SUM(#REF!)*'TCO TO BE- SW'!V$4/'TCO TO BE- SW'!$E$4,0)</f>
        <v>0</v>
      </c>
      <c r="W168" s="579">
        <f>IFERROR(IF((POZICIE_INTERNE!$B$73-12*('TCO TO BE- SW'!$D158-1))&gt;12,((W$4+'TCO TO BE - HW'!W$4)/($E$4+'TCO TO BE - HW'!$E$4)*SUM(POZICIE_INTERNE!$I$73:$I$84))/POZICIE_INTERNE!$B$73*12,IF((POZICIE_INTERNE!$B$73-12*('TCO TO BE- SW'!$D158-1))&lt;0,0,(POZICIE_INTERNE!$B$73-12*('TCO TO BE- SW'!$D158-1))*((W$4+'TCO TO BE - HW'!W$4)/($E$4+'TCO TO BE - HW'!$E$4)*SUM(POZICIE_INTERNE!$I$73:$I$84))/POZICIE_INTERNE!$B$73)),0)+IFERROR(IF((EXTERNE_POZICIE!$B$53-12*('TCO TO BE- SW'!$D158-1))&gt;12,((W$4+'TCO TO BE - HW'!W$4)/($E$4+'TCO TO BE - HW'!$E$4)*SUM(EXTERNE_POZICIE!$M$53:$M$64)*1.23)/EXTERNE_POZICIE!$B$41*12,IF((EXTERNE_POZICIE!$B$53-12*('TCO TO BE- SW'!$D158-1))&lt;0,0,(EXTERNE_POZICIE!$B$53-12*('TCO TO BE- SW'!$D158-1))*((W$4+'TCO TO BE - HW'!W$4)/($E$4+'TCO TO BE - HW'!$E$4)*SUM(EXTERNE_POZICIE!$M$53:$M$64)*1.23)/EXTERNE_POZICIE!$B$53)),0)+IFERROR(SUM(#REF!)*'TCO TO BE- SW'!W$4/'TCO TO BE- SW'!$E$4,0)</f>
        <v>0</v>
      </c>
      <c r="X168" s="579">
        <f>IFERROR(IF((POZICIE_INTERNE!$B$73-12*('TCO TO BE- SW'!$D158-1))&gt;12,((X$4+'TCO TO BE - HW'!X$4)/($E$4+'TCO TO BE - HW'!$E$4)*SUM(POZICIE_INTERNE!$I$73:$I$84))/POZICIE_INTERNE!$B$73*12,IF((POZICIE_INTERNE!$B$73-12*('TCO TO BE- SW'!$D158-1))&lt;0,0,(POZICIE_INTERNE!$B$73-12*('TCO TO BE- SW'!$D158-1))*((X$4+'TCO TO BE - HW'!X$4)/($E$4+'TCO TO BE - HW'!$E$4)*SUM(POZICIE_INTERNE!$I$73:$I$84))/POZICIE_INTERNE!$B$73)),0)+IFERROR(IF((EXTERNE_POZICIE!$B$53-12*('TCO TO BE- SW'!$D158-1))&gt;12,((X$4+'TCO TO BE - HW'!X$4)/($E$4+'TCO TO BE - HW'!$E$4)*SUM(EXTERNE_POZICIE!$M$53:$M$64)*1.23)/EXTERNE_POZICIE!$B$41*12,IF((EXTERNE_POZICIE!$B$53-12*('TCO TO BE- SW'!$D158-1))&lt;0,0,(EXTERNE_POZICIE!$B$53-12*('TCO TO BE- SW'!$D158-1))*((X$4+'TCO TO BE - HW'!X$4)/($E$4+'TCO TO BE - HW'!$E$4)*SUM(EXTERNE_POZICIE!$M$53:$M$64)*1.23)/EXTERNE_POZICIE!$B$53)),0)+IFERROR(SUM(#REF!)*'TCO TO BE- SW'!X$4/'TCO TO BE- SW'!$E$4,0)</f>
        <v>0</v>
      </c>
      <c r="Y168" s="579">
        <f>IFERROR(IF((POZICIE_INTERNE!$B$73-12*('TCO TO BE- SW'!$D158-1))&gt;12,((Y$4+'TCO TO BE - HW'!Y$4)/($E$4+'TCO TO BE - HW'!$E$4)*SUM(POZICIE_INTERNE!$I$73:$I$84))/POZICIE_INTERNE!$B$73*12,IF((POZICIE_INTERNE!$B$73-12*('TCO TO BE- SW'!$D158-1))&lt;0,0,(POZICIE_INTERNE!$B$73-12*('TCO TO BE- SW'!$D158-1))*((Y$4+'TCO TO BE - HW'!Y$4)/($E$4+'TCO TO BE - HW'!$E$4)*SUM(POZICIE_INTERNE!$I$73:$I$84))/POZICIE_INTERNE!$B$73)),0)+IFERROR(IF((EXTERNE_POZICIE!$B$53-12*('TCO TO BE- SW'!$D158-1))&gt;12,((Y$4+'TCO TO BE - HW'!Y$4)/($E$4+'TCO TO BE - HW'!$E$4)*SUM(EXTERNE_POZICIE!$M$53:$M$64)*1.23)/EXTERNE_POZICIE!$B$41*12,IF((EXTERNE_POZICIE!$B$53-12*('TCO TO BE- SW'!$D158-1))&lt;0,0,(EXTERNE_POZICIE!$B$53-12*('TCO TO BE- SW'!$D158-1))*((Y$4+'TCO TO BE - HW'!Y$4)/($E$4+'TCO TO BE - HW'!$E$4)*SUM(EXTERNE_POZICIE!$M$53:$M$64)*1.23)/EXTERNE_POZICIE!$B$53)),0)+IFERROR(SUM(#REF!)*'TCO TO BE- SW'!Y$4/'TCO TO BE- SW'!$E$4,0)</f>
        <v>0</v>
      </c>
      <c r="Z168" s="579">
        <f>IFERROR(IF((POZICIE_INTERNE!$B$73-12*('TCO TO BE- SW'!$D158-1))&gt;12,((Z$4+'TCO TO BE - HW'!Z$4)/($E$4+'TCO TO BE - HW'!$E$4)*SUM(POZICIE_INTERNE!$I$73:$I$84))/POZICIE_INTERNE!$B$73*12,IF((POZICIE_INTERNE!$B$73-12*('TCO TO BE- SW'!$D158-1))&lt;0,0,(POZICIE_INTERNE!$B$73-12*('TCO TO BE- SW'!$D158-1))*((Z$4+'TCO TO BE - HW'!Z$4)/($E$4+'TCO TO BE - HW'!$E$4)*SUM(POZICIE_INTERNE!$I$73:$I$84))/POZICIE_INTERNE!$B$73)),0)+IFERROR(IF((EXTERNE_POZICIE!$B$53-12*('TCO TO BE- SW'!$D158-1))&gt;12,((Z$4+'TCO TO BE - HW'!Z$4)/($E$4+'TCO TO BE - HW'!$E$4)*SUM(EXTERNE_POZICIE!$M$53:$M$64)*1.23)/EXTERNE_POZICIE!$B$41*12,IF((EXTERNE_POZICIE!$B$53-12*('TCO TO BE- SW'!$D158-1))&lt;0,0,(EXTERNE_POZICIE!$B$53-12*('TCO TO BE- SW'!$D158-1))*((Z$4+'TCO TO BE - HW'!Z$4)/($E$4+'TCO TO BE - HW'!$E$4)*SUM(EXTERNE_POZICIE!$M$53:$M$64)*1.23)/EXTERNE_POZICIE!$B$53)),0)+IFERROR(SUM(#REF!)*'TCO TO BE- SW'!Z$4/'TCO TO BE- SW'!$E$4,0)</f>
        <v>0</v>
      </c>
    </row>
    <row r="169" spans="1:26" x14ac:dyDescent="0.2">
      <c r="A169" s="1390"/>
      <c r="B169" s="1391"/>
      <c r="C169" s="1391"/>
      <c r="D169" s="64">
        <v>9</v>
      </c>
      <c r="E169" s="68">
        <f t="shared" si="16"/>
        <v>0</v>
      </c>
      <c r="F169" s="579">
        <f>IFERROR(IF((POZICIE_INTERNE!$B$73-12*('TCO TO BE- SW'!$D159-1))&gt;12,((F$4+'TCO TO BE - HW'!F$4)/($E$4+'TCO TO BE - HW'!$E$4)*SUM(POZICIE_INTERNE!$I$73:$I$84))/POZICIE_INTERNE!$B$73*12,IF((POZICIE_INTERNE!$B$73-12*('TCO TO BE- SW'!$D159-1))&lt;0,0,(POZICIE_INTERNE!$B$73-12*('TCO TO BE- SW'!$D159-1))*((F$4+'TCO TO BE - HW'!F$4)/($E$4+'TCO TO BE - HW'!$E$4)*SUM(POZICIE_INTERNE!$I$73:$I$84))/POZICIE_INTERNE!$B$73)),0)+IFERROR(IF((EXTERNE_POZICIE!$B$53-12*('TCO TO BE- SW'!$D159-1))&gt;12,((F$4+'TCO TO BE - HW'!F$4)/($E$4+'TCO TO BE - HW'!$E$4)*SUM(EXTERNE_POZICIE!$M$53:$M$64)*1.23)/EXTERNE_POZICIE!$B$41*12,IF((EXTERNE_POZICIE!$B$53-12*('TCO TO BE- SW'!$D159-1))&lt;0,0,(EXTERNE_POZICIE!$B$53-12*('TCO TO BE- SW'!$D159-1))*((F$4+'TCO TO BE - HW'!F$4)/($E$4+'TCO TO BE - HW'!$E$4)*SUM(EXTERNE_POZICIE!$M$53:$M$64)*1.23)/EXTERNE_POZICIE!$B$53)),0)+IFERROR(SUM(#REF!)*'TCO TO BE- SW'!F$4/'TCO TO BE- SW'!$E$4,0)</f>
        <v>0</v>
      </c>
      <c r="G169" s="579">
        <f>IFERROR(IF((POZICIE_INTERNE!$B$73-12*('TCO TO BE- SW'!$D159-1))&gt;12,((G$4+'TCO TO BE - HW'!G$4)/($E$4+'TCO TO BE - HW'!$E$4)*SUM(POZICIE_INTERNE!$I$73:$I$84))/POZICIE_INTERNE!$B$73*12,IF((POZICIE_INTERNE!$B$73-12*('TCO TO BE- SW'!$D159-1))&lt;0,0,(POZICIE_INTERNE!$B$73-12*('TCO TO BE- SW'!$D159-1))*((G$4+'TCO TO BE - HW'!G$4)/($E$4+'TCO TO BE - HW'!$E$4)*SUM(POZICIE_INTERNE!$I$73:$I$84))/POZICIE_INTERNE!$B$73)),0)+IFERROR(IF((EXTERNE_POZICIE!$B$53-12*('TCO TO BE- SW'!$D159-1))&gt;12,((G$4+'TCO TO BE - HW'!G$4)/($E$4+'TCO TO BE - HW'!$E$4)*SUM(EXTERNE_POZICIE!$M$53:$M$64)*1.23)/EXTERNE_POZICIE!$B$41*12,IF((EXTERNE_POZICIE!$B$53-12*('TCO TO BE- SW'!$D159-1))&lt;0,0,(EXTERNE_POZICIE!$B$53-12*('TCO TO BE- SW'!$D159-1))*((G$4+'TCO TO BE - HW'!G$4)/($E$4+'TCO TO BE - HW'!$E$4)*SUM(EXTERNE_POZICIE!$M$53:$M$64)*1.23)/EXTERNE_POZICIE!$B$53)),0)+IFERROR(SUM(#REF!)*'TCO TO BE- SW'!G$4/'TCO TO BE- SW'!$E$4,0)</f>
        <v>0</v>
      </c>
      <c r="H169" s="579">
        <f>IFERROR(IF((POZICIE_INTERNE!$B$73-12*('TCO TO BE- SW'!$D159-1))&gt;12,((H$4+'TCO TO BE - HW'!H$4)/($E$4+'TCO TO BE - HW'!$E$4)*SUM(POZICIE_INTERNE!$I$73:$I$84))/POZICIE_INTERNE!$B$73*12,IF((POZICIE_INTERNE!$B$73-12*('TCO TO BE- SW'!$D159-1))&lt;0,0,(POZICIE_INTERNE!$B$73-12*('TCO TO BE- SW'!$D159-1))*((H$4+'TCO TO BE - HW'!H$4)/($E$4+'TCO TO BE - HW'!$E$4)*SUM(POZICIE_INTERNE!$I$73:$I$84))/POZICIE_INTERNE!$B$73)),0)+IFERROR(IF((EXTERNE_POZICIE!$B$53-12*('TCO TO BE- SW'!$D159-1))&gt;12,((H$4+'TCO TO BE - HW'!H$4)/($E$4+'TCO TO BE - HW'!$E$4)*SUM(EXTERNE_POZICIE!$M$53:$M$64)*1.23)/EXTERNE_POZICIE!$B$41*12,IF((EXTERNE_POZICIE!$B$53-12*('TCO TO BE- SW'!$D159-1))&lt;0,0,(EXTERNE_POZICIE!$B$53-12*('TCO TO BE- SW'!$D159-1))*((H$4+'TCO TO BE - HW'!H$4)/($E$4+'TCO TO BE - HW'!$E$4)*SUM(EXTERNE_POZICIE!$M$53:$M$64)*1.23)/EXTERNE_POZICIE!$B$53)),0)+IFERROR(SUM(#REF!)*'TCO TO BE- SW'!H$4/'TCO TO BE- SW'!$E$4,0)</f>
        <v>0</v>
      </c>
      <c r="I169" s="579">
        <f>IFERROR(IF((POZICIE_INTERNE!$B$73-12*('TCO TO BE- SW'!$D159-1))&gt;12,((I$4+'TCO TO BE - HW'!I$4)/($E$4+'TCO TO BE - HW'!$E$4)*SUM(POZICIE_INTERNE!$I$73:$I$84))/POZICIE_INTERNE!$B$73*12,IF((POZICIE_INTERNE!$B$73-12*('TCO TO BE- SW'!$D159-1))&lt;0,0,(POZICIE_INTERNE!$B$73-12*('TCO TO BE- SW'!$D159-1))*((I$4+'TCO TO BE - HW'!I$4)/($E$4+'TCO TO BE - HW'!$E$4)*SUM(POZICIE_INTERNE!$I$73:$I$84))/POZICIE_INTERNE!$B$73)),0)+IFERROR(IF((EXTERNE_POZICIE!$B$53-12*('TCO TO BE- SW'!$D159-1))&gt;12,((I$4+'TCO TO BE - HW'!I$4)/($E$4+'TCO TO BE - HW'!$E$4)*SUM(EXTERNE_POZICIE!$M$53:$M$64)*1.23)/EXTERNE_POZICIE!$B$41*12,IF((EXTERNE_POZICIE!$B$53-12*('TCO TO BE- SW'!$D159-1))&lt;0,0,(EXTERNE_POZICIE!$B$53-12*('TCO TO BE- SW'!$D159-1))*((I$4+'TCO TO BE - HW'!I$4)/($E$4+'TCO TO BE - HW'!$E$4)*SUM(EXTERNE_POZICIE!$M$53:$M$64)*1.23)/EXTERNE_POZICIE!$B$53)),0)+IFERROR(SUM(#REF!)*'TCO TO BE- SW'!I$4/'TCO TO BE- SW'!$E$4,0)</f>
        <v>0</v>
      </c>
      <c r="J169" s="579">
        <f>IFERROR(IF((POZICIE_INTERNE!$B$73-12*('TCO TO BE- SW'!$D159-1))&gt;12,((J$4+'TCO TO BE - HW'!J$4)/($E$4+'TCO TO BE - HW'!$E$4)*SUM(POZICIE_INTERNE!$I$73:$I$84))/POZICIE_INTERNE!$B$73*12,IF((POZICIE_INTERNE!$B$73-12*('TCO TO BE- SW'!$D159-1))&lt;0,0,(POZICIE_INTERNE!$B$73-12*('TCO TO BE- SW'!$D159-1))*((J$4+'TCO TO BE - HW'!J$4)/($E$4+'TCO TO BE - HW'!$E$4)*SUM(POZICIE_INTERNE!$I$73:$I$84))/POZICIE_INTERNE!$B$73)),0)+IFERROR(IF((EXTERNE_POZICIE!$B$53-12*('TCO TO BE- SW'!$D159-1))&gt;12,((J$4+'TCO TO BE - HW'!J$4)/($E$4+'TCO TO BE - HW'!$E$4)*SUM(EXTERNE_POZICIE!$M$53:$M$64)*1.23)/EXTERNE_POZICIE!$B$41*12,IF((EXTERNE_POZICIE!$B$53-12*('TCO TO BE- SW'!$D159-1))&lt;0,0,(EXTERNE_POZICIE!$B$53-12*('TCO TO BE- SW'!$D159-1))*((J$4+'TCO TO BE - HW'!J$4)/($E$4+'TCO TO BE - HW'!$E$4)*SUM(EXTERNE_POZICIE!$M$53:$M$64)*1.23)/EXTERNE_POZICIE!$B$53)),0)+IFERROR(SUM(#REF!)*'TCO TO BE- SW'!J$4/'TCO TO BE- SW'!$E$4,0)</f>
        <v>0</v>
      </c>
      <c r="K169" s="579">
        <f>IFERROR(IF((POZICIE_INTERNE!$B$73-12*('TCO TO BE- SW'!$D159-1))&gt;12,((K$4+'TCO TO BE - HW'!K$4)/($E$4+'TCO TO BE - HW'!$E$4)*SUM(POZICIE_INTERNE!$I$73:$I$84))/POZICIE_INTERNE!$B$73*12,IF((POZICIE_INTERNE!$B$73-12*('TCO TO BE- SW'!$D159-1))&lt;0,0,(POZICIE_INTERNE!$B$73-12*('TCO TO BE- SW'!$D159-1))*((K$4+'TCO TO BE - HW'!K$4)/($E$4+'TCO TO BE - HW'!$E$4)*SUM(POZICIE_INTERNE!$I$73:$I$84))/POZICIE_INTERNE!$B$73)),0)+IFERROR(IF((EXTERNE_POZICIE!$B$53-12*('TCO TO BE- SW'!$D159-1))&gt;12,((K$4+'TCO TO BE - HW'!K$4)/($E$4+'TCO TO BE - HW'!$E$4)*SUM(EXTERNE_POZICIE!$M$53:$M$64)*1.23)/EXTERNE_POZICIE!$B$41*12,IF((EXTERNE_POZICIE!$B$53-12*('TCO TO BE- SW'!$D159-1))&lt;0,0,(EXTERNE_POZICIE!$B$53-12*('TCO TO BE- SW'!$D159-1))*((K$4+'TCO TO BE - HW'!K$4)/($E$4+'TCO TO BE - HW'!$E$4)*SUM(EXTERNE_POZICIE!$M$53:$M$64)*1.23)/EXTERNE_POZICIE!$B$53)),0)+IFERROR(SUM(#REF!)*'TCO TO BE- SW'!K$4/'TCO TO BE- SW'!$E$4,0)</f>
        <v>0</v>
      </c>
      <c r="L169" s="579">
        <f>IFERROR(IF((POZICIE_INTERNE!$B$73-12*('TCO TO BE- SW'!$D159-1))&gt;12,((L$4+'TCO TO BE - HW'!L$4)/($E$4+'TCO TO BE - HW'!$E$4)*SUM(POZICIE_INTERNE!$I$73:$I$84))/POZICIE_INTERNE!$B$73*12,IF((POZICIE_INTERNE!$B$73-12*('TCO TO BE- SW'!$D159-1))&lt;0,0,(POZICIE_INTERNE!$B$73-12*('TCO TO BE- SW'!$D159-1))*((L$4+'TCO TO BE - HW'!L$4)/($E$4+'TCO TO BE - HW'!$E$4)*SUM(POZICIE_INTERNE!$I$73:$I$84))/POZICIE_INTERNE!$B$73)),0)+IFERROR(IF((EXTERNE_POZICIE!$B$53-12*('TCO TO BE- SW'!$D159-1))&gt;12,((L$4+'TCO TO BE - HW'!L$4)/($E$4+'TCO TO BE - HW'!$E$4)*SUM(EXTERNE_POZICIE!$M$53:$M$64)*1.23)/EXTERNE_POZICIE!$B$41*12,IF((EXTERNE_POZICIE!$B$53-12*('TCO TO BE- SW'!$D159-1))&lt;0,0,(EXTERNE_POZICIE!$B$53-12*('TCO TO BE- SW'!$D159-1))*((L$4+'TCO TO BE - HW'!L$4)/($E$4+'TCO TO BE - HW'!$E$4)*SUM(EXTERNE_POZICIE!$M$53:$M$64)*1.23)/EXTERNE_POZICIE!$B$53)),0)+IFERROR(SUM(#REF!)*'TCO TO BE- SW'!L$4/'TCO TO BE- SW'!$E$4,0)</f>
        <v>0</v>
      </c>
      <c r="M169" s="579">
        <f>IFERROR(IF((POZICIE_INTERNE!$B$73-12*('TCO TO BE- SW'!$D159-1))&gt;12,((M$4+'TCO TO BE - HW'!M$4)/($E$4+'TCO TO BE - HW'!$E$4)*SUM(POZICIE_INTERNE!$I$73:$I$84))/POZICIE_INTERNE!$B$73*12,IF((POZICIE_INTERNE!$B$73-12*('TCO TO BE- SW'!$D159-1))&lt;0,0,(POZICIE_INTERNE!$B$73-12*('TCO TO BE- SW'!$D159-1))*((M$4+'TCO TO BE - HW'!M$4)/($E$4+'TCO TO BE - HW'!$E$4)*SUM(POZICIE_INTERNE!$I$73:$I$84))/POZICIE_INTERNE!$B$73)),0)+IFERROR(IF((EXTERNE_POZICIE!$B$53-12*('TCO TO BE- SW'!$D159-1))&gt;12,((M$4+'TCO TO BE - HW'!M$4)/($E$4+'TCO TO BE - HW'!$E$4)*SUM(EXTERNE_POZICIE!$M$53:$M$64)*1.23)/EXTERNE_POZICIE!$B$41*12,IF((EXTERNE_POZICIE!$B$53-12*('TCO TO BE- SW'!$D159-1))&lt;0,0,(EXTERNE_POZICIE!$B$53-12*('TCO TO BE- SW'!$D159-1))*((M$4+'TCO TO BE - HW'!M$4)/($E$4+'TCO TO BE - HW'!$E$4)*SUM(EXTERNE_POZICIE!$M$53:$M$64)*1.23)/EXTERNE_POZICIE!$B$53)),0)+IFERROR(SUM(#REF!)*'TCO TO BE- SW'!M$4/'TCO TO BE- SW'!$E$4,0)</f>
        <v>0</v>
      </c>
      <c r="N169" s="579">
        <f>IFERROR(IF((POZICIE_INTERNE!$B$73-12*('TCO TO BE- SW'!$D159-1))&gt;12,((N$4+'TCO TO BE - HW'!N$4)/($E$4+'TCO TO BE - HW'!$E$4)*SUM(POZICIE_INTERNE!$I$73:$I$84))/POZICIE_INTERNE!$B$73*12,IF((POZICIE_INTERNE!$B$73-12*('TCO TO BE- SW'!$D159-1))&lt;0,0,(POZICIE_INTERNE!$B$73-12*('TCO TO BE- SW'!$D159-1))*((N$4+'TCO TO BE - HW'!N$4)/($E$4+'TCO TO BE - HW'!$E$4)*SUM(POZICIE_INTERNE!$I$73:$I$84))/POZICIE_INTERNE!$B$73)),0)+IFERROR(IF((EXTERNE_POZICIE!$B$53-12*('TCO TO BE- SW'!$D159-1))&gt;12,((N$4+'TCO TO BE - HW'!N$4)/($E$4+'TCO TO BE - HW'!$E$4)*SUM(EXTERNE_POZICIE!$M$53:$M$64)*1.23)/EXTERNE_POZICIE!$B$41*12,IF((EXTERNE_POZICIE!$B$53-12*('TCO TO BE- SW'!$D159-1))&lt;0,0,(EXTERNE_POZICIE!$B$53-12*('TCO TO BE- SW'!$D159-1))*((N$4+'TCO TO BE - HW'!N$4)/($E$4+'TCO TO BE - HW'!$E$4)*SUM(EXTERNE_POZICIE!$M$53:$M$64)*1.23)/EXTERNE_POZICIE!$B$53)),0)+IFERROR(SUM(#REF!)*'TCO TO BE- SW'!N$4/'TCO TO BE- SW'!$E$4,0)</f>
        <v>0</v>
      </c>
      <c r="O169" s="579">
        <f>IFERROR(IF((POZICIE_INTERNE!$B$73-12*('TCO TO BE- SW'!$D159-1))&gt;12,((O$4+'TCO TO BE - HW'!O$4)/($E$4+'TCO TO BE - HW'!$E$4)*SUM(POZICIE_INTERNE!$I$73:$I$84))/POZICIE_INTERNE!$B$73*12,IF((POZICIE_INTERNE!$B$73-12*('TCO TO BE- SW'!$D159-1))&lt;0,0,(POZICIE_INTERNE!$B$73-12*('TCO TO BE- SW'!$D159-1))*((O$4+'TCO TO BE - HW'!O$4)/($E$4+'TCO TO BE - HW'!$E$4)*SUM(POZICIE_INTERNE!$I$73:$I$84))/POZICIE_INTERNE!$B$73)),0)+IFERROR(IF((EXTERNE_POZICIE!$B$53-12*('TCO TO BE- SW'!$D159-1))&gt;12,((O$4+'TCO TO BE - HW'!O$4)/($E$4+'TCO TO BE - HW'!$E$4)*SUM(EXTERNE_POZICIE!$M$53:$M$64)*1.23)/EXTERNE_POZICIE!$B$41*12,IF((EXTERNE_POZICIE!$B$53-12*('TCO TO BE- SW'!$D159-1))&lt;0,0,(EXTERNE_POZICIE!$B$53-12*('TCO TO BE- SW'!$D159-1))*((O$4+'TCO TO BE - HW'!O$4)/($E$4+'TCO TO BE - HW'!$E$4)*SUM(EXTERNE_POZICIE!$M$53:$M$64)*1.23)/EXTERNE_POZICIE!$B$53)),0)+IFERROR(SUM(#REF!)*'TCO TO BE- SW'!O$4/'TCO TO BE- SW'!$E$4,0)</f>
        <v>0</v>
      </c>
      <c r="P169" s="579">
        <f>IFERROR(IF((POZICIE_INTERNE!$B$73-12*('TCO TO BE- SW'!$D159-1))&gt;12,((P$4+'TCO TO BE - HW'!P$4)/($E$4+'TCO TO BE - HW'!$E$4)*SUM(POZICIE_INTERNE!$I$73:$I$84))/POZICIE_INTERNE!$B$73*12,IF((POZICIE_INTERNE!$B$73-12*('TCO TO BE- SW'!$D159-1))&lt;0,0,(POZICIE_INTERNE!$B$73-12*('TCO TO BE- SW'!$D159-1))*((P$4+'TCO TO BE - HW'!P$4)/($E$4+'TCO TO BE - HW'!$E$4)*SUM(POZICIE_INTERNE!$I$73:$I$84))/POZICIE_INTERNE!$B$73)),0)+IFERROR(IF((EXTERNE_POZICIE!$B$53-12*('TCO TO BE- SW'!$D159-1))&gt;12,((P$4+'TCO TO BE - HW'!P$4)/($E$4+'TCO TO BE - HW'!$E$4)*SUM(EXTERNE_POZICIE!$M$53:$M$64)*1.23)/EXTERNE_POZICIE!$B$41*12,IF((EXTERNE_POZICIE!$B$53-12*('TCO TO BE- SW'!$D159-1))&lt;0,0,(EXTERNE_POZICIE!$B$53-12*('TCO TO BE- SW'!$D159-1))*((P$4+'TCO TO BE - HW'!P$4)/($E$4+'TCO TO BE - HW'!$E$4)*SUM(EXTERNE_POZICIE!$M$53:$M$64)*1.23)/EXTERNE_POZICIE!$B$53)),0)+IFERROR(SUM(#REF!)*'TCO TO BE- SW'!P$4/'TCO TO BE- SW'!$E$4,0)</f>
        <v>0</v>
      </c>
      <c r="Q169" s="579">
        <f>IFERROR(IF((POZICIE_INTERNE!$B$73-12*('TCO TO BE- SW'!$D159-1))&gt;12,((Q$4+'TCO TO BE - HW'!Q$4)/($E$4+'TCO TO BE - HW'!$E$4)*SUM(POZICIE_INTERNE!$I$73:$I$84))/POZICIE_INTERNE!$B$73*12,IF((POZICIE_INTERNE!$B$73-12*('TCO TO BE- SW'!$D159-1))&lt;0,0,(POZICIE_INTERNE!$B$73-12*('TCO TO BE- SW'!$D159-1))*((Q$4+'TCO TO BE - HW'!Q$4)/($E$4+'TCO TO BE - HW'!$E$4)*SUM(POZICIE_INTERNE!$I$73:$I$84))/POZICIE_INTERNE!$B$73)),0)+IFERROR(IF((EXTERNE_POZICIE!$B$53-12*('TCO TO BE- SW'!$D159-1))&gt;12,((Q$4+'TCO TO BE - HW'!Q$4)/($E$4+'TCO TO BE - HW'!$E$4)*SUM(EXTERNE_POZICIE!$M$53:$M$64)*1.23)/EXTERNE_POZICIE!$B$41*12,IF((EXTERNE_POZICIE!$B$53-12*('TCO TO BE- SW'!$D159-1))&lt;0,0,(EXTERNE_POZICIE!$B$53-12*('TCO TO BE- SW'!$D159-1))*((Q$4+'TCO TO BE - HW'!Q$4)/($E$4+'TCO TO BE - HW'!$E$4)*SUM(EXTERNE_POZICIE!$M$53:$M$64)*1.23)/EXTERNE_POZICIE!$B$53)),0)+IFERROR(SUM(#REF!)*'TCO TO BE- SW'!Q$4/'TCO TO BE- SW'!$E$4,0)</f>
        <v>0</v>
      </c>
      <c r="R169" s="579">
        <f>IFERROR(IF((POZICIE_INTERNE!$B$73-12*('TCO TO BE- SW'!$D159-1))&gt;12,((R$4+'TCO TO BE - HW'!R$4)/($E$4+'TCO TO BE - HW'!$E$4)*SUM(POZICIE_INTERNE!$I$73:$I$84))/POZICIE_INTERNE!$B$73*12,IF((POZICIE_INTERNE!$B$73-12*('TCO TO BE- SW'!$D159-1))&lt;0,0,(POZICIE_INTERNE!$B$73-12*('TCO TO BE- SW'!$D159-1))*((R$4+'TCO TO BE - HW'!R$4)/($E$4+'TCO TO BE - HW'!$E$4)*SUM(POZICIE_INTERNE!$I$73:$I$84))/POZICIE_INTERNE!$B$73)),0)+IFERROR(IF((EXTERNE_POZICIE!$B$53-12*('TCO TO BE- SW'!$D159-1))&gt;12,((R$4+'TCO TO BE - HW'!R$4)/($E$4+'TCO TO BE - HW'!$E$4)*SUM(EXTERNE_POZICIE!$M$53:$M$64)*1.23)/EXTERNE_POZICIE!$B$41*12,IF((EXTERNE_POZICIE!$B$53-12*('TCO TO BE- SW'!$D159-1))&lt;0,0,(EXTERNE_POZICIE!$B$53-12*('TCO TO BE- SW'!$D159-1))*((R$4+'TCO TO BE - HW'!R$4)/($E$4+'TCO TO BE - HW'!$E$4)*SUM(EXTERNE_POZICIE!$M$53:$M$64)*1.23)/EXTERNE_POZICIE!$B$53)),0)+IFERROR(SUM(#REF!)*'TCO TO BE- SW'!R$4/'TCO TO BE- SW'!$E$4,0)</f>
        <v>0</v>
      </c>
      <c r="S169" s="579">
        <f>IFERROR(IF((POZICIE_INTERNE!$B$73-12*('TCO TO BE- SW'!$D159-1))&gt;12,((S$4+'TCO TO BE - HW'!S$4)/($E$4+'TCO TO BE - HW'!$E$4)*SUM(POZICIE_INTERNE!$I$73:$I$84))/POZICIE_INTERNE!$B$73*12,IF((POZICIE_INTERNE!$B$73-12*('TCO TO BE- SW'!$D159-1))&lt;0,0,(POZICIE_INTERNE!$B$73-12*('TCO TO BE- SW'!$D159-1))*((S$4+'TCO TO BE - HW'!S$4)/($E$4+'TCO TO BE - HW'!$E$4)*SUM(POZICIE_INTERNE!$I$73:$I$84))/POZICIE_INTERNE!$B$73)),0)+IFERROR(IF((EXTERNE_POZICIE!$B$53-12*('TCO TO BE- SW'!$D159-1))&gt;12,((S$4+'TCO TO BE - HW'!S$4)/($E$4+'TCO TO BE - HW'!$E$4)*SUM(EXTERNE_POZICIE!$M$53:$M$64)*1.23)/EXTERNE_POZICIE!$B$41*12,IF((EXTERNE_POZICIE!$B$53-12*('TCO TO BE- SW'!$D159-1))&lt;0,0,(EXTERNE_POZICIE!$B$53-12*('TCO TO BE- SW'!$D159-1))*((S$4+'TCO TO BE - HW'!S$4)/($E$4+'TCO TO BE - HW'!$E$4)*SUM(EXTERNE_POZICIE!$M$53:$M$64)*1.23)/EXTERNE_POZICIE!$B$53)),0)+IFERROR(SUM(#REF!)*'TCO TO BE- SW'!S$4/'TCO TO BE- SW'!$E$4,0)</f>
        <v>0</v>
      </c>
      <c r="T169" s="579">
        <f>IFERROR(IF((POZICIE_INTERNE!$B$73-12*('TCO TO BE- SW'!$D159-1))&gt;12,((T$4+'TCO TO BE - HW'!T$4)/($E$4+'TCO TO BE - HW'!$E$4)*SUM(POZICIE_INTERNE!$I$73:$I$84))/POZICIE_INTERNE!$B$73*12,IF((POZICIE_INTERNE!$B$73-12*('TCO TO BE- SW'!$D159-1))&lt;0,0,(POZICIE_INTERNE!$B$73-12*('TCO TO BE- SW'!$D159-1))*((T$4+'TCO TO BE - HW'!T$4)/($E$4+'TCO TO BE - HW'!$E$4)*SUM(POZICIE_INTERNE!$I$73:$I$84))/POZICIE_INTERNE!$B$73)),0)+IFERROR(IF((EXTERNE_POZICIE!$B$53-12*('TCO TO BE- SW'!$D159-1))&gt;12,((T$4+'TCO TO BE - HW'!T$4)/($E$4+'TCO TO BE - HW'!$E$4)*SUM(EXTERNE_POZICIE!$M$53:$M$64)*1.23)/EXTERNE_POZICIE!$B$41*12,IF((EXTERNE_POZICIE!$B$53-12*('TCO TO BE- SW'!$D159-1))&lt;0,0,(EXTERNE_POZICIE!$B$53-12*('TCO TO BE- SW'!$D159-1))*((T$4+'TCO TO BE - HW'!T$4)/($E$4+'TCO TO BE - HW'!$E$4)*SUM(EXTERNE_POZICIE!$M$53:$M$64)*1.23)/EXTERNE_POZICIE!$B$53)),0)+IFERROR(SUM(#REF!)*'TCO TO BE- SW'!T$4/'TCO TO BE- SW'!$E$4,0)</f>
        <v>0</v>
      </c>
      <c r="U169" s="579">
        <f>IFERROR(IF((POZICIE_INTERNE!$B$73-12*('TCO TO BE- SW'!$D159-1))&gt;12,((U$4+'TCO TO BE - HW'!U$4)/($E$4+'TCO TO BE - HW'!$E$4)*SUM(POZICIE_INTERNE!$I$73:$I$84))/POZICIE_INTERNE!$B$73*12,IF((POZICIE_INTERNE!$B$73-12*('TCO TO BE- SW'!$D159-1))&lt;0,0,(POZICIE_INTERNE!$B$73-12*('TCO TO BE- SW'!$D159-1))*((U$4+'TCO TO BE - HW'!U$4)/($E$4+'TCO TO BE - HW'!$E$4)*SUM(POZICIE_INTERNE!$I$73:$I$84))/POZICIE_INTERNE!$B$73)),0)+IFERROR(IF((EXTERNE_POZICIE!$B$53-12*('TCO TO BE- SW'!$D159-1))&gt;12,((U$4+'TCO TO BE - HW'!U$4)/($E$4+'TCO TO BE - HW'!$E$4)*SUM(EXTERNE_POZICIE!$M$53:$M$64)*1.23)/EXTERNE_POZICIE!$B$41*12,IF((EXTERNE_POZICIE!$B$53-12*('TCO TO BE- SW'!$D159-1))&lt;0,0,(EXTERNE_POZICIE!$B$53-12*('TCO TO BE- SW'!$D159-1))*((U$4+'TCO TO BE - HW'!U$4)/($E$4+'TCO TO BE - HW'!$E$4)*SUM(EXTERNE_POZICIE!$M$53:$M$64)*1.23)/EXTERNE_POZICIE!$B$53)),0)+IFERROR(SUM(#REF!)*'TCO TO BE- SW'!U$4/'TCO TO BE- SW'!$E$4,0)</f>
        <v>0</v>
      </c>
      <c r="V169" s="579">
        <f>IFERROR(IF((POZICIE_INTERNE!$B$73-12*('TCO TO BE- SW'!$D159-1))&gt;12,((V$4+'TCO TO BE - HW'!V$4)/($E$4+'TCO TO BE - HW'!$E$4)*SUM(POZICIE_INTERNE!$I$73:$I$84))/POZICIE_INTERNE!$B$73*12,IF((POZICIE_INTERNE!$B$73-12*('TCO TO BE- SW'!$D159-1))&lt;0,0,(POZICIE_INTERNE!$B$73-12*('TCO TO BE- SW'!$D159-1))*((V$4+'TCO TO BE - HW'!V$4)/($E$4+'TCO TO BE - HW'!$E$4)*SUM(POZICIE_INTERNE!$I$73:$I$84))/POZICIE_INTERNE!$B$73)),0)+IFERROR(IF((EXTERNE_POZICIE!$B$53-12*('TCO TO BE- SW'!$D159-1))&gt;12,((V$4+'TCO TO BE - HW'!V$4)/($E$4+'TCO TO BE - HW'!$E$4)*SUM(EXTERNE_POZICIE!$M$53:$M$64)*1.23)/EXTERNE_POZICIE!$B$41*12,IF((EXTERNE_POZICIE!$B$53-12*('TCO TO BE- SW'!$D159-1))&lt;0,0,(EXTERNE_POZICIE!$B$53-12*('TCO TO BE- SW'!$D159-1))*((V$4+'TCO TO BE - HW'!V$4)/($E$4+'TCO TO BE - HW'!$E$4)*SUM(EXTERNE_POZICIE!$M$53:$M$64)*1.23)/EXTERNE_POZICIE!$B$53)),0)+IFERROR(SUM(#REF!)*'TCO TO BE- SW'!V$4/'TCO TO BE- SW'!$E$4,0)</f>
        <v>0</v>
      </c>
      <c r="W169" s="579">
        <f>IFERROR(IF((POZICIE_INTERNE!$B$73-12*('TCO TO BE- SW'!$D159-1))&gt;12,((W$4+'TCO TO BE - HW'!W$4)/($E$4+'TCO TO BE - HW'!$E$4)*SUM(POZICIE_INTERNE!$I$73:$I$84))/POZICIE_INTERNE!$B$73*12,IF((POZICIE_INTERNE!$B$73-12*('TCO TO BE- SW'!$D159-1))&lt;0,0,(POZICIE_INTERNE!$B$73-12*('TCO TO BE- SW'!$D159-1))*((W$4+'TCO TO BE - HW'!W$4)/($E$4+'TCO TO BE - HW'!$E$4)*SUM(POZICIE_INTERNE!$I$73:$I$84))/POZICIE_INTERNE!$B$73)),0)+IFERROR(IF((EXTERNE_POZICIE!$B$53-12*('TCO TO BE- SW'!$D159-1))&gt;12,((W$4+'TCO TO BE - HW'!W$4)/($E$4+'TCO TO BE - HW'!$E$4)*SUM(EXTERNE_POZICIE!$M$53:$M$64)*1.23)/EXTERNE_POZICIE!$B$41*12,IF((EXTERNE_POZICIE!$B$53-12*('TCO TO BE- SW'!$D159-1))&lt;0,0,(EXTERNE_POZICIE!$B$53-12*('TCO TO BE- SW'!$D159-1))*((W$4+'TCO TO BE - HW'!W$4)/($E$4+'TCO TO BE - HW'!$E$4)*SUM(EXTERNE_POZICIE!$M$53:$M$64)*1.23)/EXTERNE_POZICIE!$B$53)),0)+IFERROR(SUM(#REF!)*'TCO TO BE- SW'!W$4/'TCO TO BE- SW'!$E$4,0)</f>
        <v>0</v>
      </c>
      <c r="X169" s="579">
        <f>IFERROR(IF((POZICIE_INTERNE!$B$73-12*('TCO TO BE- SW'!$D159-1))&gt;12,((X$4+'TCO TO BE - HW'!X$4)/($E$4+'TCO TO BE - HW'!$E$4)*SUM(POZICIE_INTERNE!$I$73:$I$84))/POZICIE_INTERNE!$B$73*12,IF((POZICIE_INTERNE!$B$73-12*('TCO TO BE- SW'!$D159-1))&lt;0,0,(POZICIE_INTERNE!$B$73-12*('TCO TO BE- SW'!$D159-1))*((X$4+'TCO TO BE - HW'!X$4)/($E$4+'TCO TO BE - HW'!$E$4)*SUM(POZICIE_INTERNE!$I$73:$I$84))/POZICIE_INTERNE!$B$73)),0)+IFERROR(IF((EXTERNE_POZICIE!$B$53-12*('TCO TO BE- SW'!$D159-1))&gt;12,((X$4+'TCO TO BE - HW'!X$4)/($E$4+'TCO TO BE - HW'!$E$4)*SUM(EXTERNE_POZICIE!$M$53:$M$64)*1.23)/EXTERNE_POZICIE!$B$41*12,IF((EXTERNE_POZICIE!$B$53-12*('TCO TO BE- SW'!$D159-1))&lt;0,0,(EXTERNE_POZICIE!$B$53-12*('TCO TO BE- SW'!$D159-1))*((X$4+'TCO TO BE - HW'!X$4)/($E$4+'TCO TO BE - HW'!$E$4)*SUM(EXTERNE_POZICIE!$M$53:$M$64)*1.23)/EXTERNE_POZICIE!$B$53)),0)+IFERROR(SUM(#REF!)*'TCO TO BE- SW'!X$4/'TCO TO BE- SW'!$E$4,0)</f>
        <v>0</v>
      </c>
      <c r="Y169" s="579">
        <f>IFERROR(IF((POZICIE_INTERNE!$B$73-12*('TCO TO BE- SW'!$D159-1))&gt;12,((Y$4+'TCO TO BE - HW'!Y$4)/($E$4+'TCO TO BE - HW'!$E$4)*SUM(POZICIE_INTERNE!$I$73:$I$84))/POZICIE_INTERNE!$B$73*12,IF((POZICIE_INTERNE!$B$73-12*('TCO TO BE- SW'!$D159-1))&lt;0,0,(POZICIE_INTERNE!$B$73-12*('TCO TO BE- SW'!$D159-1))*((Y$4+'TCO TO BE - HW'!Y$4)/($E$4+'TCO TO BE - HW'!$E$4)*SUM(POZICIE_INTERNE!$I$73:$I$84))/POZICIE_INTERNE!$B$73)),0)+IFERROR(IF((EXTERNE_POZICIE!$B$53-12*('TCO TO BE- SW'!$D159-1))&gt;12,((Y$4+'TCO TO BE - HW'!Y$4)/($E$4+'TCO TO BE - HW'!$E$4)*SUM(EXTERNE_POZICIE!$M$53:$M$64)*1.23)/EXTERNE_POZICIE!$B$41*12,IF((EXTERNE_POZICIE!$B$53-12*('TCO TO BE- SW'!$D159-1))&lt;0,0,(EXTERNE_POZICIE!$B$53-12*('TCO TO BE- SW'!$D159-1))*((Y$4+'TCO TO BE - HW'!Y$4)/($E$4+'TCO TO BE - HW'!$E$4)*SUM(EXTERNE_POZICIE!$M$53:$M$64)*1.23)/EXTERNE_POZICIE!$B$53)),0)+IFERROR(SUM(#REF!)*'TCO TO BE- SW'!Y$4/'TCO TO BE- SW'!$E$4,0)</f>
        <v>0</v>
      </c>
      <c r="Z169" s="579">
        <f>IFERROR(IF((POZICIE_INTERNE!$B$73-12*('TCO TO BE- SW'!$D159-1))&gt;12,((Z$4+'TCO TO BE - HW'!Z$4)/($E$4+'TCO TO BE - HW'!$E$4)*SUM(POZICIE_INTERNE!$I$73:$I$84))/POZICIE_INTERNE!$B$73*12,IF((POZICIE_INTERNE!$B$73-12*('TCO TO BE- SW'!$D159-1))&lt;0,0,(POZICIE_INTERNE!$B$73-12*('TCO TO BE- SW'!$D159-1))*((Z$4+'TCO TO BE - HW'!Z$4)/($E$4+'TCO TO BE - HW'!$E$4)*SUM(POZICIE_INTERNE!$I$73:$I$84))/POZICIE_INTERNE!$B$73)),0)+IFERROR(IF((EXTERNE_POZICIE!$B$53-12*('TCO TO BE- SW'!$D159-1))&gt;12,((Z$4+'TCO TO BE - HW'!Z$4)/($E$4+'TCO TO BE - HW'!$E$4)*SUM(EXTERNE_POZICIE!$M$53:$M$64)*1.23)/EXTERNE_POZICIE!$B$41*12,IF((EXTERNE_POZICIE!$B$53-12*('TCO TO BE- SW'!$D159-1))&lt;0,0,(EXTERNE_POZICIE!$B$53-12*('TCO TO BE- SW'!$D159-1))*((Z$4+'TCO TO BE - HW'!Z$4)/($E$4+'TCO TO BE - HW'!$E$4)*SUM(EXTERNE_POZICIE!$M$53:$M$64)*1.23)/EXTERNE_POZICIE!$B$53)),0)+IFERROR(SUM(#REF!)*'TCO TO BE- SW'!Z$4/'TCO TO BE- SW'!$E$4,0)</f>
        <v>0</v>
      </c>
    </row>
    <row r="170" spans="1:26" ht="16" thickBot="1" x14ac:dyDescent="0.25">
      <c r="A170" s="1390"/>
      <c r="B170" s="1391"/>
      <c r="C170" s="1391"/>
      <c r="D170" s="65">
        <v>10</v>
      </c>
      <c r="E170" s="69">
        <f t="shared" si="16"/>
        <v>0</v>
      </c>
      <c r="F170" s="579">
        <f>IFERROR(IF((POZICIE_INTERNE!$B$73-12*('TCO TO BE- SW'!$D160-1))&gt;12,((F$4+'TCO TO BE - HW'!F$4)/($E$4+'TCO TO BE - HW'!$E$4)*SUM(POZICIE_INTERNE!$I$73:$I$84))/POZICIE_INTERNE!$B$73*12,IF((POZICIE_INTERNE!$B$73-12*('TCO TO BE- SW'!$D160-1))&lt;0,0,(POZICIE_INTERNE!$B$73-12*('TCO TO BE- SW'!$D160-1))*((F$4+'TCO TO BE - HW'!F$4)/($E$4+'TCO TO BE - HW'!$E$4)*SUM(POZICIE_INTERNE!$I$73:$I$84))/POZICIE_INTERNE!$B$73)),0)+IFERROR(IF((EXTERNE_POZICIE!$B$53-12*('TCO TO BE- SW'!$D160-1))&gt;12,((F$4+'TCO TO BE - HW'!F$4)/($E$4+'TCO TO BE - HW'!$E$4)*SUM(EXTERNE_POZICIE!$M$53:$M$64)*1.23)/EXTERNE_POZICIE!$B$41*12,IF((EXTERNE_POZICIE!$B$53-12*('TCO TO BE- SW'!$D160-1))&lt;0,0,(EXTERNE_POZICIE!$B$53-12*('TCO TO BE- SW'!$D160-1))*((F$4+'TCO TO BE - HW'!F$4)/($E$4+'TCO TO BE - HW'!$E$4)*SUM(EXTERNE_POZICIE!$M$53:$M$64)*1.23)/EXTERNE_POZICIE!$B$53)),0)+IFERROR(SUM(#REF!)*'TCO TO BE- SW'!F$4/'TCO TO BE- SW'!$E$4,0)</f>
        <v>0</v>
      </c>
      <c r="G170" s="579">
        <f>IFERROR(IF((POZICIE_INTERNE!$B$73-12*('TCO TO BE- SW'!$D160-1))&gt;12,((G$4+'TCO TO BE - HW'!G$4)/($E$4+'TCO TO BE - HW'!$E$4)*SUM(POZICIE_INTERNE!$I$73:$I$84))/POZICIE_INTERNE!$B$73*12,IF((POZICIE_INTERNE!$B$73-12*('TCO TO BE- SW'!$D160-1))&lt;0,0,(POZICIE_INTERNE!$B$73-12*('TCO TO BE- SW'!$D160-1))*((G$4+'TCO TO BE - HW'!G$4)/($E$4+'TCO TO BE - HW'!$E$4)*SUM(POZICIE_INTERNE!$I$73:$I$84))/POZICIE_INTERNE!$B$73)),0)+IFERROR(IF((EXTERNE_POZICIE!$B$53-12*('TCO TO BE- SW'!$D160-1))&gt;12,((G$4+'TCO TO BE - HW'!G$4)/($E$4+'TCO TO BE - HW'!$E$4)*SUM(EXTERNE_POZICIE!$M$53:$M$64)*1.23)/EXTERNE_POZICIE!$B$41*12,IF((EXTERNE_POZICIE!$B$53-12*('TCO TO BE- SW'!$D160-1))&lt;0,0,(EXTERNE_POZICIE!$B$53-12*('TCO TO BE- SW'!$D160-1))*((G$4+'TCO TO BE - HW'!G$4)/($E$4+'TCO TO BE - HW'!$E$4)*SUM(EXTERNE_POZICIE!$M$53:$M$64)*1.23)/EXTERNE_POZICIE!$B$53)),0)+IFERROR(SUM(#REF!)*'TCO TO BE- SW'!G$4/'TCO TO BE- SW'!$E$4,0)</f>
        <v>0</v>
      </c>
      <c r="H170" s="579">
        <f>IFERROR(IF((POZICIE_INTERNE!$B$73-12*('TCO TO BE- SW'!$D160-1))&gt;12,((H$4+'TCO TO BE - HW'!H$4)/($E$4+'TCO TO BE - HW'!$E$4)*SUM(POZICIE_INTERNE!$I$73:$I$84))/POZICIE_INTERNE!$B$73*12,IF((POZICIE_INTERNE!$B$73-12*('TCO TO BE- SW'!$D160-1))&lt;0,0,(POZICIE_INTERNE!$B$73-12*('TCO TO BE- SW'!$D160-1))*((H$4+'TCO TO BE - HW'!H$4)/($E$4+'TCO TO BE - HW'!$E$4)*SUM(POZICIE_INTERNE!$I$73:$I$84))/POZICIE_INTERNE!$B$73)),0)+IFERROR(IF((EXTERNE_POZICIE!$B$53-12*('TCO TO BE- SW'!$D160-1))&gt;12,((H$4+'TCO TO BE - HW'!H$4)/($E$4+'TCO TO BE - HW'!$E$4)*SUM(EXTERNE_POZICIE!$M$53:$M$64)*1.23)/EXTERNE_POZICIE!$B$41*12,IF((EXTERNE_POZICIE!$B$53-12*('TCO TO BE- SW'!$D160-1))&lt;0,0,(EXTERNE_POZICIE!$B$53-12*('TCO TO BE- SW'!$D160-1))*((H$4+'TCO TO BE - HW'!H$4)/($E$4+'TCO TO BE - HW'!$E$4)*SUM(EXTERNE_POZICIE!$M$53:$M$64)*1.23)/EXTERNE_POZICIE!$B$53)),0)+IFERROR(SUM(#REF!)*'TCO TO BE- SW'!H$4/'TCO TO BE- SW'!$E$4,0)</f>
        <v>0</v>
      </c>
      <c r="I170" s="579">
        <f>IFERROR(IF((POZICIE_INTERNE!$B$73-12*('TCO TO BE- SW'!$D160-1))&gt;12,((I$4+'TCO TO BE - HW'!I$4)/($E$4+'TCO TO BE - HW'!$E$4)*SUM(POZICIE_INTERNE!$I$73:$I$84))/POZICIE_INTERNE!$B$73*12,IF((POZICIE_INTERNE!$B$73-12*('TCO TO BE- SW'!$D160-1))&lt;0,0,(POZICIE_INTERNE!$B$73-12*('TCO TO BE- SW'!$D160-1))*((I$4+'TCO TO BE - HW'!I$4)/($E$4+'TCO TO BE - HW'!$E$4)*SUM(POZICIE_INTERNE!$I$73:$I$84))/POZICIE_INTERNE!$B$73)),0)+IFERROR(IF((EXTERNE_POZICIE!$B$53-12*('TCO TO BE- SW'!$D160-1))&gt;12,((I$4+'TCO TO BE - HW'!I$4)/($E$4+'TCO TO BE - HW'!$E$4)*SUM(EXTERNE_POZICIE!$M$53:$M$64)*1.23)/EXTERNE_POZICIE!$B$41*12,IF((EXTERNE_POZICIE!$B$53-12*('TCO TO BE- SW'!$D160-1))&lt;0,0,(EXTERNE_POZICIE!$B$53-12*('TCO TO BE- SW'!$D160-1))*((I$4+'TCO TO BE - HW'!I$4)/($E$4+'TCO TO BE - HW'!$E$4)*SUM(EXTERNE_POZICIE!$M$53:$M$64)*1.23)/EXTERNE_POZICIE!$B$53)),0)+IFERROR(SUM(#REF!)*'TCO TO BE- SW'!I$4/'TCO TO BE- SW'!$E$4,0)</f>
        <v>0</v>
      </c>
      <c r="J170" s="579">
        <f>IFERROR(IF((POZICIE_INTERNE!$B$73-12*('TCO TO BE- SW'!$D160-1))&gt;12,((J$4+'TCO TO BE - HW'!J$4)/($E$4+'TCO TO BE - HW'!$E$4)*SUM(POZICIE_INTERNE!$I$73:$I$84))/POZICIE_INTERNE!$B$73*12,IF((POZICIE_INTERNE!$B$73-12*('TCO TO BE- SW'!$D160-1))&lt;0,0,(POZICIE_INTERNE!$B$73-12*('TCO TO BE- SW'!$D160-1))*((J$4+'TCO TO BE - HW'!J$4)/($E$4+'TCO TO BE - HW'!$E$4)*SUM(POZICIE_INTERNE!$I$73:$I$84))/POZICIE_INTERNE!$B$73)),0)+IFERROR(IF((EXTERNE_POZICIE!$B$53-12*('TCO TO BE- SW'!$D160-1))&gt;12,((J$4+'TCO TO BE - HW'!J$4)/($E$4+'TCO TO BE - HW'!$E$4)*SUM(EXTERNE_POZICIE!$M$53:$M$64)*1.23)/EXTERNE_POZICIE!$B$41*12,IF((EXTERNE_POZICIE!$B$53-12*('TCO TO BE- SW'!$D160-1))&lt;0,0,(EXTERNE_POZICIE!$B$53-12*('TCO TO BE- SW'!$D160-1))*((J$4+'TCO TO BE - HW'!J$4)/($E$4+'TCO TO BE - HW'!$E$4)*SUM(EXTERNE_POZICIE!$M$53:$M$64)*1.23)/EXTERNE_POZICIE!$B$53)),0)+IFERROR(SUM(#REF!)*'TCO TO BE- SW'!J$4/'TCO TO BE- SW'!$E$4,0)</f>
        <v>0</v>
      </c>
      <c r="K170" s="579">
        <f>IFERROR(IF((POZICIE_INTERNE!$B$73-12*('TCO TO BE- SW'!$D160-1))&gt;12,((K$4+'TCO TO BE - HW'!K$4)/($E$4+'TCO TO BE - HW'!$E$4)*SUM(POZICIE_INTERNE!$I$73:$I$84))/POZICIE_INTERNE!$B$73*12,IF((POZICIE_INTERNE!$B$73-12*('TCO TO BE- SW'!$D160-1))&lt;0,0,(POZICIE_INTERNE!$B$73-12*('TCO TO BE- SW'!$D160-1))*((K$4+'TCO TO BE - HW'!K$4)/($E$4+'TCO TO BE - HW'!$E$4)*SUM(POZICIE_INTERNE!$I$73:$I$84))/POZICIE_INTERNE!$B$73)),0)+IFERROR(IF((EXTERNE_POZICIE!$B$53-12*('TCO TO BE- SW'!$D160-1))&gt;12,((K$4+'TCO TO BE - HW'!K$4)/($E$4+'TCO TO BE - HW'!$E$4)*SUM(EXTERNE_POZICIE!$M$53:$M$64)*1.23)/EXTERNE_POZICIE!$B$41*12,IF((EXTERNE_POZICIE!$B$53-12*('TCO TO BE- SW'!$D160-1))&lt;0,0,(EXTERNE_POZICIE!$B$53-12*('TCO TO BE- SW'!$D160-1))*((K$4+'TCO TO BE - HW'!K$4)/($E$4+'TCO TO BE - HW'!$E$4)*SUM(EXTERNE_POZICIE!$M$53:$M$64)*1.23)/EXTERNE_POZICIE!$B$53)),0)+IFERROR(SUM(#REF!)*'TCO TO BE- SW'!K$4/'TCO TO BE- SW'!$E$4,0)</f>
        <v>0</v>
      </c>
      <c r="L170" s="579">
        <f>IFERROR(IF((POZICIE_INTERNE!$B$73-12*('TCO TO BE- SW'!$D160-1))&gt;12,((L$4+'TCO TO BE - HW'!L$4)/($E$4+'TCO TO BE - HW'!$E$4)*SUM(POZICIE_INTERNE!$I$73:$I$84))/POZICIE_INTERNE!$B$73*12,IF((POZICIE_INTERNE!$B$73-12*('TCO TO BE- SW'!$D160-1))&lt;0,0,(POZICIE_INTERNE!$B$73-12*('TCO TO BE- SW'!$D160-1))*((L$4+'TCO TO BE - HW'!L$4)/($E$4+'TCO TO BE - HW'!$E$4)*SUM(POZICIE_INTERNE!$I$73:$I$84))/POZICIE_INTERNE!$B$73)),0)+IFERROR(IF((EXTERNE_POZICIE!$B$53-12*('TCO TO BE- SW'!$D160-1))&gt;12,((L$4+'TCO TO BE - HW'!L$4)/($E$4+'TCO TO BE - HW'!$E$4)*SUM(EXTERNE_POZICIE!$M$53:$M$64)*1.23)/EXTERNE_POZICIE!$B$41*12,IF((EXTERNE_POZICIE!$B$53-12*('TCO TO BE- SW'!$D160-1))&lt;0,0,(EXTERNE_POZICIE!$B$53-12*('TCO TO BE- SW'!$D160-1))*((L$4+'TCO TO BE - HW'!L$4)/($E$4+'TCO TO BE - HW'!$E$4)*SUM(EXTERNE_POZICIE!$M$53:$M$64)*1.23)/EXTERNE_POZICIE!$B$53)),0)+IFERROR(SUM(#REF!)*'TCO TO BE- SW'!L$4/'TCO TO BE- SW'!$E$4,0)</f>
        <v>0</v>
      </c>
      <c r="M170" s="579">
        <f>IFERROR(IF((POZICIE_INTERNE!$B$73-12*('TCO TO BE- SW'!$D160-1))&gt;12,((M$4+'TCO TO BE - HW'!M$4)/($E$4+'TCO TO BE - HW'!$E$4)*SUM(POZICIE_INTERNE!$I$73:$I$84))/POZICIE_INTERNE!$B$73*12,IF((POZICIE_INTERNE!$B$73-12*('TCO TO BE- SW'!$D160-1))&lt;0,0,(POZICIE_INTERNE!$B$73-12*('TCO TO BE- SW'!$D160-1))*((M$4+'TCO TO BE - HW'!M$4)/($E$4+'TCO TO BE - HW'!$E$4)*SUM(POZICIE_INTERNE!$I$73:$I$84))/POZICIE_INTERNE!$B$73)),0)+IFERROR(IF((EXTERNE_POZICIE!$B$53-12*('TCO TO BE- SW'!$D160-1))&gt;12,((M$4+'TCO TO BE - HW'!M$4)/($E$4+'TCO TO BE - HW'!$E$4)*SUM(EXTERNE_POZICIE!$M$53:$M$64)*1.23)/EXTERNE_POZICIE!$B$41*12,IF((EXTERNE_POZICIE!$B$53-12*('TCO TO BE- SW'!$D160-1))&lt;0,0,(EXTERNE_POZICIE!$B$53-12*('TCO TO BE- SW'!$D160-1))*((M$4+'TCO TO BE - HW'!M$4)/($E$4+'TCO TO BE - HW'!$E$4)*SUM(EXTERNE_POZICIE!$M$53:$M$64)*1.23)/EXTERNE_POZICIE!$B$53)),0)+IFERROR(SUM(#REF!)*'TCO TO BE- SW'!M$4/'TCO TO BE- SW'!$E$4,0)</f>
        <v>0</v>
      </c>
      <c r="N170" s="579">
        <f>IFERROR(IF((POZICIE_INTERNE!$B$73-12*('TCO TO BE- SW'!$D160-1))&gt;12,((N$4+'TCO TO BE - HW'!N$4)/($E$4+'TCO TO BE - HW'!$E$4)*SUM(POZICIE_INTERNE!$I$73:$I$84))/POZICIE_INTERNE!$B$73*12,IF((POZICIE_INTERNE!$B$73-12*('TCO TO BE- SW'!$D160-1))&lt;0,0,(POZICIE_INTERNE!$B$73-12*('TCO TO BE- SW'!$D160-1))*((N$4+'TCO TO BE - HW'!N$4)/($E$4+'TCO TO BE - HW'!$E$4)*SUM(POZICIE_INTERNE!$I$73:$I$84))/POZICIE_INTERNE!$B$73)),0)+IFERROR(IF((EXTERNE_POZICIE!$B$53-12*('TCO TO BE- SW'!$D160-1))&gt;12,((N$4+'TCO TO BE - HW'!N$4)/($E$4+'TCO TO BE - HW'!$E$4)*SUM(EXTERNE_POZICIE!$M$53:$M$64)*1.23)/EXTERNE_POZICIE!$B$41*12,IF((EXTERNE_POZICIE!$B$53-12*('TCO TO BE- SW'!$D160-1))&lt;0,0,(EXTERNE_POZICIE!$B$53-12*('TCO TO BE- SW'!$D160-1))*((N$4+'TCO TO BE - HW'!N$4)/($E$4+'TCO TO BE - HW'!$E$4)*SUM(EXTERNE_POZICIE!$M$53:$M$64)*1.23)/EXTERNE_POZICIE!$B$53)),0)+IFERROR(SUM(#REF!)*'TCO TO BE- SW'!N$4/'TCO TO BE- SW'!$E$4,0)</f>
        <v>0</v>
      </c>
      <c r="O170" s="579">
        <f>IFERROR(IF((POZICIE_INTERNE!$B$73-12*('TCO TO BE- SW'!$D160-1))&gt;12,((O$4+'TCO TO BE - HW'!O$4)/($E$4+'TCO TO BE - HW'!$E$4)*SUM(POZICIE_INTERNE!$I$73:$I$84))/POZICIE_INTERNE!$B$73*12,IF((POZICIE_INTERNE!$B$73-12*('TCO TO BE- SW'!$D160-1))&lt;0,0,(POZICIE_INTERNE!$B$73-12*('TCO TO BE- SW'!$D160-1))*((O$4+'TCO TO BE - HW'!O$4)/($E$4+'TCO TO BE - HW'!$E$4)*SUM(POZICIE_INTERNE!$I$73:$I$84))/POZICIE_INTERNE!$B$73)),0)+IFERROR(IF((EXTERNE_POZICIE!$B$53-12*('TCO TO BE- SW'!$D160-1))&gt;12,((O$4+'TCO TO BE - HW'!O$4)/($E$4+'TCO TO BE - HW'!$E$4)*SUM(EXTERNE_POZICIE!$M$53:$M$64)*1.23)/EXTERNE_POZICIE!$B$41*12,IF((EXTERNE_POZICIE!$B$53-12*('TCO TO BE- SW'!$D160-1))&lt;0,0,(EXTERNE_POZICIE!$B$53-12*('TCO TO BE- SW'!$D160-1))*((O$4+'TCO TO BE - HW'!O$4)/($E$4+'TCO TO BE - HW'!$E$4)*SUM(EXTERNE_POZICIE!$M$53:$M$64)*1.23)/EXTERNE_POZICIE!$B$53)),0)+IFERROR(SUM(#REF!)*'TCO TO BE- SW'!O$4/'TCO TO BE- SW'!$E$4,0)</f>
        <v>0</v>
      </c>
      <c r="P170" s="579">
        <f>IFERROR(IF((POZICIE_INTERNE!$B$73-12*('TCO TO BE- SW'!$D160-1))&gt;12,((P$4+'TCO TO BE - HW'!P$4)/($E$4+'TCO TO BE - HW'!$E$4)*SUM(POZICIE_INTERNE!$I$73:$I$84))/POZICIE_INTERNE!$B$73*12,IF((POZICIE_INTERNE!$B$73-12*('TCO TO BE- SW'!$D160-1))&lt;0,0,(POZICIE_INTERNE!$B$73-12*('TCO TO BE- SW'!$D160-1))*((P$4+'TCO TO BE - HW'!P$4)/($E$4+'TCO TO BE - HW'!$E$4)*SUM(POZICIE_INTERNE!$I$73:$I$84))/POZICIE_INTERNE!$B$73)),0)+IFERROR(IF((EXTERNE_POZICIE!$B$53-12*('TCO TO BE- SW'!$D160-1))&gt;12,((P$4+'TCO TO BE - HW'!P$4)/($E$4+'TCO TO BE - HW'!$E$4)*SUM(EXTERNE_POZICIE!$M$53:$M$64)*1.23)/EXTERNE_POZICIE!$B$41*12,IF((EXTERNE_POZICIE!$B$53-12*('TCO TO BE- SW'!$D160-1))&lt;0,0,(EXTERNE_POZICIE!$B$53-12*('TCO TO BE- SW'!$D160-1))*((P$4+'TCO TO BE - HW'!P$4)/($E$4+'TCO TO BE - HW'!$E$4)*SUM(EXTERNE_POZICIE!$M$53:$M$64)*1.23)/EXTERNE_POZICIE!$B$53)),0)+IFERROR(SUM(#REF!)*'TCO TO BE- SW'!P$4/'TCO TO BE- SW'!$E$4,0)</f>
        <v>0</v>
      </c>
      <c r="Q170" s="579">
        <f>IFERROR(IF((POZICIE_INTERNE!$B$73-12*('TCO TO BE- SW'!$D160-1))&gt;12,((Q$4+'TCO TO BE - HW'!Q$4)/($E$4+'TCO TO BE - HW'!$E$4)*SUM(POZICIE_INTERNE!$I$73:$I$84))/POZICIE_INTERNE!$B$73*12,IF((POZICIE_INTERNE!$B$73-12*('TCO TO BE- SW'!$D160-1))&lt;0,0,(POZICIE_INTERNE!$B$73-12*('TCO TO BE- SW'!$D160-1))*((Q$4+'TCO TO BE - HW'!Q$4)/($E$4+'TCO TO BE - HW'!$E$4)*SUM(POZICIE_INTERNE!$I$73:$I$84))/POZICIE_INTERNE!$B$73)),0)+IFERROR(IF((EXTERNE_POZICIE!$B$53-12*('TCO TO BE- SW'!$D160-1))&gt;12,((Q$4+'TCO TO BE - HW'!Q$4)/($E$4+'TCO TO BE - HW'!$E$4)*SUM(EXTERNE_POZICIE!$M$53:$M$64)*1.23)/EXTERNE_POZICIE!$B$41*12,IF((EXTERNE_POZICIE!$B$53-12*('TCO TO BE- SW'!$D160-1))&lt;0,0,(EXTERNE_POZICIE!$B$53-12*('TCO TO BE- SW'!$D160-1))*((Q$4+'TCO TO BE - HW'!Q$4)/($E$4+'TCO TO BE - HW'!$E$4)*SUM(EXTERNE_POZICIE!$M$53:$M$64)*1.23)/EXTERNE_POZICIE!$B$53)),0)+IFERROR(SUM(#REF!)*'TCO TO BE- SW'!Q$4/'TCO TO BE- SW'!$E$4,0)</f>
        <v>0</v>
      </c>
      <c r="R170" s="579">
        <f>IFERROR(IF((POZICIE_INTERNE!$B$73-12*('TCO TO BE- SW'!$D160-1))&gt;12,((R$4+'TCO TO BE - HW'!R$4)/($E$4+'TCO TO BE - HW'!$E$4)*SUM(POZICIE_INTERNE!$I$73:$I$84))/POZICIE_INTERNE!$B$73*12,IF((POZICIE_INTERNE!$B$73-12*('TCO TO BE- SW'!$D160-1))&lt;0,0,(POZICIE_INTERNE!$B$73-12*('TCO TO BE- SW'!$D160-1))*((R$4+'TCO TO BE - HW'!R$4)/($E$4+'TCO TO BE - HW'!$E$4)*SUM(POZICIE_INTERNE!$I$73:$I$84))/POZICIE_INTERNE!$B$73)),0)+IFERROR(IF((EXTERNE_POZICIE!$B$53-12*('TCO TO BE- SW'!$D160-1))&gt;12,((R$4+'TCO TO BE - HW'!R$4)/($E$4+'TCO TO BE - HW'!$E$4)*SUM(EXTERNE_POZICIE!$M$53:$M$64)*1.23)/EXTERNE_POZICIE!$B$41*12,IF((EXTERNE_POZICIE!$B$53-12*('TCO TO BE- SW'!$D160-1))&lt;0,0,(EXTERNE_POZICIE!$B$53-12*('TCO TO BE- SW'!$D160-1))*((R$4+'TCO TO BE - HW'!R$4)/($E$4+'TCO TO BE - HW'!$E$4)*SUM(EXTERNE_POZICIE!$M$53:$M$64)*1.23)/EXTERNE_POZICIE!$B$53)),0)+IFERROR(SUM(#REF!)*'TCO TO BE- SW'!R$4/'TCO TO BE- SW'!$E$4,0)</f>
        <v>0</v>
      </c>
      <c r="S170" s="579">
        <f>IFERROR(IF((POZICIE_INTERNE!$B$73-12*('TCO TO BE- SW'!$D160-1))&gt;12,((S$4+'TCO TO BE - HW'!S$4)/($E$4+'TCO TO BE - HW'!$E$4)*SUM(POZICIE_INTERNE!$I$73:$I$84))/POZICIE_INTERNE!$B$73*12,IF((POZICIE_INTERNE!$B$73-12*('TCO TO BE- SW'!$D160-1))&lt;0,0,(POZICIE_INTERNE!$B$73-12*('TCO TO BE- SW'!$D160-1))*((S$4+'TCO TO BE - HW'!S$4)/($E$4+'TCO TO BE - HW'!$E$4)*SUM(POZICIE_INTERNE!$I$73:$I$84))/POZICIE_INTERNE!$B$73)),0)+IFERROR(IF((EXTERNE_POZICIE!$B$53-12*('TCO TO BE- SW'!$D160-1))&gt;12,((S$4+'TCO TO BE - HW'!S$4)/($E$4+'TCO TO BE - HW'!$E$4)*SUM(EXTERNE_POZICIE!$M$53:$M$64)*1.23)/EXTERNE_POZICIE!$B$41*12,IF((EXTERNE_POZICIE!$B$53-12*('TCO TO BE- SW'!$D160-1))&lt;0,0,(EXTERNE_POZICIE!$B$53-12*('TCO TO BE- SW'!$D160-1))*((S$4+'TCO TO BE - HW'!S$4)/($E$4+'TCO TO BE - HW'!$E$4)*SUM(EXTERNE_POZICIE!$M$53:$M$64)*1.23)/EXTERNE_POZICIE!$B$53)),0)+IFERROR(SUM(#REF!)*'TCO TO BE- SW'!S$4/'TCO TO BE- SW'!$E$4,0)</f>
        <v>0</v>
      </c>
      <c r="T170" s="579">
        <f>IFERROR(IF((POZICIE_INTERNE!$B$73-12*('TCO TO BE- SW'!$D160-1))&gt;12,((T$4+'TCO TO BE - HW'!T$4)/($E$4+'TCO TO BE - HW'!$E$4)*SUM(POZICIE_INTERNE!$I$73:$I$84))/POZICIE_INTERNE!$B$73*12,IF((POZICIE_INTERNE!$B$73-12*('TCO TO BE- SW'!$D160-1))&lt;0,0,(POZICIE_INTERNE!$B$73-12*('TCO TO BE- SW'!$D160-1))*((T$4+'TCO TO BE - HW'!T$4)/($E$4+'TCO TO BE - HW'!$E$4)*SUM(POZICIE_INTERNE!$I$73:$I$84))/POZICIE_INTERNE!$B$73)),0)+IFERROR(IF((EXTERNE_POZICIE!$B$53-12*('TCO TO BE- SW'!$D160-1))&gt;12,((T$4+'TCO TO BE - HW'!T$4)/($E$4+'TCO TO BE - HW'!$E$4)*SUM(EXTERNE_POZICIE!$M$53:$M$64)*1.23)/EXTERNE_POZICIE!$B$41*12,IF((EXTERNE_POZICIE!$B$53-12*('TCO TO BE- SW'!$D160-1))&lt;0,0,(EXTERNE_POZICIE!$B$53-12*('TCO TO BE- SW'!$D160-1))*((T$4+'TCO TO BE - HW'!T$4)/($E$4+'TCO TO BE - HW'!$E$4)*SUM(EXTERNE_POZICIE!$M$53:$M$64)*1.23)/EXTERNE_POZICIE!$B$53)),0)+IFERROR(SUM(#REF!)*'TCO TO BE- SW'!T$4/'TCO TO BE- SW'!$E$4,0)</f>
        <v>0</v>
      </c>
      <c r="U170" s="579">
        <f>IFERROR(IF((POZICIE_INTERNE!$B$73-12*('TCO TO BE- SW'!$D160-1))&gt;12,((U$4+'TCO TO BE - HW'!U$4)/($E$4+'TCO TO BE - HW'!$E$4)*SUM(POZICIE_INTERNE!$I$73:$I$84))/POZICIE_INTERNE!$B$73*12,IF((POZICIE_INTERNE!$B$73-12*('TCO TO BE- SW'!$D160-1))&lt;0,0,(POZICIE_INTERNE!$B$73-12*('TCO TO BE- SW'!$D160-1))*((U$4+'TCO TO BE - HW'!U$4)/($E$4+'TCO TO BE - HW'!$E$4)*SUM(POZICIE_INTERNE!$I$73:$I$84))/POZICIE_INTERNE!$B$73)),0)+IFERROR(IF((EXTERNE_POZICIE!$B$53-12*('TCO TO BE- SW'!$D160-1))&gt;12,((U$4+'TCO TO BE - HW'!U$4)/($E$4+'TCO TO BE - HW'!$E$4)*SUM(EXTERNE_POZICIE!$M$53:$M$64)*1.23)/EXTERNE_POZICIE!$B$41*12,IF((EXTERNE_POZICIE!$B$53-12*('TCO TO BE- SW'!$D160-1))&lt;0,0,(EXTERNE_POZICIE!$B$53-12*('TCO TO BE- SW'!$D160-1))*((U$4+'TCO TO BE - HW'!U$4)/($E$4+'TCO TO BE - HW'!$E$4)*SUM(EXTERNE_POZICIE!$M$53:$M$64)*1.23)/EXTERNE_POZICIE!$B$53)),0)+IFERROR(SUM(#REF!)*'TCO TO BE- SW'!U$4/'TCO TO BE- SW'!$E$4,0)</f>
        <v>0</v>
      </c>
      <c r="V170" s="579">
        <f>IFERROR(IF((POZICIE_INTERNE!$B$73-12*('TCO TO BE- SW'!$D160-1))&gt;12,((V$4+'TCO TO BE - HW'!V$4)/($E$4+'TCO TO BE - HW'!$E$4)*SUM(POZICIE_INTERNE!$I$73:$I$84))/POZICIE_INTERNE!$B$73*12,IF((POZICIE_INTERNE!$B$73-12*('TCO TO BE- SW'!$D160-1))&lt;0,0,(POZICIE_INTERNE!$B$73-12*('TCO TO BE- SW'!$D160-1))*((V$4+'TCO TO BE - HW'!V$4)/($E$4+'TCO TO BE - HW'!$E$4)*SUM(POZICIE_INTERNE!$I$73:$I$84))/POZICIE_INTERNE!$B$73)),0)+IFERROR(IF((EXTERNE_POZICIE!$B$53-12*('TCO TO BE- SW'!$D160-1))&gt;12,((V$4+'TCO TO BE - HW'!V$4)/($E$4+'TCO TO BE - HW'!$E$4)*SUM(EXTERNE_POZICIE!$M$53:$M$64)*1.23)/EXTERNE_POZICIE!$B$41*12,IF((EXTERNE_POZICIE!$B$53-12*('TCO TO BE- SW'!$D160-1))&lt;0,0,(EXTERNE_POZICIE!$B$53-12*('TCO TO BE- SW'!$D160-1))*((V$4+'TCO TO BE - HW'!V$4)/($E$4+'TCO TO BE - HW'!$E$4)*SUM(EXTERNE_POZICIE!$M$53:$M$64)*1.23)/EXTERNE_POZICIE!$B$53)),0)+IFERROR(SUM(#REF!)*'TCO TO BE- SW'!V$4/'TCO TO BE- SW'!$E$4,0)</f>
        <v>0</v>
      </c>
      <c r="W170" s="579">
        <f>IFERROR(IF((POZICIE_INTERNE!$B$73-12*('TCO TO BE- SW'!$D160-1))&gt;12,((W$4+'TCO TO BE - HW'!W$4)/($E$4+'TCO TO BE - HW'!$E$4)*SUM(POZICIE_INTERNE!$I$73:$I$84))/POZICIE_INTERNE!$B$73*12,IF((POZICIE_INTERNE!$B$73-12*('TCO TO BE- SW'!$D160-1))&lt;0,0,(POZICIE_INTERNE!$B$73-12*('TCO TO BE- SW'!$D160-1))*((W$4+'TCO TO BE - HW'!W$4)/($E$4+'TCO TO BE - HW'!$E$4)*SUM(POZICIE_INTERNE!$I$73:$I$84))/POZICIE_INTERNE!$B$73)),0)+IFERROR(IF((EXTERNE_POZICIE!$B$53-12*('TCO TO BE- SW'!$D160-1))&gt;12,((W$4+'TCO TO BE - HW'!W$4)/($E$4+'TCO TO BE - HW'!$E$4)*SUM(EXTERNE_POZICIE!$M$53:$M$64)*1.23)/EXTERNE_POZICIE!$B$41*12,IF((EXTERNE_POZICIE!$B$53-12*('TCO TO BE- SW'!$D160-1))&lt;0,0,(EXTERNE_POZICIE!$B$53-12*('TCO TO BE- SW'!$D160-1))*((W$4+'TCO TO BE - HW'!W$4)/($E$4+'TCO TO BE - HW'!$E$4)*SUM(EXTERNE_POZICIE!$M$53:$M$64)*1.23)/EXTERNE_POZICIE!$B$53)),0)+IFERROR(SUM(#REF!)*'TCO TO BE- SW'!W$4/'TCO TO BE- SW'!$E$4,0)</f>
        <v>0</v>
      </c>
      <c r="X170" s="579">
        <f>IFERROR(IF((POZICIE_INTERNE!$B$73-12*('TCO TO BE- SW'!$D160-1))&gt;12,((X$4+'TCO TO BE - HW'!X$4)/($E$4+'TCO TO BE - HW'!$E$4)*SUM(POZICIE_INTERNE!$I$73:$I$84))/POZICIE_INTERNE!$B$73*12,IF((POZICIE_INTERNE!$B$73-12*('TCO TO BE- SW'!$D160-1))&lt;0,0,(POZICIE_INTERNE!$B$73-12*('TCO TO BE- SW'!$D160-1))*((X$4+'TCO TO BE - HW'!X$4)/($E$4+'TCO TO BE - HW'!$E$4)*SUM(POZICIE_INTERNE!$I$73:$I$84))/POZICIE_INTERNE!$B$73)),0)+IFERROR(IF((EXTERNE_POZICIE!$B$53-12*('TCO TO BE- SW'!$D160-1))&gt;12,((X$4+'TCO TO BE - HW'!X$4)/($E$4+'TCO TO BE - HW'!$E$4)*SUM(EXTERNE_POZICIE!$M$53:$M$64)*1.23)/EXTERNE_POZICIE!$B$41*12,IF((EXTERNE_POZICIE!$B$53-12*('TCO TO BE- SW'!$D160-1))&lt;0,0,(EXTERNE_POZICIE!$B$53-12*('TCO TO BE- SW'!$D160-1))*((X$4+'TCO TO BE - HW'!X$4)/($E$4+'TCO TO BE - HW'!$E$4)*SUM(EXTERNE_POZICIE!$M$53:$M$64)*1.23)/EXTERNE_POZICIE!$B$53)),0)+IFERROR(SUM(#REF!)*'TCO TO BE- SW'!X$4/'TCO TO BE- SW'!$E$4,0)</f>
        <v>0</v>
      </c>
      <c r="Y170" s="579">
        <f>IFERROR(IF((POZICIE_INTERNE!$B$73-12*('TCO TO BE- SW'!$D160-1))&gt;12,((Y$4+'TCO TO BE - HW'!Y$4)/($E$4+'TCO TO BE - HW'!$E$4)*SUM(POZICIE_INTERNE!$I$73:$I$84))/POZICIE_INTERNE!$B$73*12,IF((POZICIE_INTERNE!$B$73-12*('TCO TO BE- SW'!$D160-1))&lt;0,0,(POZICIE_INTERNE!$B$73-12*('TCO TO BE- SW'!$D160-1))*((Y$4+'TCO TO BE - HW'!Y$4)/($E$4+'TCO TO BE - HW'!$E$4)*SUM(POZICIE_INTERNE!$I$73:$I$84))/POZICIE_INTERNE!$B$73)),0)+IFERROR(IF((EXTERNE_POZICIE!$B$53-12*('TCO TO BE- SW'!$D160-1))&gt;12,((Y$4+'TCO TO BE - HW'!Y$4)/($E$4+'TCO TO BE - HW'!$E$4)*SUM(EXTERNE_POZICIE!$M$53:$M$64)*1.23)/EXTERNE_POZICIE!$B$41*12,IF((EXTERNE_POZICIE!$B$53-12*('TCO TO BE- SW'!$D160-1))&lt;0,0,(EXTERNE_POZICIE!$B$53-12*('TCO TO BE- SW'!$D160-1))*((Y$4+'TCO TO BE - HW'!Y$4)/($E$4+'TCO TO BE - HW'!$E$4)*SUM(EXTERNE_POZICIE!$M$53:$M$64)*1.23)/EXTERNE_POZICIE!$B$53)),0)+IFERROR(SUM(#REF!)*'TCO TO BE- SW'!Y$4/'TCO TO BE- SW'!$E$4,0)</f>
        <v>0</v>
      </c>
      <c r="Z170" s="579">
        <f>IFERROR(IF((POZICIE_INTERNE!$B$73-12*('TCO TO BE- SW'!$D160-1))&gt;12,((Z$4+'TCO TO BE - HW'!Z$4)/($E$4+'TCO TO BE - HW'!$E$4)*SUM(POZICIE_INTERNE!$I$73:$I$84))/POZICIE_INTERNE!$B$73*12,IF((POZICIE_INTERNE!$B$73-12*('TCO TO BE- SW'!$D160-1))&lt;0,0,(POZICIE_INTERNE!$B$73-12*('TCO TO BE- SW'!$D160-1))*((Z$4+'TCO TO BE - HW'!Z$4)/($E$4+'TCO TO BE - HW'!$E$4)*SUM(POZICIE_INTERNE!$I$73:$I$84))/POZICIE_INTERNE!$B$73)),0)+IFERROR(IF((EXTERNE_POZICIE!$B$53-12*('TCO TO BE- SW'!$D160-1))&gt;12,((Z$4+'TCO TO BE - HW'!Z$4)/($E$4+'TCO TO BE - HW'!$E$4)*SUM(EXTERNE_POZICIE!$M$53:$M$64)*1.23)/EXTERNE_POZICIE!$B$41*12,IF((EXTERNE_POZICIE!$B$53-12*('TCO TO BE- SW'!$D160-1))&lt;0,0,(EXTERNE_POZICIE!$B$53-12*('TCO TO BE- SW'!$D160-1))*((Z$4+'TCO TO BE - HW'!Z$4)/($E$4+'TCO TO BE - HW'!$E$4)*SUM(EXTERNE_POZICIE!$M$53:$M$64)*1.23)/EXTERNE_POZICIE!$B$53)),0)+IFERROR(SUM(#REF!)*'TCO TO BE- SW'!Z$4/'TCO TO BE- SW'!$E$4,0)</f>
        <v>0</v>
      </c>
    </row>
    <row r="171" spans="1:26" ht="16" thickBot="1" x14ac:dyDescent="0.25">
      <c r="A171" s="1397" t="s">
        <v>245</v>
      </c>
      <c r="B171" s="1398"/>
      <c r="C171" s="1398"/>
      <c r="D171" s="75"/>
      <c r="E171" s="72">
        <f t="shared" ref="E171:Z171" si="17">SUM(E172:E191)</f>
        <v>0</v>
      </c>
      <c r="F171" s="73">
        <f t="shared" si="17"/>
        <v>0</v>
      </c>
      <c r="G171" s="73">
        <f t="shared" si="17"/>
        <v>0</v>
      </c>
      <c r="H171" s="73">
        <f t="shared" si="17"/>
        <v>0</v>
      </c>
      <c r="I171" s="73">
        <f t="shared" si="17"/>
        <v>0</v>
      </c>
      <c r="J171" s="73">
        <f t="shared" si="17"/>
        <v>0</v>
      </c>
      <c r="K171" s="73">
        <f t="shared" si="17"/>
        <v>0</v>
      </c>
      <c r="L171" s="73">
        <f t="shared" si="17"/>
        <v>0</v>
      </c>
      <c r="M171" s="73">
        <f t="shared" si="17"/>
        <v>0</v>
      </c>
      <c r="N171" s="73">
        <f t="shared" si="17"/>
        <v>0</v>
      </c>
      <c r="O171" s="73">
        <f t="shared" si="17"/>
        <v>0</v>
      </c>
      <c r="P171" s="73">
        <f t="shared" si="17"/>
        <v>0</v>
      </c>
      <c r="Q171" s="73">
        <f t="shared" si="17"/>
        <v>0</v>
      </c>
      <c r="R171" s="73">
        <f t="shared" si="17"/>
        <v>0</v>
      </c>
      <c r="S171" s="73">
        <f t="shared" si="17"/>
        <v>0</v>
      </c>
      <c r="T171" s="73">
        <f t="shared" si="17"/>
        <v>0</v>
      </c>
      <c r="U171" s="73">
        <f t="shared" si="17"/>
        <v>0</v>
      </c>
      <c r="V171" s="73">
        <f t="shared" si="17"/>
        <v>0</v>
      </c>
      <c r="W171" s="73">
        <f t="shared" si="17"/>
        <v>0</v>
      </c>
      <c r="X171" s="73">
        <f t="shared" si="17"/>
        <v>0</v>
      </c>
      <c r="Y171" s="73">
        <f t="shared" si="17"/>
        <v>0</v>
      </c>
      <c r="Z171" s="73">
        <f t="shared" si="17"/>
        <v>0</v>
      </c>
    </row>
    <row r="172" spans="1:26" x14ac:dyDescent="0.2">
      <c r="A172" s="1390" t="s">
        <v>246</v>
      </c>
      <c r="B172" s="1391" t="s">
        <v>76</v>
      </c>
      <c r="C172" s="1391">
        <v>633013</v>
      </c>
      <c r="D172" s="63">
        <v>1</v>
      </c>
      <c r="E172" s="60">
        <f t="shared" ref="E172:E191" si="18">SUM(F172:Z172)</f>
        <v>0</v>
      </c>
      <c r="F172" s="583">
        <v>0</v>
      </c>
      <c r="G172" s="583">
        <v>0</v>
      </c>
      <c r="H172" s="583">
        <v>0</v>
      </c>
      <c r="I172" s="583">
        <v>0</v>
      </c>
      <c r="J172" s="583">
        <v>0</v>
      </c>
      <c r="K172" s="583">
        <v>0</v>
      </c>
      <c r="L172" s="583">
        <v>0</v>
      </c>
      <c r="M172" s="583">
        <v>0</v>
      </c>
      <c r="N172" s="583">
        <v>0</v>
      </c>
      <c r="O172" s="583">
        <v>0</v>
      </c>
      <c r="P172" s="583">
        <v>0</v>
      </c>
      <c r="Q172" s="583">
        <v>0</v>
      </c>
      <c r="R172" s="583">
        <v>0</v>
      </c>
      <c r="S172" s="583">
        <v>0</v>
      </c>
      <c r="T172" s="583">
        <v>0</v>
      </c>
      <c r="U172" s="583">
        <v>0</v>
      </c>
      <c r="V172" s="583">
        <v>0</v>
      </c>
      <c r="W172" s="583">
        <v>0</v>
      </c>
      <c r="X172" s="583">
        <v>0</v>
      </c>
      <c r="Y172" s="583">
        <v>0</v>
      </c>
      <c r="Z172" s="583">
        <v>0</v>
      </c>
    </row>
    <row r="173" spans="1:26" x14ac:dyDescent="0.2">
      <c r="A173" s="1390"/>
      <c r="B173" s="1391"/>
      <c r="C173" s="1391"/>
      <c r="D173" s="64">
        <v>2</v>
      </c>
      <c r="E173" s="61">
        <f t="shared" si="18"/>
        <v>0</v>
      </c>
      <c r="F173" s="584">
        <v>0</v>
      </c>
      <c r="G173" s="584">
        <v>0</v>
      </c>
      <c r="H173" s="584">
        <v>0</v>
      </c>
      <c r="I173" s="584">
        <v>0</v>
      </c>
      <c r="J173" s="584">
        <v>0</v>
      </c>
      <c r="K173" s="584">
        <v>0</v>
      </c>
      <c r="L173" s="584">
        <v>0</v>
      </c>
      <c r="M173" s="584">
        <v>0</v>
      </c>
      <c r="N173" s="584">
        <v>0</v>
      </c>
      <c r="O173" s="584">
        <v>0</v>
      </c>
      <c r="P173" s="584">
        <v>0</v>
      </c>
      <c r="Q173" s="584">
        <v>0</v>
      </c>
      <c r="R173" s="584">
        <v>0</v>
      </c>
      <c r="S173" s="584">
        <v>0</v>
      </c>
      <c r="T173" s="584">
        <v>0</v>
      </c>
      <c r="U173" s="584">
        <v>0</v>
      </c>
      <c r="V173" s="584">
        <v>0</v>
      </c>
      <c r="W173" s="584">
        <v>0</v>
      </c>
      <c r="X173" s="584">
        <v>0</v>
      </c>
      <c r="Y173" s="584">
        <v>0</v>
      </c>
      <c r="Z173" s="584">
        <v>0</v>
      </c>
    </row>
    <row r="174" spans="1:26" x14ac:dyDescent="0.2">
      <c r="A174" s="1390"/>
      <c r="B174" s="1391"/>
      <c r="C174" s="1391"/>
      <c r="D174" s="64">
        <v>3</v>
      </c>
      <c r="E174" s="61">
        <f t="shared" si="18"/>
        <v>0</v>
      </c>
      <c r="F174" s="584">
        <v>0</v>
      </c>
      <c r="G174" s="584">
        <v>0</v>
      </c>
      <c r="H174" s="584">
        <v>0</v>
      </c>
      <c r="I174" s="584">
        <v>0</v>
      </c>
      <c r="J174" s="584">
        <v>0</v>
      </c>
      <c r="K174" s="584">
        <v>0</v>
      </c>
      <c r="L174" s="584">
        <v>0</v>
      </c>
      <c r="M174" s="584">
        <v>0</v>
      </c>
      <c r="N174" s="584">
        <v>0</v>
      </c>
      <c r="O174" s="584">
        <v>0</v>
      </c>
      <c r="P174" s="584">
        <v>0</v>
      </c>
      <c r="Q174" s="584">
        <v>0</v>
      </c>
      <c r="R174" s="584">
        <v>0</v>
      </c>
      <c r="S174" s="584">
        <v>0</v>
      </c>
      <c r="T174" s="584">
        <v>0</v>
      </c>
      <c r="U174" s="584">
        <v>0</v>
      </c>
      <c r="V174" s="584">
        <v>0</v>
      </c>
      <c r="W174" s="584">
        <v>0</v>
      </c>
      <c r="X174" s="584">
        <v>0</v>
      </c>
      <c r="Y174" s="584">
        <v>0</v>
      </c>
      <c r="Z174" s="584">
        <v>0</v>
      </c>
    </row>
    <row r="175" spans="1:26" x14ac:dyDescent="0.2">
      <c r="A175" s="1390"/>
      <c r="B175" s="1391"/>
      <c r="C175" s="1391"/>
      <c r="D175" s="64">
        <v>4</v>
      </c>
      <c r="E175" s="61">
        <f t="shared" si="18"/>
        <v>0</v>
      </c>
      <c r="F175" s="584">
        <v>0</v>
      </c>
      <c r="G175" s="584">
        <v>0</v>
      </c>
      <c r="H175" s="584">
        <v>0</v>
      </c>
      <c r="I175" s="584">
        <v>0</v>
      </c>
      <c r="J175" s="584">
        <v>0</v>
      </c>
      <c r="K175" s="584">
        <v>0</v>
      </c>
      <c r="L175" s="584">
        <v>0</v>
      </c>
      <c r="M175" s="584">
        <v>0</v>
      </c>
      <c r="N175" s="584">
        <v>0</v>
      </c>
      <c r="O175" s="584">
        <v>0</v>
      </c>
      <c r="P175" s="584">
        <v>0</v>
      </c>
      <c r="Q175" s="584">
        <v>0</v>
      </c>
      <c r="R175" s="584">
        <v>0</v>
      </c>
      <c r="S175" s="584">
        <v>0</v>
      </c>
      <c r="T175" s="584">
        <v>0</v>
      </c>
      <c r="U175" s="584">
        <v>0</v>
      </c>
      <c r="V175" s="584">
        <v>0</v>
      </c>
      <c r="W175" s="584">
        <v>0</v>
      </c>
      <c r="X175" s="584">
        <v>0</v>
      </c>
      <c r="Y175" s="584">
        <v>0</v>
      </c>
      <c r="Z175" s="584">
        <v>0</v>
      </c>
    </row>
    <row r="176" spans="1:26" x14ac:dyDescent="0.2">
      <c r="A176" s="1390"/>
      <c r="B176" s="1391"/>
      <c r="C176" s="1391"/>
      <c r="D176" s="64">
        <v>5</v>
      </c>
      <c r="E176" s="61">
        <f t="shared" si="18"/>
        <v>0</v>
      </c>
      <c r="F176" s="584">
        <v>0</v>
      </c>
      <c r="G176" s="584">
        <v>0</v>
      </c>
      <c r="H176" s="584">
        <v>0</v>
      </c>
      <c r="I176" s="584">
        <v>0</v>
      </c>
      <c r="J176" s="584">
        <v>0</v>
      </c>
      <c r="K176" s="584">
        <v>0</v>
      </c>
      <c r="L176" s="584">
        <v>0</v>
      </c>
      <c r="M176" s="584">
        <v>0</v>
      </c>
      <c r="N176" s="584">
        <v>0</v>
      </c>
      <c r="O176" s="584">
        <v>0</v>
      </c>
      <c r="P176" s="584">
        <v>0</v>
      </c>
      <c r="Q176" s="584">
        <v>0</v>
      </c>
      <c r="R176" s="584">
        <v>0</v>
      </c>
      <c r="S176" s="584">
        <v>0</v>
      </c>
      <c r="T176" s="584">
        <v>0</v>
      </c>
      <c r="U176" s="584">
        <v>0</v>
      </c>
      <c r="V176" s="584">
        <v>0</v>
      </c>
      <c r="W176" s="584">
        <v>0</v>
      </c>
      <c r="X176" s="584">
        <v>0</v>
      </c>
      <c r="Y176" s="584">
        <v>0</v>
      </c>
      <c r="Z176" s="584">
        <v>0</v>
      </c>
    </row>
    <row r="177" spans="1:26" x14ac:dyDescent="0.2">
      <c r="A177" s="1390"/>
      <c r="B177" s="1391"/>
      <c r="C177" s="1391"/>
      <c r="D177" s="64">
        <v>6</v>
      </c>
      <c r="E177" s="61">
        <f t="shared" si="18"/>
        <v>0</v>
      </c>
      <c r="F177" s="584">
        <v>0</v>
      </c>
      <c r="G177" s="584">
        <v>0</v>
      </c>
      <c r="H177" s="584">
        <v>0</v>
      </c>
      <c r="I177" s="584">
        <v>0</v>
      </c>
      <c r="J177" s="584">
        <v>0</v>
      </c>
      <c r="K177" s="584">
        <v>0</v>
      </c>
      <c r="L177" s="584">
        <v>0</v>
      </c>
      <c r="M177" s="584">
        <v>0</v>
      </c>
      <c r="N177" s="584">
        <v>0</v>
      </c>
      <c r="O177" s="584">
        <v>0</v>
      </c>
      <c r="P177" s="584">
        <v>0</v>
      </c>
      <c r="Q177" s="584">
        <v>0</v>
      </c>
      <c r="R177" s="584">
        <v>0</v>
      </c>
      <c r="S177" s="584">
        <v>0</v>
      </c>
      <c r="T177" s="584">
        <v>0</v>
      </c>
      <c r="U177" s="584">
        <v>0</v>
      </c>
      <c r="V177" s="584">
        <v>0</v>
      </c>
      <c r="W177" s="584">
        <v>0</v>
      </c>
      <c r="X177" s="584">
        <v>0</v>
      </c>
      <c r="Y177" s="584">
        <v>0</v>
      </c>
      <c r="Z177" s="584">
        <v>0</v>
      </c>
    </row>
    <row r="178" spans="1:26" x14ac:dyDescent="0.2">
      <c r="A178" s="1390"/>
      <c r="B178" s="1391"/>
      <c r="C178" s="1391"/>
      <c r="D178" s="64">
        <v>7</v>
      </c>
      <c r="E178" s="61">
        <f t="shared" si="18"/>
        <v>0</v>
      </c>
      <c r="F178" s="584">
        <v>0</v>
      </c>
      <c r="G178" s="584">
        <v>0</v>
      </c>
      <c r="H178" s="584">
        <v>0</v>
      </c>
      <c r="I178" s="584">
        <v>0</v>
      </c>
      <c r="J178" s="584">
        <v>0</v>
      </c>
      <c r="K178" s="584">
        <v>0</v>
      </c>
      <c r="L178" s="584">
        <v>0</v>
      </c>
      <c r="M178" s="584">
        <v>0</v>
      </c>
      <c r="N178" s="584">
        <v>0</v>
      </c>
      <c r="O178" s="584">
        <v>0</v>
      </c>
      <c r="P178" s="584">
        <v>0</v>
      </c>
      <c r="Q178" s="584">
        <v>0</v>
      </c>
      <c r="R178" s="584">
        <v>0</v>
      </c>
      <c r="S178" s="584">
        <v>0</v>
      </c>
      <c r="T178" s="584">
        <v>0</v>
      </c>
      <c r="U178" s="584">
        <v>0</v>
      </c>
      <c r="V178" s="584">
        <v>0</v>
      </c>
      <c r="W178" s="584">
        <v>0</v>
      </c>
      <c r="X178" s="584">
        <v>0</v>
      </c>
      <c r="Y178" s="584">
        <v>0</v>
      </c>
      <c r="Z178" s="584">
        <v>0</v>
      </c>
    </row>
    <row r="179" spans="1:26" x14ac:dyDescent="0.2">
      <c r="A179" s="1390"/>
      <c r="B179" s="1391"/>
      <c r="C179" s="1391"/>
      <c r="D179" s="64">
        <v>8</v>
      </c>
      <c r="E179" s="61">
        <f t="shared" si="18"/>
        <v>0</v>
      </c>
      <c r="F179" s="584">
        <v>0</v>
      </c>
      <c r="G179" s="584">
        <v>0</v>
      </c>
      <c r="H179" s="584">
        <v>0</v>
      </c>
      <c r="I179" s="584">
        <v>0</v>
      </c>
      <c r="J179" s="584">
        <v>0</v>
      </c>
      <c r="K179" s="584">
        <v>0</v>
      </c>
      <c r="L179" s="584">
        <v>0</v>
      </c>
      <c r="M179" s="584">
        <v>0</v>
      </c>
      <c r="N179" s="584">
        <v>0</v>
      </c>
      <c r="O179" s="584">
        <v>0</v>
      </c>
      <c r="P179" s="584">
        <v>0</v>
      </c>
      <c r="Q179" s="584">
        <v>0</v>
      </c>
      <c r="R179" s="584">
        <v>0</v>
      </c>
      <c r="S179" s="584">
        <v>0</v>
      </c>
      <c r="T179" s="584">
        <v>0</v>
      </c>
      <c r="U179" s="584">
        <v>0</v>
      </c>
      <c r="V179" s="584">
        <v>0</v>
      </c>
      <c r="W179" s="584">
        <v>0</v>
      </c>
      <c r="X179" s="584">
        <v>0</v>
      </c>
      <c r="Y179" s="584">
        <v>0</v>
      </c>
      <c r="Z179" s="584">
        <v>0</v>
      </c>
    </row>
    <row r="180" spans="1:26" x14ac:dyDescent="0.2">
      <c r="A180" s="1390"/>
      <c r="B180" s="1391"/>
      <c r="C180" s="1391"/>
      <c r="D180" s="64">
        <v>9</v>
      </c>
      <c r="E180" s="61">
        <f t="shared" si="18"/>
        <v>0</v>
      </c>
      <c r="F180" s="584">
        <v>0</v>
      </c>
      <c r="G180" s="584">
        <v>0</v>
      </c>
      <c r="H180" s="584">
        <v>0</v>
      </c>
      <c r="I180" s="584">
        <v>0</v>
      </c>
      <c r="J180" s="584">
        <v>0</v>
      </c>
      <c r="K180" s="584">
        <v>0</v>
      </c>
      <c r="L180" s="584">
        <v>0</v>
      </c>
      <c r="M180" s="584">
        <v>0</v>
      </c>
      <c r="N180" s="584">
        <v>0</v>
      </c>
      <c r="O180" s="584">
        <v>0</v>
      </c>
      <c r="P180" s="584">
        <v>0</v>
      </c>
      <c r="Q180" s="584">
        <v>0</v>
      </c>
      <c r="R180" s="584">
        <v>0</v>
      </c>
      <c r="S180" s="584">
        <v>0</v>
      </c>
      <c r="T180" s="584">
        <v>0</v>
      </c>
      <c r="U180" s="584">
        <v>0</v>
      </c>
      <c r="V180" s="584">
        <v>0</v>
      </c>
      <c r="W180" s="584">
        <v>0</v>
      </c>
      <c r="X180" s="584">
        <v>0</v>
      </c>
      <c r="Y180" s="584">
        <v>0</v>
      </c>
      <c r="Z180" s="584">
        <v>0</v>
      </c>
    </row>
    <row r="181" spans="1:26" ht="16" thickBot="1" x14ac:dyDescent="0.25">
      <c r="A181" s="1390"/>
      <c r="B181" s="1391"/>
      <c r="C181" s="1391"/>
      <c r="D181" s="65">
        <v>10</v>
      </c>
      <c r="E181" s="62">
        <f t="shared" si="18"/>
        <v>0</v>
      </c>
      <c r="F181" s="585">
        <v>0</v>
      </c>
      <c r="G181" s="585">
        <v>0</v>
      </c>
      <c r="H181" s="585">
        <v>0</v>
      </c>
      <c r="I181" s="585">
        <v>0</v>
      </c>
      <c r="J181" s="585">
        <v>0</v>
      </c>
      <c r="K181" s="585">
        <v>0</v>
      </c>
      <c r="L181" s="585">
        <v>0</v>
      </c>
      <c r="M181" s="585">
        <v>0</v>
      </c>
      <c r="N181" s="585">
        <v>0</v>
      </c>
      <c r="O181" s="585">
        <v>0</v>
      </c>
      <c r="P181" s="585">
        <v>0</v>
      </c>
      <c r="Q181" s="585">
        <v>0</v>
      </c>
      <c r="R181" s="585">
        <v>0</v>
      </c>
      <c r="S181" s="585">
        <v>0</v>
      </c>
      <c r="T181" s="585">
        <v>0</v>
      </c>
      <c r="U181" s="585">
        <v>0</v>
      </c>
      <c r="V181" s="585">
        <v>0</v>
      </c>
      <c r="W181" s="585">
        <v>0</v>
      </c>
      <c r="X181" s="585">
        <v>0</v>
      </c>
      <c r="Y181" s="585">
        <v>0</v>
      </c>
      <c r="Z181" s="585">
        <v>0</v>
      </c>
    </row>
    <row r="182" spans="1:26" x14ac:dyDescent="0.2">
      <c r="A182" s="1390" t="s">
        <v>518</v>
      </c>
      <c r="B182" s="1391"/>
      <c r="C182" s="1391">
        <v>637031</v>
      </c>
      <c r="D182" s="63">
        <v>1</v>
      </c>
      <c r="E182" s="61">
        <f t="shared" si="18"/>
        <v>0</v>
      </c>
      <c r="F182" s="583">
        <v>0</v>
      </c>
      <c r="G182" s="583">
        <v>0</v>
      </c>
      <c r="H182" s="583">
        <v>0</v>
      </c>
      <c r="I182" s="583">
        <v>0</v>
      </c>
      <c r="J182" s="583">
        <v>0</v>
      </c>
      <c r="K182" s="583">
        <v>0</v>
      </c>
      <c r="L182" s="583">
        <v>0</v>
      </c>
      <c r="M182" s="583">
        <v>0</v>
      </c>
      <c r="N182" s="583">
        <v>0</v>
      </c>
      <c r="O182" s="583">
        <v>0</v>
      </c>
      <c r="P182" s="583">
        <v>0</v>
      </c>
      <c r="Q182" s="583">
        <v>0</v>
      </c>
      <c r="R182" s="583">
        <v>0</v>
      </c>
      <c r="S182" s="583">
        <v>0</v>
      </c>
      <c r="T182" s="583">
        <v>0</v>
      </c>
      <c r="U182" s="583">
        <v>0</v>
      </c>
      <c r="V182" s="583">
        <v>0</v>
      </c>
      <c r="W182" s="583">
        <v>0</v>
      </c>
      <c r="X182" s="583">
        <v>0</v>
      </c>
      <c r="Y182" s="583">
        <v>0</v>
      </c>
      <c r="Z182" s="583">
        <v>0</v>
      </c>
    </row>
    <row r="183" spans="1:26" x14ac:dyDescent="0.2">
      <c r="A183" s="1390"/>
      <c r="B183" s="1391"/>
      <c r="C183" s="1391"/>
      <c r="D183" s="64">
        <v>2</v>
      </c>
      <c r="E183" s="61">
        <f t="shared" si="18"/>
        <v>0</v>
      </c>
      <c r="F183" s="584">
        <v>0</v>
      </c>
      <c r="G183" s="584">
        <v>0</v>
      </c>
      <c r="H183" s="584">
        <v>0</v>
      </c>
      <c r="I183" s="584">
        <v>0</v>
      </c>
      <c r="J183" s="584">
        <v>0</v>
      </c>
      <c r="K183" s="584">
        <v>0</v>
      </c>
      <c r="L183" s="584">
        <v>0</v>
      </c>
      <c r="M183" s="584">
        <v>0</v>
      </c>
      <c r="N183" s="584">
        <v>0</v>
      </c>
      <c r="O183" s="584">
        <v>0</v>
      </c>
      <c r="P183" s="584">
        <v>0</v>
      </c>
      <c r="Q183" s="584">
        <v>0</v>
      </c>
      <c r="R183" s="584">
        <v>0</v>
      </c>
      <c r="S183" s="584">
        <v>0</v>
      </c>
      <c r="T183" s="584">
        <v>0</v>
      </c>
      <c r="U183" s="584">
        <v>0</v>
      </c>
      <c r="V183" s="584">
        <v>0</v>
      </c>
      <c r="W183" s="584">
        <v>0</v>
      </c>
      <c r="X183" s="584">
        <v>0</v>
      </c>
      <c r="Y183" s="584">
        <v>0</v>
      </c>
      <c r="Z183" s="584">
        <v>0</v>
      </c>
    </row>
    <row r="184" spans="1:26" x14ac:dyDescent="0.2">
      <c r="A184" s="1390"/>
      <c r="B184" s="1391"/>
      <c r="C184" s="1391"/>
      <c r="D184" s="64">
        <v>3</v>
      </c>
      <c r="E184" s="61">
        <f t="shared" si="18"/>
        <v>0</v>
      </c>
      <c r="F184" s="584">
        <v>0</v>
      </c>
      <c r="G184" s="584">
        <v>0</v>
      </c>
      <c r="H184" s="584">
        <v>0</v>
      </c>
      <c r="I184" s="584">
        <v>0</v>
      </c>
      <c r="J184" s="584">
        <v>0</v>
      </c>
      <c r="K184" s="584">
        <v>0</v>
      </c>
      <c r="L184" s="584">
        <v>0</v>
      </c>
      <c r="M184" s="584">
        <v>0</v>
      </c>
      <c r="N184" s="584">
        <v>0</v>
      </c>
      <c r="O184" s="584">
        <v>0</v>
      </c>
      <c r="P184" s="584">
        <v>0</v>
      </c>
      <c r="Q184" s="584">
        <v>0</v>
      </c>
      <c r="R184" s="584">
        <v>0</v>
      </c>
      <c r="S184" s="584">
        <v>0</v>
      </c>
      <c r="T184" s="584">
        <v>0</v>
      </c>
      <c r="U184" s="584">
        <v>0</v>
      </c>
      <c r="V184" s="584">
        <v>0</v>
      </c>
      <c r="W184" s="584">
        <v>0</v>
      </c>
      <c r="X184" s="584">
        <v>0</v>
      </c>
      <c r="Y184" s="584">
        <v>0</v>
      </c>
      <c r="Z184" s="584">
        <v>0</v>
      </c>
    </row>
    <row r="185" spans="1:26" x14ac:dyDescent="0.2">
      <c r="A185" s="1390"/>
      <c r="B185" s="1391"/>
      <c r="C185" s="1391"/>
      <c r="D185" s="64">
        <v>4</v>
      </c>
      <c r="E185" s="61">
        <f t="shared" si="18"/>
        <v>0</v>
      </c>
      <c r="F185" s="584">
        <v>0</v>
      </c>
      <c r="G185" s="584">
        <v>0</v>
      </c>
      <c r="H185" s="584">
        <v>0</v>
      </c>
      <c r="I185" s="584">
        <v>0</v>
      </c>
      <c r="J185" s="584">
        <v>0</v>
      </c>
      <c r="K185" s="584">
        <v>0</v>
      </c>
      <c r="L185" s="584">
        <v>0</v>
      </c>
      <c r="M185" s="584">
        <v>0</v>
      </c>
      <c r="N185" s="584">
        <v>0</v>
      </c>
      <c r="O185" s="584">
        <v>0</v>
      </c>
      <c r="P185" s="584">
        <v>0</v>
      </c>
      <c r="Q185" s="584">
        <v>0</v>
      </c>
      <c r="R185" s="584">
        <v>0</v>
      </c>
      <c r="S185" s="584">
        <v>0</v>
      </c>
      <c r="T185" s="584">
        <v>0</v>
      </c>
      <c r="U185" s="584">
        <v>0</v>
      </c>
      <c r="V185" s="584">
        <v>0</v>
      </c>
      <c r="W185" s="584">
        <v>0</v>
      </c>
      <c r="X185" s="584">
        <v>0</v>
      </c>
      <c r="Y185" s="584">
        <v>0</v>
      </c>
      <c r="Z185" s="584">
        <v>0</v>
      </c>
    </row>
    <row r="186" spans="1:26" x14ac:dyDescent="0.2">
      <c r="A186" s="1390"/>
      <c r="B186" s="1391"/>
      <c r="C186" s="1391"/>
      <c r="D186" s="64">
        <v>5</v>
      </c>
      <c r="E186" s="61">
        <f t="shared" si="18"/>
        <v>0</v>
      </c>
      <c r="F186" s="584">
        <v>0</v>
      </c>
      <c r="G186" s="584">
        <v>0</v>
      </c>
      <c r="H186" s="584">
        <v>0</v>
      </c>
      <c r="I186" s="584">
        <v>0</v>
      </c>
      <c r="J186" s="584">
        <v>0</v>
      </c>
      <c r="K186" s="584">
        <v>0</v>
      </c>
      <c r="L186" s="584">
        <v>0</v>
      </c>
      <c r="M186" s="584">
        <v>0</v>
      </c>
      <c r="N186" s="584">
        <v>0</v>
      </c>
      <c r="O186" s="584">
        <v>0</v>
      </c>
      <c r="P186" s="584">
        <v>0</v>
      </c>
      <c r="Q186" s="584">
        <v>0</v>
      </c>
      <c r="R186" s="584">
        <v>0</v>
      </c>
      <c r="S186" s="584">
        <v>0</v>
      </c>
      <c r="T186" s="584">
        <v>0</v>
      </c>
      <c r="U186" s="584">
        <v>0</v>
      </c>
      <c r="V186" s="584">
        <v>0</v>
      </c>
      <c r="W186" s="584">
        <v>0</v>
      </c>
      <c r="X186" s="584">
        <v>0</v>
      </c>
      <c r="Y186" s="584">
        <v>0</v>
      </c>
      <c r="Z186" s="584">
        <v>0</v>
      </c>
    </row>
    <row r="187" spans="1:26" x14ac:dyDescent="0.2">
      <c r="A187" s="1390"/>
      <c r="B187" s="1391"/>
      <c r="C187" s="1391"/>
      <c r="D187" s="64">
        <v>6</v>
      </c>
      <c r="E187" s="61">
        <f t="shared" si="18"/>
        <v>0</v>
      </c>
      <c r="F187" s="584">
        <v>0</v>
      </c>
      <c r="G187" s="584">
        <v>0</v>
      </c>
      <c r="H187" s="584">
        <v>0</v>
      </c>
      <c r="I187" s="584">
        <v>0</v>
      </c>
      <c r="J187" s="584">
        <v>0</v>
      </c>
      <c r="K187" s="584">
        <v>0</v>
      </c>
      <c r="L187" s="584">
        <v>0</v>
      </c>
      <c r="M187" s="584">
        <v>0</v>
      </c>
      <c r="N187" s="584">
        <v>0</v>
      </c>
      <c r="O187" s="584">
        <v>0</v>
      </c>
      <c r="P187" s="584">
        <v>0</v>
      </c>
      <c r="Q187" s="584">
        <v>0</v>
      </c>
      <c r="R187" s="584">
        <v>0</v>
      </c>
      <c r="S187" s="584">
        <v>0</v>
      </c>
      <c r="T187" s="584">
        <v>0</v>
      </c>
      <c r="U187" s="584">
        <v>0</v>
      </c>
      <c r="V187" s="584">
        <v>0</v>
      </c>
      <c r="W187" s="584">
        <v>0</v>
      </c>
      <c r="X187" s="584">
        <v>0</v>
      </c>
      <c r="Y187" s="584">
        <v>0</v>
      </c>
      <c r="Z187" s="584">
        <v>0</v>
      </c>
    </row>
    <row r="188" spans="1:26" x14ac:dyDescent="0.2">
      <c r="A188" s="1390"/>
      <c r="B188" s="1391"/>
      <c r="C188" s="1391"/>
      <c r="D188" s="64">
        <v>7</v>
      </c>
      <c r="E188" s="61">
        <f t="shared" si="18"/>
        <v>0</v>
      </c>
      <c r="F188" s="584">
        <v>0</v>
      </c>
      <c r="G188" s="584">
        <v>0</v>
      </c>
      <c r="H188" s="584">
        <v>0</v>
      </c>
      <c r="I188" s="584">
        <v>0</v>
      </c>
      <c r="J188" s="584">
        <v>0</v>
      </c>
      <c r="K188" s="584">
        <v>0</v>
      </c>
      <c r="L188" s="584">
        <v>0</v>
      </c>
      <c r="M188" s="584">
        <v>0</v>
      </c>
      <c r="N188" s="584">
        <v>0</v>
      </c>
      <c r="O188" s="584">
        <v>0</v>
      </c>
      <c r="P188" s="584">
        <v>0</v>
      </c>
      <c r="Q188" s="584">
        <v>0</v>
      </c>
      <c r="R188" s="584">
        <v>0</v>
      </c>
      <c r="S188" s="584">
        <v>0</v>
      </c>
      <c r="T188" s="584">
        <v>0</v>
      </c>
      <c r="U188" s="584">
        <v>0</v>
      </c>
      <c r="V188" s="584">
        <v>0</v>
      </c>
      <c r="W188" s="584">
        <v>0</v>
      </c>
      <c r="X188" s="584">
        <v>0</v>
      </c>
      <c r="Y188" s="584">
        <v>0</v>
      </c>
      <c r="Z188" s="584">
        <v>0</v>
      </c>
    </row>
    <row r="189" spans="1:26" x14ac:dyDescent="0.2">
      <c r="A189" s="1390"/>
      <c r="B189" s="1391"/>
      <c r="C189" s="1391"/>
      <c r="D189" s="64">
        <v>8</v>
      </c>
      <c r="E189" s="61">
        <f t="shared" si="18"/>
        <v>0</v>
      </c>
      <c r="F189" s="584">
        <v>0</v>
      </c>
      <c r="G189" s="584">
        <v>0</v>
      </c>
      <c r="H189" s="584">
        <v>0</v>
      </c>
      <c r="I189" s="584">
        <v>0</v>
      </c>
      <c r="J189" s="584">
        <v>0</v>
      </c>
      <c r="K189" s="584">
        <v>0</v>
      </c>
      <c r="L189" s="584">
        <v>0</v>
      </c>
      <c r="M189" s="584">
        <v>0</v>
      </c>
      <c r="N189" s="584">
        <v>0</v>
      </c>
      <c r="O189" s="584">
        <v>0</v>
      </c>
      <c r="P189" s="584">
        <v>0</v>
      </c>
      <c r="Q189" s="584">
        <v>0</v>
      </c>
      <c r="R189" s="584">
        <v>0</v>
      </c>
      <c r="S189" s="584">
        <v>0</v>
      </c>
      <c r="T189" s="584">
        <v>0</v>
      </c>
      <c r="U189" s="584">
        <v>0</v>
      </c>
      <c r="V189" s="584">
        <v>0</v>
      </c>
      <c r="W189" s="584">
        <v>0</v>
      </c>
      <c r="X189" s="584">
        <v>0</v>
      </c>
      <c r="Y189" s="584">
        <v>0</v>
      </c>
      <c r="Z189" s="584">
        <v>0</v>
      </c>
    </row>
    <row r="190" spans="1:26" x14ac:dyDescent="0.2">
      <c r="A190" s="1390"/>
      <c r="B190" s="1391"/>
      <c r="C190" s="1391"/>
      <c r="D190" s="64">
        <v>9</v>
      </c>
      <c r="E190" s="61">
        <f t="shared" si="18"/>
        <v>0</v>
      </c>
      <c r="F190" s="584">
        <v>0</v>
      </c>
      <c r="G190" s="584">
        <v>0</v>
      </c>
      <c r="H190" s="584">
        <v>0</v>
      </c>
      <c r="I190" s="584">
        <v>0</v>
      </c>
      <c r="J190" s="584">
        <v>0</v>
      </c>
      <c r="K190" s="584">
        <v>0</v>
      </c>
      <c r="L190" s="584">
        <v>0</v>
      </c>
      <c r="M190" s="584">
        <v>0</v>
      </c>
      <c r="N190" s="584">
        <v>0</v>
      </c>
      <c r="O190" s="584">
        <v>0</v>
      </c>
      <c r="P190" s="584">
        <v>0</v>
      </c>
      <c r="Q190" s="584">
        <v>0</v>
      </c>
      <c r="R190" s="584">
        <v>0</v>
      </c>
      <c r="S190" s="584">
        <v>0</v>
      </c>
      <c r="T190" s="584">
        <v>0</v>
      </c>
      <c r="U190" s="584">
        <v>0</v>
      </c>
      <c r="V190" s="584">
        <v>0</v>
      </c>
      <c r="W190" s="584">
        <v>0</v>
      </c>
      <c r="X190" s="584">
        <v>0</v>
      </c>
      <c r="Y190" s="584">
        <v>0</v>
      </c>
      <c r="Z190" s="584">
        <v>0</v>
      </c>
    </row>
    <row r="191" spans="1:26" ht="16" thickBot="1" x14ac:dyDescent="0.25">
      <c r="A191" s="1390"/>
      <c r="B191" s="1391"/>
      <c r="C191" s="1391"/>
      <c r="D191" s="65">
        <v>10</v>
      </c>
      <c r="E191" s="62">
        <f t="shared" si="18"/>
        <v>0</v>
      </c>
      <c r="F191" s="585">
        <v>0</v>
      </c>
      <c r="G191" s="585">
        <v>0</v>
      </c>
      <c r="H191" s="585">
        <v>0</v>
      </c>
      <c r="I191" s="585">
        <v>0</v>
      </c>
      <c r="J191" s="585">
        <v>0</v>
      </c>
      <c r="K191" s="585">
        <v>0</v>
      </c>
      <c r="L191" s="585">
        <v>0</v>
      </c>
      <c r="M191" s="585">
        <v>0</v>
      </c>
      <c r="N191" s="585">
        <v>0</v>
      </c>
      <c r="O191" s="585">
        <v>0</v>
      </c>
      <c r="P191" s="585">
        <v>0</v>
      </c>
      <c r="Q191" s="585">
        <v>0</v>
      </c>
      <c r="R191" s="585">
        <v>0</v>
      </c>
      <c r="S191" s="585">
        <v>0</v>
      </c>
      <c r="T191" s="585">
        <v>0</v>
      </c>
      <c r="U191" s="585">
        <v>0</v>
      </c>
      <c r="V191" s="585">
        <v>0</v>
      </c>
      <c r="W191" s="585">
        <v>0</v>
      </c>
      <c r="X191" s="585">
        <v>0</v>
      </c>
      <c r="Y191" s="585">
        <v>0</v>
      </c>
      <c r="Z191" s="585">
        <v>0</v>
      </c>
    </row>
  </sheetData>
  <mergeCells count="60">
    <mergeCell ref="A120:A129"/>
    <mergeCell ref="B120:B129"/>
    <mergeCell ref="C120:C129"/>
    <mergeCell ref="A130:A139"/>
    <mergeCell ref="B130:B139"/>
    <mergeCell ref="C130:C139"/>
    <mergeCell ref="A161:A170"/>
    <mergeCell ref="B161:B170"/>
    <mergeCell ref="C161:C170"/>
    <mergeCell ref="A140:A149"/>
    <mergeCell ref="B140:B149"/>
    <mergeCell ref="A151:A160"/>
    <mergeCell ref="B151:B160"/>
    <mergeCell ref="C151:C160"/>
    <mergeCell ref="C140:C149"/>
    <mergeCell ref="A110:A119"/>
    <mergeCell ref="B110:B119"/>
    <mergeCell ref="A77:C77"/>
    <mergeCell ref="A79:A88"/>
    <mergeCell ref="B79:B88"/>
    <mergeCell ref="C79:C88"/>
    <mergeCell ref="A89:A98"/>
    <mergeCell ref="B89:B98"/>
    <mergeCell ref="C89:C98"/>
    <mergeCell ref="A100:A109"/>
    <mergeCell ref="B100:B109"/>
    <mergeCell ref="C100:C109"/>
    <mergeCell ref="C110:C119"/>
    <mergeCell ref="A67:A76"/>
    <mergeCell ref="B67:B76"/>
    <mergeCell ref="A26:A35"/>
    <mergeCell ref="B26:B35"/>
    <mergeCell ref="C26:C35"/>
    <mergeCell ref="A37:A46"/>
    <mergeCell ref="B37:B46"/>
    <mergeCell ref="C37:C46"/>
    <mergeCell ref="C67:C76"/>
    <mergeCell ref="A171:C171"/>
    <mergeCell ref="A172:A181"/>
    <mergeCell ref="B172:B181"/>
    <mergeCell ref="C172:C181"/>
    <mergeCell ref="A182:A191"/>
    <mergeCell ref="B182:B191"/>
    <mergeCell ref="C182:C191"/>
    <mergeCell ref="F1:Z1"/>
    <mergeCell ref="A16:A25"/>
    <mergeCell ref="B16:B25"/>
    <mergeCell ref="C16:C25"/>
    <mergeCell ref="A57:A66"/>
    <mergeCell ref="B57:B66"/>
    <mergeCell ref="C57:C66"/>
    <mergeCell ref="A47:A56"/>
    <mergeCell ref="B47:B56"/>
    <mergeCell ref="C47:C56"/>
    <mergeCell ref="A4:C4"/>
    <mergeCell ref="C6:C15"/>
    <mergeCell ref="A6:A15"/>
    <mergeCell ref="B6:B15"/>
    <mergeCell ref="A1:D1"/>
    <mergeCell ref="A2:D2"/>
  </mergeCells>
  <conditionalFormatting sqref="F2:Z2">
    <cfRule type="cellIs" dxfId="1" priority="1" operator="equal">
      <formula>0</formula>
    </cfRule>
  </conditionalFormatting>
  <pageMargins left="0.7" right="0.7" top="0.75" bottom="0.75" header="0.3" footer="0.3"/>
  <pageSetup paperSize="9" scale="29" orientation="portrait" r:id="rId1"/>
  <ignoredErrors>
    <ignoredError sqref="E36 E99" formula="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13">
    <tabColor rgb="FFFFFF00"/>
    <outlinePr summaryBelow="0" summaryRight="0"/>
  </sheetPr>
  <dimension ref="A1:AB105"/>
  <sheetViews>
    <sheetView zoomScale="70" zoomScaleNormal="70" workbookViewId="0">
      <pane ySplit="3" topLeftCell="A47" activePane="bottomLeft" state="frozen"/>
      <selection activeCell="G18" sqref="G18"/>
      <selection pane="bottomLeft" activeCell="P69" sqref="P69"/>
    </sheetView>
  </sheetViews>
  <sheetFormatPr baseColWidth="10" defaultColWidth="8.83203125" defaultRowHeight="15" outlineLevelRow="1" outlineLevelCol="1" x14ac:dyDescent="0.2"/>
  <cols>
    <col min="1" max="1" width="22.5" customWidth="1"/>
    <col min="2" max="2" width="23.33203125" customWidth="1"/>
    <col min="3" max="3" width="22.5" customWidth="1"/>
    <col min="4" max="4" width="8.83203125" style="197"/>
    <col min="5" max="5" width="17.83203125" customWidth="1"/>
    <col min="6" max="25" width="18.6640625" customWidth="1" outlineLevel="1"/>
    <col min="26" max="26" width="18.6640625" customWidth="1"/>
    <col min="28" max="28" width="10.6640625" bestFit="1" customWidth="1"/>
  </cols>
  <sheetData>
    <row r="1" spans="1:26" ht="29" x14ac:dyDescent="0.35">
      <c r="A1" s="1400"/>
      <c r="B1" s="1400"/>
      <c r="C1" s="1400"/>
      <c r="D1" s="1400"/>
      <c r="F1" s="1399" t="s">
        <v>292</v>
      </c>
      <c r="G1" s="1399"/>
      <c r="H1" s="1399"/>
      <c r="I1" s="1399"/>
      <c r="J1" s="1399"/>
      <c r="K1" s="1399"/>
      <c r="L1" s="1399"/>
      <c r="M1" s="1399"/>
      <c r="N1" s="1399"/>
      <c r="O1" s="1399"/>
      <c r="P1" s="1399"/>
      <c r="Q1" s="1399"/>
      <c r="R1" s="1399"/>
      <c r="S1" s="1399"/>
      <c r="T1" s="1399"/>
      <c r="U1" s="1399"/>
      <c r="V1" s="1399"/>
      <c r="W1" s="1399"/>
      <c r="X1" s="1399"/>
      <c r="Y1" s="1399"/>
      <c r="Z1" s="1399"/>
    </row>
    <row r="2" spans="1:26" ht="36" customHeight="1" thickBot="1" x14ac:dyDescent="0.3">
      <c r="A2" s="1386" t="s">
        <v>95</v>
      </c>
      <c r="B2" s="1386"/>
      <c r="C2" s="1386"/>
      <c r="D2" s="1387"/>
      <c r="E2" s="66" t="s">
        <v>35</v>
      </c>
      <c r="F2" s="575" t="str">
        <f>MODULY_CBA!B3</f>
        <v>NetAcad LAB A vybavenie (Networking a základy cybersec)</v>
      </c>
      <c r="G2" s="575" t="str">
        <f>MODULY_CBA!$B4</f>
        <v>NetAcad LAB B vybavenie (Pokročilá cybersec)</v>
      </c>
      <c r="H2" s="575" t="str">
        <f>MODULY_CBA!$B5</f>
        <v>NetAcad LAB spoločná komunikačná infraštruktúra</v>
      </c>
      <c r="I2" s="575" t="str">
        <f>MODULY_CBA!$B6</f>
        <v>NetAcad LAB vzdelávací obsah v  oblasti kybernetickej bezpečnosti (na Slovensku)</v>
      </c>
      <c r="J2" s="575" t="str">
        <f>MODULY_CBA!$B7</f>
        <v>LMS Cluster + Interoperabilita</v>
      </c>
      <c r="K2" s="575" t="str">
        <f>MODULY_CBA!$B8</f>
        <v>CSKI Centrálna serverová a komunikačná infraštruktúra</v>
      </c>
      <c r="L2" s="575" t="str">
        <f>MODULY_CBA!$B9</f>
        <v>AI Cluster</v>
      </c>
      <c r="M2" s="575" t="str">
        <f>MODULY_CBA!$B10</f>
        <v>CSIRT-SOC Cluster</v>
      </c>
      <c r="N2" s="575" t="str">
        <f>MODULY_CBA!$B11</f>
        <v>Kvantové počítače a príslušenstvo</v>
      </c>
      <c r="O2" s="575" t="str">
        <f>MODULY_CBA!$B12</f>
        <v>Rozširujúce laboratórne vybavenie UI</v>
      </c>
      <c r="P2" s="575" t="str">
        <f>MODULY_CBA!$B13</f>
        <v>Externé služby a podpora (kurzy, vzdelávanie, ....)</v>
      </c>
      <c r="Q2" s="575">
        <f>MODULY_CBA!$B14</f>
        <v>0</v>
      </c>
      <c r="R2" s="575">
        <f>MODULY_CBA!$B15</f>
        <v>0</v>
      </c>
      <c r="S2" s="575">
        <f>MODULY_CBA!$B16</f>
        <v>0</v>
      </c>
      <c r="T2" s="575">
        <f>MODULY_CBA!$B17</f>
        <v>0</v>
      </c>
      <c r="U2" s="575">
        <f>MODULY_CBA!$B18</f>
        <v>0</v>
      </c>
      <c r="V2" s="575">
        <f>MODULY_CBA!$B19</f>
        <v>0</v>
      </c>
      <c r="W2" s="575">
        <f>MODULY_CBA!$B20</f>
        <v>0</v>
      </c>
      <c r="X2" s="575">
        <f>MODULY_CBA!$B21</f>
        <v>0</v>
      </c>
      <c r="Y2" s="575">
        <f>MODULY_CBA!$B22</f>
        <v>0</v>
      </c>
      <c r="Z2" s="575">
        <f>MODULY_CBA!$B23</f>
        <v>0</v>
      </c>
    </row>
    <row r="3" spans="1:26" ht="16" thickBot="1" x14ac:dyDescent="0.25">
      <c r="A3" s="36" t="s">
        <v>0</v>
      </c>
      <c r="B3" s="70" t="s">
        <v>73</v>
      </c>
      <c r="C3" s="70" t="s">
        <v>72</v>
      </c>
      <c r="D3" s="157" t="s">
        <v>23</v>
      </c>
      <c r="E3" s="17"/>
      <c r="F3" s="17"/>
      <c r="G3" s="17"/>
      <c r="H3" s="17"/>
      <c r="I3" s="17"/>
      <c r="J3" s="17"/>
      <c r="K3" s="17"/>
      <c r="L3" s="17"/>
      <c r="M3" s="17"/>
      <c r="N3" s="17"/>
      <c r="O3" s="17"/>
      <c r="P3" s="17"/>
      <c r="Q3" s="17"/>
      <c r="R3" s="17"/>
      <c r="S3" s="17"/>
      <c r="T3" s="17"/>
      <c r="U3" s="17"/>
      <c r="V3" s="17"/>
      <c r="W3" s="17"/>
      <c r="X3" s="17"/>
      <c r="Y3" s="17"/>
      <c r="Z3" s="17"/>
    </row>
    <row r="4" spans="1:26" ht="16" thickBot="1" x14ac:dyDescent="0.25">
      <c r="A4" s="1401" t="s">
        <v>85</v>
      </c>
      <c r="B4" s="1401"/>
      <c r="C4" s="1401"/>
      <c r="D4" s="592"/>
      <c r="E4" s="72">
        <f t="shared" ref="E4:F4" si="0">SUM(E5:E54)</f>
        <v>20598960.921417665</v>
      </c>
      <c r="F4" s="73">
        <f t="shared" si="0"/>
        <v>7848432.7174082445</v>
      </c>
      <c r="G4" s="73">
        <f t="shared" ref="G4:Z4" si="1">SUM(G5:G54)</f>
        <v>1457269.8403526454</v>
      </c>
      <c r="H4" s="73">
        <f t="shared" si="1"/>
        <v>171999.42116447724</v>
      </c>
      <c r="I4" s="73">
        <f t="shared" si="1"/>
        <v>0</v>
      </c>
      <c r="J4" s="73">
        <f t="shared" si="1"/>
        <v>0</v>
      </c>
      <c r="K4" s="73">
        <f t="shared" si="1"/>
        <v>6411733.15386</v>
      </c>
      <c r="L4" s="73">
        <f t="shared" si="1"/>
        <v>3799941.407289796</v>
      </c>
      <c r="M4" s="73">
        <f t="shared" si="1"/>
        <v>0</v>
      </c>
      <c r="N4" s="73">
        <f t="shared" si="1"/>
        <v>539355</v>
      </c>
      <c r="O4" s="73">
        <f t="shared" si="1"/>
        <v>324719.38134249998</v>
      </c>
      <c r="P4" s="73">
        <f t="shared" si="1"/>
        <v>45510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outlineLevel="1" x14ac:dyDescent="0.2">
      <c r="A5" s="1390" t="s">
        <v>87</v>
      </c>
      <c r="B5" s="1390" t="s">
        <v>307</v>
      </c>
      <c r="C5" s="1391">
        <v>713002</v>
      </c>
      <c r="D5" s="496">
        <v>1</v>
      </c>
      <c r="E5" s="67">
        <f t="shared" ref="E5:E54" si="2">SUM(F5:Z5)</f>
        <v>0</v>
      </c>
      <c r="F5" s="579">
        <f>IFERROR(SUMIFS('Rozpočet - HW a licencie'!$I$3:$I$102,'Rozpočet - HW a licencie'!$A$3:$A$102,'TCO TO BE - HW'!F$2,'Rozpočet - HW a licencie'!$C$3:$C$102,"HW",'Rozpočet - HW a licencie'!$G$3:$G$102,'TCO TO BE - HW'!$D5,'Rozpočet - HW a licencie'!$D$3:$D$102,'TCO TO BE - HW'!$B$5)+SUMIFS('Rozpočet - HW a licencie'!$I$3:$I$102,'Rozpočet - HW a licencie'!$A$3:$A$102,'TCO TO BE - HW'!F$2,'Rozpočet - HW a licencie'!$C$3:$C$102,"SW pre HW",'Rozpočet - HW a licencie'!$G$3:$G$102,'TCO TO BE - HW'!$D5,'Rozpočet - HW a licencie'!$D$3:$D$102,'TCO TO BE - HW'!$B$5),)</f>
        <v>0</v>
      </c>
      <c r="G5" s="579">
        <f>IFERROR(SUMIFS('Rozpočet - HW a licencie'!$I$3:$I$102,'Rozpočet - HW a licencie'!$A$3:$A$102,'TCO TO BE - HW'!G$2,'Rozpočet - HW a licencie'!$C$3:$C$102,"HW",'Rozpočet - HW a licencie'!$G$3:$G$102,'TCO TO BE - HW'!$D5,'Rozpočet - HW a licencie'!$D$3:$D$102,'TCO TO BE - HW'!$B$5)+SUMIFS('Rozpočet - HW a licencie'!$I$3:$I$102,'Rozpočet - HW a licencie'!$A$3:$A$102,'TCO TO BE - HW'!G$2,'Rozpočet - HW a licencie'!$C$3:$C$102,"SW pre HW",'Rozpočet - HW a licencie'!$G$3:$G$102,'TCO TO BE - HW'!$D5,'Rozpočet - HW a licencie'!$D$3:$D$102,'TCO TO BE - HW'!$B$5),)</f>
        <v>0</v>
      </c>
      <c r="H5" s="579">
        <f>IFERROR(SUMIFS('Rozpočet - HW a licencie'!$I$3:$I$102,'Rozpočet - HW a licencie'!$A$3:$A$102,'TCO TO BE - HW'!H$2,'Rozpočet - HW a licencie'!$C$3:$C$102,"HW",'Rozpočet - HW a licencie'!$G$3:$G$102,'TCO TO BE - HW'!$D5,'Rozpočet - HW a licencie'!$D$3:$D$102,'TCO TO BE - HW'!$B$5)+SUMIFS('Rozpočet - HW a licencie'!$I$3:$I$102,'Rozpočet - HW a licencie'!$A$3:$A$102,'TCO TO BE - HW'!H$2,'Rozpočet - HW a licencie'!$C$3:$C$102,"SW pre HW",'Rozpočet - HW a licencie'!$G$3:$G$102,'TCO TO BE - HW'!$D5,'Rozpočet - HW a licencie'!$D$3:$D$102,'TCO TO BE - HW'!$B$5),)</f>
        <v>0</v>
      </c>
      <c r="I5" s="579">
        <f>IFERROR(SUMIFS('Rozpočet - HW a licencie'!$I$3:$I$102,'Rozpočet - HW a licencie'!$A$3:$A$102,'TCO TO BE - HW'!I$2,'Rozpočet - HW a licencie'!$C$3:$C$102,"HW",'Rozpočet - HW a licencie'!$G$3:$G$102,'TCO TO BE - HW'!$D5,'Rozpočet - HW a licencie'!$D$3:$D$102,'TCO TO BE - HW'!$B$5)+SUMIFS('Rozpočet - HW a licencie'!$I$3:$I$102,'Rozpočet - HW a licencie'!$A$3:$A$102,'TCO TO BE - HW'!I$2,'Rozpočet - HW a licencie'!$C$3:$C$102,"SW pre HW",'Rozpočet - HW a licencie'!$G$3:$G$102,'TCO TO BE - HW'!$D5,'Rozpočet - HW a licencie'!$D$3:$D$102,'TCO TO BE - HW'!$B$5),)</f>
        <v>0</v>
      </c>
      <c r="J5" s="579">
        <f>IFERROR(SUMIFS('Rozpočet - HW a licencie'!$I$3:$I$102,'Rozpočet - HW a licencie'!$A$3:$A$102,'TCO TO BE - HW'!J$2,'Rozpočet - HW a licencie'!$C$3:$C$102,"HW",'Rozpočet - HW a licencie'!$G$3:$G$102,'TCO TO BE - HW'!$D5,'Rozpočet - HW a licencie'!$D$3:$D$102,'TCO TO BE - HW'!$B$5)+SUMIFS('Rozpočet - HW a licencie'!$I$3:$I$102,'Rozpočet - HW a licencie'!$A$3:$A$102,'TCO TO BE - HW'!J$2,'Rozpočet - HW a licencie'!$C$3:$C$102,"SW pre HW",'Rozpočet - HW a licencie'!$G$3:$G$102,'TCO TO BE - HW'!$D5,'Rozpočet - HW a licencie'!$D$3:$D$102,'TCO TO BE - HW'!$B$5),)</f>
        <v>0</v>
      </c>
      <c r="K5" s="579">
        <f>IFERROR(SUMIFS('Rozpočet - HW a licencie'!$I$3:$I$102,'Rozpočet - HW a licencie'!$A$3:$A$102,'TCO TO BE - HW'!K$2,'Rozpočet - HW a licencie'!$C$3:$C$102,"HW",'Rozpočet - HW a licencie'!$G$3:$G$102,'TCO TO BE - HW'!$D5,'Rozpočet - HW a licencie'!$D$3:$D$102,'TCO TO BE - HW'!$B$5)+SUMIFS('Rozpočet - HW a licencie'!$I$3:$I$102,'Rozpočet - HW a licencie'!$A$3:$A$102,'TCO TO BE - HW'!K$2,'Rozpočet - HW a licencie'!$C$3:$C$102,"SW pre HW",'Rozpočet - HW a licencie'!$G$3:$G$102,'TCO TO BE - HW'!$D5,'Rozpočet - HW a licencie'!$D$3:$D$102,'TCO TO BE - HW'!$B$5),)</f>
        <v>0</v>
      </c>
      <c r="L5" s="579">
        <f>IFERROR(SUMIFS('Rozpočet - HW a licencie'!$I$3:$I$102,'Rozpočet - HW a licencie'!$A$3:$A$102,'TCO TO BE - HW'!L$2,'Rozpočet - HW a licencie'!$C$3:$C$102,"HW",'Rozpočet - HW a licencie'!$G$3:$G$102,'TCO TO BE - HW'!$D5,'Rozpočet - HW a licencie'!$D$3:$D$102,'TCO TO BE - HW'!$B$5)+SUMIFS('Rozpočet - HW a licencie'!$I$3:$I$102,'Rozpočet - HW a licencie'!$A$3:$A$102,'TCO TO BE - HW'!L$2,'Rozpočet - HW a licencie'!$C$3:$C$102,"SW pre HW",'Rozpočet - HW a licencie'!$G$3:$G$102,'TCO TO BE - HW'!$D5,'Rozpočet - HW a licencie'!$D$3:$D$102,'TCO TO BE - HW'!$B$5),)</f>
        <v>0</v>
      </c>
      <c r="M5" s="579">
        <f>IFERROR(SUMIFS('Rozpočet - HW a licencie'!$I$3:$I$102,'Rozpočet - HW a licencie'!$A$3:$A$102,'TCO TO BE - HW'!M$2,'Rozpočet - HW a licencie'!$C$3:$C$102,"HW",'Rozpočet - HW a licencie'!$G$3:$G$102,'TCO TO BE - HW'!$D5,'Rozpočet - HW a licencie'!$D$3:$D$102,'TCO TO BE - HW'!$B$5)+SUMIFS('Rozpočet - HW a licencie'!$I$3:$I$102,'Rozpočet - HW a licencie'!$A$3:$A$102,'TCO TO BE - HW'!M$2,'Rozpočet - HW a licencie'!$C$3:$C$102,"SW pre HW",'Rozpočet - HW a licencie'!$G$3:$G$102,'TCO TO BE - HW'!$D5,'Rozpočet - HW a licencie'!$D$3:$D$102,'TCO TO BE - HW'!$B$5),)</f>
        <v>0</v>
      </c>
      <c r="N5" s="579">
        <f>IFERROR(SUMIFS('Rozpočet - HW a licencie'!$I$3:$I$102,'Rozpočet - HW a licencie'!$A$3:$A$102,'TCO TO BE - HW'!N$2,'Rozpočet - HW a licencie'!$C$3:$C$102,"HW",'Rozpočet - HW a licencie'!$G$3:$G$102,'TCO TO BE - HW'!$D5,'Rozpočet - HW a licencie'!$D$3:$D$102,'TCO TO BE - HW'!$B$5)+SUMIFS('Rozpočet - HW a licencie'!$I$3:$I$102,'Rozpočet - HW a licencie'!$A$3:$A$102,'TCO TO BE - HW'!N$2,'Rozpočet - HW a licencie'!$C$3:$C$102,"SW pre HW",'Rozpočet - HW a licencie'!$G$3:$G$102,'TCO TO BE - HW'!$D5,'Rozpočet - HW a licencie'!$D$3:$D$102,'TCO TO BE - HW'!$B$5),)</f>
        <v>0</v>
      </c>
      <c r="O5" s="579">
        <f>IFERROR(SUMIFS('Rozpočet - HW a licencie'!$I$3:$I$102,'Rozpočet - HW a licencie'!$A$3:$A$102,'TCO TO BE - HW'!O$2,'Rozpočet - HW a licencie'!$C$3:$C$102,"HW",'Rozpočet - HW a licencie'!$G$3:$G$102,'TCO TO BE - HW'!$D5,'Rozpočet - HW a licencie'!$D$3:$D$102,'TCO TO BE - HW'!$B$5)+SUMIFS('Rozpočet - HW a licencie'!$I$3:$I$102,'Rozpočet - HW a licencie'!$A$3:$A$102,'TCO TO BE - HW'!O$2,'Rozpočet - HW a licencie'!$C$3:$C$102,"SW pre HW",'Rozpočet - HW a licencie'!$G$3:$G$102,'TCO TO BE - HW'!$D5,'Rozpočet - HW a licencie'!$D$3:$D$102,'TCO TO BE - HW'!$B$5),)</f>
        <v>0</v>
      </c>
      <c r="P5" s="579">
        <f>IFERROR(SUMIFS('Rozpočet - HW a licencie'!$I$3:$I$102,'Rozpočet - HW a licencie'!$A$3:$A$102,'TCO TO BE - HW'!P$2,'Rozpočet - HW a licencie'!$C$3:$C$102,"HW",'Rozpočet - HW a licencie'!$G$3:$G$102,'TCO TO BE - HW'!$D5,'Rozpočet - HW a licencie'!$D$3:$D$102,'TCO TO BE - HW'!$B$5)+SUMIFS('Rozpočet - HW a licencie'!$I$3:$I$102,'Rozpočet - HW a licencie'!$A$3:$A$102,'TCO TO BE - HW'!P$2,'Rozpočet - HW a licencie'!$C$3:$C$102,"SW pre HW",'Rozpočet - HW a licencie'!$G$3:$G$102,'TCO TO BE - HW'!$D5,'Rozpočet - HW a licencie'!$D$3:$D$102,'TCO TO BE - HW'!$B$5),)</f>
        <v>0</v>
      </c>
      <c r="Q5" s="579">
        <f>IFERROR(SUMIFS('Rozpočet - HW a licencie'!$I$3:$I$102,'Rozpočet - HW a licencie'!$A$3:$A$102,'TCO TO BE - HW'!Q$2,'Rozpočet - HW a licencie'!$C$3:$C$102,"HW",'Rozpočet - HW a licencie'!$G$3:$G$102,'TCO TO BE - HW'!$D5,'Rozpočet - HW a licencie'!$D$3:$D$102,'TCO TO BE - HW'!$B$5)+SUMIFS('Rozpočet - HW a licencie'!$I$3:$I$102,'Rozpočet - HW a licencie'!$A$3:$A$102,'TCO TO BE - HW'!Q$2,'Rozpočet - HW a licencie'!$C$3:$C$102,"SW pre HW",'Rozpočet - HW a licencie'!$G$3:$G$102,'TCO TO BE - HW'!$D5,'Rozpočet - HW a licencie'!$D$3:$D$102,'TCO TO BE - HW'!$B$5),)</f>
        <v>0</v>
      </c>
      <c r="R5" s="579">
        <f>IFERROR(SUMIFS('Rozpočet - HW a licencie'!$I$3:$I$102,'Rozpočet - HW a licencie'!$A$3:$A$102,'TCO TO BE - HW'!R$2,'Rozpočet - HW a licencie'!$C$3:$C$102,"HW",'Rozpočet - HW a licencie'!$G$3:$G$102,'TCO TO BE - HW'!$D5,'Rozpočet - HW a licencie'!$D$3:$D$102,'TCO TO BE - HW'!$B$5)+SUMIFS('Rozpočet - HW a licencie'!$I$3:$I$102,'Rozpočet - HW a licencie'!$A$3:$A$102,'TCO TO BE - HW'!R$2,'Rozpočet - HW a licencie'!$C$3:$C$102,"SW pre HW",'Rozpočet - HW a licencie'!$G$3:$G$102,'TCO TO BE - HW'!$D5,'Rozpočet - HW a licencie'!$D$3:$D$102,'TCO TO BE - HW'!$B$5),)</f>
        <v>0</v>
      </c>
      <c r="S5" s="579">
        <f>IFERROR(SUMIFS('Rozpočet - HW a licencie'!$I$3:$I$102,'Rozpočet - HW a licencie'!$A$3:$A$102,'TCO TO BE - HW'!S$2,'Rozpočet - HW a licencie'!$C$3:$C$102,"HW",'Rozpočet - HW a licencie'!$G$3:$G$102,'TCO TO BE - HW'!$D5,'Rozpočet - HW a licencie'!$D$3:$D$102,'TCO TO BE - HW'!$B$5)+SUMIFS('Rozpočet - HW a licencie'!$I$3:$I$102,'Rozpočet - HW a licencie'!$A$3:$A$102,'TCO TO BE - HW'!S$2,'Rozpočet - HW a licencie'!$C$3:$C$102,"SW pre HW",'Rozpočet - HW a licencie'!$G$3:$G$102,'TCO TO BE - HW'!$D5,'Rozpočet - HW a licencie'!$D$3:$D$102,'TCO TO BE - HW'!$B$5),)</f>
        <v>0</v>
      </c>
      <c r="T5" s="579">
        <f>IFERROR(SUMIFS('Rozpočet - HW a licencie'!$I$3:$I$102,'Rozpočet - HW a licencie'!$A$3:$A$102,'TCO TO BE - HW'!T$2,'Rozpočet - HW a licencie'!$C$3:$C$102,"HW",'Rozpočet - HW a licencie'!$G$3:$G$102,'TCO TO BE - HW'!$D5,'Rozpočet - HW a licencie'!$D$3:$D$102,'TCO TO BE - HW'!$B$5)+SUMIFS('Rozpočet - HW a licencie'!$I$3:$I$102,'Rozpočet - HW a licencie'!$A$3:$A$102,'TCO TO BE - HW'!T$2,'Rozpočet - HW a licencie'!$C$3:$C$102,"SW pre HW",'Rozpočet - HW a licencie'!$G$3:$G$102,'TCO TO BE - HW'!$D5,'Rozpočet - HW a licencie'!$D$3:$D$102,'TCO TO BE - HW'!$B$5),)</f>
        <v>0</v>
      </c>
      <c r="U5" s="579">
        <f>IFERROR(SUMIFS('Rozpočet - HW a licencie'!$I$3:$I$102,'Rozpočet - HW a licencie'!$A$3:$A$102,'TCO TO BE - HW'!U$2,'Rozpočet - HW a licencie'!$C$3:$C$102,"HW",'Rozpočet - HW a licencie'!$G$3:$G$102,'TCO TO BE - HW'!$D5,'Rozpočet - HW a licencie'!$D$3:$D$102,'TCO TO BE - HW'!$B$5)+SUMIFS('Rozpočet - HW a licencie'!$I$3:$I$102,'Rozpočet - HW a licencie'!$A$3:$A$102,'TCO TO BE - HW'!U$2,'Rozpočet - HW a licencie'!$C$3:$C$102,"SW pre HW",'Rozpočet - HW a licencie'!$G$3:$G$102,'TCO TO BE - HW'!$D5,'Rozpočet - HW a licencie'!$D$3:$D$102,'TCO TO BE - HW'!$B$5),)</f>
        <v>0</v>
      </c>
      <c r="V5" s="579">
        <f>IFERROR(SUMIFS('Rozpočet - HW a licencie'!$I$3:$I$102,'Rozpočet - HW a licencie'!$A$3:$A$102,'TCO TO BE - HW'!V$2,'Rozpočet - HW a licencie'!$C$3:$C$102,"HW",'Rozpočet - HW a licencie'!$G$3:$G$102,'TCO TO BE - HW'!$D5,'Rozpočet - HW a licencie'!$D$3:$D$102,'TCO TO BE - HW'!$B$5)+SUMIFS('Rozpočet - HW a licencie'!$I$3:$I$102,'Rozpočet - HW a licencie'!$A$3:$A$102,'TCO TO BE - HW'!V$2,'Rozpočet - HW a licencie'!$C$3:$C$102,"SW pre HW",'Rozpočet - HW a licencie'!$G$3:$G$102,'TCO TO BE - HW'!$D5,'Rozpočet - HW a licencie'!$D$3:$D$102,'TCO TO BE - HW'!$B$5),)</f>
        <v>0</v>
      </c>
      <c r="W5" s="579">
        <f>IFERROR(SUMIFS('Rozpočet - HW a licencie'!$I$3:$I$102,'Rozpočet - HW a licencie'!$A$3:$A$102,'TCO TO BE - HW'!W$2,'Rozpočet - HW a licencie'!$C$3:$C$102,"HW",'Rozpočet - HW a licencie'!$G$3:$G$102,'TCO TO BE - HW'!$D5,'Rozpočet - HW a licencie'!$D$3:$D$102,'TCO TO BE - HW'!$B$5)+SUMIFS('Rozpočet - HW a licencie'!$I$3:$I$102,'Rozpočet - HW a licencie'!$A$3:$A$102,'TCO TO BE - HW'!W$2,'Rozpočet - HW a licencie'!$C$3:$C$102,"SW pre HW",'Rozpočet - HW a licencie'!$G$3:$G$102,'TCO TO BE - HW'!$D5,'Rozpočet - HW a licencie'!$D$3:$D$102,'TCO TO BE - HW'!$B$5),)</f>
        <v>0</v>
      </c>
      <c r="X5" s="579">
        <f>IFERROR(SUMIFS('Rozpočet - HW a licencie'!$I$3:$I$102,'Rozpočet - HW a licencie'!$A$3:$A$102,'TCO TO BE - HW'!X$2,'Rozpočet - HW a licencie'!$C$3:$C$102,"HW",'Rozpočet - HW a licencie'!$G$3:$G$102,'TCO TO BE - HW'!$D5,'Rozpočet - HW a licencie'!$D$3:$D$102,'TCO TO BE - HW'!$B$5)+SUMIFS('Rozpočet - HW a licencie'!$I$3:$I$102,'Rozpočet - HW a licencie'!$A$3:$A$102,'TCO TO BE - HW'!X$2,'Rozpočet - HW a licencie'!$C$3:$C$102,"SW pre HW",'Rozpočet - HW a licencie'!$G$3:$G$102,'TCO TO BE - HW'!$D5,'Rozpočet - HW a licencie'!$D$3:$D$102,'TCO TO BE - HW'!$B$5),)</f>
        <v>0</v>
      </c>
      <c r="Y5" s="579">
        <f>IFERROR(SUMIFS('Rozpočet - HW a licencie'!$I$3:$I$102,'Rozpočet - HW a licencie'!$A$3:$A$102,'TCO TO BE - HW'!Y$2,'Rozpočet - HW a licencie'!$C$3:$C$102,"HW",'Rozpočet - HW a licencie'!$G$3:$G$102,'TCO TO BE - HW'!$D5,'Rozpočet - HW a licencie'!$D$3:$D$102,'TCO TO BE - HW'!$B$5)+SUMIFS('Rozpočet - HW a licencie'!$I$3:$I$102,'Rozpočet - HW a licencie'!$A$3:$A$102,'TCO TO BE - HW'!Y$2,'Rozpočet - HW a licencie'!$C$3:$C$102,"SW pre HW",'Rozpočet - HW a licencie'!$G$3:$G$102,'TCO TO BE - HW'!$D5,'Rozpočet - HW a licencie'!$D$3:$D$102,'TCO TO BE - HW'!$B$5),)</f>
        <v>0</v>
      </c>
      <c r="Z5" s="579">
        <f>IFERROR(SUMIFS('Rozpočet - HW a licencie'!$I$3:$I$102,'Rozpočet - HW a licencie'!$A$3:$A$102,'TCO TO BE - HW'!Z$2,'Rozpočet - HW a licencie'!$C$3:$C$102,"HW",'Rozpočet - HW a licencie'!$G$3:$G$102,'TCO TO BE - HW'!$D5,'Rozpočet - HW a licencie'!$D$3:$D$102,'TCO TO BE - HW'!$B$5)+SUMIFS('Rozpočet - HW a licencie'!$I$3:$I$102,'Rozpočet - HW a licencie'!$A$3:$A$102,'TCO TO BE - HW'!Z$2,'Rozpočet - HW a licencie'!$C$3:$C$102,"SW pre HW",'Rozpočet - HW a licencie'!$G$3:$G$102,'TCO TO BE - HW'!$D5,'Rozpočet - HW a licencie'!$D$3:$D$102,'TCO TO BE - HW'!$B$5),)</f>
        <v>0</v>
      </c>
    </row>
    <row r="6" spans="1:26" outlineLevel="1" x14ac:dyDescent="0.2">
      <c r="A6" s="1390"/>
      <c r="B6" s="1391"/>
      <c r="C6" s="1391"/>
      <c r="D6" s="497">
        <v>2</v>
      </c>
      <c r="E6" s="68">
        <f t="shared" si="2"/>
        <v>20553450.921417665</v>
      </c>
      <c r="F6" s="579">
        <f>IFERROR(SUMIFS('Rozpočet - HW a licencie'!$I$3:$I$102,'Rozpočet - HW a licencie'!$A$3:$A$102,'TCO TO BE - HW'!F$2,'Rozpočet - HW a licencie'!$C$3:$C$102,"HW",'Rozpočet - HW a licencie'!$G$3:$G$102,'TCO TO BE - HW'!$D6,'Rozpočet - HW a licencie'!$D$3:$D$102,'TCO TO BE - HW'!$B$5)+SUMIFS('Rozpočet - HW a licencie'!$I$3:$I$102,'Rozpočet - HW a licencie'!$A$3:$A$102,'TCO TO BE - HW'!F$2,'Rozpočet - HW a licencie'!$C$3:$C$102,"SW pre HW",'Rozpočet - HW a licencie'!$G$3:$G$102,'TCO TO BE - HW'!$D6,'Rozpočet - HW a licencie'!$D$3:$D$102,'TCO TO BE - HW'!$B$5),)</f>
        <v>7848432.7174082445</v>
      </c>
      <c r="G6" s="579">
        <f>IFERROR(SUMIFS('Rozpočet - HW a licencie'!$I$3:$I$102,'Rozpočet - HW a licencie'!$A$3:$A$102,'TCO TO BE - HW'!G$2,'Rozpočet - HW a licencie'!$C$3:$C$102,"HW",'Rozpočet - HW a licencie'!$G$3:$G$102,'TCO TO BE - HW'!$D6,'Rozpočet - HW a licencie'!$D$3:$D$102,'TCO TO BE - HW'!$B$5)+SUMIFS('Rozpočet - HW a licencie'!$I$3:$I$102,'Rozpočet - HW a licencie'!$A$3:$A$102,'TCO TO BE - HW'!G$2,'Rozpočet - HW a licencie'!$C$3:$C$102,"SW pre HW",'Rozpočet - HW a licencie'!$G$3:$G$102,'TCO TO BE - HW'!$D6,'Rozpočet - HW a licencie'!$D$3:$D$102,'TCO TO BE - HW'!$B$5),)</f>
        <v>1457269.8403526454</v>
      </c>
      <c r="H6" s="579">
        <f>IFERROR(SUMIFS('Rozpočet - HW a licencie'!$I$3:$I$102,'Rozpočet - HW a licencie'!$A$3:$A$102,'TCO TO BE - HW'!H$2,'Rozpočet - HW a licencie'!$C$3:$C$102,"HW",'Rozpočet - HW a licencie'!$G$3:$G$102,'TCO TO BE - HW'!$D6,'Rozpočet - HW a licencie'!$D$3:$D$102,'TCO TO BE - HW'!$B$5)+SUMIFS('Rozpočet - HW a licencie'!$I$3:$I$102,'Rozpočet - HW a licencie'!$A$3:$A$102,'TCO TO BE - HW'!H$2,'Rozpočet - HW a licencie'!$C$3:$C$102,"SW pre HW",'Rozpočet - HW a licencie'!$G$3:$G$102,'TCO TO BE - HW'!$D6,'Rozpočet - HW a licencie'!$D$3:$D$102,'TCO TO BE - HW'!$B$5),)</f>
        <v>171999.42116447724</v>
      </c>
      <c r="I6" s="579">
        <f>IFERROR(SUMIFS('Rozpočet - HW a licencie'!$I$3:$I$102,'Rozpočet - HW a licencie'!$A$3:$A$102,'TCO TO BE - HW'!I$2,'Rozpočet - HW a licencie'!$C$3:$C$102,"HW",'Rozpočet - HW a licencie'!$G$3:$G$102,'TCO TO BE - HW'!$D6,'Rozpočet - HW a licencie'!$D$3:$D$102,'TCO TO BE - HW'!$B$5)+SUMIFS('Rozpočet - HW a licencie'!$I$3:$I$102,'Rozpočet - HW a licencie'!$A$3:$A$102,'TCO TO BE - HW'!I$2,'Rozpočet - HW a licencie'!$C$3:$C$102,"SW pre HW",'Rozpočet - HW a licencie'!$G$3:$G$102,'TCO TO BE - HW'!$D6,'Rozpočet - HW a licencie'!$D$3:$D$102,'TCO TO BE - HW'!$B$5),)</f>
        <v>0</v>
      </c>
      <c r="J6" s="579">
        <f>IFERROR(SUMIFS('Rozpočet - HW a licencie'!$I$3:$I$102,'Rozpočet - HW a licencie'!$A$3:$A$102,'TCO TO BE - HW'!J$2,'Rozpočet - HW a licencie'!$C$3:$C$102,"HW",'Rozpočet - HW a licencie'!$G$3:$G$102,'TCO TO BE - HW'!$D6,'Rozpočet - HW a licencie'!$D$3:$D$102,'TCO TO BE - HW'!$B$5)+SUMIFS('Rozpočet - HW a licencie'!$I$3:$I$102,'Rozpočet - HW a licencie'!$A$3:$A$102,'TCO TO BE - HW'!J$2,'Rozpočet - HW a licencie'!$C$3:$C$102,"SW pre HW",'Rozpočet - HW a licencie'!$G$3:$G$102,'TCO TO BE - HW'!$D6,'Rozpočet - HW a licencie'!$D$3:$D$102,'TCO TO BE - HW'!$B$5),)</f>
        <v>0</v>
      </c>
      <c r="K6" s="579">
        <f>IFERROR(SUMIFS('Rozpočet - HW a licencie'!$I$3:$I$102,'Rozpočet - HW a licencie'!$A$3:$A$102,'TCO TO BE - HW'!K$2,'Rozpočet - HW a licencie'!$C$3:$C$102,"HW",'Rozpočet - HW a licencie'!$G$3:$G$102,'TCO TO BE - HW'!$D6,'Rozpočet - HW a licencie'!$D$3:$D$102,'TCO TO BE - HW'!$B$5)+SUMIFS('Rozpočet - HW a licencie'!$I$3:$I$102,'Rozpočet - HW a licencie'!$A$3:$A$102,'TCO TO BE - HW'!K$2,'Rozpočet - HW a licencie'!$C$3:$C$102,"SW pre HW",'Rozpočet - HW a licencie'!$G$3:$G$102,'TCO TO BE - HW'!$D6,'Rozpočet - HW a licencie'!$D$3:$D$102,'TCO TO BE - HW'!$B$5),)</f>
        <v>6411733.15386</v>
      </c>
      <c r="L6" s="579">
        <f>IFERROR(SUMIFS('Rozpočet - HW a licencie'!$I$3:$I$102,'Rozpočet - HW a licencie'!$A$3:$A$102,'TCO TO BE - HW'!L$2,'Rozpočet - HW a licencie'!$C$3:$C$102,"HW",'Rozpočet - HW a licencie'!$G$3:$G$102,'TCO TO BE - HW'!$D6,'Rozpočet - HW a licencie'!$D$3:$D$102,'TCO TO BE - HW'!$B$5)+SUMIFS('Rozpočet - HW a licencie'!$I$3:$I$102,'Rozpočet - HW a licencie'!$A$3:$A$102,'TCO TO BE - HW'!L$2,'Rozpočet - HW a licencie'!$C$3:$C$102,"SW pre HW",'Rozpočet - HW a licencie'!$G$3:$G$102,'TCO TO BE - HW'!$D6,'Rozpočet - HW a licencie'!$D$3:$D$102,'TCO TO BE - HW'!$B$5),)</f>
        <v>3799941.407289796</v>
      </c>
      <c r="M6" s="579">
        <f>IFERROR(SUMIFS('Rozpočet - HW a licencie'!$I$3:$I$102,'Rozpočet - HW a licencie'!$A$3:$A$102,'TCO TO BE - HW'!M$2,'Rozpočet - HW a licencie'!$C$3:$C$102,"HW",'Rozpočet - HW a licencie'!$G$3:$G$102,'TCO TO BE - HW'!$D6,'Rozpočet - HW a licencie'!$D$3:$D$102,'TCO TO BE - HW'!$B$5)+SUMIFS('Rozpočet - HW a licencie'!$I$3:$I$102,'Rozpočet - HW a licencie'!$A$3:$A$102,'TCO TO BE - HW'!M$2,'Rozpočet - HW a licencie'!$C$3:$C$102,"SW pre HW",'Rozpočet - HW a licencie'!$G$3:$G$102,'TCO TO BE - HW'!$D6,'Rozpočet - HW a licencie'!$D$3:$D$102,'TCO TO BE - HW'!$B$5),)</f>
        <v>0</v>
      </c>
      <c r="N6" s="579">
        <f>IFERROR(SUMIFS('Rozpočet - HW a licencie'!$I$3:$I$102,'Rozpočet - HW a licencie'!$A$3:$A$102,'TCO TO BE - HW'!N$2,'Rozpočet - HW a licencie'!$C$3:$C$102,"HW",'Rozpočet - HW a licencie'!$G$3:$G$102,'TCO TO BE - HW'!$D6,'Rozpočet - HW a licencie'!$D$3:$D$102,'TCO TO BE - HW'!$B$5)+SUMIFS('Rozpočet - HW a licencie'!$I$3:$I$102,'Rozpočet - HW a licencie'!$A$3:$A$102,'TCO TO BE - HW'!N$2,'Rozpočet - HW a licencie'!$C$3:$C$102,"SW pre HW",'Rozpočet - HW a licencie'!$G$3:$G$102,'TCO TO BE - HW'!$D6,'Rozpočet - HW a licencie'!$D$3:$D$102,'TCO TO BE - HW'!$B$5),)</f>
        <v>539355</v>
      </c>
      <c r="O6" s="579">
        <f>IFERROR(SUMIFS('Rozpočet - HW a licencie'!$I$3:$I$102,'Rozpočet - HW a licencie'!$A$3:$A$102,'TCO TO BE - HW'!O$2,'Rozpočet - HW a licencie'!$C$3:$C$102,"HW",'Rozpočet - HW a licencie'!$G$3:$G$102,'TCO TO BE - HW'!$D6,'Rozpočet - HW a licencie'!$D$3:$D$102,'TCO TO BE - HW'!$B$5)+SUMIFS('Rozpočet - HW a licencie'!$I$3:$I$102,'Rozpočet - HW a licencie'!$A$3:$A$102,'TCO TO BE - HW'!O$2,'Rozpočet - HW a licencie'!$C$3:$C$102,"SW pre HW",'Rozpočet - HW a licencie'!$G$3:$G$102,'TCO TO BE - HW'!$D6,'Rozpočet - HW a licencie'!$D$3:$D$102,'TCO TO BE - HW'!$B$5),)</f>
        <v>324719.38134249998</v>
      </c>
      <c r="P6" s="579">
        <f>IFERROR(SUMIFS('Rozpočet - HW a licencie'!$I$3:$I$102,'Rozpočet - HW a licencie'!$A$3:$A$102,'TCO TO BE - HW'!P$2,'Rozpočet - HW a licencie'!$C$3:$C$102,"HW",'Rozpočet - HW a licencie'!$G$3:$G$102,'TCO TO BE - HW'!$D6,'Rozpočet - HW a licencie'!$D$3:$D$102,'TCO TO BE - HW'!$B$5)+SUMIFS('Rozpočet - HW a licencie'!$I$3:$I$102,'Rozpočet - HW a licencie'!$A$3:$A$102,'TCO TO BE - HW'!P$2,'Rozpočet - HW a licencie'!$C$3:$C$102,"SW pre HW",'Rozpočet - HW a licencie'!$G$3:$G$102,'TCO TO BE - HW'!$D6,'Rozpočet - HW a licencie'!$D$3:$D$102,'TCO TO BE - HW'!$B$5),)</f>
        <v>0</v>
      </c>
      <c r="Q6" s="579">
        <f>IFERROR(SUMIFS('Rozpočet - HW a licencie'!$I$3:$I$102,'Rozpočet - HW a licencie'!$A$3:$A$102,'TCO TO BE - HW'!Q$2,'Rozpočet - HW a licencie'!$C$3:$C$102,"HW",'Rozpočet - HW a licencie'!$G$3:$G$102,'TCO TO BE - HW'!$D6,'Rozpočet - HW a licencie'!$D$3:$D$102,'TCO TO BE - HW'!$B$5)+SUMIFS('Rozpočet - HW a licencie'!$I$3:$I$102,'Rozpočet - HW a licencie'!$A$3:$A$102,'TCO TO BE - HW'!Q$2,'Rozpočet - HW a licencie'!$C$3:$C$102,"SW pre HW",'Rozpočet - HW a licencie'!$G$3:$G$102,'TCO TO BE - HW'!$D6,'Rozpočet - HW a licencie'!$D$3:$D$102,'TCO TO BE - HW'!$B$5),)</f>
        <v>0</v>
      </c>
      <c r="R6" s="579">
        <f>IFERROR(SUMIFS('Rozpočet - HW a licencie'!$I$3:$I$102,'Rozpočet - HW a licencie'!$A$3:$A$102,'TCO TO BE - HW'!R$2,'Rozpočet - HW a licencie'!$C$3:$C$102,"HW",'Rozpočet - HW a licencie'!$G$3:$G$102,'TCO TO BE - HW'!$D6,'Rozpočet - HW a licencie'!$D$3:$D$102,'TCO TO BE - HW'!$B$5)+SUMIFS('Rozpočet - HW a licencie'!$I$3:$I$102,'Rozpočet - HW a licencie'!$A$3:$A$102,'TCO TO BE - HW'!R$2,'Rozpočet - HW a licencie'!$C$3:$C$102,"SW pre HW",'Rozpočet - HW a licencie'!$G$3:$G$102,'TCO TO BE - HW'!$D6,'Rozpočet - HW a licencie'!$D$3:$D$102,'TCO TO BE - HW'!$B$5),)</f>
        <v>0</v>
      </c>
      <c r="S6" s="579">
        <f>IFERROR(SUMIFS('Rozpočet - HW a licencie'!$I$3:$I$102,'Rozpočet - HW a licencie'!$A$3:$A$102,'TCO TO BE - HW'!S$2,'Rozpočet - HW a licencie'!$C$3:$C$102,"HW",'Rozpočet - HW a licencie'!$G$3:$G$102,'TCO TO BE - HW'!$D6,'Rozpočet - HW a licencie'!$D$3:$D$102,'TCO TO BE - HW'!$B$5)+SUMIFS('Rozpočet - HW a licencie'!$I$3:$I$102,'Rozpočet - HW a licencie'!$A$3:$A$102,'TCO TO BE - HW'!S$2,'Rozpočet - HW a licencie'!$C$3:$C$102,"SW pre HW",'Rozpočet - HW a licencie'!$G$3:$G$102,'TCO TO BE - HW'!$D6,'Rozpočet - HW a licencie'!$D$3:$D$102,'TCO TO BE - HW'!$B$5),)</f>
        <v>0</v>
      </c>
      <c r="T6" s="579">
        <f>IFERROR(SUMIFS('Rozpočet - HW a licencie'!$I$3:$I$102,'Rozpočet - HW a licencie'!$A$3:$A$102,'TCO TO BE - HW'!T$2,'Rozpočet - HW a licencie'!$C$3:$C$102,"HW",'Rozpočet - HW a licencie'!$G$3:$G$102,'TCO TO BE - HW'!$D6,'Rozpočet - HW a licencie'!$D$3:$D$102,'TCO TO BE - HW'!$B$5)+SUMIFS('Rozpočet - HW a licencie'!$I$3:$I$102,'Rozpočet - HW a licencie'!$A$3:$A$102,'TCO TO BE - HW'!T$2,'Rozpočet - HW a licencie'!$C$3:$C$102,"SW pre HW",'Rozpočet - HW a licencie'!$G$3:$G$102,'TCO TO BE - HW'!$D6,'Rozpočet - HW a licencie'!$D$3:$D$102,'TCO TO BE - HW'!$B$5),)</f>
        <v>0</v>
      </c>
      <c r="U6" s="579">
        <f>IFERROR(SUMIFS('Rozpočet - HW a licencie'!$I$3:$I$102,'Rozpočet - HW a licencie'!$A$3:$A$102,'TCO TO BE - HW'!U$2,'Rozpočet - HW a licencie'!$C$3:$C$102,"HW",'Rozpočet - HW a licencie'!$G$3:$G$102,'TCO TO BE - HW'!$D6,'Rozpočet - HW a licencie'!$D$3:$D$102,'TCO TO BE - HW'!$B$5)+SUMIFS('Rozpočet - HW a licencie'!$I$3:$I$102,'Rozpočet - HW a licencie'!$A$3:$A$102,'TCO TO BE - HW'!U$2,'Rozpočet - HW a licencie'!$C$3:$C$102,"SW pre HW",'Rozpočet - HW a licencie'!$G$3:$G$102,'TCO TO BE - HW'!$D6,'Rozpočet - HW a licencie'!$D$3:$D$102,'TCO TO BE - HW'!$B$5),)</f>
        <v>0</v>
      </c>
      <c r="V6" s="579">
        <f>IFERROR(SUMIFS('Rozpočet - HW a licencie'!$I$3:$I$102,'Rozpočet - HW a licencie'!$A$3:$A$102,'TCO TO BE - HW'!V$2,'Rozpočet - HW a licencie'!$C$3:$C$102,"HW",'Rozpočet - HW a licencie'!$G$3:$G$102,'TCO TO BE - HW'!$D6,'Rozpočet - HW a licencie'!$D$3:$D$102,'TCO TO BE - HW'!$B$5)+SUMIFS('Rozpočet - HW a licencie'!$I$3:$I$102,'Rozpočet - HW a licencie'!$A$3:$A$102,'TCO TO BE - HW'!V$2,'Rozpočet - HW a licencie'!$C$3:$C$102,"SW pre HW",'Rozpočet - HW a licencie'!$G$3:$G$102,'TCO TO BE - HW'!$D6,'Rozpočet - HW a licencie'!$D$3:$D$102,'TCO TO BE - HW'!$B$5),)</f>
        <v>0</v>
      </c>
      <c r="W6" s="579">
        <f>IFERROR(SUMIFS('Rozpočet - HW a licencie'!$I$3:$I$102,'Rozpočet - HW a licencie'!$A$3:$A$102,'TCO TO BE - HW'!W$2,'Rozpočet - HW a licencie'!$C$3:$C$102,"HW",'Rozpočet - HW a licencie'!$G$3:$G$102,'TCO TO BE - HW'!$D6,'Rozpočet - HW a licencie'!$D$3:$D$102,'TCO TO BE - HW'!$B$5)+SUMIFS('Rozpočet - HW a licencie'!$I$3:$I$102,'Rozpočet - HW a licencie'!$A$3:$A$102,'TCO TO BE - HW'!W$2,'Rozpočet - HW a licencie'!$C$3:$C$102,"SW pre HW",'Rozpočet - HW a licencie'!$G$3:$G$102,'TCO TO BE - HW'!$D6,'Rozpočet - HW a licencie'!$D$3:$D$102,'TCO TO BE - HW'!$B$5),)</f>
        <v>0</v>
      </c>
      <c r="X6" s="579">
        <f>IFERROR(SUMIFS('Rozpočet - HW a licencie'!$I$3:$I$102,'Rozpočet - HW a licencie'!$A$3:$A$102,'TCO TO BE - HW'!X$2,'Rozpočet - HW a licencie'!$C$3:$C$102,"HW",'Rozpočet - HW a licencie'!$G$3:$G$102,'TCO TO BE - HW'!$D6,'Rozpočet - HW a licencie'!$D$3:$D$102,'TCO TO BE - HW'!$B$5)+SUMIFS('Rozpočet - HW a licencie'!$I$3:$I$102,'Rozpočet - HW a licencie'!$A$3:$A$102,'TCO TO BE - HW'!X$2,'Rozpočet - HW a licencie'!$C$3:$C$102,"SW pre HW",'Rozpočet - HW a licencie'!$G$3:$G$102,'TCO TO BE - HW'!$D6,'Rozpočet - HW a licencie'!$D$3:$D$102,'TCO TO BE - HW'!$B$5),)</f>
        <v>0</v>
      </c>
      <c r="Y6" s="579">
        <f>IFERROR(SUMIFS('Rozpočet - HW a licencie'!$I$3:$I$102,'Rozpočet - HW a licencie'!$A$3:$A$102,'TCO TO BE - HW'!Y$2,'Rozpočet - HW a licencie'!$C$3:$C$102,"HW",'Rozpočet - HW a licencie'!$G$3:$G$102,'TCO TO BE - HW'!$D6,'Rozpočet - HW a licencie'!$D$3:$D$102,'TCO TO BE - HW'!$B$5)+SUMIFS('Rozpočet - HW a licencie'!$I$3:$I$102,'Rozpočet - HW a licencie'!$A$3:$A$102,'TCO TO BE - HW'!Y$2,'Rozpočet - HW a licencie'!$C$3:$C$102,"SW pre HW",'Rozpočet - HW a licencie'!$G$3:$G$102,'TCO TO BE - HW'!$D6,'Rozpočet - HW a licencie'!$D$3:$D$102,'TCO TO BE - HW'!$B$5),)</f>
        <v>0</v>
      </c>
      <c r="Z6" s="579">
        <f>IFERROR(SUMIFS('Rozpočet - HW a licencie'!$I$3:$I$102,'Rozpočet - HW a licencie'!$A$3:$A$102,'TCO TO BE - HW'!Z$2,'Rozpočet - HW a licencie'!$C$3:$C$102,"HW",'Rozpočet - HW a licencie'!$G$3:$G$102,'TCO TO BE - HW'!$D6,'Rozpočet - HW a licencie'!$D$3:$D$102,'TCO TO BE - HW'!$B$5)+SUMIFS('Rozpočet - HW a licencie'!$I$3:$I$102,'Rozpočet - HW a licencie'!$A$3:$A$102,'TCO TO BE - HW'!Z$2,'Rozpočet - HW a licencie'!$C$3:$C$102,"SW pre HW",'Rozpočet - HW a licencie'!$G$3:$G$102,'TCO TO BE - HW'!$D6,'Rozpočet - HW a licencie'!$D$3:$D$102,'TCO TO BE - HW'!$B$5),)</f>
        <v>0</v>
      </c>
    </row>
    <row r="7" spans="1:26" outlineLevel="1" x14ac:dyDescent="0.2">
      <c r="A7" s="1390"/>
      <c r="B7" s="1391"/>
      <c r="C7" s="1391"/>
      <c r="D7" s="497">
        <v>3</v>
      </c>
      <c r="E7" s="68">
        <f t="shared" si="2"/>
        <v>0</v>
      </c>
      <c r="F7" s="579">
        <f>IFERROR(SUMIFS('Rozpočet - HW a licencie'!$I$3:$I$102,'Rozpočet - HW a licencie'!$A$3:$A$102,'TCO TO BE - HW'!F$2,'Rozpočet - HW a licencie'!$C$3:$C$102,"HW",'Rozpočet - HW a licencie'!$G$3:$G$102,'TCO TO BE - HW'!$D7,'Rozpočet - HW a licencie'!$D$3:$D$102,'TCO TO BE - HW'!$B$5)+SUMIFS('Rozpočet - HW a licencie'!$I$3:$I$102,'Rozpočet - HW a licencie'!$A$3:$A$102,'TCO TO BE - HW'!F$2,'Rozpočet - HW a licencie'!$C$3:$C$102,"SW pre HW",'Rozpočet - HW a licencie'!$G$3:$G$102,'TCO TO BE - HW'!$D7,'Rozpočet - HW a licencie'!$D$3:$D$102,'TCO TO BE - HW'!$B$5),)</f>
        <v>0</v>
      </c>
      <c r="G7" s="579">
        <f>IFERROR(SUMIFS('Rozpočet - HW a licencie'!$I$3:$I$102,'Rozpočet - HW a licencie'!$A$3:$A$102,'TCO TO BE - HW'!G$2,'Rozpočet - HW a licencie'!$C$3:$C$102,"HW",'Rozpočet - HW a licencie'!$G$3:$G$102,'TCO TO BE - HW'!$D7,'Rozpočet - HW a licencie'!$D$3:$D$102,'TCO TO BE - HW'!$B$5)+SUMIFS('Rozpočet - HW a licencie'!$I$3:$I$102,'Rozpočet - HW a licencie'!$A$3:$A$102,'TCO TO BE - HW'!G$2,'Rozpočet - HW a licencie'!$C$3:$C$102,"SW pre HW",'Rozpočet - HW a licencie'!$G$3:$G$102,'TCO TO BE - HW'!$D7,'Rozpočet - HW a licencie'!$D$3:$D$102,'TCO TO BE - HW'!$B$5),)</f>
        <v>0</v>
      </c>
      <c r="H7" s="579">
        <f>IFERROR(SUMIFS('Rozpočet - HW a licencie'!$I$3:$I$102,'Rozpočet - HW a licencie'!$A$3:$A$102,'TCO TO BE - HW'!H$2,'Rozpočet - HW a licencie'!$C$3:$C$102,"HW",'Rozpočet - HW a licencie'!$G$3:$G$102,'TCO TO BE - HW'!$D7,'Rozpočet - HW a licencie'!$D$3:$D$102,'TCO TO BE - HW'!$B$5)+SUMIFS('Rozpočet - HW a licencie'!$I$3:$I$102,'Rozpočet - HW a licencie'!$A$3:$A$102,'TCO TO BE - HW'!H$2,'Rozpočet - HW a licencie'!$C$3:$C$102,"SW pre HW",'Rozpočet - HW a licencie'!$G$3:$G$102,'TCO TO BE - HW'!$D7,'Rozpočet - HW a licencie'!$D$3:$D$102,'TCO TO BE - HW'!$B$5),)</f>
        <v>0</v>
      </c>
      <c r="I7" s="579">
        <f>IFERROR(SUMIFS('Rozpočet - HW a licencie'!$I$3:$I$102,'Rozpočet - HW a licencie'!$A$3:$A$102,'TCO TO BE - HW'!I$2,'Rozpočet - HW a licencie'!$C$3:$C$102,"HW",'Rozpočet - HW a licencie'!$G$3:$G$102,'TCO TO BE - HW'!$D7,'Rozpočet - HW a licencie'!$D$3:$D$102,'TCO TO BE - HW'!$B$5)+SUMIFS('Rozpočet - HW a licencie'!$I$3:$I$102,'Rozpočet - HW a licencie'!$A$3:$A$102,'TCO TO BE - HW'!I$2,'Rozpočet - HW a licencie'!$C$3:$C$102,"SW pre HW",'Rozpočet - HW a licencie'!$G$3:$G$102,'TCO TO BE - HW'!$D7,'Rozpočet - HW a licencie'!$D$3:$D$102,'TCO TO BE - HW'!$B$5),)</f>
        <v>0</v>
      </c>
      <c r="J7" s="579">
        <f>IFERROR(SUMIFS('Rozpočet - HW a licencie'!$I$3:$I$102,'Rozpočet - HW a licencie'!$A$3:$A$102,'TCO TO BE - HW'!J$2,'Rozpočet - HW a licencie'!$C$3:$C$102,"HW",'Rozpočet - HW a licencie'!$G$3:$G$102,'TCO TO BE - HW'!$D7,'Rozpočet - HW a licencie'!$D$3:$D$102,'TCO TO BE - HW'!$B$5)+SUMIFS('Rozpočet - HW a licencie'!$I$3:$I$102,'Rozpočet - HW a licencie'!$A$3:$A$102,'TCO TO BE - HW'!J$2,'Rozpočet - HW a licencie'!$C$3:$C$102,"SW pre HW",'Rozpočet - HW a licencie'!$G$3:$G$102,'TCO TO BE - HW'!$D7,'Rozpočet - HW a licencie'!$D$3:$D$102,'TCO TO BE - HW'!$B$5),)</f>
        <v>0</v>
      </c>
      <c r="K7" s="579">
        <f>IFERROR(SUMIFS('Rozpočet - HW a licencie'!$I$3:$I$102,'Rozpočet - HW a licencie'!$A$3:$A$102,'TCO TO BE - HW'!K$2,'Rozpočet - HW a licencie'!$C$3:$C$102,"HW",'Rozpočet - HW a licencie'!$G$3:$G$102,'TCO TO BE - HW'!$D7,'Rozpočet - HW a licencie'!$D$3:$D$102,'TCO TO BE - HW'!$B$5)+SUMIFS('Rozpočet - HW a licencie'!$I$3:$I$102,'Rozpočet - HW a licencie'!$A$3:$A$102,'TCO TO BE - HW'!K$2,'Rozpočet - HW a licencie'!$C$3:$C$102,"SW pre HW",'Rozpočet - HW a licencie'!$G$3:$G$102,'TCO TO BE - HW'!$D7,'Rozpočet - HW a licencie'!$D$3:$D$102,'TCO TO BE - HW'!$B$5),)</f>
        <v>0</v>
      </c>
      <c r="L7" s="579">
        <f>IFERROR(SUMIFS('Rozpočet - HW a licencie'!$I$3:$I$102,'Rozpočet - HW a licencie'!$A$3:$A$102,'TCO TO BE - HW'!L$2,'Rozpočet - HW a licencie'!$C$3:$C$102,"HW",'Rozpočet - HW a licencie'!$G$3:$G$102,'TCO TO BE - HW'!$D7,'Rozpočet - HW a licencie'!$D$3:$D$102,'TCO TO BE - HW'!$B$5)+SUMIFS('Rozpočet - HW a licencie'!$I$3:$I$102,'Rozpočet - HW a licencie'!$A$3:$A$102,'TCO TO BE - HW'!L$2,'Rozpočet - HW a licencie'!$C$3:$C$102,"SW pre HW",'Rozpočet - HW a licencie'!$G$3:$G$102,'TCO TO BE - HW'!$D7,'Rozpočet - HW a licencie'!$D$3:$D$102,'TCO TO BE - HW'!$B$5),)</f>
        <v>0</v>
      </c>
      <c r="M7" s="579">
        <f>IFERROR(SUMIFS('Rozpočet - HW a licencie'!$I$3:$I$102,'Rozpočet - HW a licencie'!$A$3:$A$102,'TCO TO BE - HW'!M$2,'Rozpočet - HW a licencie'!$C$3:$C$102,"HW",'Rozpočet - HW a licencie'!$G$3:$G$102,'TCO TO BE - HW'!$D7,'Rozpočet - HW a licencie'!$D$3:$D$102,'TCO TO BE - HW'!$B$5)+SUMIFS('Rozpočet - HW a licencie'!$I$3:$I$102,'Rozpočet - HW a licencie'!$A$3:$A$102,'TCO TO BE - HW'!M$2,'Rozpočet - HW a licencie'!$C$3:$C$102,"SW pre HW",'Rozpočet - HW a licencie'!$G$3:$G$102,'TCO TO BE - HW'!$D7,'Rozpočet - HW a licencie'!$D$3:$D$102,'TCO TO BE - HW'!$B$5),)</f>
        <v>0</v>
      </c>
      <c r="N7" s="579">
        <f>IFERROR(SUMIFS('Rozpočet - HW a licencie'!$I$3:$I$102,'Rozpočet - HW a licencie'!$A$3:$A$102,'TCO TO BE - HW'!N$2,'Rozpočet - HW a licencie'!$C$3:$C$102,"HW",'Rozpočet - HW a licencie'!$G$3:$G$102,'TCO TO BE - HW'!$D7,'Rozpočet - HW a licencie'!$D$3:$D$102,'TCO TO BE - HW'!$B$5)+SUMIFS('Rozpočet - HW a licencie'!$I$3:$I$102,'Rozpočet - HW a licencie'!$A$3:$A$102,'TCO TO BE - HW'!N$2,'Rozpočet - HW a licencie'!$C$3:$C$102,"SW pre HW",'Rozpočet - HW a licencie'!$G$3:$G$102,'TCO TO BE - HW'!$D7,'Rozpočet - HW a licencie'!$D$3:$D$102,'TCO TO BE - HW'!$B$5),)</f>
        <v>0</v>
      </c>
      <c r="O7" s="579">
        <f>IFERROR(SUMIFS('Rozpočet - HW a licencie'!$I$3:$I$102,'Rozpočet - HW a licencie'!$A$3:$A$102,'TCO TO BE - HW'!O$2,'Rozpočet - HW a licencie'!$C$3:$C$102,"HW",'Rozpočet - HW a licencie'!$G$3:$G$102,'TCO TO BE - HW'!$D7,'Rozpočet - HW a licencie'!$D$3:$D$102,'TCO TO BE - HW'!$B$5)+SUMIFS('Rozpočet - HW a licencie'!$I$3:$I$102,'Rozpočet - HW a licencie'!$A$3:$A$102,'TCO TO BE - HW'!O$2,'Rozpočet - HW a licencie'!$C$3:$C$102,"SW pre HW",'Rozpočet - HW a licencie'!$G$3:$G$102,'TCO TO BE - HW'!$D7,'Rozpočet - HW a licencie'!$D$3:$D$102,'TCO TO BE - HW'!$B$5),)</f>
        <v>0</v>
      </c>
      <c r="P7" s="579">
        <f>IFERROR(SUMIFS('Rozpočet - HW a licencie'!$I$3:$I$102,'Rozpočet - HW a licencie'!$A$3:$A$102,'TCO TO BE - HW'!P$2,'Rozpočet - HW a licencie'!$C$3:$C$102,"HW",'Rozpočet - HW a licencie'!$G$3:$G$102,'TCO TO BE - HW'!$D7,'Rozpočet - HW a licencie'!$D$3:$D$102,'TCO TO BE - HW'!$B$5)+SUMIFS('Rozpočet - HW a licencie'!$I$3:$I$102,'Rozpočet - HW a licencie'!$A$3:$A$102,'TCO TO BE - HW'!P$2,'Rozpočet - HW a licencie'!$C$3:$C$102,"SW pre HW",'Rozpočet - HW a licencie'!$G$3:$G$102,'TCO TO BE - HW'!$D7,'Rozpočet - HW a licencie'!$D$3:$D$102,'TCO TO BE - HW'!$B$5),)</f>
        <v>0</v>
      </c>
      <c r="Q7" s="579">
        <f>IFERROR(SUMIFS('Rozpočet - HW a licencie'!$I$3:$I$102,'Rozpočet - HW a licencie'!$A$3:$A$102,'TCO TO BE - HW'!Q$2,'Rozpočet - HW a licencie'!$C$3:$C$102,"HW",'Rozpočet - HW a licencie'!$G$3:$G$102,'TCO TO BE - HW'!$D7,'Rozpočet - HW a licencie'!$D$3:$D$102,'TCO TO BE - HW'!$B$5)+SUMIFS('Rozpočet - HW a licencie'!$I$3:$I$102,'Rozpočet - HW a licencie'!$A$3:$A$102,'TCO TO BE - HW'!Q$2,'Rozpočet - HW a licencie'!$C$3:$C$102,"SW pre HW",'Rozpočet - HW a licencie'!$G$3:$G$102,'TCO TO BE - HW'!$D7,'Rozpočet - HW a licencie'!$D$3:$D$102,'TCO TO BE - HW'!$B$5),)</f>
        <v>0</v>
      </c>
      <c r="R7" s="579">
        <f>IFERROR(SUMIFS('Rozpočet - HW a licencie'!$I$3:$I$102,'Rozpočet - HW a licencie'!$A$3:$A$102,'TCO TO BE - HW'!R$2,'Rozpočet - HW a licencie'!$C$3:$C$102,"HW",'Rozpočet - HW a licencie'!$G$3:$G$102,'TCO TO BE - HW'!$D7,'Rozpočet - HW a licencie'!$D$3:$D$102,'TCO TO BE - HW'!$B$5)+SUMIFS('Rozpočet - HW a licencie'!$I$3:$I$102,'Rozpočet - HW a licencie'!$A$3:$A$102,'TCO TO BE - HW'!R$2,'Rozpočet - HW a licencie'!$C$3:$C$102,"SW pre HW",'Rozpočet - HW a licencie'!$G$3:$G$102,'TCO TO BE - HW'!$D7,'Rozpočet - HW a licencie'!$D$3:$D$102,'TCO TO BE - HW'!$B$5),)</f>
        <v>0</v>
      </c>
      <c r="S7" s="579">
        <f>IFERROR(SUMIFS('Rozpočet - HW a licencie'!$I$3:$I$102,'Rozpočet - HW a licencie'!$A$3:$A$102,'TCO TO BE - HW'!S$2,'Rozpočet - HW a licencie'!$C$3:$C$102,"HW",'Rozpočet - HW a licencie'!$G$3:$G$102,'TCO TO BE - HW'!$D7,'Rozpočet - HW a licencie'!$D$3:$D$102,'TCO TO BE - HW'!$B$5)+SUMIFS('Rozpočet - HW a licencie'!$I$3:$I$102,'Rozpočet - HW a licencie'!$A$3:$A$102,'TCO TO BE - HW'!S$2,'Rozpočet - HW a licencie'!$C$3:$C$102,"SW pre HW",'Rozpočet - HW a licencie'!$G$3:$G$102,'TCO TO BE - HW'!$D7,'Rozpočet - HW a licencie'!$D$3:$D$102,'TCO TO BE - HW'!$B$5),)</f>
        <v>0</v>
      </c>
      <c r="T7" s="579">
        <f>IFERROR(SUMIFS('Rozpočet - HW a licencie'!$I$3:$I$102,'Rozpočet - HW a licencie'!$A$3:$A$102,'TCO TO BE - HW'!T$2,'Rozpočet - HW a licencie'!$C$3:$C$102,"HW",'Rozpočet - HW a licencie'!$G$3:$G$102,'TCO TO BE - HW'!$D7,'Rozpočet - HW a licencie'!$D$3:$D$102,'TCO TO BE - HW'!$B$5)+SUMIFS('Rozpočet - HW a licencie'!$I$3:$I$102,'Rozpočet - HW a licencie'!$A$3:$A$102,'TCO TO BE - HW'!T$2,'Rozpočet - HW a licencie'!$C$3:$C$102,"SW pre HW",'Rozpočet - HW a licencie'!$G$3:$G$102,'TCO TO BE - HW'!$D7,'Rozpočet - HW a licencie'!$D$3:$D$102,'TCO TO BE - HW'!$B$5),)</f>
        <v>0</v>
      </c>
      <c r="U7" s="579">
        <f>IFERROR(SUMIFS('Rozpočet - HW a licencie'!$I$3:$I$102,'Rozpočet - HW a licencie'!$A$3:$A$102,'TCO TO BE - HW'!U$2,'Rozpočet - HW a licencie'!$C$3:$C$102,"HW",'Rozpočet - HW a licencie'!$G$3:$G$102,'TCO TO BE - HW'!$D7,'Rozpočet - HW a licencie'!$D$3:$D$102,'TCO TO BE - HW'!$B$5)+SUMIFS('Rozpočet - HW a licencie'!$I$3:$I$102,'Rozpočet - HW a licencie'!$A$3:$A$102,'TCO TO BE - HW'!U$2,'Rozpočet - HW a licencie'!$C$3:$C$102,"SW pre HW",'Rozpočet - HW a licencie'!$G$3:$G$102,'TCO TO BE - HW'!$D7,'Rozpočet - HW a licencie'!$D$3:$D$102,'TCO TO BE - HW'!$B$5),)</f>
        <v>0</v>
      </c>
      <c r="V7" s="579">
        <f>IFERROR(SUMIFS('Rozpočet - HW a licencie'!$I$3:$I$102,'Rozpočet - HW a licencie'!$A$3:$A$102,'TCO TO BE - HW'!V$2,'Rozpočet - HW a licencie'!$C$3:$C$102,"HW",'Rozpočet - HW a licencie'!$G$3:$G$102,'TCO TO BE - HW'!$D7,'Rozpočet - HW a licencie'!$D$3:$D$102,'TCO TO BE - HW'!$B$5)+SUMIFS('Rozpočet - HW a licencie'!$I$3:$I$102,'Rozpočet - HW a licencie'!$A$3:$A$102,'TCO TO BE - HW'!V$2,'Rozpočet - HW a licencie'!$C$3:$C$102,"SW pre HW",'Rozpočet - HW a licencie'!$G$3:$G$102,'TCO TO BE - HW'!$D7,'Rozpočet - HW a licencie'!$D$3:$D$102,'TCO TO BE - HW'!$B$5),)</f>
        <v>0</v>
      </c>
      <c r="W7" s="579">
        <f>IFERROR(SUMIFS('Rozpočet - HW a licencie'!$I$3:$I$102,'Rozpočet - HW a licencie'!$A$3:$A$102,'TCO TO BE - HW'!W$2,'Rozpočet - HW a licencie'!$C$3:$C$102,"HW",'Rozpočet - HW a licencie'!$G$3:$G$102,'TCO TO BE - HW'!$D7,'Rozpočet - HW a licencie'!$D$3:$D$102,'TCO TO BE - HW'!$B$5)+SUMIFS('Rozpočet - HW a licencie'!$I$3:$I$102,'Rozpočet - HW a licencie'!$A$3:$A$102,'TCO TO BE - HW'!W$2,'Rozpočet - HW a licencie'!$C$3:$C$102,"SW pre HW",'Rozpočet - HW a licencie'!$G$3:$G$102,'TCO TO BE - HW'!$D7,'Rozpočet - HW a licencie'!$D$3:$D$102,'TCO TO BE - HW'!$B$5),)</f>
        <v>0</v>
      </c>
      <c r="X7" s="579">
        <f>IFERROR(SUMIFS('Rozpočet - HW a licencie'!$I$3:$I$102,'Rozpočet - HW a licencie'!$A$3:$A$102,'TCO TO BE - HW'!X$2,'Rozpočet - HW a licencie'!$C$3:$C$102,"HW",'Rozpočet - HW a licencie'!$G$3:$G$102,'TCO TO BE - HW'!$D7,'Rozpočet - HW a licencie'!$D$3:$D$102,'TCO TO BE - HW'!$B$5)+SUMIFS('Rozpočet - HW a licencie'!$I$3:$I$102,'Rozpočet - HW a licencie'!$A$3:$A$102,'TCO TO BE - HW'!X$2,'Rozpočet - HW a licencie'!$C$3:$C$102,"SW pre HW",'Rozpočet - HW a licencie'!$G$3:$G$102,'TCO TO BE - HW'!$D7,'Rozpočet - HW a licencie'!$D$3:$D$102,'TCO TO BE - HW'!$B$5),)</f>
        <v>0</v>
      </c>
      <c r="Y7" s="579">
        <f>IFERROR(SUMIFS('Rozpočet - HW a licencie'!$I$3:$I$102,'Rozpočet - HW a licencie'!$A$3:$A$102,'TCO TO BE - HW'!Y$2,'Rozpočet - HW a licencie'!$C$3:$C$102,"HW",'Rozpočet - HW a licencie'!$G$3:$G$102,'TCO TO BE - HW'!$D7,'Rozpočet - HW a licencie'!$D$3:$D$102,'TCO TO BE - HW'!$B$5)+SUMIFS('Rozpočet - HW a licencie'!$I$3:$I$102,'Rozpočet - HW a licencie'!$A$3:$A$102,'TCO TO BE - HW'!Y$2,'Rozpočet - HW a licencie'!$C$3:$C$102,"SW pre HW",'Rozpočet - HW a licencie'!$G$3:$G$102,'TCO TO BE - HW'!$D7,'Rozpočet - HW a licencie'!$D$3:$D$102,'TCO TO BE - HW'!$B$5),)</f>
        <v>0</v>
      </c>
      <c r="Z7" s="579">
        <f>IFERROR(SUMIFS('Rozpočet - HW a licencie'!$I$3:$I$102,'Rozpočet - HW a licencie'!$A$3:$A$102,'TCO TO BE - HW'!Z$2,'Rozpočet - HW a licencie'!$C$3:$C$102,"HW",'Rozpočet - HW a licencie'!$G$3:$G$102,'TCO TO BE - HW'!$D7,'Rozpočet - HW a licencie'!$D$3:$D$102,'TCO TO BE - HW'!$B$5)+SUMIFS('Rozpočet - HW a licencie'!$I$3:$I$102,'Rozpočet - HW a licencie'!$A$3:$A$102,'TCO TO BE - HW'!Z$2,'Rozpočet - HW a licencie'!$C$3:$C$102,"SW pre HW",'Rozpočet - HW a licencie'!$G$3:$G$102,'TCO TO BE - HW'!$D7,'Rozpočet - HW a licencie'!$D$3:$D$102,'TCO TO BE - HW'!$B$5),)</f>
        <v>0</v>
      </c>
    </row>
    <row r="8" spans="1:26" outlineLevel="1" x14ac:dyDescent="0.2">
      <c r="A8" s="1390"/>
      <c r="B8" s="1391"/>
      <c r="C8" s="1391"/>
      <c r="D8" s="497">
        <v>4</v>
      </c>
      <c r="E8" s="68">
        <f t="shared" si="2"/>
        <v>0</v>
      </c>
      <c r="F8" s="579">
        <f>IFERROR(SUMIFS('Rozpočet - HW a licencie'!$I$3:$I$102,'Rozpočet - HW a licencie'!$A$3:$A$102,'TCO TO BE - HW'!F$2,'Rozpočet - HW a licencie'!$C$3:$C$102,"HW",'Rozpočet - HW a licencie'!$G$3:$G$102,'TCO TO BE - HW'!$D8,'Rozpočet - HW a licencie'!$D$3:$D$102,'TCO TO BE - HW'!$B$5)+SUMIFS('Rozpočet - HW a licencie'!$I$3:$I$102,'Rozpočet - HW a licencie'!$A$3:$A$102,'TCO TO BE - HW'!F$2,'Rozpočet - HW a licencie'!$C$3:$C$102,"SW pre HW",'Rozpočet - HW a licencie'!$G$3:$G$102,'TCO TO BE - HW'!$D8,'Rozpočet - HW a licencie'!$D$3:$D$102,'TCO TO BE - HW'!$B$5),)</f>
        <v>0</v>
      </c>
      <c r="G8" s="579">
        <f>IFERROR(SUMIFS('Rozpočet - HW a licencie'!$I$3:$I$102,'Rozpočet - HW a licencie'!$A$3:$A$102,'TCO TO BE - HW'!G$2,'Rozpočet - HW a licencie'!$C$3:$C$102,"HW",'Rozpočet - HW a licencie'!$G$3:$G$102,'TCO TO BE - HW'!$D8,'Rozpočet - HW a licencie'!$D$3:$D$102,'TCO TO BE - HW'!$B$5)+SUMIFS('Rozpočet - HW a licencie'!$I$3:$I$102,'Rozpočet - HW a licencie'!$A$3:$A$102,'TCO TO BE - HW'!G$2,'Rozpočet - HW a licencie'!$C$3:$C$102,"SW pre HW",'Rozpočet - HW a licencie'!$G$3:$G$102,'TCO TO BE - HW'!$D8,'Rozpočet - HW a licencie'!$D$3:$D$102,'TCO TO BE - HW'!$B$5),)</f>
        <v>0</v>
      </c>
      <c r="H8" s="579">
        <f>IFERROR(SUMIFS('Rozpočet - HW a licencie'!$I$3:$I$102,'Rozpočet - HW a licencie'!$A$3:$A$102,'TCO TO BE - HW'!H$2,'Rozpočet - HW a licencie'!$C$3:$C$102,"HW",'Rozpočet - HW a licencie'!$G$3:$G$102,'TCO TO BE - HW'!$D8,'Rozpočet - HW a licencie'!$D$3:$D$102,'TCO TO BE - HW'!$B$5)+SUMIFS('Rozpočet - HW a licencie'!$I$3:$I$102,'Rozpočet - HW a licencie'!$A$3:$A$102,'TCO TO BE - HW'!H$2,'Rozpočet - HW a licencie'!$C$3:$C$102,"SW pre HW",'Rozpočet - HW a licencie'!$G$3:$G$102,'TCO TO BE - HW'!$D8,'Rozpočet - HW a licencie'!$D$3:$D$102,'TCO TO BE - HW'!$B$5),)</f>
        <v>0</v>
      </c>
      <c r="I8" s="579">
        <f>IFERROR(SUMIFS('Rozpočet - HW a licencie'!$I$3:$I$102,'Rozpočet - HW a licencie'!$A$3:$A$102,'TCO TO BE - HW'!I$2,'Rozpočet - HW a licencie'!$C$3:$C$102,"HW",'Rozpočet - HW a licencie'!$G$3:$G$102,'TCO TO BE - HW'!$D8,'Rozpočet - HW a licencie'!$D$3:$D$102,'TCO TO BE - HW'!$B$5)+SUMIFS('Rozpočet - HW a licencie'!$I$3:$I$102,'Rozpočet - HW a licencie'!$A$3:$A$102,'TCO TO BE - HW'!I$2,'Rozpočet - HW a licencie'!$C$3:$C$102,"SW pre HW",'Rozpočet - HW a licencie'!$G$3:$G$102,'TCO TO BE - HW'!$D8,'Rozpočet - HW a licencie'!$D$3:$D$102,'TCO TO BE - HW'!$B$5),)</f>
        <v>0</v>
      </c>
      <c r="J8" s="579">
        <f>IFERROR(SUMIFS('Rozpočet - HW a licencie'!$I$3:$I$102,'Rozpočet - HW a licencie'!$A$3:$A$102,'TCO TO BE - HW'!J$2,'Rozpočet - HW a licencie'!$C$3:$C$102,"HW",'Rozpočet - HW a licencie'!$G$3:$G$102,'TCO TO BE - HW'!$D8,'Rozpočet - HW a licencie'!$D$3:$D$102,'TCO TO BE - HW'!$B$5)+SUMIFS('Rozpočet - HW a licencie'!$I$3:$I$102,'Rozpočet - HW a licencie'!$A$3:$A$102,'TCO TO BE - HW'!J$2,'Rozpočet - HW a licencie'!$C$3:$C$102,"SW pre HW",'Rozpočet - HW a licencie'!$G$3:$G$102,'TCO TO BE - HW'!$D8,'Rozpočet - HW a licencie'!$D$3:$D$102,'TCO TO BE - HW'!$B$5),)</f>
        <v>0</v>
      </c>
      <c r="K8" s="579">
        <f>IFERROR(SUMIFS('Rozpočet - HW a licencie'!$I$3:$I$102,'Rozpočet - HW a licencie'!$A$3:$A$102,'TCO TO BE - HW'!K$2,'Rozpočet - HW a licencie'!$C$3:$C$102,"HW",'Rozpočet - HW a licencie'!$G$3:$G$102,'TCO TO BE - HW'!$D8,'Rozpočet - HW a licencie'!$D$3:$D$102,'TCO TO BE - HW'!$B$5)+SUMIFS('Rozpočet - HW a licencie'!$I$3:$I$102,'Rozpočet - HW a licencie'!$A$3:$A$102,'TCO TO BE - HW'!K$2,'Rozpočet - HW a licencie'!$C$3:$C$102,"SW pre HW",'Rozpočet - HW a licencie'!$G$3:$G$102,'TCO TO BE - HW'!$D8,'Rozpočet - HW a licencie'!$D$3:$D$102,'TCO TO BE - HW'!$B$5),)</f>
        <v>0</v>
      </c>
      <c r="L8" s="579">
        <f>IFERROR(SUMIFS('Rozpočet - HW a licencie'!$I$3:$I$102,'Rozpočet - HW a licencie'!$A$3:$A$102,'TCO TO BE - HW'!L$2,'Rozpočet - HW a licencie'!$C$3:$C$102,"HW",'Rozpočet - HW a licencie'!$G$3:$G$102,'TCO TO BE - HW'!$D8,'Rozpočet - HW a licencie'!$D$3:$D$102,'TCO TO BE - HW'!$B$5)+SUMIFS('Rozpočet - HW a licencie'!$I$3:$I$102,'Rozpočet - HW a licencie'!$A$3:$A$102,'TCO TO BE - HW'!L$2,'Rozpočet - HW a licencie'!$C$3:$C$102,"SW pre HW",'Rozpočet - HW a licencie'!$G$3:$G$102,'TCO TO BE - HW'!$D8,'Rozpočet - HW a licencie'!$D$3:$D$102,'TCO TO BE - HW'!$B$5),)</f>
        <v>0</v>
      </c>
      <c r="M8" s="579">
        <f>IFERROR(SUMIFS('Rozpočet - HW a licencie'!$I$3:$I$102,'Rozpočet - HW a licencie'!$A$3:$A$102,'TCO TO BE - HW'!M$2,'Rozpočet - HW a licencie'!$C$3:$C$102,"HW",'Rozpočet - HW a licencie'!$G$3:$G$102,'TCO TO BE - HW'!$D8,'Rozpočet - HW a licencie'!$D$3:$D$102,'TCO TO BE - HW'!$B$5)+SUMIFS('Rozpočet - HW a licencie'!$I$3:$I$102,'Rozpočet - HW a licencie'!$A$3:$A$102,'TCO TO BE - HW'!M$2,'Rozpočet - HW a licencie'!$C$3:$C$102,"SW pre HW",'Rozpočet - HW a licencie'!$G$3:$G$102,'TCO TO BE - HW'!$D8,'Rozpočet - HW a licencie'!$D$3:$D$102,'TCO TO BE - HW'!$B$5),)</f>
        <v>0</v>
      </c>
      <c r="N8" s="579">
        <f>IFERROR(SUMIFS('Rozpočet - HW a licencie'!$I$3:$I$102,'Rozpočet - HW a licencie'!$A$3:$A$102,'TCO TO BE - HW'!N$2,'Rozpočet - HW a licencie'!$C$3:$C$102,"HW",'Rozpočet - HW a licencie'!$G$3:$G$102,'TCO TO BE - HW'!$D8,'Rozpočet - HW a licencie'!$D$3:$D$102,'TCO TO BE - HW'!$B$5)+SUMIFS('Rozpočet - HW a licencie'!$I$3:$I$102,'Rozpočet - HW a licencie'!$A$3:$A$102,'TCO TO BE - HW'!N$2,'Rozpočet - HW a licencie'!$C$3:$C$102,"SW pre HW",'Rozpočet - HW a licencie'!$G$3:$G$102,'TCO TO BE - HW'!$D8,'Rozpočet - HW a licencie'!$D$3:$D$102,'TCO TO BE - HW'!$B$5),)</f>
        <v>0</v>
      </c>
      <c r="O8" s="579">
        <f>IFERROR(SUMIFS('Rozpočet - HW a licencie'!$I$3:$I$102,'Rozpočet - HW a licencie'!$A$3:$A$102,'TCO TO BE - HW'!O$2,'Rozpočet - HW a licencie'!$C$3:$C$102,"HW",'Rozpočet - HW a licencie'!$G$3:$G$102,'TCO TO BE - HW'!$D8,'Rozpočet - HW a licencie'!$D$3:$D$102,'TCO TO BE - HW'!$B$5)+SUMIFS('Rozpočet - HW a licencie'!$I$3:$I$102,'Rozpočet - HW a licencie'!$A$3:$A$102,'TCO TO BE - HW'!O$2,'Rozpočet - HW a licencie'!$C$3:$C$102,"SW pre HW",'Rozpočet - HW a licencie'!$G$3:$G$102,'TCO TO BE - HW'!$D8,'Rozpočet - HW a licencie'!$D$3:$D$102,'TCO TO BE - HW'!$B$5),)</f>
        <v>0</v>
      </c>
      <c r="P8" s="579">
        <f>IFERROR(SUMIFS('Rozpočet - HW a licencie'!$I$3:$I$102,'Rozpočet - HW a licencie'!$A$3:$A$102,'TCO TO BE - HW'!P$2,'Rozpočet - HW a licencie'!$C$3:$C$102,"HW",'Rozpočet - HW a licencie'!$G$3:$G$102,'TCO TO BE - HW'!$D8,'Rozpočet - HW a licencie'!$D$3:$D$102,'TCO TO BE - HW'!$B$5)+SUMIFS('Rozpočet - HW a licencie'!$I$3:$I$102,'Rozpočet - HW a licencie'!$A$3:$A$102,'TCO TO BE - HW'!P$2,'Rozpočet - HW a licencie'!$C$3:$C$102,"SW pre HW",'Rozpočet - HW a licencie'!$G$3:$G$102,'TCO TO BE - HW'!$D8,'Rozpočet - HW a licencie'!$D$3:$D$102,'TCO TO BE - HW'!$B$5),)</f>
        <v>0</v>
      </c>
      <c r="Q8" s="579">
        <f>IFERROR(SUMIFS('Rozpočet - HW a licencie'!$I$3:$I$102,'Rozpočet - HW a licencie'!$A$3:$A$102,'TCO TO BE - HW'!Q$2,'Rozpočet - HW a licencie'!$C$3:$C$102,"HW",'Rozpočet - HW a licencie'!$G$3:$G$102,'TCO TO BE - HW'!$D8,'Rozpočet - HW a licencie'!$D$3:$D$102,'TCO TO BE - HW'!$B$5)+SUMIFS('Rozpočet - HW a licencie'!$I$3:$I$102,'Rozpočet - HW a licencie'!$A$3:$A$102,'TCO TO BE - HW'!Q$2,'Rozpočet - HW a licencie'!$C$3:$C$102,"SW pre HW",'Rozpočet - HW a licencie'!$G$3:$G$102,'TCO TO BE - HW'!$D8,'Rozpočet - HW a licencie'!$D$3:$D$102,'TCO TO BE - HW'!$B$5),)</f>
        <v>0</v>
      </c>
      <c r="R8" s="579">
        <f>IFERROR(SUMIFS('Rozpočet - HW a licencie'!$I$3:$I$102,'Rozpočet - HW a licencie'!$A$3:$A$102,'TCO TO BE - HW'!R$2,'Rozpočet - HW a licencie'!$C$3:$C$102,"HW",'Rozpočet - HW a licencie'!$G$3:$G$102,'TCO TO BE - HW'!$D8,'Rozpočet - HW a licencie'!$D$3:$D$102,'TCO TO BE - HW'!$B$5)+SUMIFS('Rozpočet - HW a licencie'!$I$3:$I$102,'Rozpočet - HW a licencie'!$A$3:$A$102,'TCO TO BE - HW'!R$2,'Rozpočet - HW a licencie'!$C$3:$C$102,"SW pre HW",'Rozpočet - HW a licencie'!$G$3:$G$102,'TCO TO BE - HW'!$D8,'Rozpočet - HW a licencie'!$D$3:$D$102,'TCO TO BE - HW'!$B$5),)</f>
        <v>0</v>
      </c>
      <c r="S8" s="579">
        <f>IFERROR(SUMIFS('Rozpočet - HW a licencie'!$I$3:$I$102,'Rozpočet - HW a licencie'!$A$3:$A$102,'TCO TO BE - HW'!S$2,'Rozpočet - HW a licencie'!$C$3:$C$102,"HW",'Rozpočet - HW a licencie'!$G$3:$G$102,'TCO TO BE - HW'!$D8,'Rozpočet - HW a licencie'!$D$3:$D$102,'TCO TO BE - HW'!$B$5)+SUMIFS('Rozpočet - HW a licencie'!$I$3:$I$102,'Rozpočet - HW a licencie'!$A$3:$A$102,'TCO TO BE - HW'!S$2,'Rozpočet - HW a licencie'!$C$3:$C$102,"SW pre HW",'Rozpočet - HW a licencie'!$G$3:$G$102,'TCO TO BE - HW'!$D8,'Rozpočet - HW a licencie'!$D$3:$D$102,'TCO TO BE - HW'!$B$5),)</f>
        <v>0</v>
      </c>
      <c r="T8" s="579">
        <f>IFERROR(SUMIFS('Rozpočet - HW a licencie'!$I$3:$I$102,'Rozpočet - HW a licencie'!$A$3:$A$102,'TCO TO BE - HW'!T$2,'Rozpočet - HW a licencie'!$C$3:$C$102,"HW",'Rozpočet - HW a licencie'!$G$3:$G$102,'TCO TO BE - HW'!$D8,'Rozpočet - HW a licencie'!$D$3:$D$102,'TCO TO BE - HW'!$B$5)+SUMIFS('Rozpočet - HW a licencie'!$I$3:$I$102,'Rozpočet - HW a licencie'!$A$3:$A$102,'TCO TO BE - HW'!T$2,'Rozpočet - HW a licencie'!$C$3:$C$102,"SW pre HW",'Rozpočet - HW a licencie'!$G$3:$G$102,'TCO TO BE - HW'!$D8,'Rozpočet - HW a licencie'!$D$3:$D$102,'TCO TO BE - HW'!$B$5),)</f>
        <v>0</v>
      </c>
      <c r="U8" s="579">
        <f>IFERROR(SUMIFS('Rozpočet - HW a licencie'!$I$3:$I$102,'Rozpočet - HW a licencie'!$A$3:$A$102,'TCO TO BE - HW'!U$2,'Rozpočet - HW a licencie'!$C$3:$C$102,"HW",'Rozpočet - HW a licencie'!$G$3:$G$102,'TCO TO BE - HW'!$D8,'Rozpočet - HW a licencie'!$D$3:$D$102,'TCO TO BE - HW'!$B$5)+SUMIFS('Rozpočet - HW a licencie'!$I$3:$I$102,'Rozpočet - HW a licencie'!$A$3:$A$102,'TCO TO BE - HW'!U$2,'Rozpočet - HW a licencie'!$C$3:$C$102,"SW pre HW",'Rozpočet - HW a licencie'!$G$3:$G$102,'TCO TO BE - HW'!$D8,'Rozpočet - HW a licencie'!$D$3:$D$102,'TCO TO BE - HW'!$B$5),)</f>
        <v>0</v>
      </c>
      <c r="V8" s="579">
        <f>IFERROR(SUMIFS('Rozpočet - HW a licencie'!$I$3:$I$102,'Rozpočet - HW a licencie'!$A$3:$A$102,'TCO TO BE - HW'!V$2,'Rozpočet - HW a licencie'!$C$3:$C$102,"HW",'Rozpočet - HW a licencie'!$G$3:$G$102,'TCO TO BE - HW'!$D8,'Rozpočet - HW a licencie'!$D$3:$D$102,'TCO TO BE - HW'!$B$5)+SUMIFS('Rozpočet - HW a licencie'!$I$3:$I$102,'Rozpočet - HW a licencie'!$A$3:$A$102,'TCO TO BE - HW'!V$2,'Rozpočet - HW a licencie'!$C$3:$C$102,"SW pre HW",'Rozpočet - HW a licencie'!$G$3:$G$102,'TCO TO BE - HW'!$D8,'Rozpočet - HW a licencie'!$D$3:$D$102,'TCO TO BE - HW'!$B$5),)</f>
        <v>0</v>
      </c>
      <c r="W8" s="579">
        <f>IFERROR(SUMIFS('Rozpočet - HW a licencie'!$I$3:$I$102,'Rozpočet - HW a licencie'!$A$3:$A$102,'TCO TO BE - HW'!W$2,'Rozpočet - HW a licencie'!$C$3:$C$102,"HW",'Rozpočet - HW a licencie'!$G$3:$G$102,'TCO TO BE - HW'!$D8,'Rozpočet - HW a licencie'!$D$3:$D$102,'TCO TO BE - HW'!$B$5)+SUMIFS('Rozpočet - HW a licencie'!$I$3:$I$102,'Rozpočet - HW a licencie'!$A$3:$A$102,'TCO TO BE - HW'!W$2,'Rozpočet - HW a licencie'!$C$3:$C$102,"SW pre HW",'Rozpočet - HW a licencie'!$G$3:$G$102,'TCO TO BE - HW'!$D8,'Rozpočet - HW a licencie'!$D$3:$D$102,'TCO TO BE - HW'!$B$5),)</f>
        <v>0</v>
      </c>
      <c r="X8" s="579">
        <f>IFERROR(SUMIFS('Rozpočet - HW a licencie'!$I$3:$I$102,'Rozpočet - HW a licencie'!$A$3:$A$102,'TCO TO BE - HW'!X$2,'Rozpočet - HW a licencie'!$C$3:$C$102,"HW",'Rozpočet - HW a licencie'!$G$3:$G$102,'TCO TO BE - HW'!$D8,'Rozpočet - HW a licencie'!$D$3:$D$102,'TCO TO BE - HW'!$B$5)+SUMIFS('Rozpočet - HW a licencie'!$I$3:$I$102,'Rozpočet - HW a licencie'!$A$3:$A$102,'TCO TO BE - HW'!X$2,'Rozpočet - HW a licencie'!$C$3:$C$102,"SW pre HW",'Rozpočet - HW a licencie'!$G$3:$G$102,'TCO TO BE - HW'!$D8,'Rozpočet - HW a licencie'!$D$3:$D$102,'TCO TO BE - HW'!$B$5),)</f>
        <v>0</v>
      </c>
      <c r="Y8" s="579">
        <f>IFERROR(SUMIFS('Rozpočet - HW a licencie'!$I$3:$I$102,'Rozpočet - HW a licencie'!$A$3:$A$102,'TCO TO BE - HW'!Y$2,'Rozpočet - HW a licencie'!$C$3:$C$102,"HW",'Rozpočet - HW a licencie'!$G$3:$G$102,'TCO TO BE - HW'!$D8,'Rozpočet - HW a licencie'!$D$3:$D$102,'TCO TO BE - HW'!$B$5)+SUMIFS('Rozpočet - HW a licencie'!$I$3:$I$102,'Rozpočet - HW a licencie'!$A$3:$A$102,'TCO TO BE - HW'!Y$2,'Rozpočet - HW a licencie'!$C$3:$C$102,"SW pre HW",'Rozpočet - HW a licencie'!$G$3:$G$102,'TCO TO BE - HW'!$D8,'Rozpočet - HW a licencie'!$D$3:$D$102,'TCO TO BE - HW'!$B$5),)</f>
        <v>0</v>
      </c>
      <c r="Z8" s="579">
        <f>IFERROR(SUMIFS('Rozpočet - HW a licencie'!$I$3:$I$102,'Rozpočet - HW a licencie'!$A$3:$A$102,'TCO TO BE - HW'!Z$2,'Rozpočet - HW a licencie'!$C$3:$C$102,"HW",'Rozpočet - HW a licencie'!$G$3:$G$102,'TCO TO BE - HW'!$D8,'Rozpočet - HW a licencie'!$D$3:$D$102,'TCO TO BE - HW'!$B$5)+SUMIFS('Rozpočet - HW a licencie'!$I$3:$I$102,'Rozpočet - HW a licencie'!$A$3:$A$102,'TCO TO BE - HW'!Z$2,'Rozpočet - HW a licencie'!$C$3:$C$102,"SW pre HW",'Rozpočet - HW a licencie'!$G$3:$G$102,'TCO TO BE - HW'!$D8,'Rozpočet - HW a licencie'!$D$3:$D$102,'TCO TO BE - HW'!$B$5),)</f>
        <v>0</v>
      </c>
    </row>
    <row r="9" spans="1:26" outlineLevel="1" x14ac:dyDescent="0.2">
      <c r="A9" s="1390"/>
      <c r="B9" s="1391"/>
      <c r="C9" s="1391"/>
      <c r="D9" s="497">
        <v>5</v>
      </c>
      <c r="E9" s="68">
        <f t="shared" si="2"/>
        <v>0</v>
      </c>
      <c r="F9" s="579">
        <f>IFERROR(SUMIFS('Rozpočet - HW a licencie'!$I$3:$I$102,'Rozpočet - HW a licencie'!$A$3:$A$102,'TCO TO BE - HW'!F$2,'Rozpočet - HW a licencie'!$C$3:$C$102,"HW",'Rozpočet - HW a licencie'!$G$3:$G$102,'TCO TO BE - HW'!$D9,'Rozpočet - HW a licencie'!$D$3:$D$102,'TCO TO BE - HW'!$B$5)+SUMIFS('Rozpočet - HW a licencie'!$I$3:$I$102,'Rozpočet - HW a licencie'!$A$3:$A$102,'TCO TO BE - HW'!F$2,'Rozpočet - HW a licencie'!$C$3:$C$102,"SW pre HW",'Rozpočet - HW a licencie'!$G$3:$G$102,'TCO TO BE - HW'!$D9,'Rozpočet - HW a licencie'!$D$3:$D$102,'TCO TO BE - HW'!$B$5),)</f>
        <v>0</v>
      </c>
      <c r="G9" s="579">
        <f>IFERROR(SUMIFS('Rozpočet - HW a licencie'!$I$3:$I$102,'Rozpočet - HW a licencie'!$A$3:$A$102,'TCO TO BE - HW'!G$2,'Rozpočet - HW a licencie'!$C$3:$C$102,"HW",'Rozpočet - HW a licencie'!$G$3:$G$102,'TCO TO BE - HW'!$D9,'Rozpočet - HW a licencie'!$D$3:$D$102,'TCO TO BE - HW'!$B$5)+SUMIFS('Rozpočet - HW a licencie'!$I$3:$I$102,'Rozpočet - HW a licencie'!$A$3:$A$102,'TCO TO BE - HW'!G$2,'Rozpočet - HW a licencie'!$C$3:$C$102,"SW pre HW",'Rozpočet - HW a licencie'!$G$3:$G$102,'TCO TO BE - HW'!$D9,'Rozpočet - HW a licencie'!$D$3:$D$102,'TCO TO BE - HW'!$B$5),)</f>
        <v>0</v>
      </c>
      <c r="H9" s="579">
        <f>IFERROR(SUMIFS('Rozpočet - HW a licencie'!$I$3:$I$102,'Rozpočet - HW a licencie'!$A$3:$A$102,'TCO TO BE - HW'!H$2,'Rozpočet - HW a licencie'!$C$3:$C$102,"HW",'Rozpočet - HW a licencie'!$G$3:$G$102,'TCO TO BE - HW'!$D9,'Rozpočet - HW a licencie'!$D$3:$D$102,'TCO TO BE - HW'!$B$5)+SUMIFS('Rozpočet - HW a licencie'!$I$3:$I$102,'Rozpočet - HW a licencie'!$A$3:$A$102,'TCO TO BE - HW'!H$2,'Rozpočet - HW a licencie'!$C$3:$C$102,"SW pre HW",'Rozpočet - HW a licencie'!$G$3:$G$102,'TCO TO BE - HW'!$D9,'Rozpočet - HW a licencie'!$D$3:$D$102,'TCO TO BE - HW'!$B$5),)</f>
        <v>0</v>
      </c>
      <c r="I9" s="579">
        <f>IFERROR(SUMIFS('Rozpočet - HW a licencie'!$I$3:$I$102,'Rozpočet - HW a licencie'!$A$3:$A$102,'TCO TO BE - HW'!I$2,'Rozpočet - HW a licencie'!$C$3:$C$102,"HW",'Rozpočet - HW a licencie'!$G$3:$G$102,'TCO TO BE - HW'!$D9,'Rozpočet - HW a licencie'!$D$3:$D$102,'TCO TO BE - HW'!$B$5)+SUMIFS('Rozpočet - HW a licencie'!$I$3:$I$102,'Rozpočet - HW a licencie'!$A$3:$A$102,'TCO TO BE - HW'!I$2,'Rozpočet - HW a licencie'!$C$3:$C$102,"SW pre HW",'Rozpočet - HW a licencie'!$G$3:$G$102,'TCO TO BE - HW'!$D9,'Rozpočet - HW a licencie'!$D$3:$D$102,'TCO TO BE - HW'!$B$5),)</f>
        <v>0</v>
      </c>
      <c r="J9" s="579">
        <f>IFERROR(SUMIFS('Rozpočet - HW a licencie'!$I$3:$I$102,'Rozpočet - HW a licencie'!$A$3:$A$102,'TCO TO BE - HW'!J$2,'Rozpočet - HW a licencie'!$C$3:$C$102,"HW",'Rozpočet - HW a licencie'!$G$3:$G$102,'TCO TO BE - HW'!$D9,'Rozpočet - HW a licencie'!$D$3:$D$102,'TCO TO BE - HW'!$B$5)+SUMIFS('Rozpočet - HW a licencie'!$I$3:$I$102,'Rozpočet - HW a licencie'!$A$3:$A$102,'TCO TO BE - HW'!J$2,'Rozpočet - HW a licencie'!$C$3:$C$102,"SW pre HW",'Rozpočet - HW a licencie'!$G$3:$G$102,'TCO TO BE - HW'!$D9,'Rozpočet - HW a licencie'!$D$3:$D$102,'TCO TO BE - HW'!$B$5),)</f>
        <v>0</v>
      </c>
      <c r="K9" s="579">
        <f>IFERROR(SUMIFS('Rozpočet - HW a licencie'!$I$3:$I$102,'Rozpočet - HW a licencie'!$A$3:$A$102,'TCO TO BE - HW'!K$2,'Rozpočet - HW a licencie'!$C$3:$C$102,"HW",'Rozpočet - HW a licencie'!$G$3:$G$102,'TCO TO BE - HW'!$D9,'Rozpočet - HW a licencie'!$D$3:$D$102,'TCO TO BE - HW'!$B$5)+SUMIFS('Rozpočet - HW a licencie'!$I$3:$I$102,'Rozpočet - HW a licencie'!$A$3:$A$102,'TCO TO BE - HW'!K$2,'Rozpočet - HW a licencie'!$C$3:$C$102,"SW pre HW",'Rozpočet - HW a licencie'!$G$3:$G$102,'TCO TO BE - HW'!$D9,'Rozpočet - HW a licencie'!$D$3:$D$102,'TCO TO BE - HW'!$B$5),)</f>
        <v>0</v>
      </c>
      <c r="L9" s="579">
        <f>IFERROR(SUMIFS('Rozpočet - HW a licencie'!$I$3:$I$102,'Rozpočet - HW a licencie'!$A$3:$A$102,'TCO TO BE - HW'!L$2,'Rozpočet - HW a licencie'!$C$3:$C$102,"HW",'Rozpočet - HW a licencie'!$G$3:$G$102,'TCO TO BE - HW'!$D9,'Rozpočet - HW a licencie'!$D$3:$D$102,'TCO TO BE - HW'!$B$5)+SUMIFS('Rozpočet - HW a licencie'!$I$3:$I$102,'Rozpočet - HW a licencie'!$A$3:$A$102,'TCO TO BE - HW'!L$2,'Rozpočet - HW a licencie'!$C$3:$C$102,"SW pre HW",'Rozpočet - HW a licencie'!$G$3:$G$102,'TCO TO BE - HW'!$D9,'Rozpočet - HW a licencie'!$D$3:$D$102,'TCO TO BE - HW'!$B$5),)</f>
        <v>0</v>
      </c>
      <c r="M9" s="579">
        <f>IFERROR(SUMIFS('Rozpočet - HW a licencie'!$I$3:$I$102,'Rozpočet - HW a licencie'!$A$3:$A$102,'TCO TO BE - HW'!M$2,'Rozpočet - HW a licencie'!$C$3:$C$102,"HW",'Rozpočet - HW a licencie'!$G$3:$G$102,'TCO TO BE - HW'!$D9,'Rozpočet - HW a licencie'!$D$3:$D$102,'TCO TO BE - HW'!$B$5)+SUMIFS('Rozpočet - HW a licencie'!$I$3:$I$102,'Rozpočet - HW a licencie'!$A$3:$A$102,'TCO TO BE - HW'!M$2,'Rozpočet - HW a licencie'!$C$3:$C$102,"SW pre HW",'Rozpočet - HW a licencie'!$G$3:$G$102,'TCO TO BE - HW'!$D9,'Rozpočet - HW a licencie'!$D$3:$D$102,'TCO TO BE - HW'!$B$5),)</f>
        <v>0</v>
      </c>
      <c r="N9" s="579">
        <f>IFERROR(SUMIFS('Rozpočet - HW a licencie'!$I$3:$I$102,'Rozpočet - HW a licencie'!$A$3:$A$102,'TCO TO BE - HW'!N$2,'Rozpočet - HW a licencie'!$C$3:$C$102,"HW",'Rozpočet - HW a licencie'!$G$3:$G$102,'TCO TO BE - HW'!$D9,'Rozpočet - HW a licencie'!$D$3:$D$102,'TCO TO BE - HW'!$B$5)+SUMIFS('Rozpočet - HW a licencie'!$I$3:$I$102,'Rozpočet - HW a licencie'!$A$3:$A$102,'TCO TO BE - HW'!N$2,'Rozpočet - HW a licencie'!$C$3:$C$102,"SW pre HW",'Rozpočet - HW a licencie'!$G$3:$G$102,'TCO TO BE - HW'!$D9,'Rozpočet - HW a licencie'!$D$3:$D$102,'TCO TO BE - HW'!$B$5),)</f>
        <v>0</v>
      </c>
      <c r="O9" s="579">
        <f>IFERROR(SUMIFS('Rozpočet - HW a licencie'!$I$3:$I$102,'Rozpočet - HW a licencie'!$A$3:$A$102,'TCO TO BE - HW'!O$2,'Rozpočet - HW a licencie'!$C$3:$C$102,"HW",'Rozpočet - HW a licencie'!$G$3:$G$102,'TCO TO BE - HW'!$D9,'Rozpočet - HW a licencie'!$D$3:$D$102,'TCO TO BE - HW'!$B$5)+SUMIFS('Rozpočet - HW a licencie'!$I$3:$I$102,'Rozpočet - HW a licencie'!$A$3:$A$102,'TCO TO BE - HW'!O$2,'Rozpočet - HW a licencie'!$C$3:$C$102,"SW pre HW",'Rozpočet - HW a licencie'!$G$3:$G$102,'TCO TO BE - HW'!$D9,'Rozpočet - HW a licencie'!$D$3:$D$102,'TCO TO BE - HW'!$B$5),)</f>
        <v>0</v>
      </c>
      <c r="P9" s="579">
        <f>IFERROR(SUMIFS('Rozpočet - HW a licencie'!$I$3:$I$102,'Rozpočet - HW a licencie'!$A$3:$A$102,'TCO TO BE - HW'!P$2,'Rozpočet - HW a licencie'!$C$3:$C$102,"HW",'Rozpočet - HW a licencie'!$G$3:$G$102,'TCO TO BE - HW'!$D9,'Rozpočet - HW a licencie'!$D$3:$D$102,'TCO TO BE - HW'!$B$5)+SUMIFS('Rozpočet - HW a licencie'!$I$3:$I$102,'Rozpočet - HW a licencie'!$A$3:$A$102,'TCO TO BE - HW'!P$2,'Rozpočet - HW a licencie'!$C$3:$C$102,"SW pre HW",'Rozpočet - HW a licencie'!$G$3:$G$102,'TCO TO BE - HW'!$D9,'Rozpočet - HW a licencie'!$D$3:$D$102,'TCO TO BE - HW'!$B$5),)</f>
        <v>0</v>
      </c>
      <c r="Q9" s="579">
        <f>IFERROR(SUMIFS('Rozpočet - HW a licencie'!$I$3:$I$102,'Rozpočet - HW a licencie'!$A$3:$A$102,'TCO TO BE - HW'!Q$2,'Rozpočet - HW a licencie'!$C$3:$C$102,"HW",'Rozpočet - HW a licencie'!$G$3:$G$102,'TCO TO BE - HW'!$D9,'Rozpočet - HW a licencie'!$D$3:$D$102,'TCO TO BE - HW'!$B$5)+SUMIFS('Rozpočet - HW a licencie'!$I$3:$I$102,'Rozpočet - HW a licencie'!$A$3:$A$102,'TCO TO BE - HW'!Q$2,'Rozpočet - HW a licencie'!$C$3:$C$102,"SW pre HW",'Rozpočet - HW a licencie'!$G$3:$G$102,'TCO TO BE - HW'!$D9,'Rozpočet - HW a licencie'!$D$3:$D$102,'TCO TO BE - HW'!$B$5),)</f>
        <v>0</v>
      </c>
      <c r="R9" s="579">
        <f>IFERROR(SUMIFS('Rozpočet - HW a licencie'!$I$3:$I$102,'Rozpočet - HW a licencie'!$A$3:$A$102,'TCO TO BE - HW'!R$2,'Rozpočet - HW a licencie'!$C$3:$C$102,"HW",'Rozpočet - HW a licencie'!$G$3:$G$102,'TCO TO BE - HW'!$D9,'Rozpočet - HW a licencie'!$D$3:$D$102,'TCO TO BE - HW'!$B$5)+SUMIFS('Rozpočet - HW a licencie'!$I$3:$I$102,'Rozpočet - HW a licencie'!$A$3:$A$102,'TCO TO BE - HW'!R$2,'Rozpočet - HW a licencie'!$C$3:$C$102,"SW pre HW",'Rozpočet - HW a licencie'!$G$3:$G$102,'TCO TO BE - HW'!$D9,'Rozpočet - HW a licencie'!$D$3:$D$102,'TCO TO BE - HW'!$B$5),)</f>
        <v>0</v>
      </c>
      <c r="S9" s="579">
        <f>IFERROR(SUMIFS('Rozpočet - HW a licencie'!$I$3:$I$102,'Rozpočet - HW a licencie'!$A$3:$A$102,'TCO TO BE - HW'!S$2,'Rozpočet - HW a licencie'!$C$3:$C$102,"HW",'Rozpočet - HW a licencie'!$G$3:$G$102,'TCO TO BE - HW'!$D9,'Rozpočet - HW a licencie'!$D$3:$D$102,'TCO TO BE - HW'!$B$5)+SUMIFS('Rozpočet - HW a licencie'!$I$3:$I$102,'Rozpočet - HW a licencie'!$A$3:$A$102,'TCO TO BE - HW'!S$2,'Rozpočet - HW a licencie'!$C$3:$C$102,"SW pre HW",'Rozpočet - HW a licencie'!$G$3:$G$102,'TCO TO BE - HW'!$D9,'Rozpočet - HW a licencie'!$D$3:$D$102,'TCO TO BE - HW'!$B$5),)</f>
        <v>0</v>
      </c>
      <c r="T9" s="579">
        <f>IFERROR(SUMIFS('Rozpočet - HW a licencie'!$I$3:$I$102,'Rozpočet - HW a licencie'!$A$3:$A$102,'TCO TO BE - HW'!T$2,'Rozpočet - HW a licencie'!$C$3:$C$102,"HW",'Rozpočet - HW a licencie'!$G$3:$G$102,'TCO TO BE - HW'!$D9,'Rozpočet - HW a licencie'!$D$3:$D$102,'TCO TO BE - HW'!$B$5)+SUMIFS('Rozpočet - HW a licencie'!$I$3:$I$102,'Rozpočet - HW a licencie'!$A$3:$A$102,'TCO TO BE - HW'!T$2,'Rozpočet - HW a licencie'!$C$3:$C$102,"SW pre HW",'Rozpočet - HW a licencie'!$G$3:$G$102,'TCO TO BE - HW'!$D9,'Rozpočet - HW a licencie'!$D$3:$D$102,'TCO TO BE - HW'!$B$5),)</f>
        <v>0</v>
      </c>
      <c r="U9" s="579">
        <f>IFERROR(SUMIFS('Rozpočet - HW a licencie'!$I$3:$I$102,'Rozpočet - HW a licencie'!$A$3:$A$102,'TCO TO BE - HW'!U$2,'Rozpočet - HW a licencie'!$C$3:$C$102,"HW",'Rozpočet - HW a licencie'!$G$3:$G$102,'TCO TO BE - HW'!$D9,'Rozpočet - HW a licencie'!$D$3:$D$102,'TCO TO BE - HW'!$B$5)+SUMIFS('Rozpočet - HW a licencie'!$I$3:$I$102,'Rozpočet - HW a licencie'!$A$3:$A$102,'TCO TO BE - HW'!U$2,'Rozpočet - HW a licencie'!$C$3:$C$102,"SW pre HW",'Rozpočet - HW a licencie'!$G$3:$G$102,'TCO TO BE - HW'!$D9,'Rozpočet - HW a licencie'!$D$3:$D$102,'TCO TO BE - HW'!$B$5),)</f>
        <v>0</v>
      </c>
      <c r="V9" s="579">
        <f>IFERROR(SUMIFS('Rozpočet - HW a licencie'!$I$3:$I$102,'Rozpočet - HW a licencie'!$A$3:$A$102,'TCO TO BE - HW'!V$2,'Rozpočet - HW a licencie'!$C$3:$C$102,"HW",'Rozpočet - HW a licencie'!$G$3:$G$102,'TCO TO BE - HW'!$D9,'Rozpočet - HW a licencie'!$D$3:$D$102,'TCO TO BE - HW'!$B$5)+SUMIFS('Rozpočet - HW a licencie'!$I$3:$I$102,'Rozpočet - HW a licencie'!$A$3:$A$102,'TCO TO BE - HW'!V$2,'Rozpočet - HW a licencie'!$C$3:$C$102,"SW pre HW",'Rozpočet - HW a licencie'!$G$3:$G$102,'TCO TO BE - HW'!$D9,'Rozpočet - HW a licencie'!$D$3:$D$102,'TCO TO BE - HW'!$B$5),)</f>
        <v>0</v>
      </c>
      <c r="W9" s="579">
        <f>IFERROR(SUMIFS('Rozpočet - HW a licencie'!$I$3:$I$102,'Rozpočet - HW a licencie'!$A$3:$A$102,'TCO TO BE - HW'!W$2,'Rozpočet - HW a licencie'!$C$3:$C$102,"HW",'Rozpočet - HW a licencie'!$G$3:$G$102,'TCO TO BE - HW'!$D9,'Rozpočet - HW a licencie'!$D$3:$D$102,'TCO TO BE - HW'!$B$5)+SUMIFS('Rozpočet - HW a licencie'!$I$3:$I$102,'Rozpočet - HW a licencie'!$A$3:$A$102,'TCO TO BE - HW'!W$2,'Rozpočet - HW a licencie'!$C$3:$C$102,"SW pre HW",'Rozpočet - HW a licencie'!$G$3:$G$102,'TCO TO BE - HW'!$D9,'Rozpočet - HW a licencie'!$D$3:$D$102,'TCO TO BE - HW'!$B$5),)</f>
        <v>0</v>
      </c>
      <c r="X9" s="579">
        <f>IFERROR(SUMIFS('Rozpočet - HW a licencie'!$I$3:$I$102,'Rozpočet - HW a licencie'!$A$3:$A$102,'TCO TO BE - HW'!X$2,'Rozpočet - HW a licencie'!$C$3:$C$102,"HW",'Rozpočet - HW a licencie'!$G$3:$G$102,'TCO TO BE - HW'!$D9,'Rozpočet - HW a licencie'!$D$3:$D$102,'TCO TO BE - HW'!$B$5)+SUMIFS('Rozpočet - HW a licencie'!$I$3:$I$102,'Rozpočet - HW a licencie'!$A$3:$A$102,'TCO TO BE - HW'!X$2,'Rozpočet - HW a licencie'!$C$3:$C$102,"SW pre HW",'Rozpočet - HW a licencie'!$G$3:$G$102,'TCO TO BE - HW'!$D9,'Rozpočet - HW a licencie'!$D$3:$D$102,'TCO TO BE - HW'!$B$5),)</f>
        <v>0</v>
      </c>
      <c r="Y9" s="579">
        <f>IFERROR(SUMIFS('Rozpočet - HW a licencie'!$I$3:$I$102,'Rozpočet - HW a licencie'!$A$3:$A$102,'TCO TO BE - HW'!Y$2,'Rozpočet - HW a licencie'!$C$3:$C$102,"HW",'Rozpočet - HW a licencie'!$G$3:$G$102,'TCO TO BE - HW'!$D9,'Rozpočet - HW a licencie'!$D$3:$D$102,'TCO TO BE - HW'!$B$5)+SUMIFS('Rozpočet - HW a licencie'!$I$3:$I$102,'Rozpočet - HW a licencie'!$A$3:$A$102,'TCO TO BE - HW'!Y$2,'Rozpočet - HW a licencie'!$C$3:$C$102,"SW pre HW",'Rozpočet - HW a licencie'!$G$3:$G$102,'TCO TO BE - HW'!$D9,'Rozpočet - HW a licencie'!$D$3:$D$102,'TCO TO BE - HW'!$B$5),)</f>
        <v>0</v>
      </c>
      <c r="Z9" s="579">
        <f>IFERROR(SUMIFS('Rozpočet - HW a licencie'!$I$3:$I$102,'Rozpočet - HW a licencie'!$A$3:$A$102,'TCO TO BE - HW'!Z$2,'Rozpočet - HW a licencie'!$C$3:$C$102,"HW",'Rozpočet - HW a licencie'!$G$3:$G$102,'TCO TO BE - HW'!$D9,'Rozpočet - HW a licencie'!$D$3:$D$102,'TCO TO BE - HW'!$B$5)+SUMIFS('Rozpočet - HW a licencie'!$I$3:$I$102,'Rozpočet - HW a licencie'!$A$3:$A$102,'TCO TO BE - HW'!Z$2,'Rozpočet - HW a licencie'!$C$3:$C$102,"SW pre HW",'Rozpočet - HW a licencie'!$G$3:$G$102,'TCO TO BE - HW'!$D9,'Rozpočet - HW a licencie'!$D$3:$D$102,'TCO TO BE - HW'!$B$5),)</f>
        <v>0</v>
      </c>
    </row>
    <row r="10" spans="1:26" outlineLevel="1" x14ac:dyDescent="0.2">
      <c r="A10" s="1390"/>
      <c r="B10" s="1391"/>
      <c r="C10" s="1391"/>
      <c r="D10" s="497">
        <v>6</v>
      </c>
      <c r="E10" s="68">
        <f t="shared" si="2"/>
        <v>0</v>
      </c>
      <c r="F10" s="579">
        <f>IFERROR(SUMIFS('Rozpočet - HW a licencie'!$I$3:$I$102,'Rozpočet - HW a licencie'!$A$3:$A$102,'TCO TO BE - HW'!F$2,'Rozpočet - HW a licencie'!$C$3:$C$102,"HW",'Rozpočet - HW a licencie'!$G$3:$G$102,'TCO TO BE - HW'!$D10,'Rozpočet - HW a licencie'!$D$3:$D$102,'TCO TO BE - HW'!$B$5)+SUMIFS('Rozpočet - HW a licencie'!$I$3:$I$102,'Rozpočet - HW a licencie'!$A$3:$A$102,'TCO TO BE - HW'!F$2,'Rozpočet - HW a licencie'!$C$3:$C$102,"SW pre HW",'Rozpočet - HW a licencie'!$G$3:$G$102,'TCO TO BE - HW'!$D10,'Rozpočet - HW a licencie'!$D$3:$D$102,'TCO TO BE - HW'!$B$5),)</f>
        <v>0</v>
      </c>
      <c r="G10" s="579">
        <f>IFERROR(SUMIFS('Rozpočet - HW a licencie'!$I$3:$I$102,'Rozpočet - HW a licencie'!$A$3:$A$102,'TCO TO BE - HW'!G$2,'Rozpočet - HW a licencie'!$C$3:$C$102,"HW",'Rozpočet - HW a licencie'!$G$3:$G$102,'TCO TO BE - HW'!$D10,'Rozpočet - HW a licencie'!$D$3:$D$102,'TCO TO BE - HW'!$B$5)+SUMIFS('Rozpočet - HW a licencie'!$I$3:$I$102,'Rozpočet - HW a licencie'!$A$3:$A$102,'TCO TO BE - HW'!G$2,'Rozpočet - HW a licencie'!$C$3:$C$102,"SW pre HW",'Rozpočet - HW a licencie'!$G$3:$G$102,'TCO TO BE - HW'!$D10,'Rozpočet - HW a licencie'!$D$3:$D$102,'TCO TO BE - HW'!$B$5),)</f>
        <v>0</v>
      </c>
      <c r="H10" s="579">
        <f>IFERROR(SUMIFS('Rozpočet - HW a licencie'!$I$3:$I$102,'Rozpočet - HW a licencie'!$A$3:$A$102,'TCO TO BE - HW'!H$2,'Rozpočet - HW a licencie'!$C$3:$C$102,"HW",'Rozpočet - HW a licencie'!$G$3:$G$102,'TCO TO BE - HW'!$D10,'Rozpočet - HW a licencie'!$D$3:$D$102,'TCO TO BE - HW'!$B$5)+SUMIFS('Rozpočet - HW a licencie'!$I$3:$I$102,'Rozpočet - HW a licencie'!$A$3:$A$102,'TCO TO BE - HW'!H$2,'Rozpočet - HW a licencie'!$C$3:$C$102,"SW pre HW",'Rozpočet - HW a licencie'!$G$3:$G$102,'TCO TO BE - HW'!$D10,'Rozpočet - HW a licencie'!$D$3:$D$102,'TCO TO BE - HW'!$B$5),)</f>
        <v>0</v>
      </c>
      <c r="I10" s="579">
        <f>IFERROR(SUMIFS('Rozpočet - HW a licencie'!$I$3:$I$102,'Rozpočet - HW a licencie'!$A$3:$A$102,'TCO TO BE - HW'!I$2,'Rozpočet - HW a licencie'!$C$3:$C$102,"HW",'Rozpočet - HW a licencie'!$G$3:$G$102,'TCO TO BE - HW'!$D10,'Rozpočet - HW a licencie'!$D$3:$D$102,'TCO TO BE - HW'!$B$5)+SUMIFS('Rozpočet - HW a licencie'!$I$3:$I$102,'Rozpočet - HW a licencie'!$A$3:$A$102,'TCO TO BE - HW'!I$2,'Rozpočet - HW a licencie'!$C$3:$C$102,"SW pre HW",'Rozpočet - HW a licencie'!$G$3:$G$102,'TCO TO BE - HW'!$D10,'Rozpočet - HW a licencie'!$D$3:$D$102,'TCO TO BE - HW'!$B$5),)</f>
        <v>0</v>
      </c>
      <c r="J10" s="579">
        <f>IFERROR(SUMIFS('Rozpočet - HW a licencie'!$I$3:$I$102,'Rozpočet - HW a licencie'!$A$3:$A$102,'TCO TO BE - HW'!J$2,'Rozpočet - HW a licencie'!$C$3:$C$102,"HW",'Rozpočet - HW a licencie'!$G$3:$G$102,'TCO TO BE - HW'!$D10,'Rozpočet - HW a licencie'!$D$3:$D$102,'TCO TO BE - HW'!$B$5)+SUMIFS('Rozpočet - HW a licencie'!$I$3:$I$102,'Rozpočet - HW a licencie'!$A$3:$A$102,'TCO TO BE - HW'!J$2,'Rozpočet - HW a licencie'!$C$3:$C$102,"SW pre HW",'Rozpočet - HW a licencie'!$G$3:$G$102,'TCO TO BE - HW'!$D10,'Rozpočet - HW a licencie'!$D$3:$D$102,'TCO TO BE - HW'!$B$5),)</f>
        <v>0</v>
      </c>
      <c r="K10" s="579">
        <f>IFERROR(SUMIFS('Rozpočet - HW a licencie'!$I$3:$I$102,'Rozpočet - HW a licencie'!$A$3:$A$102,'TCO TO BE - HW'!K$2,'Rozpočet - HW a licencie'!$C$3:$C$102,"HW",'Rozpočet - HW a licencie'!$G$3:$G$102,'TCO TO BE - HW'!$D10,'Rozpočet - HW a licencie'!$D$3:$D$102,'TCO TO BE - HW'!$B$5)+SUMIFS('Rozpočet - HW a licencie'!$I$3:$I$102,'Rozpočet - HW a licencie'!$A$3:$A$102,'TCO TO BE - HW'!K$2,'Rozpočet - HW a licencie'!$C$3:$C$102,"SW pre HW",'Rozpočet - HW a licencie'!$G$3:$G$102,'TCO TO BE - HW'!$D10,'Rozpočet - HW a licencie'!$D$3:$D$102,'TCO TO BE - HW'!$B$5),)</f>
        <v>0</v>
      </c>
      <c r="L10" s="579">
        <f>IFERROR(SUMIFS('Rozpočet - HW a licencie'!$I$3:$I$102,'Rozpočet - HW a licencie'!$A$3:$A$102,'TCO TO BE - HW'!L$2,'Rozpočet - HW a licencie'!$C$3:$C$102,"HW",'Rozpočet - HW a licencie'!$G$3:$G$102,'TCO TO BE - HW'!$D10,'Rozpočet - HW a licencie'!$D$3:$D$102,'TCO TO BE - HW'!$B$5)+SUMIFS('Rozpočet - HW a licencie'!$I$3:$I$102,'Rozpočet - HW a licencie'!$A$3:$A$102,'TCO TO BE - HW'!L$2,'Rozpočet - HW a licencie'!$C$3:$C$102,"SW pre HW",'Rozpočet - HW a licencie'!$G$3:$G$102,'TCO TO BE - HW'!$D10,'Rozpočet - HW a licencie'!$D$3:$D$102,'TCO TO BE - HW'!$B$5),)</f>
        <v>0</v>
      </c>
      <c r="M10" s="579">
        <f>IFERROR(SUMIFS('Rozpočet - HW a licencie'!$I$3:$I$102,'Rozpočet - HW a licencie'!$A$3:$A$102,'TCO TO BE - HW'!M$2,'Rozpočet - HW a licencie'!$C$3:$C$102,"HW",'Rozpočet - HW a licencie'!$G$3:$G$102,'TCO TO BE - HW'!$D10,'Rozpočet - HW a licencie'!$D$3:$D$102,'TCO TO BE - HW'!$B$5)+SUMIFS('Rozpočet - HW a licencie'!$I$3:$I$102,'Rozpočet - HW a licencie'!$A$3:$A$102,'TCO TO BE - HW'!M$2,'Rozpočet - HW a licencie'!$C$3:$C$102,"SW pre HW",'Rozpočet - HW a licencie'!$G$3:$G$102,'TCO TO BE - HW'!$D10,'Rozpočet - HW a licencie'!$D$3:$D$102,'TCO TO BE - HW'!$B$5),)</f>
        <v>0</v>
      </c>
      <c r="N10" s="579">
        <f>IFERROR(SUMIFS('Rozpočet - HW a licencie'!$I$3:$I$102,'Rozpočet - HW a licencie'!$A$3:$A$102,'TCO TO BE - HW'!N$2,'Rozpočet - HW a licencie'!$C$3:$C$102,"HW",'Rozpočet - HW a licencie'!$G$3:$G$102,'TCO TO BE - HW'!$D10,'Rozpočet - HW a licencie'!$D$3:$D$102,'TCO TO BE - HW'!$B$5)+SUMIFS('Rozpočet - HW a licencie'!$I$3:$I$102,'Rozpočet - HW a licencie'!$A$3:$A$102,'TCO TO BE - HW'!N$2,'Rozpočet - HW a licencie'!$C$3:$C$102,"SW pre HW",'Rozpočet - HW a licencie'!$G$3:$G$102,'TCO TO BE - HW'!$D10,'Rozpočet - HW a licencie'!$D$3:$D$102,'TCO TO BE - HW'!$B$5),)</f>
        <v>0</v>
      </c>
      <c r="O10" s="579">
        <f>IFERROR(SUMIFS('Rozpočet - HW a licencie'!$I$3:$I$102,'Rozpočet - HW a licencie'!$A$3:$A$102,'TCO TO BE - HW'!O$2,'Rozpočet - HW a licencie'!$C$3:$C$102,"HW",'Rozpočet - HW a licencie'!$G$3:$G$102,'TCO TO BE - HW'!$D10,'Rozpočet - HW a licencie'!$D$3:$D$102,'TCO TO BE - HW'!$B$5)+SUMIFS('Rozpočet - HW a licencie'!$I$3:$I$102,'Rozpočet - HW a licencie'!$A$3:$A$102,'TCO TO BE - HW'!O$2,'Rozpočet - HW a licencie'!$C$3:$C$102,"SW pre HW",'Rozpočet - HW a licencie'!$G$3:$G$102,'TCO TO BE - HW'!$D10,'Rozpočet - HW a licencie'!$D$3:$D$102,'TCO TO BE - HW'!$B$5),)</f>
        <v>0</v>
      </c>
      <c r="P10" s="579">
        <f>IFERROR(SUMIFS('Rozpočet - HW a licencie'!$I$3:$I$102,'Rozpočet - HW a licencie'!$A$3:$A$102,'TCO TO BE - HW'!P$2,'Rozpočet - HW a licencie'!$C$3:$C$102,"HW",'Rozpočet - HW a licencie'!$G$3:$G$102,'TCO TO BE - HW'!$D10,'Rozpočet - HW a licencie'!$D$3:$D$102,'TCO TO BE - HW'!$B$5)+SUMIFS('Rozpočet - HW a licencie'!$I$3:$I$102,'Rozpočet - HW a licencie'!$A$3:$A$102,'TCO TO BE - HW'!P$2,'Rozpočet - HW a licencie'!$C$3:$C$102,"SW pre HW",'Rozpočet - HW a licencie'!$G$3:$G$102,'TCO TO BE - HW'!$D10,'Rozpočet - HW a licencie'!$D$3:$D$102,'TCO TO BE - HW'!$B$5),)</f>
        <v>0</v>
      </c>
      <c r="Q10" s="579">
        <f>IFERROR(SUMIFS('Rozpočet - HW a licencie'!$I$3:$I$102,'Rozpočet - HW a licencie'!$A$3:$A$102,'TCO TO BE - HW'!Q$2,'Rozpočet - HW a licencie'!$C$3:$C$102,"HW",'Rozpočet - HW a licencie'!$G$3:$G$102,'TCO TO BE - HW'!$D10,'Rozpočet - HW a licencie'!$D$3:$D$102,'TCO TO BE - HW'!$B$5)+SUMIFS('Rozpočet - HW a licencie'!$I$3:$I$102,'Rozpočet - HW a licencie'!$A$3:$A$102,'TCO TO BE - HW'!Q$2,'Rozpočet - HW a licencie'!$C$3:$C$102,"SW pre HW",'Rozpočet - HW a licencie'!$G$3:$G$102,'TCO TO BE - HW'!$D10,'Rozpočet - HW a licencie'!$D$3:$D$102,'TCO TO BE - HW'!$B$5),)</f>
        <v>0</v>
      </c>
      <c r="R10" s="579">
        <f>IFERROR(SUMIFS('Rozpočet - HW a licencie'!$I$3:$I$102,'Rozpočet - HW a licencie'!$A$3:$A$102,'TCO TO BE - HW'!R$2,'Rozpočet - HW a licencie'!$C$3:$C$102,"HW",'Rozpočet - HW a licencie'!$G$3:$G$102,'TCO TO BE - HW'!$D10,'Rozpočet - HW a licencie'!$D$3:$D$102,'TCO TO BE - HW'!$B$5)+SUMIFS('Rozpočet - HW a licencie'!$I$3:$I$102,'Rozpočet - HW a licencie'!$A$3:$A$102,'TCO TO BE - HW'!R$2,'Rozpočet - HW a licencie'!$C$3:$C$102,"SW pre HW",'Rozpočet - HW a licencie'!$G$3:$G$102,'TCO TO BE - HW'!$D10,'Rozpočet - HW a licencie'!$D$3:$D$102,'TCO TO BE - HW'!$B$5),)</f>
        <v>0</v>
      </c>
      <c r="S10" s="579">
        <f>IFERROR(SUMIFS('Rozpočet - HW a licencie'!$I$3:$I$102,'Rozpočet - HW a licencie'!$A$3:$A$102,'TCO TO BE - HW'!S$2,'Rozpočet - HW a licencie'!$C$3:$C$102,"HW",'Rozpočet - HW a licencie'!$G$3:$G$102,'TCO TO BE - HW'!$D10,'Rozpočet - HW a licencie'!$D$3:$D$102,'TCO TO BE - HW'!$B$5)+SUMIFS('Rozpočet - HW a licencie'!$I$3:$I$102,'Rozpočet - HW a licencie'!$A$3:$A$102,'TCO TO BE - HW'!S$2,'Rozpočet - HW a licencie'!$C$3:$C$102,"SW pre HW",'Rozpočet - HW a licencie'!$G$3:$G$102,'TCO TO BE - HW'!$D10,'Rozpočet - HW a licencie'!$D$3:$D$102,'TCO TO BE - HW'!$B$5),)</f>
        <v>0</v>
      </c>
      <c r="T10" s="579">
        <f>IFERROR(SUMIFS('Rozpočet - HW a licencie'!$I$3:$I$102,'Rozpočet - HW a licencie'!$A$3:$A$102,'TCO TO BE - HW'!T$2,'Rozpočet - HW a licencie'!$C$3:$C$102,"HW",'Rozpočet - HW a licencie'!$G$3:$G$102,'TCO TO BE - HW'!$D10,'Rozpočet - HW a licencie'!$D$3:$D$102,'TCO TO BE - HW'!$B$5)+SUMIFS('Rozpočet - HW a licencie'!$I$3:$I$102,'Rozpočet - HW a licencie'!$A$3:$A$102,'TCO TO BE - HW'!T$2,'Rozpočet - HW a licencie'!$C$3:$C$102,"SW pre HW",'Rozpočet - HW a licencie'!$G$3:$G$102,'TCO TO BE - HW'!$D10,'Rozpočet - HW a licencie'!$D$3:$D$102,'TCO TO BE - HW'!$B$5),)</f>
        <v>0</v>
      </c>
      <c r="U10" s="579">
        <f>IFERROR(SUMIFS('Rozpočet - HW a licencie'!$I$3:$I$102,'Rozpočet - HW a licencie'!$A$3:$A$102,'TCO TO BE - HW'!U$2,'Rozpočet - HW a licencie'!$C$3:$C$102,"HW",'Rozpočet - HW a licencie'!$G$3:$G$102,'TCO TO BE - HW'!$D10,'Rozpočet - HW a licencie'!$D$3:$D$102,'TCO TO BE - HW'!$B$5)+SUMIFS('Rozpočet - HW a licencie'!$I$3:$I$102,'Rozpočet - HW a licencie'!$A$3:$A$102,'TCO TO BE - HW'!U$2,'Rozpočet - HW a licencie'!$C$3:$C$102,"SW pre HW",'Rozpočet - HW a licencie'!$G$3:$G$102,'TCO TO BE - HW'!$D10,'Rozpočet - HW a licencie'!$D$3:$D$102,'TCO TO BE - HW'!$B$5),)</f>
        <v>0</v>
      </c>
      <c r="V10" s="579">
        <f>IFERROR(SUMIFS('Rozpočet - HW a licencie'!$I$3:$I$102,'Rozpočet - HW a licencie'!$A$3:$A$102,'TCO TO BE - HW'!V$2,'Rozpočet - HW a licencie'!$C$3:$C$102,"HW",'Rozpočet - HW a licencie'!$G$3:$G$102,'TCO TO BE - HW'!$D10,'Rozpočet - HW a licencie'!$D$3:$D$102,'TCO TO BE - HW'!$B$5)+SUMIFS('Rozpočet - HW a licencie'!$I$3:$I$102,'Rozpočet - HW a licencie'!$A$3:$A$102,'TCO TO BE - HW'!V$2,'Rozpočet - HW a licencie'!$C$3:$C$102,"SW pre HW",'Rozpočet - HW a licencie'!$G$3:$G$102,'TCO TO BE - HW'!$D10,'Rozpočet - HW a licencie'!$D$3:$D$102,'TCO TO BE - HW'!$B$5),)</f>
        <v>0</v>
      </c>
      <c r="W10" s="579">
        <f>IFERROR(SUMIFS('Rozpočet - HW a licencie'!$I$3:$I$102,'Rozpočet - HW a licencie'!$A$3:$A$102,'TCO TO BE - HW'!W$2,'Rozpočet - HW a licencie'!$C$3:$C$102,"HW",'Rozpočet - HW a licencie'!$G$3:$G$102,'TCO TO BE - HW'!$D10,'Rozpočet - HW a licencie'!$D$3:$D$102,'TCO TO BE - HW'!$B$5)+SUMIFS('Rozpočet - HW a licencie'!$I$3:$I$102,'Rozpočet - HW a licencie'!$A$3:$A$102,'TCO TO BE - HW'!W$2,'Rozpočet - HW a licencie'!$C$3:$C$102,"SW pre HW",'Rozpočet - HW a licencie'!$G$3:$G$102,'TCO TO BE - HW'!$D10,'Rozpočet - HW a licencie'!$D$3:$D$102,'TCO TO BE - HW'!$B$5),)</f>
        <v>0</v>
      </c>
      <c r="X10" s="579">
        <f>IFERROR(SUMIFS('Rozpočet - HW a licencie'!$I$3:$I$102,'Rozpočet - HW a licencie'!$A$3:$A$102,'TCO TO BE - HW'!X$2,'Rozpočet - HW a licencie'!$C$3:$C$102,"HW",'Rozpočet - HW a licencie'!$G$3:$G$102,'TCO TO BE - HW'!$D10,'Rozpočet - HW a licencie'!$D$3:$D$102,'TCO TO BE - HW'!$B$5)+SUMIFS('Rozpočet - HW a licencie'!$I$3:$I$102,'Rozpočet - HW a licencie'!$A$3:$A$102,'TCO TO BE - HW'!X$2,'Rozpočet - HW a licencie'!$C$3:$C$102,"SW pre HW",'Rozpočet - HW a licencie'!$G$3:$G$102,'TCO TO BE - HW'!$D10,'Rozpočet - HW a licencie'!$D$3:$D$102,'TCO TO BE - HW'!$B$5),)</f>
        <v>0</v>
      </c>
      <c r="Y10" s="579">
        <f>IFERROR(SUMIFS('Rozpočet - HW a licencie'!$I$3:$I$102,'Rozpočet - HW a licencie'!$A$3:$A$102,'TCO TO BE - HW'!Y$2,'Rozpočet - HW a licencie'!$C$3:$C$102,"HW",'Rozpočet - HW a licencie'!$G$3:$G$102,'TCO TO BE - HW'!$D10,'Rozpočet - HW a licencie'!$D$3:$D$102,'TCO TO BE - HW'!$B$5)+SUMIFS('Rozpočet - HW a licencie'!$I$3:$I$102,'Rozpočet - HW a licencie'!$A$3:$A$102,'TCO TO BE - HW'!Y$2,'Rozpočet - HW a licencie'!$C$3:$C$102,"SW pre HW",'Rozpočet - HW a licencie'!$G$3:$G$102,'TCO TO BE - HW'!$D10,'Rozpočet - HW a licencie'!$D$3:$D$102,'TCO TO BE - HW'!$B$5),)</f>
        <v>0</v>
      </c>
      <c r="Z10" s="579">
        <f>IFERROR(SUMIFS('Rozpočet - HW a licencie'!$I$3:$I$102,'Rozpočet - HW a licencie'!$A$3:$A$102,'TCO TO BE - HW'!Z$2,'Rozpočet - HW a licencie'!$C$3:$C$102,"HW",'Rozpočet - HW a licencie'!$G$3:$G$102,'TCO TO BE - HW'!$D10,'Rozpočet - HW a licencie'!$D$3:$D$102,'TCO TO BE - HW'!$B$5)+SUMIFS('Rozpočet - HW a licencie'!$I$3:$I$102,'Rozpočet - HW a licencie'!$A$3:$A$102,'TCO TO BE - HW'!Z$2,'Rozpočet - HW a licencie'!$C$3:$C$102,"SW pre HW",'Rozpočet - HW a licencie'!$G$3:$G$102,'TCO TO BE - HW'!$D10,'Rozpočet - HW a licencie'!$D$3:$D$102,'TCO TO BE - HW'!$B$5),)</f>
        <v>0</v>
      </c>
    </row>
    <row r="11" spans="1:26" outlineLevel="1" x14ac:dyDescent="0.2">
      <c r="A11" s="1390"/>
      <c r="B11" s="1391"/>
      <c r="C11" s="1391"/>
      <c r="D11" s="497">
        <v>7</v>
      </c>
      <c r="E11" s="68">
        <f t="shared" si="2"/>
        <v>0</v>
      </c>
      <c r="F11" s="579">
        <f>IFERROR(SUMIFS('Rozpočet - HW a licencie'!$I$3:$I$102,'Rozpočet - HW a licencie'!$A$3:$A$102,'TCO TO BE - HW'!F$2,'Rozpočet - HW a licencie'!$C$3:$C$102,"HW",'Rozpočet - HW a licencie'!$G$3:$G$102,'TCO TO BE - HW'!$D11,'Rozpočet - HW a licencie'!$D$3:$D$102,'TCO TO BE - HW'!$B$5)+SUMIFS('Rozpočet - HW a licencie'!$I$3:$I$102,'Rozpočet - HW a licencie'!$A$3:$A$102,'TCO TO BE - HW'!F$2,'Rozpočet - HW a licencie'!$C$3:$C$102,"SW pre HW",'Rozpočet - HW a licencie'!$G$3:$G$102,'TCO TO BE - HW'!$D11,'Rozpočet - HW a licencie'!$D$3:$D$102,'TCO TO BE - HW'!$B$5),)</f>
        <v>0</v>
      </c>
      <c r="G11" s="579">
        <f>IFERROR(SUMIFS('Rozpočet - HW a licencie'!$I$3:$I$102,'Rozpočet - HW a licencie'!$A$3:$A$102,'TCO TO BE - HW'!G$2,'Rozpočet - HW a licencie'!$C$3:$C$102,"HW",'Rozpočet - HW a licencie'!$G$3:$G$102,'TCO TO BE - HW'!$D11,'Rozpočet - HW a licencie'!$D$3:$D$102,'TCO TO BE - HW'!$B$5)+SUMIFS('Rozpočet - HW a licencie'!$I$3:$I$102,'Rozpočet - HW a licencie'!$A$3:$A$102,'TCO TO BE - HW'!G$2,'Rozpočet - HW a licencie'!$C$3:$C$102,"SW pre HW",'Rozpočet - HW a licencie'!$G$3:$G$102,'TCO TO BE - HW'!$D11,'Rozpočet - HW a licencie'!$D$3:$D$102,'TCO TO BE - HW'!$B$5),)</f>
        <v>0</v>
      </c>
      <c r="H11" s="579">
        <f>IFERROR(SUMIFS('Rozpočet - HW a licencie'!$I$3:$I$102,'Rozpočet - HW a licencie'!$A$3:$A$102,'TCO TO BE - HW'!H$2,'Rozpočet - HW a licencie'!$C$3:$C$102,"HW",'Rozpočet - HW a licencie'!$G$3:$G$102,'TCO TO BE - HW'!$D11,'Rozpočet - HW a licencie'!$D$3:$D$102,'TCO TO BE - HW'!$B$5)+SUMIFS('Rozpočet - HW a licencie'!$I$3:$I$102,'Rozpočet - HW a licencie'!$A$3:$A$102,'TCO TO BE - HW'!H$2,'Rozpočet - HW a licencie'!$C$3:$C$102,"SW pre HW",'Rozpočet - HW a licencie'!$G$3:$G$102,'TCO TO BE - HW'!$D11,'Rozpočet - HW a licencie'!$D$3:$D$102,'TCO TO BE - HW'!$B$5),)</f>
        <v>0</v>
      </c>
      <c r="I11" s="579">
        <f>IFERROR(SUMIFS('Rozpočet - HW a licencie'!$I$3:$I$102,'Rozpočet - HW a licencie'!$A$3:$A$102,'TCO TO BE - HW'!I$2,'Rozpočet - HW a licencie'!$C$3:$C$102,"HW",'Rozpočet - HW a licencie'!$G$3:$G$102,'TCO TO BE - HW'!$D11,'Rozpočet - HW a licencie'!$D$3:$D$102,'TCO TO BE - HW'!$B$5)+SUMIFS('Rozpočet - HW a licencie'!$I$3:$I$102,'Rozpočet - HW a licencie'!$A$3:$A$102,'TCO TO BE - HW'!I$2,'Rozpočet - HW a licencie'!$C$3:$C$102,"SW pre HW",'Rozpočet - HW a licencie'!$G$3:$G$102,'TCO TO BE - HW'!$D11,'Rozpočet - HW a licencie'!$D$3:$D$102,'TCO TO BE - HW'!$B$5),)</f>
        <v>0</v>
      </c>
      <c r="J11" s="579">
        <f>IFERROR(SUMIFS('Rozpočet - HW a licencie'!$I$3:$I$102,'Rozpočet - HW a licencie'!$A$3:$A$102,'TCO TO BE - HW'!J$2,'Rozpočet - HW a licencie'!$C$3:$C$102,"HW",'Rozpočet - HW a licencie'!$G$3:$G$102,'TCO TO BE - HW'!$D11,'Rozpočet - HW a licencie'!$D$3:$D$102,'TCO TO BE - HW'!$B$5)+SUMIFS('Rozpočet - HW a licencie'!$I$3:$I$102,'Rozpočet - HW a licencie'!$A$3:$A$102,'TCO TO BE - HW'!J$2,'Rozpočet - HW a licencie'!$C$3:$C$102,"SW pre HW",'Rozpočet - HW a licencie'!$G$3:$G$102,'TCO TO BE - HW'!$D11,'Rozpočet - HW a licencie'!$D$3:$D$102,'TCO TO BE - HW'!$B$5),)</f>
        <v>0</v>
      </c>
      <c r="K11" s="579">
        <f>IFERROR(SUMIFS('Rozpočet - HW a licencie'!$I$3:$I$102,'Rozpočet - HW a licencie'!$A$3:$A$102,'TCO TO BE - HW'!K$2,'Rozpočet - HW a licencie'!$C$3:$C$102,"HW",'Rozpočet - HW a licencie'!$G$3:$G$102,'TCO TO BE - HW'!$D11,'Rozpočet - HW a licencie'!$D$3:$D$102,'TCO TO BE - HW'!$B$5)+SUMIFS('Rozpočet - HW a licencie'!$I$3:$I$102,'Rozpočet - HW a licencie'!$A$3:$A$102,'TCO TO BE - HW'!K$2,'Rozpočet - HW a licencie'!$C$3:$C$102,"SW pre HW",'Rozpočet - HW a licencie'!$G$3:$G$102,'TCO TO BE - HW'!$D11,'Rozpočet - HW a licencie'!$D$3:$D$102,'TCO TO BE - HW'!$B$5),)</f>
        <v>0</v>
      </c>
      <c r="L11" s="579">
        <f>IFERROR(SUMIFS('Rozpočet - HW a licencie'!$I$3:$I$102,'Rozpočet - HW a licencie'!$A$3:$A$102,'TCO TO BE - HW'!L$2,'Rozpočet - HW a licencie'!$C$3:$C$102,"HW",'Rozpočet - HW a licencie'!$G$3:$G$102,'TCO TO BE - HW'!$D11,'Rozpočet - HW a licencie'!$D$3:$D$102,'TCO TO BE - HW'!$B$5)+SUMIFS('Rozpočet - HW a licencie'!$I$3:$I$102,'Rozpočet - HW a licencie'!$A$3:$A$102,'TCO TO BE - HW'!L$2,'Rozpočet - HW a licencie'!$C$3:$C$102,"SW pre HW",'Rozpočet - HW a licencie'!$G$3:$G$102,'TCO TO BE - HW'!$D11,'Rozpočet - HW a licencie'!$D$3:$D$102,'TCO TO BE - HW'!$B$5),)</f>
        <v>0</v>
      </c>
      <c r="M11" s="579">
        <f>IFERROR(SUMIFS('Rozpočet - HW a licencie'!$I$3:$I$102,'Rozpočet - HW a licencie'!$A$3:$A$102,'TCO TO BE - HW'!M$2,'Rozpočet - HW a licencie'!$C$3:$C$102,"HW",'Rozpočet - HW a licencie'!$G$3:$G$102,'TCO TO BE - HW'!$D11,'Rozpočet - HW a licencie'!$D$3:$D$102,'TCO TO BE - HW'!$B$5)+SUMIFS('Rozpočet - HW a licencie'!$I$3:$I$102,'Rozpočet - HW a licencie'!$A$3:$A$102,'TCO TO BE - HW'!M$2,'Rozpočet - HW a licencie'!$C$3:$C$102,"SW pre HW",'Rozpočet - HW a licencie'!$G$3:$G$102,'TCO TO BE - HW'!$D11,'Rozpočet - HW a licencie'!$D$3:$D$102,'TCO TO BE - HW'!$B$5),)</f>
        <v>0</v>
      </c>
      <c r="N11" s="579">
        <f>IFERROR(SUMIFS('Rozpočet - HW a licencie'!$I$3:$I$102,'Rozpočet - HW a licencie'!$A$3:$A$102,'TCO TO BE - HW'!N$2,'Rozpočet - HW a licencie'!$C$3:$C$102,"HW",'Rozpočet - HW a licencie'!$G$3:$G$102,'TCO TO BE - HW'!$D11,'Rozpočet - HW a licencie'!$D$3:$D$102,'TCO TO BE - HW'!$B$5)+SUMIFS('Rozpočet - HW a licencie'!$I$3:$I$102,'Rozpočet - HW a licencie'!$A$3:$A$102,'TCO TO BE - HW'!N$2,'Rozpočet - HW a licencie'!$C$3:$C$102,"SW pre HW",'Rozpočet - HW a licencie'!$G$3:$G$102,'TCO TO BE - HW'!$D11,'Rozpočet - HW a licencie'!$D$3:$D$102,'TCO TO BE - HW'!$B$5),)</f>
        <v>0</v>
      </c>
      <c r="O11" s="579">
        <f>IFERROR(SUMIFS('Rozpočet - HW a licencie'!$I$3:$I$102,'Rozpočet - HW a licencie'!$A$3:$A$102,'TCO TO BE - HW'!O$2,'Rozpočet - HW a licencie'!$C$3:$C$102,"HW",'Rozpočet - HW a licencie'!$G$3:$G$102,'TCO TO BE - HW'!$D11,'Rozpočet - HW a licencie'!$D$3:$D$102,'TCO TO BE - HW'!$B$5)+SUMIFS('Rozpočet - HW a licencie'!$I$3:$I$102,'Rozpočet - HW a licencie'!$A$3:$A$102,'TCO TO BE - HW'!O$2,'Rozpočet - HW a licencie'!$C$3:$C$102,"SW pre HW",'Rozpočet - HW a licencie'!$G$3:$G$102,'TCO TO BE - HW'!$D11,'Rozpočet - HW a licencie'!$D$3:$D$102,'TCO TO BE - HW'!$B$5),)</f>
        <v>0</v>
      </c>
      <c r="P11" s="579">
        <f>IFERROR(SUMIFS('Rozpočet - HW a licencie'!$I$3:$I$102,'Rozpočet - HW a licencie'!$A$3:$A$102,'TCO TO BE - HW'!P$2,'Rozpočet - HW a licencie'!$C$3:$C$102,"HW",'Rozpočet - HW a licencie'!$G$3:$G$102,'TCO TO BE - HW'!$D11,'Rozpočet - HW a licencie'!$D$3:$D$102,'TCO TO BE - HW'!$B$5)+SUMIFS('Rozpočet - HW a licencie'!$I$3:$I$102,'Rozpočet - HW a licencie'!$A$3:$A$102,'TCO TO BE - HW'!P$2,'Rozpočet - HW a licencie'!$C$3:$C$102,"SW pre HW",'Rozpočet - HW a licencie'!$G$3:$G$102,'TCO TO BE - HW'!$D11,'Rozpočet - HW a licencie'!$D$3:$D$102,'TCO TO BE - HW'!$B$5),)</f>
        <v>0</v>
      </c>
      <c r="Q11" s="579">
        <f>IFERROR(SUMIFS('Rozpočet - HW a licencie'!$I$3:$I$102,'Rozpočet - HW a licencie'!$A$3:$A$102,'TCO TO BE - HW'!Q$2,'Rozpočet - HW a licencie'!$C$3:$C$102,"HW",'Rozpočet - HW a licencie'!$G$3:$G$102,'TCO TO BE - HW'!$D11,'Rozpočet - HW a licencie'!$D$3:$D$102,'TCO TO BE - HW'!$B$5)+SUMIFS('Rozpočet - HW a licencie'!$I$3:$I$102,'Rozpočet - HW a licencie'!$A$3:$A$102,'TCO TO BE - HW'!Q$2,'Rozpočet - HW a licencie'!$C$3:$C$102,"SW pre HW",'Rozpočet - HW a licencie'!$G$3:$G$102,'TCO TO BE - HW'!$D11,'Rozpočet - HW a licencie'!$D$3:$D$102,'TCO TO BE - HW'!$B$5),)</f>
        <v>0</v>
      </c>
      <c r="R11" s="579">
        <f>IFERROR(SUMIFS('Rozpočet - HW a licencie'!$I$3:$I$102,'Rozpočet - HW a licencie'!$A$3:$A$102,'TCO TO BE - HW'!R$2,'Rozpočet - HW a licencie'!$C$3:$C$102,"HW",'Rozpočet - HW a licencie'!$G$3:$G$102,'TCO TO BE - HW'!$D11,'Rozpočet - HW a licencie'!$D$3:$D$102,'TCO TO BE - HW'!$B$5)+SUMIFS('Rozpočet - HW a licencie'!$I$3:$I$102,'Rozpočet - HW a licencie'!$A$3:$A$102,'TCO TO BE - HW'!R$2,'Rozpočet - HW a licencie'!$C$3:$C$102,"SW pre HW",'Rozpočet - HW a licencie'!$G$3:$G$102,'TCO TO BE - HW'!$D11,'Rozpočet - HW a licencie'!$D$3:$D$102,'TCO TO BE - HW'!$B$5),)</f>
        <v>0</v>
      </c>
      <c r="S11" s="579">
        <f>IFERROR(SUMIFS('Rozpočet - HW a licencie'!$I$3:$I$102,'Rozpočet - HW a licencie'!$A$3:$A$102,'TCO TO BE - HW'!S$2,'Rozpočet - HW a licencie'!$C$3:$C$102,"HW",'Rozpočet - HW a licencie'!$G$3:$G$102,'TCO TO BE - HW'!$D11,'Rozpočet - HW a licencie'!$D$3:$D$102,'TCO TO BE - HW'!$B$5)+SUMIFS('Rozpočet - HW a licencie'!$I$3:$I$102,'Rozpočet - HW a licencie'!$A$3:$A$102,'TCO TO BE - HW'!S$2,'Rozpočet - HW a licencie'!$C$3:$C$102,"SW pre HW",'Rozpočet - HW a licencie'!$G$3:$G$102,'TCO TO BE - HW'!$D11,'Rozpočet - HW a licencie'!$D$3:$D$102,'TCO TO BE - HW'!$B$5),)</f>
        <v>0</v>
      </c>
      <c r="T11" s="579">
        <f>IFERROR(SUMIFS('Rozpočet - HW a licencie'!$I$3:$I$102,'Rozpočet - HW a licencie'!$A$3:$A$102,'TCO TO BE - HW'!T$2,'Rozpočet - HW a licencie'!$C$3:$C$102,"HW",'Rozpočet - HW a licencie'!$G$3:$G$102,'TCO TO BE - HW'!$D11,'Rozpočet - HW a licencie'!$D$3:$D$102,'TCO TO BE - HW'!$B$5)+SUMIFS('Rozpočet - HW a licencie'!$I$3:$I$102,'Rozpočet - HW a licencie'!$A$3:$A$102,'TCO TO BE - HW'!T$2,'Rozpočet - HW a licencie'!$C$3:$C$102,"SW pre HW",'Rozpočet - HW a licencie'!$G$3:$G$102,'TCO TO BE - HW'!$D11,'Rozpočet - HW a licencie'!$D$3:$D$102,'TCO TO BE - HW'!$B$5),)</f>
        <v>0</v>
      </c>
      <c r="U11" s="579">
        <f>IFERROR(SUMIFS('Rozpočet - HW a licencie'!$I$3:$I$102,'Rozpočet - HW a licencie'!$A$3:$A$102,'TCO TO BE - HW'!U$2,'Rozpočet - HW a licencie'!$C$3:$C$102,"HW",'Rozpočet - HW a licencie'!$G$3:$G$102,'TCO TO BE - HW'!$D11,'Rozpočet - HW a licencie'!$D$3:$D$102,'TCO TO BE - HW'!$B$5)+SUMIFS('Rozpočet - HW a licencie'!$I$3:$I$102,'Rozpočet - HW a licencie'!$A$3:$A$102,'TCO TO BE - HW'!U$2,'Rozpočet - HW a licencie'!$C$3:$C$102,"SW pre HW",'Rozpočet - HW a licencie'!$G$3:$G$102,'TCO TO BE - HW'!$D11,'Rozpočet - HW a licencie'!$D$3:$D$102,'TCO TO BE - HW'!$B$5),)</f>
        <v>0</v>
      </c>
      <c r="V11" s="579">
        <f>IFERROR(SUMIFS('Rozpočet - HW a licencie'!$I$3:$I$102,'Rozpočet - HW a licencie'!$A$3:$A$102,'TCO TO BE - HW'!V$2,'Rozpočet - HW a licencie'!$C$3:$C$102,"HW",'Rozpočet - HW a licencie'!$G$3:$G$102,'TCO TO BE - HW'!$D11,'Rozpočet - HW a licencie'!$D$3:$D$102,'TCO TO BE - HW'!$B$5)+SUMIFS('Rozpočet - HW a licencie'!$I$3:$I$102,'Rozpočet - HW a licencie'!$A$3:$A$102,'TCO TO BE - HW'!V$2,'Rozpočet - HW a licencie'!$C$3:$C$102,"SW pre HW",'Rozpočet - HW a licencie'!$G$3:$G$102,'TCO TO BE - HW'!$D11,'Rozpočet - HW a licencie'!$D$3:$D$102,'TCO TO BE - HW'!$B$5),)</f>
        <v>0</v>
      </c>
      <c r="W11" s="579">
        <f>IFERROR(SUMIFS('Rozpočet - HW a licencie'!$I$3:$I$102,'Rozpočet - HW a licencie'!$A$3:$A$102,'TCO TO BE - HW'!W$2,'Rozpočet - HW a licencie'!$C$3:$C$102,"HW",'Rozpočet - HW a licencie'!$G$3:$G$102,'TCO TO BE - HW'!$D11,'Rozpočet - HW a licencie'!$D$3:$D$102,'TCO TO BE - HW'!$B$5)+SUMIFS('Rozpočet - HW a licencie'!$I$3:$I$102,'Rozpočet - HW a licencie'!$A$3:$A$102,'TCO TO BE - HW'!W$2,'Rozpočet - HW a licencie'!$C$3:$C$102,"SW pre HW",'Rozpočet - HW a licencie'!$G$3:$G$102,'TCO TO BE - HW'!$D11,'Rozpočet - HW a licencie'!$D$3:$D$102,'TCO TO BE - HW'!$B$5),)</f>
        <v>0</v>
      </c>
      <c r="X11" s="579">
        <f>IFERROR(SUMIFS('Rozpočet - HW a licencie'!$I$3:$I$102,'Rozpočet - HW a licencie'!$A$3:$A$102,'TCO TO BE - HW'!X$2,'Rozpočet - HW a licencie'!$C$3:$C$102,"HW",'Rozpočet - HW a licencie'!$G$3:$G$102,'TCO TO BE - HW'!$D11,'Rozpočet - HW a licencie'!$D$3:$D$102,'TCO TO BE - HW'!$B$5)+SUMIFS('Rozpočet - HW a licencie'!$I$3:$I$102,'Rozpočet - HW a licencie'!$A$3:$A$102,'TCO TO BE - HW'!X$2,'Rozpočet - HW a licencie'!$C$3:$C$102,"SW pre HW",'Rozpočet - HW a licencie'!$G$3:$G$102,'TCO TO BE - HW'!$D11,'Rozpočet - HW a licencie'!$D$3:$D$102,'TCO TO BE - HW'!$B$5),)</f>
        <v>0</v>
      </c>
      <c r="Y11" s="579">
        <f>IFERROR(SUMIFS('Rozpočet - HW a licencie'!$I$3:$I$102,'Rozpočet - HW a licencie'!$A$3:$A$102,'TCO TO BE - HW'!Y$2,'Rozpočet - HW a licencie'!$C$3:$C$102,"HW",'Rozpočet - HW a licencie'!$G$3:$G$102,'TCO TO BE - HW'!$D11,'Rozpočet - HW a licencie'!$D$3:$D$102,'TCO TO BE - HW'!$B$5)+SUMIFS('Rozpočet - HW a licencie'!$I$3:$I$102,'Rozpočet - HW a licencie'!$A$3:$A$102,'TCO TO BE - HW'!Y$2,'Rozpočet - HW a licencie'!$C$3:$C$102,"SW pre HW",'Rozpočet - HW a licencie'!$G$3:$G$102,'TCO TO BE - HW'!$D11,'Rozpočet - HW a licencie'!$D$3:$D$102,'TCO TO BE - HW'!$B$5),)</f>
        <v>0</v>
      </c>
      <c r="Z11" s="579">
        <f>IFERROR(SUMIFS('Rozpočet - HW a licencie'!$I$3:$I$102,'Rozpočet - HW a licencie'!$A$3:$A$102,'TCO TO BE - HW'!Z$2,'Rozpočet - HW a licencie'!$C$3:$C$102,"HW",'Rozpočet - HW a licencie'!$G$3:$G$102,'TCO TO BE - HW'!$D11,'Rozpočet - HW a licencie'!$D$3:$D$102,'TCO TO BE - HW'!$B$5)+SUMIFS('Rozpočet - HW a licencie'!$I$3:$I$102,'Rozpočet - HW a licencie'!$A$3:$A$102,'TCO TO BE - HW'!Z$2,'Rozpočet - HW a licencie'!$C$3:$C$102,"SW pre HW",'Rozpočet - HW a licencie'!$G$3:$G$102,'TCO TO BE - HW'!$D11,'Rozpočet - HW a licencie'!$D$3:$D$102,'TCO TO BE - HW'!$B$5),)</f>
        <v>0</v>
      </c>
    </row>
    <row r="12" spans="1:26" outlineLevel="1" x14ac:dyDescent="0.2">
      <c r="A12" s="1390"/>
      <c r="B12" s="1391"/>
      <c r="C12" s="1391"/>
      <c r="D12" s="497">
        <v>8</v>
      </c>
      <c r="E12" s="68">
        <f t="shared" si="2"/>
        <v>0</v>
      </c>
      <c r="F12" s="579">
        <f>IFERROR(SUMIFS('Rozpočet - HW a licencie'!$I$3:$I$102,'Rozpočet - HW a licencie'!$A$3:$A$102,'TCO TO BE - HW'!F$2,'Rozpočet - HW a licencie'!$C$3:$C$102,"HW",'Rozpočet - HW a licencie'!$G$3:$G$102,'TCO TO BE - HW'!$D12,'Rozpočet - HW a licencie'!$D$3:$D$102,'TCO TO BE - HW'!$B$5)+SUMIFS('Rozpočet - HW a licencie'!$I$3:$I$102,'Rozpočet - HW a licencie'!$A$3:$A$102,'TCO TO BE - HW'!F$2,'Rozpočet - HW a licencie'!$C$3:$C$102,"SW pre HW",'Rozpočet - HW a licencie'!$G$3:$G$102,'TCO TO BE - HW'!$D12,'Rozpočet - HW a licencie'!$D$3:$D$102,'TCO TO BE - HW'!$B$5),)</f>
        <v>0</v>
      </c>
      <c r="G12" s="579">
        <f>IFERROR(SUMIFS('Rozpočet - HW a licencie'!$I$3:$I$102,'Rozpočet - HW a licencie'!$A$3:$A$102,'TCO TO BE - HW'!G$2,'Rozpočet - HW a licencie'!$C$3:$C$102,"HW",'Rozpočet - HW a licencie'!$G$3:$G$102,'TCO TO BE - HW'!$D12,'Rozpočet - HW a licencie'!$D$3:$D$102,'TCO TO BE - HW'!$B$5)+SUMIFS('Rozpočet - HW a licencie'!$I$3:$I$102,'Rozpočet - HW a licencie'!$A$3:$A$102,'TCO TO BE - HW'!G$2,'Rozpočet - HW a licencie'!$C$3:$C$102,"SW pre HW",'Rozpočet - HW a licencie'!$G$3:$G$102,'TCO TO BE - HW'!$D12,'Rozpočet - HW a licencie'!$D$3:$D$102,'TCO TO BE - HW'!$B$5),)</f>
        <v>0</v>
      </c>
      <c r="H12" s="579">
        <f>IFERROR(SUMIFS('Rozpočet - HW a licencie'!$I$3:$I$102,'Rozpočet - HW a licencie'!$A$3:$A$102,'TCO TO BE - HW'!H$2,'Rozpočet - HW a licencie'!$C$3:$C$102,"HW",'Rozpočet - HW a licencie'!$G$3:$G$102,'TCO TO BE - HW'!$D12,'Rozpočet - HW a licencie'!$D$3:$D$102,'TCO TO BE - HW'!$B$5)+SUMIFS('Rozpočet - HW a licencie'!$I$3:$I$102,'Rozpočet - HW a licencie'!$A$3:$A$102,'TCO TO BE - HW'!H$2,'Rozpočet - HW a licencie'!$C$3:$C$102,"SW pre HW",'Rozpočet - HW a licencie'!$G$3:$G$102,'TCO TO BE - HW'!$D12,'Rozpočet - HW a licencie'!$D$3:$D$102,'TCO TO BE - HW'!$B$5),)</f>
        <v>0</v>
      </c>
      <c r="I12" s="579">
        <f>IFERROR(SUMIFS('Rozpočet - HW a licencie'!$I$3:$I$102,'Rozpočet - HW a licencie'!$A$3:$A$102,'TCO TO BE - HW'!I$2,'Rozpočet - HW a licencie'!$C$3:$C$102,"HW",'Rozpočet - HW a licencie'!$G$3:$G$102,'TCO TO BE - HW'!$D12,'Rozpočet - HW a licencie'!$D$3:$D$102,'TCO TO BE - HW'!$B$5)+SUMIFS('Rozpočet - HW a licencie'!$I$3:$I$102,'Rozpočet - HW a licencie'!$A$3:$A$102,'TCO TO BE - HW'!I$2,'Rozpočet - HW a licencie'!$C$3:$C$102,"SW pre HW",'Rozpočet - HW a licencie'!$G$3:$G$102,'TCO TO BE - HW'!$D12,'Rozpočet - HW a licencie'!$D$3:$D$102,'TCO TO BE - HW'!$B$5),)</f>
        <v>0</v>
      </c>
      <c r="J12" s="579">
        <f>IFERROR(SUMIFS('Rozpočet - HW a licencie'!$I$3:$I$102,'Rozpočet - HW a licencie'!$A$3:$A$102,'TCO TO BE - HW'!J$2,'Rozpočet - HW a licencie'!$C$3:$C$102,"HW",'Rozpočet - HW a licencie'!$G$3:$G$102,'TCO TO BE - HW'!$D12,'Rozpočet - HW a licencie'!$D$3:$D$102,'TCO TO BE - HW'!$B$5)+SUMIFS('Rozpočet - HW a licencie'!$I$3:$I$102,'Rozpočet - HW a licencie'!$A$3:$A$102,'TCO TO BE - HW'!J$2,'Rozpočet - HW a licencie'!$C$3:$C$102,"SW pre HW",'Rozpočet - HW a licencie'!$G$3:$G$102,'TCO TO BE - HW'!$D12,'Rozpočet - HW a licencie'!$D$3:$D$102,'TCO TO BE - HW'!$B$5),)</f>
        <v>0</v>
      </c>
      <c r="K12" s="579">
        <f>IFERROR(SUMIFS('Rozpočet - HW a licencie'!$I$3:$I$102,'Rozpočet - HW a licencie'!$A$3:$A$102,'TCO TO BE - HW'!K$2,'Rozpočet - HW a licencie'!$C$3:$C$102,"HW",'Rozpočet - HW a licencie'!$G$3:$G$102,'TCO TO BE - HW'!$D12,'Rozpočet - HW a licencie'!$D$3:$D$102,'TCO TO BE - HW'!$B$5)+SUMIFS('Rozpočet - HW a licencie'!$I$3:$I$102,'Rozpočet - HW a licencie'!$A$3:$A$102,'TCO TO BE - HW'!K$2,'Rozpočet - HW a licencie'!$C$3:$C$102,"SW pre HW",'Rozpočet - HW a licencie'!$G$3:$G$102,'TCO TO BE - HW'!$D12,'Rozpočet - HW a licencie'!$D$3:$D$102,'TCO TO BE - HW'!$B$5),)</f>
        <v>0</v>
      </c>
      <c r="L12" s="579">
        <f>IFERROR(SUMIFS('Rozpočet - HW a licencie'!$I$3:$I$102,'Rozpočet - HW a licencie'!$A$3:$A$102,'TCO TO BE - HW'!L$2,'Rozpočet - HW a licencie'!$C$3:$C$102,"HW",'Rozpočet - HW a licencie'!$G$3:$G$102,'TCO TO BE - HW'!$D12,'Rozpočet - HW a licencie'!$D$3:$D$102,'TCO TO BE - HW'!$B$5)+SUMIFS('Rozpočet - HW a licencie'!$I$3:$I$102,'Rozpočet - HW a licencie'!$A$3:$A$102,'TCO TO BE - HW'!L$2,'Rozpočet - HW a licencie'!$C$3:$C$102,"SW pre HW",'Rozpočet - HW a licencie'!$G$3:$G$102,'TCO TO BE - HW'!$D12,'Rozpočet - HW a licencie'!$D$3:$D$102,'TCO TO BE - HW'!$B$5),)</f>
        <v>0</v>
      </c>
      <c r="M12" s="579">
        <f>IFERROR(SUMIFS('Rozpočet - HW a licencie'!$I$3:$I$102,'Rozpočet - HW a licencie'!$A$3:$A$102,'TCO TO BE - HW'!M$2,'Rozpočet - HW a licencie'!$C$3:$C$102,"HW",'Rozpočet - HW a licencie'!$G$3:$G$102,'TCO TO BE - HW'!$D12,'Rozpočet - HW a licencie'!$D$3:$D$102,'TCO TO BE - HW'!$B$5)+SUMIFS('Rozpočet - HW a licencie'!$I$3:$I$102,'Rozpočet - HW a licencie'!$A$3:$A$102,'TCO TO BE - HW'!M$2,'Rozpočet - HW a licencie'!$C$3:$C$102,"SW pre HW",'Rozpočet - HW a licencie'!$G$3:$G$102,'TCO TO BE - HW'!$D12,'Rozpočet - HW a licencie'!$D$3:$D$102,'TCO TO BE - HW'!$B$5),)</f>
        <v>0</v>
      </c>
      <c r="N12" s="579">
        <f>IFERROR(SUMIFS('Rozpočet - HW a licencie'!$I$3:$I$102,'Rozpočet - HW a licencie'!$A$3:$A$102,'TCO TO BE - HW'!N$2,'Rozpočet - HW a licencie'!$C$3:$C$102,"HW",'Rozpočet - HW a licencie'!$G$3:$G$102,'TCO TO BE - HW'!$D12,'Rozpočet - HW a licencie'!$D$3:$D$102,'TCO TO BE - HW'!$B$5)+SUMIFS('Rozpočet - HW a licencie'!$I$3:$I$102,'Rozpočet - HW a licencie'!$A$3:$A$102,'TCO TO BE - HW'!N$2,'Rozpočet - HW a licencie'!$C$3:$C$102,"SW pre HW",'Rozpočet - HW a licencie'!$G$3:$G$102,'TCO TO BE - HW'!$D12,'Rozpočet - HW a licencie'!$D$3:$D$102,'TCO TO BE - HW'!$B$5),)</f>
        <v>0</v>
      </c>
      <c r="O12" s="579">
        <f>IFERROR(SUMIFS('Rozpočet - HW a licencie'!$I$3:$I$102,'Rozpočet - HW a licencie'!$A$3:$A$102,'TCO TO BE - HW'!O$2,'Rozpočet - HW a licencie'!$C$3:$C$102,"HW",'Rozpočet - HW a licencie'!$G$3:$G$102,'TCO TO BE - HW'!$D12,'Rozpočet - HW a licencie'!$D$3:$D$102,'TCO TO BE - HW'!$B$5)+SUMIFS('Rozpočet - HW a licencie'!$I$3:$I$102,'Rozpočet - HW a licencie'!$A$3:$A$102,'TCO TO BE - HW'!O$2,'Rozpočet - HW a licencie'!$C$3:$C$102,"SW pre HW",'Rozpočet - HW a licencie'!$G$3:$G$102,'TCO TO BE - HW'!$D12,'Rozpočet - HW a licencie'!$D$3:$D$102,'TCO TO BE - HW'!$B$5),)</f>
        <v>0</v>
      </c>
      <c r="P12" s="579">
        <f>IFERROR(SUMIFS('Rozpočet - HW a licencie'!$I$3:$I$102,'Rozpočet - HW a licencie'!$A$3:$A$102,'TCO TO BE - HW'!P$2,'Rozpočet - HW a licencie'!$C$3:$C$102,"HW",'Rozpočet - HW a licencie'!$G$3:$G$102,'TCO TO BE - HW'!$D12,'Rozpočet - HW a licencie'!$D$3:$D$102,'TCO TO BE - HW'!$B$5)+SUMIFS('Rozpočet - HW a licencie'!$I$3:$I$102,'Rozpočet - HW a licencie'!$A$3:$A$102,'TCO TO BE - HW'!P$2,'Rozpočet - HW a licencie'!$C$3:$C$102,"SW pre HW",'Rozpočet - HW a licencie'!$G$3:$G$102,'TCO TO BE - HW'!$D12,'Rozpočet - HW a licencie'!$D$3:$D$102,'TCO TO BE - HW'!$B$5),)</f>
        <v>0</v>
      </c>
      <c r="Q12" s="579">
        <f>IFERROR(SUMIFS('Rozpočet - HW a licencie'!$I$3:$I$102,'Rozpočet - HW a licencie'!$A$3:$A$102,'TCO TO BE - HW'!Q$2,'Rozpočet - HW a licencie'!$C$3:$C$102,"HW",'Rozpočet - HW a licencie'!$G$3:$G$102,'TCO TO BE - HW'!$D12,'Rozpočet - HW a licencie'!$D$3:$D$102,'TCO TO BE - HW'!$B$5)+SUMIFS('Rozpočet - HW a licencie'!$I$3:$I$102,'Rozpočet - HW a licencie'!$A$3:$A$102,'TCO TO BE - HW'!Q$2,'Rozpočet - HW a licencie'!$C$3:$C$102,"SW pre HW",'Rozpočet - HW a licencie'!$G$3:$G$102,'TCO TO BE - HW'!$D12,'Rozpočet - HW a licencie'!$D$3:$D$102,'TCO TO BE - HW'!$B$5),)</f>
        <v>0</v>
      </c>
      <c r="R12" s="579">
        <f>IFERROR(SUMIFS('Rozpočet - HW a licencie'!$I$3:$I$102,'Rozpočet - HW a licencie'!$A$3:$A$102,'TCO TO BE - HW'!R$2,'Rozpočet - HW a licencie'!$C$3:$C$102,"HW",'Rozpočet - HW a licencie'!$G$3:$G$102,'TCO TO BE - HW'!$D12,'Rozpočet - HW a licencie'!$D$3:$D$102,'TCO TO BE - HW'!$B$5)+SUMIFS('Rozpočet - HW a licencie'!$I$3:$I$102,'Rozpočet - HW a licencie'!$A$3:$A$102,'TCO TO BE - HW'!R$2,'Rozpočet - HW a licencie'!$C$3:$C$102,"SW pre HW",'Rozpočet - HW a licencie'!$G$3:$G$102,'TCO TO BE - HW'!$D12,'Rozpočet - HW a licencie'!$D$3:$D$102,'TCO TO BE - HW'!$B$5),)</f>
        <v>0</v>
      </c>
      <c r="S12" s="579">
        <f>IFERROR(SUMIFS('Rozpočet - HW a licencie'!$I$3:$I$102,'Rozpočet - HW a licencie'!$A$3:$A$102,'TCO TO BE - HW'!S$2,'Rozpočet - HW a licencie'!$C$3:$C$102,"HW",'Rozpočet - HW a licencie'!$G$3:$G$102,'TCO TO BE - HW'!$D12,'Rozpočet - HW a licencie'!$D$3:$D$102,'TCO TO BE - HW'!$B$5)+SUMIFS('Rozpočet - HW a licencie'!$I$3:$I$102,'Rozpočet - HW a licencie'!$A$3:$A$102,'TCO TO BE - HW'!S$2,'Rozpočet - HW a licencie'!$C$3:$C$102,"SW pre HW",'Rozpočet - HW a licencie'!$G$3:$G$102,'TCO TO BE - HW'!$D12,'Rozpočet - HW a licencie'!$D$3:$D$102,'TCO TO BE - HW'!$B$5),)</f>
        <v>0</v>
      </c>
      <c r="T12" s="579">
        <f>IFERROR(SUMIFS('Rozpočet - HW a licencie'!$I$3:$I$102,'Rozpočet - HW a licencie'!$A$3:$A$102,'TCO TO BE - HW'!T$2,'Rozpočet - HW a licencie'!$C$3:$C$102,"HW",'Rozpočet - HW a licencie'!$G$3:$G$102,'TCO TO BE - HW'!$D12,'Rozpočet - HW a licencie'!$D$3:$D$102,'TCO TO BE - HW'!$B$5)+SUMIFS('Rozpočet - HW a licencie'!$I$3:$I$102,'Rozpočet - HW a licencie'!$A$3:$A$102,'TCO TO BE - HW'!T$2,'Rozpočet - HW a licencie'!$C$3:$C$102,"SW pre HW",'Rozpočet - HW a licencie'!$G$3:$G$102,'TCO TO BE - HW'!$D12,'Rozpočet - HW a licencie'!$D$3:$D$102,'TCO TO BE - HW'!$B$5),)</f>
        <v>0</v>
      </c>
      <c r="U12" s="579">
        <f>IFERROR(SUMIFS('Rozpočet - HW a licencie'!$I$3:$I$102,'Rozpočet - HW a licencie'!$A$3:$A$102,'TCO TO BE - HW'!U$2,'Rozpočet - HW a licencie'!$C$3:$C$102,"HW",'Rozpočet - HW a licencie'!$G$3:$G$102,'TCO TO BE - HW'!$D12,'Rozpočet - HW a licencie'!$D$3:$D$102,'TCO TO BE - HW'!$B$5)+SUMIFS('Rozpočet - HW a licencie'!$I$3:$I$102,'Rozpočet - HW a licencie'!$A$3:$A$102,'TCO TO BE - HW'!U$2,'Rozpočet - HW a licencie'!$C$3:$C$102,"SW pre HW",'Rozpočet - HW a licencie'!$G$3:$G$102,'TCO TO BE - HW'!$D12,'Rozpočet - HW a licencie'!$D$3:$D$102,'TCO TO BE - HW'!$B$5),)</f>
        <v>0</v>
      </c>
      <c r="V12" s="579">
        <f>IFERROR(SUMIFS('Rozpočet - HW a licencie'!$I$3:$I$102,'Rozpočet - HW a licencie'!$A$3:$A$102,'TCO TO BE - HW'!V$2,'Rozpočet - HW a licencie'!$C$3:$C$102,"HW",'Rozpočet - HW a licencie'!$G$3:$G$102,'TCO TO BE - HW'!$D12,'Rozpočet - HW a licencie'!$D$3:$D$102,'TCO TO BE - HW'!$B$5)+SUMIFS('Rozpočet - HW a licencie'!$I$3:$I$102,'Rozpočet - HW a licencie'!$A$3:$A$102,'TCO TO BE - HW'!V$2,'Rozpočet - HW a licencie'!$C$3:$C$102,"SW pre HW",'Rozpočet - HW a licencie'!$G$3:$G$102,'TCO TO BE - HW'!$D12,'Rozpočet - HW a licencie'!$D$3:$D$102,'TCO TO BE - HW'!$B$5),)</f>
        <v>0</v>
      </c>
      <c r="W12" s="579">
        <f>IFERROR(SUMIFS('Rozpočet - HW a licencie'!$I$3:$I$102,'Rozpočet - HW a licencie'!$A$3:$A$102,'TCO TO BE - HW'!W$2,'Rozpočet - HW a licencie'!$C$3:$C$102,"HW",'Rozpočet - HW a licencie'!$G$3:$G$102,'TCO TO BE - HW'!$D12,'Rozpočet - HW a licencie'!$D$3:$D$102,'TCO TO BE - HW'!$B$5)+SUMIFS('Rozpočet - HW a licencie'!$I$3:$I$102,'Rozpočet - HW a licencie'!$A$3:$A$102,'TCO TO BE - HW'!W$2,'Rozpočet - HW a licencie'!$C$3:$C$102,"SW pre HW",'Rozpočet - HW a licencie'!$G$3:$G$102,'TCO TO BE - HW'!$D12,'Rozpočet - HW a licencie'!$D$3:$D$102,'TCO TO BE - HW'!$B$5),)</f>
        <v>0</v>
      </c>
      <c r="X12" s="579">
        <f>IFERROR(SUMIFS('Rozpočet - HW a licencie'!$I$3:$I$102,'Rozpočet - HW a licencie'!$A$3:$A$102,'TCO TO BE - HW'!X$2,'Rozpočet - HW a licencie'!$C$3:$C$102,"HW",'Rozpočet - HW a licencie'!$G$3:$G$102,'TCO TO BE - HW'!$D12,'Rozpočet - HW a licencie'!$D$3:$D$102,'TCO TO BE - HW'!$B$5)+SUMIFS('Rozpočet - HW a licencie'!$I$3:$I$102,'Rozpočet - HW a licencie'!$A$3:$A$102,'TCO TO BE - HW'!X$2,'Rozpočet - HW a licencie'!$C$3:$C$102,"SW pre HW",'Rozpočet - HW a licencie'!$G$3:$G$102,'TCO TO BE - HW'!$D12,'Rozpočet - HW a licencie'!$D$3:$D$102,'TCO TO BE - HW'!$B$5),)</f>
        <v>0</v>
      </c>
      <c r="Y12" s="579">
        <f>IFERROR(SUMIFS('Rozpočet - HW a licencie'!$I$3:$I$102,'Rozpočet - HW a licencie'!$A$3:$A$102,'TCO TO BE - HW'!Y$2,'Rozpočet - HW a licencie'!$C$3:$C$102,"HW",'Rozpočet - HW a licencie'!$G$3:$G$102,'TCO TO BE - HW'!$D12,'Rozpočet - HW a licencie'!$D$3:$D$102,'TCO TO BE - HW'!$B$5)+SUMIFS('Rozpočet - HW a licencie'!$I$3:$I$102,'Rozpočet - HW a licencie'!$A$3:$A$102,'TCO TO BE - HW'!Y$2,'Rozpočet - HW a licencie'!$C$3:$C$102,"SW pre HW",'Rozpočet - HW a licencie'!$G$3:$G$102,'TCO TO BE - HW'!$D12,'Rozpočet - HW a licencie'!$D$3:$D$102,'TCO TO BE - HW'!$B$5),)</f>
        <v>0</v>
      </c>
      <c r="Z12" s="579">
        <f>IFERROR(SUMIFS('Rozpočet - HW a licencie'!$I$3:$I$102,'Rozpočet - HW a licencie'!$A$3:$A$102,'TCO TO BE - HW'!Z$2,'Rozpočet - HW a licencie'!$C$3:$C$102,"HW",'Rozpočet - HW a licencie'!$G$3:$G$102,'TCO TO BE - HW'!$D12,'Rozpočet - HW a licencie'!$D$3:$D$102,'TCO TO BE - HW'!$B$5)+SUMIFS('Rozpočet - HW a licencie'!$I$3:$I$102,'Rozpočet - HW a licencie'!$A$3:$A$102,'TCO TO BE - HW'!Z$2,'Rozpočet - HW a licencie'!$C$3:$C$102,"SW pre HW",'Rozpočet - HW a licencie'!$G$3:$G$102,'TCO TO BE - HW'!$D12,'Rozpočet - HW a licencie'!$D$3:$D$102,'TCO TO BE - HW'!$B$5),)</f>
        <v>0</v>
      </c>
    </row>
    <row r="13" spans="1:26" outlineLevel="1" x14ac:dyDescent="0.2">
      <c r="A13" s="1390"/>
      <c r="B13" s="1391"/>
      <c r="C13" s="1391"/>
      <c r="D13" s="497">
        <v>9</v>
      </c>
      <c r="E13" s="68">
        <f t="shared" si="2"/>
        <v>0</v>
      </c>
      <c r="F13" s="579">
        <f>IFERROR(SUMIFS('Rozpočet - HW a licencie'!$I$3:$I$102,'Rozpočet - HW a licencie'!$A$3:$A$102,'TCO TO BE - HW'!F$2,'Rozpočet - HW a licencie'!$C$3:$C$102,"HW",'Rozpočet - HW a licencie'!$G$3:$G$102,'TCO TO BE - HW'!$D13,'Rozpočet - HW a licencie'!$D$3:$D$102,'TCO TO BE - HW'!$B$5)+SUMIFS('Rozpočet - HW a licencie'!$I$3:$I$102,'Rozpočet - HW a licencie'!$A$3:$A$102,'TCO TO BE - HW'!F$2,'Rozpočet - HW a licencie'!$C$3:$C$102,"SW pre HW",'Rozpočet - HW a licencie'!$G$3:$G$102,'TCO TO BE - HW'!$D13,'Rozpočet - HW a licencie'!$D$3:$D$102,'TCO TO BE - HW'!$B$5),)</f>
        <v>0</v>
      </c>
      <c r="G13" s="579">
        <f>IFERROR(SUMIFS('Rozpočet - HW a licencie'!$I$3:$I$102,'Rozpočet - HW a licencie'!$A$3:$A$102,'TCO TO BE - HW'!G$2,'Rozpočet - HW a licencie'!$C$3:$C$102,"HW",'Rozpočet - HW a licencie'!$G$3:$G$102,'TCO TO BE - HW'!$D13,'Rozpočet - HW a licencie'!$D$3:$D$102,'TCO TO BE - HW'!$B$5)+SUMIFS('Rozpočet - HW a licencie'!$I$3:$I$102,'Rozpočet - HW a licencie'!$A$3:$A$102,'TCO TO BE - HW'!G$2,'Rozpočet - HW a licencie'!$C$3:$C$102,"SW pre HW",'Rozpočet - HW a licencie'!$G$3:$G$102,'TCO TO BE - HW'!$D13,'Rozpočet - HW a licencie'!$D$3:$D$102,'TCO TO BE - HW'!$B$5),)</f>
        <v>0</v>
      </c>
      <c r="H13" s="579">
        <f>IFERROR(SUMIFS('Rozpočet - HW a licencie'!$I$3:$I$102,'Rozpočet - HW a licencie'!$A$3:$A$102,'TCO TO BE - HW'!H$2,'Rozpočet - HW a licencie'!$C$3:$C$102,"HW",'Rozpočet - HW a licencie'!$G$3:$G$102,'TCO TO BE - HW'!$D13,'Rozpočet - HW a licencie'!$D$3:$D$102,'TCO TO BE - HW'!$B$5)+SUMIFS('Rozpočet - HW a licencie'!$I$3:$I$102,'Rozpočet - HW a licencie'!$A$3:$A$102,'TCO TO BE - HW'!H$2,'Rozpočet - HW a licencie'!$C$3:$C$102,"SW pre HW",'Rozpočet - HW a licencie'!$G$3:$G$102,'TCO TO BE - HW'!$D13,'Rozpočet - HW a licencie'!$D$3:$D$102,'TCO TO BE - HW'!$B$5),)</f>
        <v>0</v>
      </c>
      <c r="I13" s="579">
        <f>IFERROR(SUMIFS('Rozpočet - HW a licencie'!$I$3:$I$102,'Rozpočet - HW a licencie'!$A$3:$A$102,'TCO TO BE - HW'!I$2,'Rozpočet - HW a licencie'!$C$3:$C$102,"HW",'Rozpočet - HW a licencie'!$G$3:$G$102,'TCO TO BE - HW'!$D13,'Rozpočet - HW a licencie'!$D$3:$D$102,'TCO TO BE - HW'!$B$5)+SUMIFS('Rozpočet - HW a licencie'!$I$3:$I$102,'Rozpočet - HW a licencie'!$A$3:$A$102,'TCO TO BE - HW'!I$2,'Rozpočet - HW a licencie'!$C$3:$C$102,"SW pre HW",'Rozpočet - HW a licencie'!$G$3:$G$102,'TCO TO BE - HW'!$D13,'Rozpočet - HW a licencie'!$D$3:$D$102,'TCO TO BE - HW'!$B$5),)</f>
        <v>0</v>
      </c>
      <c r="J13" s="579">
        <f>IFERROR(SUMIFS('Rozpočet - HW a licencie'!$I$3:$I$102,'Rozpočet - HW a licencie'!$A$3:$A$102,'TCO TO BE - HW'!J$2,'Rozpočet - HW a licencie'!$C$3:$C$102,"HW",'Rozpočet - HW a licencie'!$G$3:$G$102,'TCO TO BE - HW'!$D13,'Rozpočet - HW a licencie'!$D$3:$D$102,'TCO TO BE - HW'!$B$5)+SUMIFS('Rozpočet - HW a licencie'!$I$3:$I$102,'Rozpočet - HW a licencie'!$A$3:$A$102,'TCO TO BE - HW'!J$2,'Rozpočet - HW a licencie'!$C$3:$C$102,"SW pre HW",'Rozpočet - HW a licencie'!$G$3:$G$102,'TCO TO BE - HW'!$D13,'Rozpočet - HW a licencie'!$D$3:$D$102,'TCO TO BE - HW'!$B$5),)</f>
        <v>0</v>
      </c>
      <c r="K13" s="579">
        <f>IFERROR(SUMIFS('Rozpočet - HW a licencie'!$I$3:$I$102,'Rozpočet - HW a licencie'!$A$3:$A$102,'TCO TO BE - HW'!K$2,'Rozpočet - HW a licencie'!$C$3:$C$102,"HW",'Rozpočet - HW a licencie'!$G$3:$G$102,'TCO TO BE - HW'!$D13,'Rozpočet - HW a licencie'!$D$3:$D$102,'TCO TO BE - HW'!$B$5)+SUMIFS('Rozpočet - HW a licencie'!$I$3:$I$102,'Rozpočet - HW a licencie'!$A$3:$A$102,'TCO TO BE - HW'!K$2,'Rozpočet - HW a licencie'!$C$3:$C$102,"SW pre HW",'Rozpočet - HW a licencie'!$G$3:$G$102,'TCO TO BE - HW'!$D13,'Rozpočet - HW a licencie'!$D$3:$D$102,'TCO TO BE - HW'!$B$5),)</f>
        <v>0</v>
      </c>
      <c r="L13" s="579">
        <f>IFERROR(SUMIFS('Rozpočet - HW a licencie'!$I$3:$I$102,'Rozpočet - HW a licencie'!$A$3:$A$102,'TCO TO BE - HW'!L$2,'Rozpočet - HW a licencie'!$C$3:$C$102,"HW",'Rozpočet - HW a licencie'!$G$3:$G$102,'TCO TO BE - HW'!$D13,'Rozpočet - HW a licencie'!$D$3:$D$102,'TCO TO BE - HW'!$B$5)+SUMIFS('Rozpočet - HW a licencie'!$I$3:$I$102,'Rozpočet - HW a licencie'!$A$3:$A$102,'TCO TO BE - HW'!L$2,'Rozpočet - HW a licencie'!$C$3:$C$102,"SW pre HW",'Rozpočet - HW a licencie'!$G$3:$G$102,'TCO TO BE - HW'!$D13,'Rozpočet - HW a licencie'!$D$3:$D$102,'TCO TO BE - HW'!$B$5),)</f>
        <v>0</v>
      </c>
      <c r="M13" s="579">
        <f>IFERROR(SUMIFS('Rozpočet - HW a licencie'!$I$3:$I$102,'Rozpočet - HW a licencie'!$A$3:$A$102,'TCO TO BE - HW'!M$2,'Rozpočet - HW a licencie'!$C$3:$C$102,"HW",'Rozpočet - HW a licencie'!$G$3:$G$102,'TCO TO BE - HW'!$D13,'Rozpočet - HW a licencie'!$D$3:$D$102,'TCO TO BE - HW'!$B$5)+SUMIFS('Rozpočet - HW a licencie'!$I$3:$I$102,'Rozpočet - HW a licencie'!$A$3:$A$102,'TCO TO BE - HW'!M$2,'Rozpočet - HW a licencie'!$C$3:$C$102,"SW pre HW",'Rozpočet - HW a licencie'!$G$3:$G$102,'TCO TO BE - HW'!$D13,'Rozpočet - HW a licencie'!$D$3:$D$102,'TCO TO BE - HW'!$B$5),)</f>
        <v>0</v>
      </c>
      <c r="N13" s="579">
        <f>IFERROR(SUMIFS('Rozpočet - HW a licencie'!$I$3:$I$102,'Rozpočet - HW a licencie'!$A$3:$A$102,'TCO TO BE - HW'!N$2,'Rozpočet - HW a licencie'!$C$3:$C$102,"HW",'Rozpočet - HW a licencie'!$G$3:$G$102,'TCO TO BE - HW'!$D13,'Rozpočet - HW a licencie'!$D$3:$D$102,'TCO TO BE - HW'!$B$5)+SUMIFS('Rozpočet - HW a licencie'!$I$3:$I$102,'Rozpočet - HW a licencie'!$A$3:$A$102,'TCO TO BE - HW'!N$2,'Rozpočet - HW a licencie'!$C$3:$C$102,"SW pre HW",'Rozpočet - HW a licencie'!$G$3:$G$102,'TCO TO BE - HW'!$D13,'Rozpočet - HW a licencie'!$D$3:$D$102,'TCO TO BE - HW'!$B$5),)</f>
        <v>0</v>
      </c>
      <c r="O13" s="579">
        <f>IFERROR(SUMIFS('Rozpočet - HW a licencie'!$I$3:$I$102,'Rozpočet - HW a licencie'!$A$3:$A$102,'TCO TO BE - HW'!O$2,'Rozpočet - HW a licencie'!$C$3:$C$102,"HW",'Rozpočet - HW a licencie'!$G$3:$G$102,'TCO TO BE - HW'!$D13,'Rozpočet - HW a licencie'!$D$3:$D$102,'TCO TO BE - HW'!$B$5)+SUMIFS('Rozpočet - HW a licencie'!$I$3:$I$102,'Rozpočet - HW a licencie'!$A$3:$A$102,'TCO TO BE - HW'!O$2,'Rozpočet - HW a licencie'!$C$3:$C$102,"SW pre HW",'Rozpočet - HW a licencie'!$G$3:$G$102,'TCO TO BE - HW'!$D13,'Rozpočet - HW a licencie'!$D$3:$D$102,'TCO TO BE - HW'!$B$5),)</f>
        <v>0</v>
      </c>
      <c r="P13" s="579">
        <f>IFERROR(SUMIFS('Rozpočet - HW a licencie'!$I$3:$I$102,'Rozpočet - HW a licencie'!$A$3:$A$102,'TCO TO BE - HW'!P$2,'Rozpočet - HW a licencie'!$C$3:$C$102,"HW",'Rozpočet - HW a licencie'!$G$3:$G$102,'TCO TO BE - HW'!$D13,'Rozpočet - HW a licencie'!$D$3:$D$102,'TCO TO BE - HW'!$B$5)+SUMIFS('Rozpočet - HW a licencie'!$I$3:$I$102,'Rozpočet - HW a licencie'!$A$3:$A$102,'TCO TO BE - HW'!P$2,'Rozpočet - HW a licencie'!$C$3:$C$102,"SW pre HW",'Rozpočet - HW a licencie'!$G$3:$G$102,'TCO TO BE - HW'!$D13,'Rozpočet - HW a licencie'!$D$3:$D$102,'TCO TO BE - HW'!$B$5),)</f>
        <v>0</v>
      </c>
      <c r="Q13" s="579">
        <f>IFERROR(SUMIFS('Rozpočet - HW a licencie'!$I$3:$I$102,'Rozpočet - HW a licencie'!$A$3:$A$102,'TCO TO BE - HW'!Q$2,'Rozpočet - HW a licencie'!$C$3:$C$102,"HW",'Rozpočet - HW a licencie'!$G$3:$G$102,'TCO TO BE - HW'!$D13,'Rozpočet - HW a licencie'!$D$3:$D$102,'TCO TO BE - HW'!$B$5)+SUMIFS('Rozpočet - HW a licencie'!$I$3:$I$102,'Rozpočet - HW a licencie'!$A$3:$A$102,'TCO TO BE - HW'!Q$2,'Rozpočet - HW a licencie'!$C$3:$C$102,"SW pre HW",'Rozpočet - HW a licencie'!$G$3:$G$102,'TCO TO BE - HW'!$D13,'Rozpočet - HW a licencie'!$D$3:$D$102,'TCO TO BE - HW'!$B$5),)</f>
        <v>0</v>
      </c>
      <c r="R13" s="579">
        <f>IFERROR(SUMIFS('Rozpočet - HW a licencie'!$I$3:$I$102,'Rozpočet - HW a licencie'!$A$3:$A$102,'TCO TO BE - HW'!R$2,'Rozpočet - HW a licencie'!$C$3:$C$102,"HW",'Rozpočet - HW a licencie'!$G$3:$G$102,'TCO TO BE - HW'!$D13,'Rozpočet - HW a licencie'!$D$3:$D$102,'TCO TO BE - HW'!$B$5)+SUMIFS('Rozpočet - HW a licencie'!$I$3:$I$102,'Rozpočet - HW a licencie'!$A$3:$A$102,'TCO TO BE - HW'!R$2,'Rozpočet - HW a licencie'!$C$3:$C$102,"SW pre HW",'Rozpočet - HW a licencie'!$G$3:$G$102,'TCO TO BE - HW'!$D13,'Rozpočet - HW a licencie'!$D$3:$D$102,'TCO TO BE - HW'!$B$5),)</f>
        <v>0</v>
      </c>
      <c r="S13" s="579">
        <f>IFERROR(SUMIFS('Rozpočet - HW a licencie'!$I$3:$I$102,'Rozpočet - HW a licencie'!$A$3:$A$102,'TCO TO BE - HW'!S$2,'Rozpočet - HW a licencie'!$C$3:$C$102,"HW",'Rozpočet - HW a licencie'!$G$3:$G$102,'TCO TO BE - HW'!$D13,'Rozpočet - HW a licencie'!$D$3:$D$102,'TCO TO BE - HW'!$B$5)+SUMIFS('Rozpočet - HW a licencie'!$I$3:$I$102,'Rozpočet - HW a licencie'!$A$3:$A$102,'TCO TO BE - HW'!S$2,'Rozpočet - HW a licencie'!$C$3:$C$102,"SW pre HW",'Rozpočet - HW a licencie'!$G$3:$G$102,'TCO TO BE - HW'!$D13,'Rozpočet - HW a licencie'!$D$3:$D$102,'TCO TO BE - HW'!$B$5),)</f>
        <v>0</v>
      </c>
      <c r="T13" s="579">
        <f>IFERROR(SUMIFS('Rozpočet - HW a licencie'!$I$3:$I$102,'Rozpočet - HW a licencie'!$A$3:$A$102,'TCO TO BE - HW'!T$2,'Rozpočet - HW a licencie'!$C$3:$C$102,"HW",'Rozpočet - HW a licencie'!$G$3:$G$102,'TCO TO BE - HW'!$D13,'Rozpočet - HW a licencie'!$D$3:$D$102,'TCO TO BE - HW'!$B$5)+SUMIFS('Rozpočet - HW a licencie'!$I$3:$I$102,'Rozpočet - HW a licencie'!$A$3:$A$102,'TCO TO BE - HW'!T$2,'Rozpočet - HW a licencie'!$C$3:$C$102,"SW pre HW",'Rozpočet - HW a licencie'!$G$3:$G$102,'TCO TO BE - HW'!$D13,'Rozpočet - HW a licencie'!$D$3:$D$102,'TCO TO BE - HW'!$B$5),)</f>
        <v>0</v>
      </c>
      <c r="U13" s="579">
        <f>IFERROR(SUMIFS('Rozpočet - HW a licencie'!$I$3:$I$102,'Rozpočet - HW a licencie'!$A$3:$A$102,'TCO TO BE - HW'!U$2,'Rozpočet - HW a licencie'!$C$3:$C$102,"HW",'Rozpočet - HW a licencie'!$G$3:$G$102,'TCO TO BE - HW'!$D13,'Rozpočet - HW a licencie'!$D$3:$D$102,'TCO TO BE - HW'!$B$5)+SUMIFS('Rozpočet - HW a licencie'!$I$3:$I$102,'Rozpočet - HW a licencie'!$A$3:$A$102,'TCO TO BE - HW'!U$2,'Rozpočet - HW a licencie'!$C$3:$C$102,"SW pre HW",'Rozpočet - HW a licencie'!$G$3:$G$102,'TCO TO BE - HW'!$D13,'Rozpočet - HW a licencie'!$D$3:$D$102,'TCO TO BE - HW'!$B$5),)</f>
        <v>0</v>
      </c>
      <c r="V13" s="579">
        <f>IFERROR(SUMIFS('Rozpočet - HW a licencie'!$I$3:$I$102,'Rozpočet - HW a licencie'!$A$3:$A$102,'TCO TO BE - HW'!V$2,'Rozpočet - HW a licencie'!$C$3:$C$102,"HW",'Rozpočet - HW a licencie'!$G$3:$G$102,'TCO TO BE - HW'!$D13,'Rozpočet - HW a licencie'!$D$3:$D$102,'TCO TO BE - HW'!$B$5)+SUMIFS('Rozpočet - HW a licencie'!$I$3:$I$102,'Rozpočet - HW a licencie'!$A$3:$A$102,'TCO TO BE - HW'!V$2,'Rozpočet - HW a licencie'!$C$3:$C$102,"SW pre HW",'Rozpočet - HW a licencie'!$G$3:$G$102,'TCO TO BE - HW'!$D13,'Rozpočet - HW a licencie'!$D$3:$D$102,'TCO TO BE - HW'!$B$5),)</f>
        <v>0</v>
      </c>
      <c r="W13" s="579">
        <f>IFERROR(SUMIFS('Rozpočet - HW a licencie'!$I$3:$I$102,'Rozpočet - HW a licencie'!$A$3:$A$102,'TCO TO BE - HW'!W$2,'Rozpočet - HW a licencie'!$C$3:$C$102,"HW",'Rozpočet - HW a licencie'!$G$3:$G$102,'TCO TO BE - HW'!$D13,'Rozpočet - HW a licencie'!$D$3:$D$102,'TCO TO BE - HW'!$B$5)+SUMIFS('Rozpočet - HW a licencie'!$I$3:$I$102,'Rozpočet - HW a licencie'!$A$3:$A$102,'TCO TO BE - HW'!W$2,'Rozpočet - HW a licencie'!$C$3:$C$102,"SW pre HW",'Rozpočet - HW a licencie'!$G$3:$G$102,'TCO TO BE - HW'!$D13,'Rozpočet - HW a licencie'!$D$3:$D$102,'TCO TO BE - HW'!$B$5),)</f>
        <v>0</v>
      </c>
      <c r="X13" s="579">
        <f>IFERROR(SUMIFS('Rozpočet - HW a licencie'!$I$3:$I$102,'Rozpočet - HW a licencie'!$A$3:$A$102,'TCO TO BE - HW'!X$2,'Rozpočet - HW a licencie'!$C$3:$C$102,"HW",'Rozpočet - HW a licencie'!$G$3:$G$102,'TCO TO BE - HW'!$D13,'Rozpočet - HW a licencie'!$D$3:$D$102,'TCO TO BE - HW'!$B$5)+SUMIFS('Rozpočet - HW a licencie'!$I$3:$I$102,'Rozpočet - HW a licencie'!$A$3:$A$102,'TCO TO BE - HW'!X$2,'Rozpočet - HW a licencie'!$C$3:$C$102,"SW pre HW",'Rozpočet - HW a licencie'!$G$3:$G$102,'TCO TO BE - HW'!$D13,'Rozpočet - HW a licencie'!$D$3:$D$102,'TCO TO BE - HW'!$B$5),)</f>
        <v>0</v>
      </c>
      <c r="Y13" s="579">
        <f>IFERROR(SUMIFS('Rozpočet - HW a licencie'!$I$3:$I$102,'Rozpočet - HW a licencie'!$A$3:$A$102,'TCO TO BE - HW'!Y$2,'Rozpočet - HW a licencie'!$C$3:$C$102,"HW",'Rozpočet - HW a licencie'!$G$3:$G$102,'TCO TO BE - HW'!$D13,'Rozpočet - HW a licencie'!$D$3:$D$102,'TCO TO BE - HW'!$B$5)+SUMIFS('Rozpočet - HW a licencie'!$I$3:$I$102,'Rozpočet - HW a licencie'!$A$3:$A$102,'TCO TO BE - HW'!Y$2,'Rozpočet - HW a licencie'!$C$3:$C$102,"SW pre HW",'Rozpočet - HW a licencie'!$G$3:$G$102,'TCO TO BE - HW'!$D13,'Rozpočet - HW a licencie'!$D$3:$D$102,'TCO TO BE - HW'!$B$5),)</f>
        <v>0</v>
      </c>
      <c r="Z13" s="579">
        <f>IFERROR(SUMIFS('Rozpočet - HW a licencie'!$I$3:$I$102,'Rozpočet - HW a licencie'!$A$3:$A$102,'TCO TO BE - HW'!Z$2,'Rozpočet - HW a licencie'!$C$3:$C$102,"HW",'Rozpočet - HW a licencie'!$G$3:$G$102,'TCO TO BE - HW'!$D13,'Rozpočet - HW a licencie'!$D$3:$D$102,'TCO TO BE - HW'!$B$5)+SUMIFS('Rozpočet - HW a licencie'!$I$3:$I$102,'Rozpočet - HW a licencie'!$A$3:$A$102,'TCO TO BE - HW'!Z$2,'Rozpočet - HW a licencie'!$C$3:$C$102,"SW pre HW",'Rozpočet - HW a licencie'!$G$3:$G$102,'TCO TO BE - HW'!$D13,'Rozpočet - HW a licencie'!$D$3:$D$102,'TCO TO BE - HW'!$B$5),)</f>
        <v>0</v>
      </c>
    </row>
    <row r="14" spans="1:26" ht="16" outlineLevel="1" thickBot="1" x14ac:dyDescent="0.25">
      <c r="A14" s="1390"/>
      <c r="B14" s="1391"/>
      <c r="C14" s="1391"/>
      <c r="D14" s="498">
        <v>10</v>
      </c>
      <c r="E14" s="69">
        <f t="shared" si="2"/>
        <v>0</v>
      </c>
      <c r="F14" s="579">
        <f>IFERROR(SUMIFS('Rozpočet - HW a licencie'!$I$3:$I$102,'Rozpočet - HW a licencie'!$A$3:$A$102,'TCO TO BE - HW'!F$2,'Rozpočet - HW a licencie'!$C$3:$C$102,"HW",'Rozpočet - HW a licencie'!$G$3:$G$102,'TCO TO BE - HW'!$D14,'Rozpočet - HW a licencie'!$D$3:$D$102,'TCO TO BE - HW'!$B$5)+SUMIFS('Rozpočet - HW a licencie'!$I$3:$I$102,'Rozpočet - HW a licencie'!$A$3:$A$102,'TCO TO BE - HW'!F$2,'Rozpočet - HW a licencie'!$C$3:$C$102,"SW pre HW",'Rozpočet - HW a licencie'!$G$3:$G$102,'TCO TO BE - HW'!$D14,'Rozpočet - HW a licencie'!$D$3:$D$102,'TCO TO BE - HW'!$B$5),)</f>
        <v>0</v>
      </c>
      <c r="G14" s="579">
        <f>IFERROR(SUMIFS('Rozpočet - HW a licencie'!$I$3:$I$102,'Rozpočet - HW a licencie'!$A$3:$A$102,'TCO TO BE - HW'!G$2,'Rozpočet - HW a licencie'!$C$3:$C$102,"HW",'Rozpočet - HW a licencie'!$G$3:$G$102,'TCO TO BE - HW'!$D14,'Rozpočet - HW a licencie'!$D$3:$D$102,'TCO TO BE - HW'!$B$5)+SUMIFS('Rozpočet - HW a licencie'!$I$3:$I$102,'Rozpočet - HW a licencie'!$A$3:$A$102,'TCO TO BE - HW'!G$2,'Rozpočet - HW a licencie'!$C$3:$C$102,"SW pre HW",'Rozpočet - HW a licencie'!$G$3:$G$102,'TCO TO BE - HW'!$D14,'Rozpočet - HW a licencie'!$D$3:$D$102,'TCO TO BE - HW'!$B$5),)</f>
        <v>0</v>
      </c>
      <c r="H14" s="579">
        <f>IFERROR(SUMIFS('Rozpočet - HW a licencie'!$I$3:$I$102,'Rozpočet - HW a licencie'!$A$3:$A$102,'TCO TO BE - HW'!H$2,'Rozpočet - HW a licencie'!$C$3:$C$102,"HW",'Rozpočet - HW a licencie'!$G$3:$G$102,'TCO TO BE - HW'!$D14,'Rozpočet - HW a licencie'!$D$3:$D$102,'TCO TO BE - HW'!$B$5)+SUMIFS('Rozpočet - HW a licencie'!$I$3:$I$102,'Rozpočet - HW a licencie'!$A$3:$A$102,'TCO TO BE - HW'!H$2,'Rozpočet - HW a licencie'!$C$3:$C$102,"SW pre HW",'Rozpočet - HW a licencie'!$G$3:$G$102,'TCO TO BE - HW'!$D14,'Rozpočet - HW a licencie'!$D$3:$D$102,'TCO TO BE - HW'!$B$5),)</f>
        <v>0</v>
      </c>
      <c r="I14" s="579">
        <f>IFERROR(SUMIFS('Rozpočet - HW a licencie'!$I$3:$I$102,'Rozpočet - HW a licencie'!$A$3:$A$102,'TCO TO BE - HW'!I$2,'Rozpočet - HW a licencie'!$C$3:$C$102,"HW",'Rozpočet - HW a licencie'!$G$3:$G$102,'TCO TO BE - HW'!$D14,'Rozpočet - HW a licencie'!$D$3:$D$102,'TCO TO BE - HW'!$B$5)+SUMIFS('Rozpočet - HW a licencie'!$I$3:$I$102,'Rozpočet - HW a licencie'!$A$3:$A$102,'TCO TO BE - HW'!I$2,'Rozpočet - HW a licencie'!$C$3:$C$102,"SW pre HW",'Rozpočet - HW a licencie'!$G$3:$G$102,'TCO TO BE - HW'!$D14,'Rozpočet - HW a licencie'!$D$3:$D$102,'TCO TO BE - HW'!$B$5),)</f>
        <v>0</v>
      </c>
      <c r="J14" s="579">
        <f>IFERROR(SUMIFS('Rozpočet - HW a licencie'!$I$3:$I$102,'Rozpočet - HW a licencie'!$A$3:$A$102,'TCO TO BE - HW'!J$2,'Rozpočet - HW a licencie'!$C$3:$C$102,"HW",'Rozpočet - HW a licencie'!$G$3:$G$102,'TCO TO BE - HW'!$D14,'Rozpočet - HW a licencie'!$D$3:$D$102,'TCO TO BE - HW'!$B$5)+SUMIFS('Rozpočet - HW a licencie'!$I$3:$I$102,'Rozpočet - HW a licencie'!$A$3:$A$102,'TCO TO BE - HW'!J$2,'Rozpočet - HW a licencie'!$C$3:$C$102,"SW pre HW",'Rozpočet - HW a licencie'!$G$3:$G$102,'TCO TO BE - HW'!$D14,'Rozpočet - HW a licencie'!$D$3:$D$102,'TCO TO BE - HW'!$B$5),)</f>
        <v>0</v>
      </c>
      <c r="K14" s="579">
        <f>IFERROR(SUMIFS('Rozpočet - HW a licencie'!$I$3:$I$102,'Rozpočet - HW a licencie'!$A$3:$A$102,'TCO TO BE - HW'!K$2,'Rozpočet - HW a licencie'!$C$3:$C$102,"HW",'Rozpočet - HW a licencie'!$G$3:$G$102,'TCO TO BE - HW'!$D14,'Rozpočet - HW a licencie'!$D$3:$D$102,'TCO TO BE - HW'!$B$5)+SUMIFS('Rozpočet - HW a licencie'!$I$3:$I$102,'Rozpočet - HW a licencie'!$A$3:$A$102,'TCO TO BE - HW'!K$2,'Rozpočet - HW a licencie'!$C$3:$C$102,"SW pre HW",'Rozpočet - HW a licencie'!$G$3:$G$102,'TCO TO BE - HW'!$D14,'Rozpočet - HW a licencie'!$D$3:$D$102,'TCO TO BE - HW'!$B$5),)</f>
        <v>0</v>
      </c>
      <c r="L14" s="579">
        <f>IFERROR(SUMIFS('Rozpočet - HW a licencie'!$I$3:$I$102,'Rozpočet - HW a licencie'!$A$3:$A$102,'TCO TO BE - HW'!L$2,'Rozpočet - HW a licencie'!$C$3:$C$102,"HW",'Rozpočet - HW a licencie'!$G$3:$G$102,'TCO TO BE - HW'!$D14,'Rozpočet - HW a licencie'!$D$3:$D$102,'TCO TO BE - HW'!$B$5)+SUMIFS('Rozpočet - HW a licencie'!$I$3:$I$102,'Rozpočet - HW a licencie'!$A$3:$A$102,'TCO TO BE - HW'!L$2,'Rozpočet - HW a licencie'!$C$3:$C$102,"SW pre HW",'Rozpočet - HW a licencie'!$G$3:$G$102,'TCO TO BE - HW'!$D14,'Rozpočet - HW a licencie'!$D$3:$D$102,'TCO TO BE - HW'!$B$5),)</f>
        <v>0</v>
      </c>
      <c r="M14" s="579">
        <f>IFERROR(SUMIFS('Rozpočet - HW a licencie'!$I$3:$I$102,'Rozpočet - HW a licencie'!$A$3:$A$102,'TCO TO BE - HW'!M$2,'Rozpočet - HW a licencie'!$C$3:$C$102,"HW",'Rozpočet - HW a licencie'!$G$3:$G$102,'TCO TO BE - HW'!$D14,'Rozpočet - HW a licencie'!$D$3:$D$102,'TCO TO BE - HW'!$B$5)+SUMIFS('Rozpočet - HW a licencie'!$I$3:$I$102,'Rozpočet - HW a licencie'!$A$3:$A$102,'TCO TO BE - HW'!M$2,'Rozpočet - HW a licencie'!$C$3:$C$102,"SW pre HW",'Rozpočet - HW a licencie'!$G$3:$G$102,'TCO TO BE - HW'!$D14,'Rozpočet - HW a licencie'!$D$3:$D$102,'TCO TO BE - HW'!$B$5),)</f>
        <v>0</v>
      </c>
      <c r="N14" s="579">
        <f>IFERROR(SUMIFS('Rozpočet - HW a licencie'!$I$3:$I$102,'Rozpočet - HW a licencie'!$A$3:$A$102,'TCO TO BE - HW'!N$2,'Rozpočet - HW a licencie'!$C$3:$C$102,"HW",'Rozpočet - HW a licencie'!$G$3:$G$102,'TCO TO BE - HW'!$D14,'Rozpočet - HW a licencie'!$D$3:$D$102,'TCO TO BE - HW'!$B$5)+SUMIFS('Rozpočet - HW a licencie'!$I$3:$I$102,'Rozpočet - HW a licencie'!$A$3:$A$102,'TCO TO BE - HW'!N$2,'Rozpočet - HW a licencie'!$C$3:$C$102,"SW pre HW",'Rozpočet - HW a licencie'!$G$3:$G$102,'TCO TO BE - HW'!$D14,'Rozpočet - HW a licencie'!$D$3:$D$102,'TCO TO BE - HW'!$B$5),)</f>
        <v>0</v>
      </c>
      <c r="O14" s="579">
        <f>IFERROR(SUMIFS('Rozpočet - HW a licencie'!$I$3:$I$102,'Rozpočet - HW a licencie'!$A$3:$A$102,'TCO TO BE - HW'!O$2,'Rozpočet - HW a licencie'!$C$3:$C$102,"HW",'Rozpočet - HW a licencie'!$G$3:$G$102,'TCO TO BE - HW'!$D14,'Rozpočet - HW a licencie'!$D$3:$D$102,'TCO TO BE - HW'!$B$5)+SUMIFS('Rozpočet - HW a licencie'!$I$3:$I$102,'Rozpočet - HW a licencie'!$A$3:$A$102,'TCO TO BE - HW'!O$2,'Rozpočet - HW a licencie'!$C$3:$C$102,"SW pre HW",'Rozpočet - HW a licencie'!$G$3:$G$102,'TCO TO BE - HW'!$D14,'Rozpočet - HW a licencie'!$D$3:$D$102,'TCO TO BE - HW'!$B$5),)</f>
        <v>0</v>
      </c>
      <c r="P14" s="579">
        <f>IFERROR(SUMIFS('Rozpočet - HW a licencie'!$I$3:$I$102,'Rozpočet - HW a licencie'!$A$3:$A$102,'TCO TO BE - HW'!P$2,'Rozpočet - HW a licencie'!$C$3:$C$102,"HW",'Rozpočet - HW a licencie'!$G$3:$G$102,'TCO TO BE - HW'!$D14,'Rozpočet - HW a licencie'!$D$3:$D$102,'TCO TO BE - HW'!$B$5)+SUMIFS('Rozpočet - HW a licencie'!$I$3:$I$102,'Rozpočet - HW a licencie'!$A$3:$A$102,'TCO TO BE - HW'!P$2,'Rozpočet - HW a licencie'!$C$3:$C$102,"SW pre HW",'Rozpočet - HW a licencie'!$G$3:$G$102,'TCO TO BE - HW'!$D14,'Rozpočet - HW a licencie'!$D$3:$D$102,'TCO TO BE - HW'!$B$5),)</f>
        <v>0</v>
      </c>
      <c r="Q14" s="579">
        <f>IFERROR(SUMIFS('Rozpočet - HW a licencie'!$I$3:$I$102,'Rozpočet - HW a licencie'!$A$3:$A$102,'TCO TO BE - HW'!Q$2,'Rozpočet - HW a licencie'!$C$3:$C$102,"HW",'Rozpočet - HW a licencie'!$G$3:$G$102,'TCO TO BE - HW'!$D14,'Rozpočet - HW a licencie'!$D$3:$D$102,'TCO TO BE - HW'!$B$5)+SUMIFS('Rozpočet - HW a licencie'!$I$3:$I$102,'Rozpočet - HW a licencie'!$A$3:$A$102,'TCO TO BE - HW'!Q$2,'Rozpočet - HW a licencie'!$C$3:$C$102,"SW pre HW",'Rozpočet - HW a licencie'!$G$3:$G$102,'TCO TO BE - HW'!$D14,'Rozpočet - HW a licencie'!$D$3:$D$102,'TCO TO BE - HW'!$B$5),)</f>
        <v>0</v>
      </c>
      <c r="R14" s="579">
        <f>IFERROR(SUMIFS('Rozpočet - HW a licencie'!$I$3:$I$102,'Rozpočet - HW a licencie'!$A$3:$A$102,'TCO TO BE - HW'!R$2,'Rozpočet - HW a licencie'!$C$3:$C$102,"HW",'Rozpočet - HW a licencie'!$G$3:$G$102,'TCO TO BE - HW'!$D14,'Rozpočet - HW a licencie'!$D$3:$D$102,'TCO TO BE - HW'!$B$5)+SUMIFS('Rozpočet - HW a licencie'!$I$3:$I$102,'Rozpočet - HW a licencie'!$A$3:$A$102,'TCO TO BE - HW'!R$2,'Rozpočet - HW a licencie'!$C$3:$C$102,"SW pre HW",'Rozpočet - HW a licencie'!$G$3:$G$102,'TCO TO BE - HW'!$D14,'Rozpočet - HW a licencie'!$D$3:$D$102,'TCO TO BE - HW'!$B$5),)</f>
        <v>0</v>
      </c>
      <c r="S14" s="579">
        <f>IFERROR(SUMIFS('Rozpočet - HW a licencie'!$I$3:$I$102,'Rozpočet - HW a licencie'!$A$3:$A$102,'TCO TO BE - HW'!S$2,'Rozpočet - HW a licencie'!$C$3:$C$102,"HW",'Rozpočet - HW a licencie'!$G$3:$G$102,'TCO TO BE - HW'!$D14,'Rozpočet - HW a licencie'!$D$3:$D$102,'TCO TO BE - HW'!$B$5)+SUMIFS('Rozpočet - HW a licencie'!$I$3:$I$102,'Rozpočet - HW a licencie'!$A$3:$A$102,'TCO TO BE - HW'!S$2,'Rozpočet - HW a licencie'!$C$3:$C$102,"SW pre HW",'Rozpočet - HW a licencie'!$G$3:$G$102,'TCO TO BE - HW'!$D14,'Rozpočet - HW a licencie'!$D$3:$D$102,'TCO TO BE - HW'!$B$5),)</f>
        <v>0</v>
      </c>
      <c r="T14" s="579">
        <f>IFERROR(SUMIFS('Rozpočet - HW a licencie'!$I$3:$I$102,'Rozpočet - HW a licencie'!$A$3:$A$102,'TCO TO BE - HW'!T$2,'Rozpočet - HW a licencie'!$C$3:$C$102,"HW",'Rozpočet - HW a licencie'!$G$3:$G$102,'TCO TO BE - HW'!$D14,'Rozpočet - HW a licencie'!$D$3:$D$102,'TCO TO BE - HW'!$B$5)+SUMIFS('Rozpočet - HW a licencie'!$I$3:$I$102,'Rozpočet - HW a licencie'!$A$3:$A$102,'TCO TO BE - HW'!T$2,'Rozpočet - HW a licencie'!$C$3:$C$102,"SW pre HW",'Rozpočet - HW a licencie'!$G$3:$G$102,'TCO TO BE - HW'!$D14,'Rozpočet - HW a licencie'!$D$3:$D$102,'TCO TO BE - HW'!$B$5),)</f>
        <v>0</v>
      </c>
      <c r="U14" s="579">
        <f>IFERROR(SUMIFS('Rozpočet - HW a licencie'!$I$3:$I$102,'Rozpočet - HW a licencie'!$A$3:$A$102,'TCO TO BE - HW'!U$2,'Rozpočet - HW a licencie'!$C$3:$C$102,"HW",'Rozpočet - HW a licencie'!$G$3:$G$102,'TCO TO BE - HW'!$D14,'Rozpočet - HW a licencie'!$D$3:$D$102,'TCO TO BE - HW'!$B$5)+SUMIFS('Rozpočet - HW a licencie'!$I$3:$I$102,'Rozpočet - HW a licencie'!$A$3:$A$102,'TCO TO BE - HW'!U$2,'Rozpočet - HW a licencie'!$C$3:$C$102,"SW pre HW",'Rozpočet - HW a licencie'!$G$3:$G$102,'TCO TO BE - HW'!$D14,'Rozpočet - HW a licencie'!$D$3:$D$102,'TCO TO BE - HW'!$B$5),)</f>
        <v>0</v>
      </c>
      <c r="V14" s="579">
        <f>IFERROR(SUMIFS('Rozpočet - HW a licencie'!$I$3:$I$102,'Rozpočet - HW a licencie'!$A$3:$A$102,'TCO TO BE - HW'!V$2,'Rozpočet - HW a licencie'!$C$3:$C$102,"HW",'Rozpočet - HW a licencie'!$G$3:$G$102,'TCO TO BE - HW'!$D14,'Rozpočet - HW a licencie'!$D$3:$D$102,'TCO TO BE - HW'!$B$5)+SUMIFS('Rozpočet - HW a licencie'!$I$3:$I$102,'Rozpočet - HW a licencie'!$A$3:$A$102,'TCO TO BE - HW'!V$2,'Rozpočet - HW a licencie'!$C$3:$C$102,"SW pre HW",'Rozpočet - HW a licencie'!$G$3:$G$102,'TCO TO BE - HW'!$D14,'Rozpočet - HW a licencie'!$D$3:$D$102,'TCO TO BE - HW'!$B$5),)</f>
        <v>0</v>
      </c>
      <c r="W14" s="579">
        <f>IFERROR(SUMIFS('Rozpočet - HW a licencie'!$I$3:$I$102,'Rozpočet - HW a licencie'!$A$3:$A$102,'TCO TO BE - HW'!W$2,'Rozpočet - HW a licencie'!$C$3:$C$102,"HW",'Rozpočet - HW a licencie'!$G$3:$G$102,'TCO TO BE - HW'!$D14,'Rozpočet - HW a licencie'!$D$3:$D$102,'TCO TO BE - HW'!$B$5)+SUMIFS('Rozpočet - HW a licencie'!$I$3:$I$102,'Rozpočet - HW a licencie'!$A$3:$A$102,'TCO TO BE - HW'!W$2,'Rozpočet - HW a licencie'!$C$3:$C$102,"SW pre HW",'Rozpočet - HW a licencie'!$G$3:$G$102,'TCO TO BE - HW'!$D14,'Rozpočet - HW a licencie'!$D$3:$D$102,'TCO TO BE - HW'!$B$5),)</f>
        <v>0</v>
      </c>
      <c r="X14" s="579">
        <f>IFERROR(SUMIFS('Rozpočet - HW a licencie'!$I$3:$I$102,'Rozpočet - HW a licencie'!$A$3:$A$102,'TCO TO BE - HW'!X$2,'Rozpočet - HW a licencie'!$C$3:$C$102,"HW",'Rozpočet - HW a licencie'!$G$3:$G$102,'TCO TO BE - HW'!$D14,'Rozpočet - HW a licencie'!$D$3:$D$102,'TCO TO BE - HW'!$B$5)+SUMIFS('Rozpočet - HW a licencie'!$I$3:$I$102,'Rozpočet - HW a licencie'!$A$3:$A$102,'TCO TO BE - HW'!X$2,'Rozpočet - HW a licencie'!$C$3:$C$102,"SW pre HW",'Rozpočet - HW a licencie'!$G$3:$G$102,'TCO TO BE - HW'!$D14,'Rozpočet - HW a licencie'!$D$3:$D$102,'TCO TO BE - HW'!$B$5),)</f>
        <v>0</v>
      </c>
      <c r="Y14" s="579">
        <f>IFERROR(SUMIFS('Rozpočet - HW a licencie'!$I$3:$I$102,'Rozpočet - HW a licencie'!$A$3:$A$102,'TCO TO BE - HW'!Y$2,'Rozpočet - HW a licencie'!$C$3:$C$102,"HW",'Rozpočet - HW a licencie'!$G$3:$G$102,'TCO TO BE - HW'!$D14,'Rozpočet - HW a licencie'!$D$3:$D$102,'TCO TO BE - HW'!$B$5)+SUMIFS('Rozpočet - HW a licencie'!$I$3:$I$102,'Rozpočet - HW a licencie'!$A$3:$A$102,'TCO TO BE - HW'!Y$2,'Rozpočet - HW a licencie'!$C$3:$C$102,"SW pre HW",'Rozpočet - HW a licencie'!$G$3:$G$102,'TCO TO BE - HW'!$D14,'Rozpočet - HW a licencie'!$D$3:$D$102,'TCO TO BE - HW'!$B$5),)</f>
        <v>0</v>
      </c>
      <c r="Z14" s="579">
        <f>IFERROR(SUMIFS('Rozpočet - HW a licencie'!$I$3:$I$102,'Rozpočet - HW a licencie'!$A$3:$A$102,'TCO TO BE - HW'!Z$2,'Rozpočet - HW a licencie'!$C$3:$C$102,"HW",'Rozpočet - HW a licencie'!$G$3:$G$102,'TCO TO BE - HW'!$D14,'Rozpočet - HW a licencie'!$D$3:$D$102,'TCO TO BE - HW'!$B$5)+SUMIFS('Rozpočet - HW a licencie'!$I$3:$I$102,'Rozpočet - HW a licencie'!$A$3:$A$102,'TCO TO BE - HW'!Z$2,'Rozpočet - HW a licencie'!$C$3:$C$102,"SW pre HW",'Rozpočet - HW a licencie'!$G$3:$G$102,'TCO TO BE - HW'!$D14,'Rozpočet - HW a licencie'!$D$3:$D$102,'TCO TO BE - HW'!$B$5),)</f>
        <v>0</v>
      </c>
    </row>
    <row r="15" spans="1:26" ht="15" customHeight="1" outlineLevel="1" x14ac:dyDescent="0.2">
      <c r="A15" s="1390" t="s">
        <v>88</v>
      </c>
      <c r="B15" s="1390" t="s">
        <v>111</v>
      </c>
      <c r="C15" s="1391">
        <v>633002</v>
      </c>
      <c r="D15" s="496">
        <v>1</v>
      </c>
      <c r="E15" s="68">
        <f t="shared" si="2"/>
        <v>0</v>
      </c>
      <c r="F15" s="578">
        <f>IFERROR(SUMIFS('Rozpočet - HW a licencie'!$I$3:$I$102,'Rozpočet - HW a licencie'!$A$3:$A$102,'TCO TO BE - HW'!F$2,'Rozpočet - HW a licencie'!$C$3:$C$102,"HW",'Rozpočet - HW a licencie'!$G$3:$G$102,'TCO TO BE - HW'!$D5,'Rozpočet - HW a licencie'!$D$3:$D$102,'TCO TO BE - HW'!$B$15)+SUMIFS('Rozpočet - HW a licencie'!$I$3:$I$102,'Rozpočet - HW a licencie'!$A$3:$A$102,'TCO TO BE - HW'!F$2,'Rozpočet - HW a licencie'!$C$3:$C$102,"SW pre HW",'Rozpočet - HW a licencie'!$G$3:$G$102,'TCO TO BE - HW'!$D5,'Rozpočet - HW a licencie'!$D$3:$D$102,'TCO TO BE - HW'!$B$15),)</f>
        <v>0</v>
      </c>
      <c r="G15" s="578">
        <f>IFERROR(SUMIFS('Rozpočet - HW a licencie'!$I$3:$I$102,'Rozpočet - HW a licencie'!$A$3:$A$102,'TCO TO BE - HW'!G$2,'Rozpočet - HW a licencie'!$C$3:$C$102,"HW",'Rozpočet - HW a licencie'!$G$3:$G$102,'TCO TO BE - HW'!$D5,'Rozpočet - HW a licencie'!$D$3:$D$102,'TCO TO BE - HW'!$B$15)+SUMIFS('Rozpočet - HW a licencie'!$I$3:$I$102,'Rozpočet - HW a licencie'!$A$3:$A$102,'TCO TO BE - HW'!G$2,'Rozpočet - HW a licencie'!$C$3:$C$102,"SW pre HW",'Rozpočet - HW a licencie'!$G$3:$G$102,'TCO TO BE - HW'!$D5,'Rozpočet - HW a licencie'!$D$3:$D$102,'TCO TO BE - HW'!$B$15),)</f>
        <v>0</v>
      </c>
      <c r="H15" s="578">
        <f>IFERROR(SUMIFS('Rozpočet - HW a licencie'!$I$3:$I$102,'Rozpočet - HW a licencie'!$A$3:$A$102,'TCO TO BE - HW'!H$2,'Rozpočet - HW a licencie'!$C$3:$C$102,"HW",'Rozpočet - HW a licencie'!$G$3:$G$102,'TCO TO BE - HW'!$D5,'Rozpočet - HW a licencie'!$D$3:$D$102,'TCO TO BE - HW'!$B$15)+SUMIFS('Rozpočet - HW a licencie'!$I$3:$I$102,'Rozpočet - HW a licencie'!$A$3:$A$102,'TCO TO BE - HW'!H$2,'Rozpočet - HW a licencie'!$C$3:$C$102,"SW pre HW",'Rozpočet - HW a licencie'!$G$3:$G$102,'TCO TO BE - HW'!$D5,'Rozpočet - HW a licencie'!$D$3:$D$102,'TCO TO BE - HW'!$B$15),)</f>
        <v>0</v>
      </c>
      <c r="I15" s="578">
        <f>IFERROR(SUMIFS('Rozpočet - HW a licencie'!$I$3:$I$102,'Rozpočet - HW a licencie'!$A$3:$A$102,'TCO TO BE - HW'!I$2,'Rozpočet - HW a licencie'!$C$3:$C$102,"HW",'Rozpočet - HW a licencie'!$G$3:$G$102,'TCO TO BE - HW'!$D5,'Rozpočet - HW a licencie'!$D$3:$D$102,'TCO TO BE - HW'!$B$15)+SUMIFS('Rozpočet - HW a licencie'!$I$3:$I$102,'Rozpočet - HW a licencie'!$A$3:$A$102,'TCO TO BE - HW'!I$2,'Rozpočet - HW a licencie'!$C$3:$C$102,"SW pre HW",'Rozpočet - HW a licencie'!$G$3:$G$102,'TCO TO BE - HW'!$D5,'Rozpočet - HW a licencie'!$D$3:$D$102,'TCO TO BE - HW'!$B$15),)</f>
        <v>0</v>
      </c>
      <c r="J15" s="578">
        <f>IFERROR(SUMIFS('Rozpočet - HW a licencie'!$I$3:$I$102,'Rozpočet - HW a licencie'!$A$3:$A$102,'TCO TO BE - HW'!J$2,'Rozpočet - HW a licencie'!$C$3:$C$102,"HW",'Rozpočet - HW a licencie'!$G$3:$G$102,'TCO TO BE - HW'!$D5,'Rozpočet - HW a licencie'!$D$3:$D$102,'TCO TO BE - HW'!$B$15)+SUMIFS('Rozpočet - HW a licencie'!$I$3:$I$102,'Rozpočet - HW a licencie'!$A$3:$A$102,'TCO TO BE - HW'!J$2,'Rozpočet - HW a licencie'!$C$3:$C$102,"SW pre HW",'Rozpočet - HW a licencie'!$G$3:$G$102,'TCO TO BE - HW'!$D5,'Rozpočet - HW a licencie'!$D$3:$D$102,'TCO TO BE - HW'!$B$15),)</f>
        <v>0</v>
      </c>
      <c r="K15" s="578">
        <f>IFERROR(SUMIFS('Rozpočet - HW a licencie'!$I$3:$I$102,'Rozpočet - HW a licencie'!$A$3:$A$102,'TCO TO BE - HW'!K$2,'Rozpočet - HW a licencie'!$C$3:$C$102,"HW",'Rozpočet - HW a licencie'!$G$3:$G$102,'TCO TO BE - HW'!$D5,'Rozpočet - HW a licencie'!$D$3:$D$102,'TCO TO BE - HW'!$B$15)+SUMIFS('Rozpočet - HW a licencie'!$I$3:$I$102,'Rozpočet - HW a licencie'!$A$3:$A$102,'TCO TO BE - HW'!K$2,'Rozpočet - HW a licencie'!$C$3:$C$102,"SW pre HW",'Rozpočet - HW a licencie'!$G$3:$G$102,'TCO TO BE - HW'!$D5,'Rozpočet - HW a licencie'!$D$3:$D$102,'TCO TO BE - HW'!$B$15),)</f>
        <v>0</v>
      </c>
      <c r="L15" s="578">
        <f>IFERROR(SUMIFS('Rozpočet - HW a licencie'!$I$3:$I$102,'Rozpočet - HW a licencie'!$A$3:$A$102,'TCO TO BE - HW'!L$2,'Rozpočet - HW a licencie'!$C$3:$C$102,"HW",'Rozpočet - HW a licencie'!$G$3:$G$102,'TCO TO BE - HW'!$D5,'Rozpočet - HW a licencie'!$D$3:$D$102,'TCO TO BE - HW'!$B$15)+SUMIFS('Rozpočet - HW a licencie'!$I$3:$I$102,'Rozpočet - HW a licencie'!$A$3:$A$102,'TCO TO BE - HW'!L$2,'Rozpočet - HW a licencie'!$C$3:$C$102,"SW pre HW",'Rozpočet - HW a licencie'!$G$3:$G$102,'TCO TO BE - HW'!$D5,'Rozpočet - HW a licencie'!$D$3:$D$102,'TCO TO BE - HW'!$B$15),)</f>
        <v>0</v>
      </c>
      <c r="M15" s="578">
        <f>IFERROR(SUMIFS('Rozpočet - HW a licencie'!$I$3:$I$102,'Rozpočet - HW a licencie'!$A$3:$A$102,'TCO TO BE - HW'!M$2,'Rozpočet - HW a licencie'!$C$3:$C$102,"HW",'Rozpočet - HW a licencie'!$G$3:$G$102,'TCO TO BE - HW'!$D5,'Rozpočet - HW a licencie'!$D$3:$D$102,'TCO TO BE - HW'!$B$15)+SUMIFS('Rozpočet - HW a licencie'!$I$3:$I$102,'Rozpočet - HW a licencie'!$A$3:$A$102,'TCO TO BE - HW'!M$2,'Rozpočet - HW a licencie'!$C$3:$C$102,"SW pre HW",'Rozpočet - HW a licencie'!$G$3:$G$102,'TCO TO BE - HW'!$D5,'Rozpočet - HW a licencie'!$D$3:$D$102,'TCO TO BE - HW'!$B$15),)</f>
        <v>0</v>
      </c>
      <c r="N15" s="578">
        <f>IFERROR(SUMIFS('Rozpočet - HW a licencie'!$I$3:$I$102,'Rozpočet - HW a licencie'!$A$3:$A$102,'TCO TO BE - HW'!N$2,'Rozpočet - HW a licencie'!$C$3:$C$102,"HW",'Rozpočet - HW a licencie'!$G$3:$G$102,'TCO TO BE - HW'!$D5,'Rozpočet - HW a licencie'!$D$3:$D$102,'TCO TO BE - HW'!$B$15)+SUMIFS('Rozpočet - HW a licencie'!$I$3:$I$102,'Rozpočet - HW a licencie'!$A$3:$A$102,'TCO TO BE - HW'!N$2,'Rozpočet - HW a licencie'!$C$3:$C$102,"SW pre HW",'Rozpočet - HW a licencie'!$G$3:$G$102,'TCO TO BE - HW'!$D5,'Rozpočet - HW a licencie'!$D$3:$D$102,'TCO TO BE - HW'!$B$15),)</f>
        <v>0</v>
      </c>
      <c r="O15" s="578">
        <f>IFERROR(SUMIFS('Rozpočet - HW a licencie'!$I$3:$I$102,'Rozpočet - HW a licencie'!$A$3:$A$102,'TCO TO BE - HW'!O$2,'Rozpočet - HW a licencie'!$C$3:$C$102,"HW",'Rozpočet - HW a licencie'!$G$3:$G$102,'TCO TO BE - HW'!$D5,'Rozpočet - HW a licencie'!$D$3:$D$102,'TCO TO BE - HW'!$B$15)+SUMIFS('Rozpočet - HW a licencie'!$I$3:$I$102,'Rozpočet - HW a licencie'!$A$3:$A$102,'TCO TO BE - HW'!O$2,'Rozpočet - HW a licencie'!$C$3:$C$102,"SW pre HW",'Rozpočet - HW a licencie'!$G$3:$G$102,'TCO TO BE - HW'!$D5,'Rozpočet - HW a licencie'!$D$3:$D$102,'TCO TO BE - HW'!$B$15),)</f>
        <v>0</v>
      </c>
      <c r="P15" s="578">
        <f>IFERROR(SUMIFS('Rozpočet - HW a licencie'!$I$3:$I$102,'Rozpočet - HW a licencie'!$A$3:$A$102,'TCO TO BE - HW'!P$2,'Rozpočet - HW a licencie'!$C$3:$C$102,"HW",'Rozpočet - HW a licencie'!$G$3:$G$102,'TCO TO BE - HW'!$D5,'Rozpočet - HW a licencie'!$D$3:$D$102,'TCO TO BE - HW'!$B$15)+SUMIFS('Rozpočet - HW a licencie'!$I$3:$I$102,'Rozpočet - HW a licencie'!$A$3:$A$102,'TCO TO BE - HW'!P$2,'Rozpočet - HW a licencie'!$C$3:$C$102,"SW pre HW",'Rozpočet - HW a licencie'!$G$3:$G$102,'TCO TO BE - HW'!$D5,'Rozpočet - HW a licencie'!$D$3:$D$102,'TCO TO BE - HW'!$B$15),)</f>
        <v>0</v>
      </c>
      <c r="Q15" s="578">
        <f>IFERROR(SUMIFS('Rozpočet - HW a licencie'!$I$3:$I$102,'Rozpočet - HW a licencie'!$A$3:$A$102,'TCO TO BE - HW'!Q$2,'Rozpočet - HW a licencie'!$C$3:$C$102,"HW",'Rozpočet - HW a licencie'!$G$3:$G$102,'TCO TO BE - HW'!$D5,'Rozpočet - HW a licencie'!$D$3:$D$102,'TCO TO BE - HW'!$B$15)+SUMIFS('Rozpočet - HW a licencie'!$I$3:$I$102,'Rozpočet - HW a licencie'!$A$3:$A$102,'TCO TO BE - HW'!Q$2,'Rozpočet - HW a licencie'!$C$3:$C$102,"SW pre HW",'Rozpočet - HW a licencie'!$G$3:$G$102,'TCO TO BE - HW'!$D5,'Rozpočet - HW a licencie'!$D$3:$D$102,'TCO TO BE - HW'!$B$15),)</f>
        <v>0</v>
      </c>
      <c r="R15" s="578">
        <f>IFERROR(SUMIFS('Rozpočet - HW a licencie'!$I$3:$I$102,'Rozpočet - HW a licencie'!$A$3:$A$102,'TCO TO BE - HW'!R$2,'Rozpočet - HW a licencie'!$C$3:$C$102,"HW",'Rozpočet - HW a licencie'!$G$3:$G$102,'TCO TO BE - HW'!$D5,'Rozpočet - HW a licencie'!$D$3:$D$102,'TCO TO BE - HW'!$B$15)+SUMIFS('Rozpočet - HW a licencie'!$I$3:$I$102,'Rozpočet - HW a licencie'!$A$3:$A$102,'TCO TO BE - HW'!R$2,'Rozpočet - HW a licencie'!$C$3:$C$102,"SW pre HW",'Rozpočet - HW a licencie'!$G$3:$G$102,'TCO TO BE - HW'!$D5,'Rozpočet - HW a licencie'!$D$3:$D$102,'TCO TO BE - HW'!$B$15),)</f>
        <v>0</v>
      </c>
      <c r="S15" s="578">
        <f>IFERROR(SUMIFS('Rozpočet - HW a licencie'!$I$3:$I$102,'Rozpočet - HW a licencie'!$A$3:$A$102,'TCO TO BE - HW'!S$2,'Rozpočet - HW a licencie'!$C$3:$C$102,"HW",'Rozpočet - HW a licencie'!$G$3:$G$102,'TCO TO BE - HW'!$D5,'Rozpočet - HW a licencie'!$D$3:$D$102,'TCO TO BE - HW'!$B$15)+SUMIFS('Rozpočet - HW a licencie'!$I$3:$I$102,'Rozpočet - HW a licencie'!$A$3:$A$102,'TCO TO BE - HW'!S$2,'Rozpočet - HW a licencie'!$C$3:$C$102,"SW pre HW",'Rozpočet - HW a licencie'!$G$3:$G$102,'TCO TO BE - HW'!$D5,'Rozpočet - HW a licencie'!$D$3:$D$102,'TCO TO BE - HW'!$B$15),)</f>
        <v>0</v>
      </c>
      <c r="T15" s="578">
        <f>IFERROR(SUMIFS('Rozpočet - HW a licencie'!$I$3:$I$102,'Rozpočet - HW a licencie'!$A$3:$A$102,'TCO TO BE - HW'!T$2,'Rozpočet - HW a licencie'!$C$3:$C$102,"HW",'Rozpočet - HW a licencie'!$G$3:$G$102,'TCO TO BE - HW'!$D5,'Rozpočet - HW a licencie'!$D$3:$D$102,'TCO TO BE - HW'!$B$15)+SUMIFS('Rozpočet - HW a licencie'!$I$3:$I$102,'Rozpočet - HW a licencie'!$A$3:$A$102,'TCO TO BE - HW'!T$2,'Rozpočet - HW a licencie'!$C$3:$C$102,"SW pre HW",'Rozpočet - HW a licencie'!$G$3:$G$102,'TCO TO BE - HW'!$D5,'Rozpočet - HW a licencie'!$D$3:$D$102,'TCO TO BE - HW'!$B$15),)</f>
        <v>0</v>
      </c>
      <c r="U15" s="578">
        <f>IFERROR(SUMIFS('Rozpočet - HW a licencie'!$I$3:$I$102,'Rozpočet - HW a licencie'!$A$3:$A$102,'TCO TO BE - HW'!U$2,'Rozpočet - HW a licencie'!$C$3:$C$102,"HW",'Rozpočet - HW a licencie'!$G$3:$G$102,'TCO TO BE - HW'!$D5,'Rozpočet - HW a licencie'!$D$3:$D$102,'TCO TO BE - HW'!$B$15)+SUMIFS('Rozpočet - HW a licencie'!$I$3:$I$102,'Rozpočet - HW a licencie'!$A$3:$A$102,'TCO TO BE - HW'!U$2,'Rozpočet - HW a licencie'!$C$3:$C$102,"SW pre HW",'Rozpočet - HW a licencie'!$G$3:$G$102,'TCO TO BE - HW'!$D5,'Rozpočet - HW a licencie'!$D$3:$D$102,'TCO TO BE - HW'!$B$15),)</f>
        <v>0</v>
      </c>
      <c r="V15" s="578">
        <f>IFERROR(SUMIFS('Rozpočet - HW a licencie'!$I$3:$I$102,'Rozpočet - HW a licencie'!$A$3:$A$102,'TCO TO BE - HW'!V$2,'Rozpočet - HW a licencie'!$C$3:$C$102,"HW",'Rozpočet - HW a licencie'!$G$3:$G$102,'TCO TO BE - HW'!$D5,'Rozpočet - HW a licencie'!$D$3:$D$102,'TCO TO BE - HW'!$B$15)+SUMIFS('Rozpočet - HW a licencie'!$I$3:$I$102,'Rozpočet - HW a licencie'!$A$3:$A$102,'TCO TO BE - HW'!V$2,'Rozpočet - HW a licencie'!$C$3:$C$102,"SW pre HW",'Rozpočet - HW a licencie'!$G$3:$G$102,'TCO TO BE - HW'!$D5,'Rozpočet - HW a licencie'!$D$3:$D$102,'TCO TO BE - HW'!$B$15),)</f>
        <v>0</v>
      </c>
      <c r="W15" s="578">
        <f>IFERROR(SUMIFS('Rozpočet - HW a licencie'!$I$3:$I$102,'Rozpočet - HW a licencie'!$A$3:$A$102,'TCO TO BE - HW'!W$2,'Rozpočet - HW a licencie'!$C$3:$C$102,"HW",'Rozpočet - HW a licencie'!$G$3:$G$102,'TCO TO BE - HW'!$D5,'Rozpočet - HW a licencie'!$D$3:$D$102,'TCO TO BE - HW'!$B$15)+SUMIFS('Rozpočet - HW a licencie'!$I$3:$I$102,'Rozpočet - HW a licencie'!$A$3:$A$102,'TCO TO BE - HW'!W$2,'Rozpočet - HW a licencie'!$C$3:$C$102,"SW pre HW",'Rozpočet - HW a licencie'!$G$3:$G$102,'TCO TO BE - HW'!$D5,'Rozpočet - HW a licencie'!$D$3:$D$102,'TCO TO BE - HW'!$B$15),)</f>
        <v>0</v>
      </c>
      <c r="X15" s="578">
        <f>IFERROR(SUMIFS('Rozpočet - HW a licencie'!$I$3:$I$102,'Rozpočet - HW a licencie'!$A$3:$A$102,'TCO TO BE - HW'!X$2,'Rozpočet - HW a licencie'!$C$3:$C$102,"HW",'Rozpočet - HW a licencie'!$G$3:$G$102,'TCO TO BE - HW'!$D5,'Rozpočet - HW a licencie'!$D$3:$D$102,'TCO TO BE - HW'!$B$15)+SUMIFS('Rozpočet - HW a licencie'!$I$3:$I$102,'Rozpočet - HW a licencie'!$A$3:$A$102,'TCO TO BE - HW'!X$2,'Rozpočet - HW a licencie'!$C$3:$C$102,"SW pre HW",'Rozpočet - HW a licencie'!$G$3:$G$102,'TCO TO BE - HW'!$D5,'Rozpočet - HW a licencie'!$D$3:$D$102,'TCO TO BE - HW'!$B$15),)</f>
        <v>0</v>
      </c>
      <c r="Y15" s="578">
        <f>IFERROR(SUMIFS('Rozpočet - HW a licencie'!$I$3:$I$102,'Rozpočet - HW a licencie'!$A$3:$A$102,'TCO TO BE - HW'!Y$2,'Rozpočet - HW a licencie'!$C$3:$C$102,"HW",'Rozpočet - HW a licencie'!$G$3:$G$102,'TCO TO BE - HW'!$D5,'Rozpočet - HW a licencie'!$D$3:$D$102,'TCO TO BE - HW'!$B$15)+SUMIFS('Rozpočet - HW a licencie'!$I$3:$I$102,'Rozpočet - HW a licencie'!$A$3:$A$102,'TCO TO BE - HW'!Y$2,'Rozpočet - HW a licencie'!$C$3:$C$102,"SW pre HW",'Rozpočet - HW a licencie'!$G$3:$G$102,'TCO TO BE - HW'!$D5,'Rozpočet - HW a licencie'!$D$3:$D$102,'TCO TO BE - HW'!$B$15),)</f>
        <v>0</v>
      </c>
      <c r="Z15" s="578">
        <f>IFERROR(SUMIFS('Rozpočet - HW a licencie'!$I$3:$I$102,'Rozpočet - HW a licencie'!$A$3:$A$102,'TCO TO BE - HW'!Z$2,'Rozpočet - HW a licencie'!$C$3:$C$102,"HW",'Rozpočet - HW a licencie'!$G$3:$G$102,'TCO TO BE - HW'!$D5,'Rozpočet - HW a licencie'!$D$3:$D$102,'TCO TO BE - HW'!$B$15)+SUMIFS('Rozpočet - HW a licencie'!$I$3:$I$102,'Rozpočet - HW a licencie'!$A$3:$A$102,'TCO TO BE - HW'!Z$2,'Rozpočet - HW a licencie'!$C$3:$C$102,"SW pre HW",'Rozpočet - HW a licencie'!$G$3:$G$102,'TCO TO BE - HW'!$D5,'Rozpočet - HW a licencie'!$D$3:$D$102,'TCO TO BE - HW'!$B$15),)</f>
        <v>0</v>
      </c>
    </row>
    <row r="16" spans="1:26" outlineLevel="1" x14ac:dyDescent="0.2">
      <c r="A16" s="1390"/>
      <c r="B16" s="1391"/>
      <c r="C16" s="1391"/>
      <c r="D16" s="497">
        <v>2</v>
      </c>
      <c r="E16" s="68">
        <f t="shared" si="2"/>
        <v>45510</v>
      </c>
      <c r="F16" s="579">
        <f>IFERROR(SUMIFS('Rozpočet - HW a licencie'!$I$3:$I$102,'Rozpočet - HW a licencie'!$A$3:$A$102,'TCO TO BE - HW'!F$2,'Rozpočet - HW a licencie'!$C$3:$C$102,"HW",'Rozpočet - HW a licencie'!$G$3:$G$102,'TCO TO BE - HW'!$D6,'Rozpočet - HW a licencie'!$D$3:$D$102,'TCO TO BE - HW'!$B$15)+SUMIFS('Rozpočet - HW a licencie'!$I$3:$I$102,'Rozpočet - HW a licencie'!$A$3:$A$102,'TCO TO BE - HW'!F$2,'Rozpočet - HW a licencie'!$C$3:$C$102,"SW pre HW",'Rozpočet - HW a licencie'!$G$3:$G$102,'TCO TO BE - HW'!$D6,'Rozpočet - HW a licencie'!$D$3:$D$102,'TCO TO BE - HW'!$B$15),)</f>
        <v>0</v>
      </c>
      <c r="G16" s="579">
        <f>IFERROR(SUMIFS('Rozpočet - HW a licencie'!$I$3:$I$102,'Rozpočet - HW a licencie'!$A$3:$A$102,'TCO TO BE - HW'!G$2,'Rozpočet - HW a licencie'!$C$3:$C$102,"HW",'Rozpočet - HW a licencie'!$G$3:$G$102,'TCO TO BE - HW'!$D6,'Rozpočet - HW a licencie'!$D$3:$D$102,'TCO TO BE - HW'!$B$15)+SUMIFS('Rozpočet - HW a licencie'!$I$3:$I$102,'Rozpočet - HW a licencie'!$A$3:$A$102,'TCO TO BE - HW'!G$2,'Rozpočet - HW a licencie'!$C$3:$C$102,"SW pre HW",'Rozpočet - HW a licencie'!$G$3:$G$102,'TCO TO BE - HW'!$D6,'Rozpočet - HW a licencie'!$D$3:$D$102,'TCO TO BE - HW'!$B$15),)</f>
        <v>0</v>
      </c>
      <c r="H16" s="579">
        <f>IFERROR(SUMIFS('Rozpočet - HW a licencie'!$I$3:$I$102,'Rozpočet - HW a licencie'!$A$3:$A$102,'TCO TO BE - HW'!H$2,'Rozpočet - HW a licencie'!$C$3:$C$102,"HW",'Rozpočet - HW a licencie'!$G$3:$G$102,'TCO TO BE - HW'!$D6,'Rozpočet - HW a licencie'!$D$3:$D$102,'TCO TO BE - HW'!$B$15)+SUMIFS('Rozpočet - HW a licencie'!$I$3:$I$102,'Rozpočet - HW a licencie'!$A$3:$A$102,'TCO TO BE - HW'!H$2,'Rozpočet - HW a licencie'!$C$3:$C$102,"SW pre HW",'Rozpočet - HW a licencie'!$G$3:$G$102,'TCO TO BE - HW'!$D6,'Rozpočet - HW a licencie'!$D$3:$D$102,'TCO TO BE - HW'!$B$15),)</f>
        <v>0</v>
      </c>
      <c r="I16" s="579">
        <f>IFERROR(SUMIFS('Rozpočet - HW a licencie'!$I$3:$I$102,'Rozpočet - HW a licencie'!$A$3:$A$102,'TCO TO BE - HW'!I$2,'Rozpočet - HW a licencie'!$C$3:$C$102,"HW",'Rozpočet - HW a licencie'!$G$3:$G$102,'TCO TO BE - HW'!$D6,'Rozpočet - HW a licencie'!$D$3:$D$102,'TCO TO BE - HW'!$B$15)+SUMIFS('Rozpočet - HW a licencie'!$I$3:$I$102,'Rozpočet - HW a licencie'!$A$3:$A$102,'TCO TO BE - HW'!I$2,'Rozpočet - HW a licencie'!$C$3:$C$102,"SW pre HW",'Rozpočet - HW a licencie'!$G$3:$G$102,'TCO TO BE - HW'!$D6,'Rozpočet - HW a licencie'!$D$3:$D$102,'TCO TO BE - HW'!$B$15),)</f>
        <v>0</v>
      </c>
      <c r="J16" s="579">
        <f>IFERROR(SUMIFS('Rozpočet - HW a licencie'!$I$3:$I$102,'Rozpočet - HW a licencie'!$A$3:$A$102,'TCO TO BE - HW'!J$2,'Rozpočet - HW a licencie'!$C$3:$C$102,"HW",'Rozpočet - HW a licencie'!$G$3:$G$102,'TCO TO BE - HW'!$D6,'Rozpočet - HW a licencie'!$D$3:$D$102,'TCO TO BE - HW'!$B$15)+SUMIFS('Rozpočet - HW a licencie'!$I$3:$I$102,'Rozpočet - HW a licencie'!$A$3:$A$102,'TCO TO BE - HW'!J$2,'Rozpočet - HW a licencie'!$C$3:$C$102,"SW pre HW",'Rozpočet - HW a licencie'!$G$3:$G$102,'TCO TO BE - HW'!$D6,'Rozpočet - HW a licencie'!$D$3:$D$102,'TCO TO BE - HW'!$B$15),)</f>
        <v>0</v>
      </c>
      <c r="K16" s="579">
        <f>IFERROR(SUMIFS('Rozpočet - HW a licencie'!$I$3:$I$102,'Rozpočet - HW a licencie'!$A$3:$A$102,'TCO TO BE - HW'!K$2,'Rozpočet - HW a licencie'!$C$3:$C$102,"HW",'Rozpočet - HW a licencie'!$G$3:$G$102,'TCO TO BE - HW'!$D6,'Rozpočet - HW a licencie'!$D$3:$D$102,'TCO TO BE - HW'!$B$15)+SUMIFS('Rozpočet - HW a licencie'!$I$3:$I$102,'Rozpočet - HW a licencie'!$A$3:$A$102,'TCO TO BE - HW'!K$2,'Rozpočet - HW a licencie'!$C$3:$C$102,"SW pre HW",'Rozpočet - HW a licencie'!$G$3:$G$102,'TCO TO BE - HW'!$D6,'Rozpočet - HW a licencie'!$D$3:$D$102,'TCO TO BE - HW'!$B$15),)</f>
        <v>0</v>
      </c>
      <c r="L16" s="579">
        <f>IFERROR(SUMIFS('Rozpočet - HW a licencie'!$I$3:$I$102,'Rozpočet - HW a licencie'!$A$3:$A$102,'TCO TO BE - HW'!L$2,'Rozpočet - HW a licencie'!$C$3:$C$102,"HW",'Rozpočet - HW a licencie'!$G$3:$G$102,'TCO TO BE - HW'!$D6,'Rozpočet - HW a licencie'!$D$3:$D$102,'TCO TO BE - HW'!$B$15)+SUMIFS('Rozpočet - HW a licencie'!$I$3:$I$102,'Rozpočet - HW a licencie'!$A$3:$A$102,'TCO TO BE - HW'!L$2,'Rozpočet - HW a licencie'!$C$3:$C$102,"SW pre HW",'Rozpočet - HW a licencie'!$G$3:$G$102,'TCO TO BE - HW'!$D6,'Rozpočet - HW a licencie'!$D$3:$D$102,'TCO TO BE - HW'!$B$15),)</f>
        <v>0</v>
      </c>
      <c r="M16" s="579">
        <f>IFERROR(SUMIFS('Rozpočet - HW a licencie'!$I$3:$I$102,'Rozpočet - HW a licencie'!$A$3:$A$102,'TCO TO BE - HW'!M$2,'Rozpočet - HW a licencie'!$C$3:$C$102,"HW",'Rozpočet - HW a licencie'!$G$3:$G$102,'TCO TO BE - HW'!$D6,'Rozpočet - HW a licencie'!$D$3:$D$102,'TCO TO BE - HW'!$B$15)+SUMIFS('Rozpočet - HW a licencie'!$I$3:$I$102,'Rozpočet - HW a licencie'!$A$3:$A$102,'TCO TO BE - HW'!M$2,'Rozpočet - HW a licencie'!$C$3:$C$102,"SW pre HW",'Rozpočet - HW a licencie'!$G$3:$G$102,'TCO TO BE - HW'!$D6,'Rozpočet - HW a licencie'!$D$3:$D$102,'TCO TO BE - HW'!$B$15),)</f>
        <v>0</v>
      </c>
      <c r="N16" s="579">
        <f>IFERROR(SUMIFS('Rozpočet - HW a licencie'!$I$3:$I$102,'Rozpočet - HW a licencie'!$A$3:$A$102,'TCO TO BE - HW'!N$2,'Rozpočet - HW a licencie'!$C$3:$C$102,"HW",'Rozpočet - HW a licencie'!$G$3:$G$102,'TCO TO BE - HW'!$D6,'Rozpočet - HW a licencie'!$D$3:$D$102,'TCO TO BE - HW'!$B$15)+SUMIFS('Rozpočet - HW a licencie'!$I$3:$I$102,'Rozpočet - HW a licencie'!$A$3:$A$102,'TCO TO BE - HW'!N$2,'Rozpočet - HW a licencie'!$C$3:$C$102,"SW pre HW",'Rozpočet - HW a licencie'!$G$3:$G$102,'TCO TO BE - HW'!$D6,'Rozpočet - HW a licencie'!$D$3:$D$102,'TCO TO BE - HW'!$B$15),)</f>
        <v>0</v>
      </c>
      <c r="O16" s="579">
        <f>IFERROR(SUMIFS('Rozpočet - HW a licencie'!$I$3:$I$102,'Rozpočet - HW a licencie'!$A$3:$A$102,'TCO TO BE - HW'!O$2,'Rozpočet - HW a licencie'!$C$3:$C$102,"HW",'Rozpočet - HW a licencie'!$G$3:$G$102,'TCO TO BE - HW'!$D6,'Rozpočet - HW a licencie'!$D$3:$D$102,'TCO TO BE - HW'!$B$15)+SUMIFS('Rozpočet - HW a licencie'!$I$3:$I$102,'Rozpočet - HW a licencie'!$A$3:$A$102,'TCO TO BE - HW'!O$2,'Rozpočet - HW a licencie'!$C$3:$C$102,"SW pre HW",'Rozpočet - HW a licencie'!$G$3:$G$102,'TCO TO BE - HW'!$D6,'Rozpočet - HW a licencie'!$D$3:$D$102,'TCO TO BE - HW'!$B$15),)</f>
        <v>0</v>
      </c>
      <c r="P16" s="579">
        <f>IFERROR(SUMIFS('Rozpočet - HW a licencie'!$I$3:$I$102,'Rozpočet - HW a licencie'!$A$3:$A$102,'TCO TO BE - HW'!P$2,'Rozpočet - HW a licencie'!$C$3:$C$102,"HW",'Rozpočet - HW a licencie'!$G$3:$G$102,'TCO TO BE - HW'!$D6,'Rozpočet - HW a licencie'!$D$3:$D$102,'TCO TO BE - HW'!$B$15)+SUMIFS('Rozpočet - HW a licencie'!$I$3:$I$102,'Rozpočet - HW a licencie'!$A$3:$A$102,'TCO TO BE - HW'!P$2,'Rozpočet - HW a licencie'!$C$3:$C$102,"SW pre HW",'Rozpočet - HW a licencie'!$G$3:$G$102,'TCO TO BE - HW'!$D6,'Rozpočet - HW a licencie'!$D$3:$D$102,'TCO TO BE - HW'!$B$15),)</f>
        <v>45510</v>
      </c>
      <c r="Q16" s="579">
        <f>IFERROR(SUMIFS('Rozpočet - HW a licencie'!$I$3:$I$102,'Rozpočet - HW a licencie'!$A$3:$A$102,'TCO TO BE - HW'!Q$2,'Rozpočet - HW a licencie'!$C$3:$C$102,"HW",'Rozpočet - HW a licencie'!$G$3:$G$102,'TCO TO BE - HW'!$D6,'Rozpočet - HW a licencie'!$D$3:$D$102,'TCO TO BE - HW'!$B$15)+SUMIFS('Rozpočet - HW a licencie'!$I$3:$I$102,'Rozpočet - HW a licencie'!$A$3:$A$102,'TCO TO BE - HW'!Q$2,'Rozpočet - HW a licencie'!$C$3:$C$102,"SW pre HW",'Rozpočet - HW a licencie'!$G$3:$G$102,'TCO TO BE - HW'!$D6,'Rozpočet - HW a licencie'!$D$3:$D$102,'TCO TO BE - HW'!$B$15),)</f>
        <v>0</v>
      </c>
      <c r="R16" s="579">
        <f>IFERROR(SUMIFS('Rozpočet - HW a licencie'!$I$3:$I$102,'Rozpočet - HW a licencie'!$A$3:$A$102,'TCO TO BE - HW'!R$2,'Rozpočet - HW a licencie'!$C$3:$C$102,"HW",'Rozpočet - HW a licencie'!$G$3:$G$102,'TCO TO BE - HW'!$D6,'Rozpočet - HW a licencie'!$D$3:$D$102,'TCO TO BE - HW'!$B$15)+SUMIFS('Rozpočet - HW a licencie'!$I$3:$I$102,'Rozpočet - HW a licencie'!$A$3:$A$102,'TCO TO BE - HW'!R$2,'Rozpočet - HW a licencie'!$C$3:$C$102,"SW pre HW",'Rozpočet - HW a licencie'!$G$3:$G$102,'TCO TO BE - HW'!$D6,'Rozpočet - HW a licencie'!$D$3:$D$102,'TCO TO BE - HW'!$B$15),)</f>
        <v>0</v>
      </c>
      <c r="S16" s="579">
        <f>IFERROR(SUMIFS('Rozpočet - HW a licencie'!$I$3:$I$102,'Rozpočet - HW a licencie'!$A$3:$A$102,'TCO TO BE - HW'!S$2,'Rozpočet - HW a licencie'!$C$3:$C$102,"HW",'Rozpočet - HW a licencie'!$G$3:$G$102,'TCO TO BE - HW'!$D6,'Rozpočet - HW a licencie'!$D$3:$D$102,'TCO TO BE - HW'!$B$15)+SUMIFS('Rozpočet - HW a licencie'!$I$3:$I$102,'Rozpočet - HW a licencie'!$A$3:$A$102,'TCO TO BE - HW'!S$2,'Rozpočet - HW a licencie'!$C$3:$C$102,"SW pre HW",'Rozpočet - HW a licencie'!$G$3:$G$102,'TCO TO BE - HW'!$D6,'Rozpočet - HW a licencie'!$D$3:$D$102,'TCO TO BE - HW'!$B$15),)</f>
        <v>0</v>
      </c>
      <c r="T16" s="579">
        <f>IFERROR(SUMIFS('Rozpočet - HW a licencie'!$I$3:$I$102,'Rozpočet - HW a licencie'!$A$3:$A$102,'TCO TO BE - HW'!T$2,'Rozpočet - HW a licencie'!$C$3:$C$102,"HW",'Rozpočet - HW a licencie'!$G$3:$G$102,'TCO TO BE - HW'!$D6,'Rozpočet - HW a licencie'!$D$3:$D$102,'TCO TO BE - HW'!$B$15)+SUMIFS('Rozpočet - HW a licencie'!$I$3:$I$102,'Rozpočet - HW a licencie'!$A$3:$A$102,'TCO TO BE - HW'!T$2,'Rozpočet - HW a licencie'!$C$3:$C$102,"SW pre HW",'Rozpočet - HW a licencie'!$G$3:$G$102,'TCO TO BE - HW'!$D6,'Rozpočet - HW a licencie'!$D$3:$D$102,'TCO TO BE - HW'!$B$15),)</f>
        <v>0</v>
      </c>
      <c r="U16" s="579">
        <f>IFERROR(SUMIFS('Rozpočet - HW a licencie'!$I$3:$I$102,'Rozpočet - HW a licencie'!$A$3:$A$102,'TCO TO BE - HW'!U$2,'Rozpočet - HW a licencie'!$C$3:$C$102,"HW",'Rozpočet - HW a licencie'!$G$3:$G$102,'TCO TO BE - HW'!$D6,'Rozpočet - HW a licencie'!$D$3:$D$102,'TCO TO BE - HW'!$B$15)+SUMIFS('Rozpočet - HW a licencie'!$I$3:$I$102,'Rozpočet - HW a licencie'!$A$3:$A$102,'TCO TO BE - HW'!U$2,'Rozpočet - HW a licencie'!$C$3:$C$102,"SW pre HW",'Rozpočet - HW a licencie'!$G$3:$G$102,'TCO TO BE - HW'!$D6,'Rozpočet - HW a licencie'!$D$3:$D$102,'TCO TO BE - HW'!$B$15),)</f>
        <v>0</v>
      </c>
      <c r="V16" s="579">
        <f>IFERROR(SUMIFS('Rozpočet - HW a licencie'!$I$3:$I$102,'Rozpočet - HW a licencie'!$A$3:$A$102,'TCO TO BE - HW'!V$2,'Rozpočet - HW a licencie'!$C$3:$C$102,"HW",'Rozpočet - HW a licencie'!$G$3:$G$102,'TCO TO BE - HW'!$D6,'Rozpočet - HW a licencie'!$D$3:$D$102,'TCO TO BE - HW'!$B$15)+SUMIFS('Rozpočet - HW a licencie'!$I$3:$I$102,'Rozpočet - HW a licencie'!$A$3:$A$102,'TCO TO BE - HW'!V$2,'Rozpočet - HW a licencie'!$C$3:$C$102,"SW pre HW",'Rozpočet - HW a licencie'!$G$3:$G$102,'TCO TO BE - HW'!$D6,'Rozpočet - HW a licencie'!$D$3:$D$102,'TCO TO BE - HW'!$B$15),)</f>
        <v>0</v>
      </c>
      <c r="W16" s="579">
        <f>IFERROR(SUMIFS('Rozpočet - HW a licencie'!$I$3:$I$102,'Rozpočet - HW a licencie'!$A$3:$A$102,'TCO TO BE - HW'!W$2,'Rozpočet - HW a licencie'!$C$3:$C$102,"HW",'Rozpočet - HW a licencie'!$G$3:$G$102,'TCO TO BE - HW'!$D6,'Rozpočet - HW a licencie'!$D$3:$D$102,'TCO TO BE - HW'!$B$15)+SUMIFS('Rozpočet - HW a licencie'!$I$3:$I$102,'Rozpočet - HW a licencie'!$A$3:$A$102,'TCO TO BE - HW'!W$2,'Rozpočet - HW a licencie'!$C$3:$C$102,"SW pre HW",'Rozpočet - HW a licencie'!$G$3:$G$102,'TCO TO BE - HW'!$D6,'Rozpočet - HW a licencie'!$D$3:$D$102,'TCO TO BE - HW'!$B$15),)</f>
        <v>0</v>
      </c>
      <c r="X16" s="579">
        <f>IFERROR(SUMIFS('Rozpočet - HW a licencie'!$I$3:$I$102,'Rozpočet - HW a licencie'!$A$3:$A$102,'TCO TO BE - HW'!X$2,'Rozpočet - HW a licencie'!$C$3:$C$102,"HW",'Rozpočet - HW a licencie'!$G$3:$G$102,'TCO TO BE - HW'!$D6,'Rozpočet - HW a licencie'!$D$3:$D$102,'TCO TO BE - HW'!$B$15)+SUMIFS('Rozpočet - HW a licencie'!$I$3:$I$102,'Rozpočet - HW a licencie'!$A$3:$A$102,'TCO TO BE - HW'!X$2,'Rozpočet - HW a licencie'!$C$3:$C$102,"SW pre HW",'Rozpočet - HW a licencie'!$G$3:$G$102,'TCO TO BE - HW'!$D6,'Rozpočet - HW a licencie'!$D$3:$D$102,'TCO TO BE - HW'!$B$15),)</f>
        <v>0</v>
      </c>
      <c r="Y16" s="579">
        <f>IFERROR(SUMIFS('Rozpočet - HW a licencie'!$I$3:$I$102,'Rozpočet - HW a licencie'!$A$3:$A$102,'TCO TO BE - HW'!Y$2,'Rozpočet - HW a licencie'!$C$3:$C$102,"HW",'Rozpočet - HW a licencie'!$G$3:$G$102,'TCO TO BE - HW'!$D6,'Rozpočet - HW a licencie'!$D$3:$D$102,'TCO TO BE - HW'!$B$15)+SUMIFS('Rozpočet - HW a licencie'!$I$3:$I$102,'Rozpočet - HW a licencie'!$A$3:$A$102,'TCO TO BE - HW'!Y$2,'Rozpočet - HW a licencie'!$C$3:$C$102,"SW pre HW",'Rozpočet - HW a licencie'!$G$3:$G$102,'TCO TO BE - HW'!$D6,'Rozpočet - HW a licencie'!$D$3:$D$102,'TCO TO BE - HW'!$B$15),)</f>
        <v>0</v>
      </c>
      <c r="Z16" s="579">
        <f>IFERROR(SUMIFS('Rozpočet - HW a licencie'!$I$3:$I$102,'Rozpočet - HW a licencie'!$A$3:$A$102,'TCO TO BE - HW'!Z$2,'Rozpočet - HW a licencie'!$C$3:$C$102,"HW",'Rozpočet - HW a licencie'!$G$3:$G$102,'TCO TO BE - HW'!$D6,'Rozpočet - HW a licencie'!$D$3:$D$102,'TCO TO BE - HW'!$B$15)+SUMIFS('Rozpočet - HW a licencie'!$I$3:$I$102,'Rozpočet - HW a licencie'!$A$3:$A$102,'TCO TO BE - HW'!Z$2,'Rozpočet - HW a licencie'!$C$3:$C$102,"SW pre HW",'Rozpočet - HW a licencie'!$G$3:$G$102,'TCO TO BE - HW'!$D6,'Rozpočet - HW a licencie'!$D$3:$D$102,'TCO TO BE - HW'!$B$15),)</f>
        <v>0</v>
      </c>
    </row>
    <row r="17" spans="1:26" outlineLevel="1" x14ac:dyDescent="0.2">
      <c r="A17" s="1390"/>
      <c r="B17" s="1391"/>
      <c r="C17" s="1391"/>
      <c r="D17" s="497">
        <v>3</v>
      </c>
      <c r="E17" s="68">
        <f t="shared" si="2"/>
        <v>0</v>
      </c>
      <c r="F17" s="579">
        <f>IFERROR(SUMIFS('Rozpočet - HW a licencie'!$I$3:$I$102,'Rozpočet - HW a licencie'!$A$3:$A$102,'TCO TO BE - HW'!F$2,'Rozpočet - HW a licencie'!$C$3:$C$102,"HW",'Rozpočet - HW a licencie'!$G$3:$G$102,'TCO TO BE - HW'!$D7,'Rozpočet - HW a licencie'!$D$3:$D$102,'TCO TO BE - HW'!$B$15)+SUMIFS('Rozpočet - HW a licencie'!$I$3:$I$102,'Rozpočet - HW a licencie'!$A$3:$A$102,'TCO TO BE - HW'!F$2,'Rozpočet - HW a licencie'!$C$3:$C$102,"SW pre HW",'Rozpočet - HW a licencie'!$G$3:$G$102,'TCO TO BE - HW'!$D7,'Rozpočet - HW a licencie'!$D$3:$D$102,'TCO TO BE - HW'!$B$15),)</f>
        <v>0</v>
      </c>
      <c r="G17" s="579">
        <f>IFERROR(SUMIFS('Rozpočet - HW a licencie'!$I$3:$I$102,'Rozpočet - HW a licencie'!$A$3:$A$102,'TCO TO BE - HW'!G$2,'Rozpočet - HW a licencie'!$C$3:$C$102,"HW",'Rozpočet - HW a licencie'!$G$3:$G$102,'TCO TO BE - HW'!$D7,'Rozpočet - HW a licencie'!$D$3:$D$102,'TCO TO BE - HW'!$B$15)+SUMIFS('Rozpočet - HW a licencie'!$I$3:$I$102,'Rozpočet - HW a licencie'!$A$3:$A$102,'TCO TO BE - HW'!G$2,'Rozpočet - HW a licencie'!$C$3:$C$102,"SW pre HW",'Rozpočet - HW a licencie'!$G$3:$G$102,'TCO TO BE - HW'!$D7,'Rozpočet - HW a licencie'!$D$3:$D$102,'TCO TO BE - HW'!$B$15),)</f>
        <v>0</v>
      </c>
      <c r="H17" s="579">
        <f>IFERROR(SUMIFS('Rozpočet - HW a licencie'!$I$3:$I$102,'Rozpočet - HW a licencie'!$A$3:$A$102,'TCO TO BE - HW'!H$2,'Rozpočet - HW a licencie'!$C$3:$C$102,"HW",'Rozpočet - HW a licencie'!$G$3:$G$102,'TCO TO BE - HW'!$D7,'Rozpočet - HW a licencie'!$D$3:$D$102,'TCO TO BE - HW'!$B$15)+SUMIFS('Rozpočet - HW a licencie'!$I$3:$I$102,'Rozpočet - HW a licencie'!$A$3:$A$102,'TCO TO BE - HW'!H$2,'Rozpočet - HW a licencie'!$C$3:$C$102,"SW pre HW",'Rozpočet - HW a licencie'!$G$3:$G$102,'TCO TO BE - HW'!$D7,'Rozpočet - HW a licencie'!$D$3:$D$102,'TCO TO BE - HW'!$B$15),)</f>
        <v>0</v>
      </c>
      <c r="I17" s="579">
        <f>IFERROR(SUMIFS('Rozpočet - HW a licencie'!$I$3:$I$102,'Rozpočet - HW a licencie'!$A$3:$A$102,'TCO TO BE - HW'!I$2,'Rozpočet - HW a licencie'!$C$3:$C$102,"HW",'Rozpočet - HW a licencie'!$G$3:$G$102,'TCO TO BE - HW'!$D7,'Rozpočet - HW a licencie'!$D$3:$D$102,'TCO TO BE - HW'!$B$15)+SUMIFS('Rozpočet - HW a licencie'!$I$3:$I$102,'Rozpočet - HW a licencie'!$A$3:$A$102,'TCO TO BE - HW'!I$2,'Rozpočet - HW a licencie'!$C$3:$C$102,"SW pre HW",'Rozpočet - HW a licencie'!$G$3:$G$102,'TCO TO BE - HW'!$D7,'Rozpočet - HW a licencie'!$D$3:$D$102,'TCO TO BE - HW'!$B$15),)</f>
        <v>0</v>
      </c>
      <c r="J17" s="579">
        <f>IFERROR(SUMIFS('Rozpočet - HW a licencie'!$I$3:$I$102,'Rozpočet - HW a licencie'!$A$3:$A$102,'TCO TO BE - HW'!J$2,'Rozpočet - HW a licencie'!$C$3:$C$102,"HW",'Rozpočet - HW a licencie'!$G$3:$G$102,'TCO TO BE - HW'!$D7,'Rozpočet - HW a licencie'!$D$3:$D$102,'TCO TO BE - HW'!$B$15)+SUMIFS('Rozpočet - HW a licencie'!$I$3:$I$102,'Rozpočet - HW a licencie'!$A$3:$A$102,'TCO TO BE - HW'!J$2,'Rozpočet - HW a licencie'!$C$3:$C$102,"SW pre HW",'Rozpočet - HW a licencie'!$G$3:$G$102,'TCO TO BE - HW'!$D7,'Rozpočet - HW a licencie'!$D$3:$D$102,'TCO TO BE - HW'!$B$15),)</f>
        <v>0</v>
      </c>
      <c r="K17" s="579">
        <f>IFERROR(SUMIFS('Rozpočet - HW a licencie'!$I$3:$I$102,'Rozpočet - HW a licencie'!$A$3:$A$102,'TCO TO BE - HW'!K$2,'Rozpočet - HW a licencie'!$C$3:$C$102,"HW",'Rozpočet - HW a licencie'!$G$3:$G$102,'TCO TO BE - HW'!$D7,'Rozpočet - HW a licencie'!$D$3:$D$102,'TCO TO BE - HW'!$B$15)+SUMIFS('Rozpočet - HW a licencie'!$I$3:$I$102,'Rozpočet - HW a licencie'!$A$3:$A$102,'TCO TO BE - HW'!K$2,'Rozpočet - HW a licencie'!$C$3:$C$102,"SW pre HW",'Rozpočet - HW a licencie'!$G$3:$G$102,'TCO TO BE - HW'!$D7,'Rozpočet - HW a licencie'!$D$3:$D$102,'TCO TO BE - HW'!$B$15),)</f>
        <v>0</v>
      </c>
      <c r="L17" s="579">
        <f>IFERROR(SUMIFS('Rozpočet - HW a licencie'!$I$3:$I$102,'Rozpočet - HW a licencie'!$A$3:$A$102,'TCO TO BE - HW'!L$2,'Rozpočet - HW a licencie'!$C$3:$C$102,"HW",'Rozpočet - HW a licencie'!$G$3:$G$102,'TCO TO BE - HW'!$D7,'Rozpočet - HW a licencie'!$D$3:$D$102,'TCO TO BE - HW'!$B$15)+SUMIFS('Rozpočet - HW a licencie'!$I$3:$I$102,'Rozpočet - HW a licencie'!$A$3:$A$102,'TCO TO BE - HW'!L$2,'Rozpočet - HW a licencie'!$C$3:$C$102,"SW pre HW",'Rozpočet - HW a licencie'!$G$3:$G$102,'TCO TO BE - HW'!$D7,'Rozpočet - HW a licencie'!$D$3:$D$102,'TCO TO BE - HW'!$B$15),)</f>
        <v>0</v>
      </c>
      <c r="M17" s="579">
        <f>IFERROR(SUMIFS('Rozpočet - HW a licencie'!$I$3:$I$102,'Rozpočet - HW a licencie'!$A$3:$A$102,'TCO TO BE - HW'!M$2,'Rozpočet - HW a licencie'!$C$3:$C$102,"HW",'Rozpočet - HW a licencie'!$G$3:$G$102,'TCO TO BE - HW'!$D7,'Rozpočet - HW a licencie'!$D$3:$D$102,'TCO TO BE - HW'!$B$15)+SUMIFS('Rozpočet - HW a licencie'!$I$3:$I$102,'Rozpočet - HW a licencie'!$A$3:$A$102,'TCO TO BE - HW'!M$2,'Rozpočet - HW a licencie'!$C$3:$C$102,"SW pre HW",'Rozpočet - HW a licencie'!$G$3:$G$102,'TCO TO BE - HW'!$D7,'Rozpočet - HW a licencie'!$D$3:$D$102,'TCO TO BE - HW'!$B$15),)</f>
        <v>0</v>
      </c>
      <c r="N17" s="579">
        <f>IFERROR(SUMIFS('Rozpočet - HW a licencie'!$I$3:$I$102,'Rozpočet - HW a licencie'!$A$3:$A$102,'TCO TO BE - HW'!N$2,'Rozpočet - HW a licencie'!$C$3:$C$102,"HW",'Rozpočet - HW a licencie'!$G$3:$G$102,'TCO TO BE - HW'!$D7,'Rozpočet - HW a licencie'!$D$3:$D$102,'TCO TO BE - HW'!$B$15)+SUMIFS('Rozpočet - HW a licencie'!$I$3:$I$102,'Rozpočet - HW a licencie'!$A$3:$A$102,'TCO TO BE - HW'!N$2,'Rozpočet - HW a licencie'!$C$3:$C$102,"SW pre HW",'Rozpočet - HW a licencie'!$G$3:$G$102,'TCO TO BE - HW'!$D7,'Rozpočet - HW a licencie'!$D$3:$D$102,'TCO TO BE - HW'!$B$15),)</f>
        <v>0</v>
      </c>
      <c r="O17" s="579">
        <f>IFERROR(SUMIFS('Rozpočet - HW a licencie'!$I$3:$I$102,'Rozpočet - HW a licencie'!$A$3:$A$102,'TCO TO BE - HW'!O$2,'Rozpočet - HW a licencie'!$C$3:$C$102,"HW",'Rozpočet - HW a licencie'!$G$3:$G$102,'TCO TO BE - HW'!$D7,'Rozpočet - HW a licencie'!$D$3:$D$102,'TCO TO BE - HW'!$B$15)+SUMIFS('Rozpočet - HW a licencie'!$I$3:$I$102,'Rozpočet - HW a licencie'!$A$3:$A$102,'TCO TO BE - HW'!O$2,'Rozpočet - HW a licencie'!$C$3:$C$102,"SW pre HW",'Rozpočet - HW a licencie'!$G$3:$G$102,'TCO TO BE - HW'!$D7,'Rozpočet - HW a licencie'!$D$3:$D$102,'TCO TO BE - HW'!$B$15),)</f>
        <v>0</v>
      </c>
      <c r="P17" s="579">
        <f>IFERROR(SUMIFS('Rozpočet - HW a licencie'!$I$3:$I$102,'Rozpočet - HW a licencie'!$A$3:$A$102,'TCO TO BE - HW'!P$2,'Rozpočet - HW a licencie'!$C$3:$C$102,"HW",'Rozpočet - HW a licencie'!$G$3:$G$102,'TCO TO BE - HW'!$D7,'Rozpočet - HW a licencie'!$D$3:$D$102,'TCO TO BE - HW'!$B$15)+SUMIFS('Rozpočet - HW a licencie'!$I$3:$I$102,'Rozpočet - HW a licencie'!$A$3:$A$102,'TCO TO BE - HW'!P$2,'Rozpočet - HW a licencie'!$C$3:$C$102,"SW pre HW",'Rozpočet - HW a licencie'!$G$3:$G$102,'TCO TO BE - HW'!$D7,'Rozpočet - HW a licencie'!$D$3:$D$102,'TCO TO BE - HW'!$B$15),)</f>
        <v>0</v>
      </c>
      <c r="Q17" s="579">
        <f>IFERROR(SUMIFS('Rozpočet - HW a licencie'!$I$3:$I$102,'Rozpočet - HW a licencie'!$A$3:$A$102,'TCO TO BE - HW'!Q$2,'Rozpočet - HW a licencie'!$C$3:$C$102,"HW",'Rozpočet - HW a licencie'!$G$3:$G$102,'TCO TO BE - HW'!$D7,'Rozpočet - HW a licencie'!$D$3:$D$102,'TCO TO BE - HW'!$B$15)+SUMIFS('Rozpočet - HW a licencie'!$I$3:$I$102,'Rozpočet - HW a licencie'!$A$3:$A$102,'TCO TO BE - HW'!Q$2,'Rozpočet - HW a licencie'!$C$3:$C$102,"SW pre HW",'Rozpočet - HW a licencie'!$G$3:$G$102,'TCO TO BE - HW'!$D7,'Rozpočet - HW a licencie'!$D$3:$D$102,'TCO TO BE - HW'!$B$15),)</f>
        <v>0</v>
      </c>
      <c r="R17" s="579">
        <f>IFERROR(SUMIFS('Rozpočet - HW a licencie'!$I$3:$I$102,'Rozpočet - HW a licencie'!$A$3:$A$102,'TCO TO BE - HW'!R$2,'Rozpočet - HW a licencie'!$C$3:$C$102,"HW",'Rozpočet - HW a licencie'!$G$3:$G$102,'TCO TO BE - HW'!$D7,'Rozpočet - HW a licencie'!$D$3:$D$102,'TCO TO BE - HW'!$B$15)+SUMIFS('Rozpočet - HW a licencie'!$I$3:$I$102,'Rozpočet - HW a licencie'!$A$3:$A$102,'TCO TO BE - HW'!R$2,'Rozpočet - HW a licencie'!$C$3:$C$102,"SW pre HW",'Rozpočet - HW a licencie'!$G$3:$G$102,'TCO TO BE - HW'!$D7,'Rozpočet - HW a licencie'!$D$3:$D$102,'TCO TO BE - HW'!$B$15),)</f>
        <v>0</v>
      </c>
      <c r="S17" s="579">
        <f>IFERROR(SUMIFS('Rozpočet - HW a licencie'!$I$3:$I$102,'Rozpočet - HW a licencie'!$A$3:$A$102,'TCO TO BE - HW'!S$2,'Rozpočet - HW a licencie'!$C$3:$C$102,"HW",'Rozpočet - HW a licencie'!$G$3:$G$102,'TCO TO BE - HW'!$D7,'Rozpočet - HW a licencie'!$D$3:$D$102,'TCO TO BE - HW'!$B$15)+SUMIFS('Rozpočet - HW a licencie'!$I$3:$I$102,'Rozpočet - HW a licencie'!$A$3:$A$102,'TCO TO BE - HW'!S$2,'Rozpočet - HW a licencie'!$C$3:$C$102,"SW pre HW",'Rozpočet - HW a licencie'!$G$3:$G$102,'TCO TO BE - HW'!$D7,'Rozpočet - HW a licencie'!$D$3:$D$102,'TCO TO BE - HW'!$B$15),)</f>
        <v>0</v>
      </c>
      <c r="T17" s="579">
        <f>IFERROR(SUMIFS('Rozpočet - HW a licencie'!$I$3:$I$102,'Rozpočet - HW a licencie'!$A$3:$A$102,'TCO TO BE - HW'!T$2,'Rozpočet - HW a licencie'!$C$3:$C$102,"HW",'Rozpočet - HW a licencie'!$G$3:$G$102,'TCO TO BE - HW'!$D7,'Rozpočet - HW a licencie'!$D$3:$D$102,'TCO TO BE - HW'!$B$15)+SUMIFS('Rozpočet - HW a licencie'!$I$3:$I$102,'Rozpočet - HW a licencie'!$A$3:$A$102,'TCO TO BE - HW'!T$2,'Rozpočet - HW a licencie'!$C$3:$C$102,"SW pre HW",'Rozpočet - HW a licencie'!$G$3:$G$102,'TCO TO BE - HW'!$D7,'Rozpočet - HW a licencie'!$D$3:$D$102,'TCO TO BE - HW'!$B$15),)</f>
        <v>0</v>
      </c>
      <c r="U17" s="579">
        <f>IFERROR(SUMIFS('Rozpočet - HW a licencie'!$I$3:$I$102,'Rozpočet - HW a licencie'!$A$3:$A$102,'TCO TO BE - HW'!U$2,'Rozpočet - HW a licencie'!$C$3:$C$102,"HW",'Rozpočet - HW a licencie'!$G$3:$G$102,'TCO TO BE - HW'!$D7,'Rozpočet - HW a licencie'!$D$3:$D$102,'TCO TO BE - HW'!$B$15)+SUMIFS('Rozpočet - HW a licencie'!$I$3:$I$102,'Rozpočet - HW a licencie'!$A$3:$A$102,'TCO TO BE - HW'!U$2,'Rozpočet - HW a licencie'!$C$3:$C$102,"SW pre HW",'Rozpočet - HW a licencie'!$G$3:$G$102,'TCO TO BE - HW'!$D7,'Rozpočet - HW a licencie'!$D$3:$D$102,'TCO TO BE - HW'!$B$15),)</f>
        <v>0</v>
      </c>
      <c r="V17" s="579">
        <f>IFERROR(SUMIFS('Rozpočet - HW a licencie'!$I$3:$I$102,'Rozpočet - HW a licencie'!$A$3:$A$102,'TCO TO BE - HW'!V$2,'Rozpočet - HW a licencie'!$C$3:$C$102,"HW",'Rozpočet - HW a licencie'!$G$3:$G$102,'TCO TO BE - HW'!$D7,'Rozpočet - HW a licencie'!$D$3:$D$102,'TCO TO BE - HW'!$B$15)+SUMIFS('Rozpočet - HW a licencie'!$I$3:$I$102,'Rozpočet - HW a licencie'!$A$3:$A$102,'TCO TO BE - HW'!V$2,'Rozpočet - HW a licencie'!$C$3:$C$102,"SW pre HW",'Rozpočet - HW a licencie'!$G$3:$G$102,'TCO TO BE - HW'!$D7,'Rozpočet - HW a licencie'!$D$3:$D$102,'TCO TO BE - HW'!$B$15),)</f>
        <v>0</v>
      </c>
      <c r="W17" s="579">
        <f>IFERROR(SUMIFS('Rozpočet - HW a licencie'!$I$3:$I$102,'Rozpočet - HW a licencie'!$A$3:$A$102,'TCO TO BE - HW'!W$2,'Rozpočet - HW a licencie'!$C$3:$C$102,"HW",'Rozpočet - HW a licencie'!$G$3:$G$102,'TCO TO BE - HW'!$D7,'Rozpočet - HW a licencie'!$D$3:$D$102,'TCO TO BE - HW'!$B$15)+SUMIFS('Rozpočet - HW a licencie'!$I$3:$I$102,'Rozpočet - HW a licencie'!$A$3:$A$102,'TCO TO BE - HW'!W$2,'Rozpočet - HW a licencie'!$C$3:$C$102,"SW pre HW",'Rozpočet - HW a licencie'!$G$3:$G$102,'TCO TO BE - HW'!$D7,'Rozpočet - HW a licencie'!$D$3:$D$102,'TCO TO BE - HW'!$B$15),)</f>
        <v>0</v>
      </c>
      <c r="X17" s="579">
        <f>IFERROR(SUMIFS('Rozpočet - HW a licencie'!$I$3:$I$102,'Rozpočet - HW a licencie'!$A$3:$A$102,'TCO TO BE - HW'!X$2,'Rozpočet - HW a licencie'!$C$3:$C$102,"HW",'Rozpočet - HW a licencie'!$G$3:$G$102,'TCO TO BE - HW'!$D7,'Rozpočet - HW a licencie'!$D$3:$D$102,'TCO TO BE - HW'!$B$15)+SUMIFS('Rozpočet - HW a licencie'!$I$3:$I$102,'Rozpočet - HW a licencie'!$A$3:$A$102,'TCO TO BE - HW'!X$2,'Rozpočet - HW a licencie'!$C$3:$C$102,"SW pre HW",'Rozpočet - HW a licencie'!$G$3:$G$102,'TCO TO BE - HW'!$D7,'Rozpočet - HW a licencie'!$D$3:$D$102,'TCO TO BE - HW'!$B$15),)</f>
        <v>0</v>
      </c>
      <c r="Y17" s="579">
        <f>IFERROR(SUMIFS('Rozpočet - HW a licencie'!$I$3:$I$102,'Rozpočet - HW a licencie'!$A$3:$A$102,'TCO TO BE - HW'!Y$2,'Rozpočet - HW a licencie'!$C$3:$C$102,"HW",'Rozpočet - HW a licencie'!$G$3:$G$102,'TCO TO BE - HW'!$D7,'Rozpočet - HW a licencie'!$D$3:$D$102,'TCO TO BE - HW'!$B$15)+SUMIFS('Rozpočet - HW a licencie'!$I$3:$I$102,'Rozpočet - HW a licencie'!$A$3:$A$102,'TCO TO BE - HW'!Y$2,'Rozpočet - HW a licencie'!$C$3:$C$102,"SW pre HW",'Rozpočet - HW a licencie'!$G$3:$G$102,'TCO TO BE - HW'!$D7,'Rozpočet - HW a licencie'!$D$3:$D$102,'TCO TO BE - HW'!$B$15),)</f>
        <v>0</v>
      </c>
      <c r="Z17" s="579">
        <f>IFERROR(SUMIFS('Rozpočet - HW a licencie'!$I$3:$I$102,'Rozpočet - HW a licencie'!$A$3:$A$102,'TCO TO BE - HW'!Z$2,'Rozpočet - HW a licencie'!$C$3:$C$102,"HW",'Rozpočet - HW a licencie'!$G$3:$G$102,'TCO TO BE - HW'!$D7,'Rozpočet - HW a licencie'!$D$3:$D$102,'TCO TO BE - HW'!$B$15)+SUMIFS('Rozpočet - HW a licencie'!$I$3:$I$102,'Rozpočet - HW a licencie'!$A$3:$A$102,'TCO TO BE - HW'!Z$2,'Rozpočet - HW a licencie'!$C$3:$C$102,"SW pre HW",'Rozpočet - HW a licencie'!$G$3:$G$102,'TCO TO BE - HW'!$D7,'Rozpočet - HW a licencie'!$D$3:$D$102,'TCO TO BE - HW'!$B$15),)</f>
        <v>0</v>
      </c>
    </row>
    <row r="18" spans="1:26" outlineLevel="1" x14ac:dyDescent="0.2">
      <c r="A18" s="1390"/>
      <c r="B18" s="1391"/>
      <c r="C18" s="1391"/>
      <c r="D18" s="497">
        <v>4</v>
      </c>
      <c r="E18" s="68">
        <f t="shared" si="2"/>
        <v>0</v>
      </c>
      <c r="F18" s="579">
        <f>IFERROR(SUMIFS('Rozpočet - HW a licencie'!$I$3:$I$102,'Rozpočet - HW a licencie'!$A$3:$A$102,'TCO TO BE - HW'!F$2,'Rozpočet - HW a licencie'!$C$3:$C$102,"HW",'Rozpočet - HW a licencie'!$G$3:$G$102,'TCO TO BE - HW'!$D8,'Rozpočet - HW a licencie'!$D$3:$D$102,'TCO TO BE - HW'!$B$15)+SUMIFS('Rozpočet - HW a licencie'!$I$3:$I$102,'Rozpočet - HW a licencie'!$A$3:$A$102,'TCO TO BE - HW'!F$2,'Rozpočet - HW a licencie'!$C$3:$C$102,"SW pre HW",'Rozpočet - HW a licencie'!$G$3:$G$102,'TCO TO BE - HW'!$D8,'Rozpočet - HW a licencie'!$D$3:$D$102,'TCO TO BE - HW'!$B$15),)</f>
        <v>0</v>
      </c>
      <c r="G18" s="579">
        <f>IFERROR(SUMIFS('Rozpočet - HW a licencie'!$I$3:$I$102,'Rozpočet - HW a licencie'!$A$3:$A$102,'TCO TO BE - HW'!G$2,'Rozpočet - HW a licencie'!$C$3:$C$102,"HW",'Rozpočet - HW a licencie'!$G$3:$G$102,'TCO TO BE - HW'!$D8,'Rozpočet - HW a licencie'!$D$3:$D$102,'TCO TO BE - HW'!$B$15)+SUMIFS('Rozpočet - HW a licencie'!$I$3:$I$102,'Rozpočet - HW a licencie'!$A$3:$A$102,'TCO TO BE - HW'!G$2,'Rozpočet - HW a licencie'!$C$3:$C$102,"SW pre HW",'Rozpočet - HW a licencie'!$G$3:$G$102,'TCO TO BE - HW'!$D8,'Rozpočet - HW a licencie'!$D$3:$D$102,'TCO TO BE - HW'!$B$15),)</f>
        <v>0</v>
      </c>
      <c r="H18" s="579">
        <f>IFERROR(SUMIFS('Rozpočet - HW a licencie'!$I$3:$I$102,'Rozpočet - HW a licencie'!$A$3:$A$102,'TCO TO BE - HW'!H$2,'Rozpočet - HW a licencie'!$C$3:$C$102,"HW",'Rozpočet - HW a licencie'!$G$3:$G$102,'TCO TO BE - HW'!$D8,'Rozpočet - HW a licencie'!$D$3:$D$102,'TCO TO BE - HW'!$B$15)+SUMIFS('Rozpočet - HW a licencie'!$I$3:$I$102,'Rozpočet - HW a licencie'!$A$3:$A$102,'TCO TO BE - HW'!H$2,'Rozpočet - HW a licencie'!$C$3:$C$102,"SW pre HW",'Rozpočet - HW a licencie'!$G$3:$G$102,'TCO TO BE - HW'!$D8,'Rozpočet - HW a licencie'!$D$3:$D$102,'TCO TO BE - HW'!$B$15),)</f>
        <v>0</v>
      </c>
      <c r="I18" s="579">
        <f>IFERROR(SUMIFS('Rozpočet - HW a licencie'!$I$3:$I$102,'Rozpočet - HW a licencie'!$A$3:$A$102,'TCO TO BE - HW'!I$2,'Rozpočet - HW a licencie'!$C$3:$C$102,"HW",'Rozpočet - HW a licencie'!$G$3:$G$102,'TCO TO BE - HW'!$D8,'Rozpočet - HW a licencie'!$D$3:$D$102,'TCO TO BE - HW'!$B$15)+SUMIFS('Rozpočet - HW a licencie'!$I$3:$I$102,'Rozpočet - HW a licencie'!$A$3:$A$102,'TCO TO BE - HW'!I$2,'Rozpočet - HW a licencie'!$C$3:$C$102,"SW pre HW",'Rozpočet - HW a licencie'!$G$3:$G$102,'TCO TO BE - HW'!$D8,'Rozpočet - HW a licencie'!$D$3:$D$102,'TCO TO BE - HW'!$B$15),)</f>
        <v>0</v>
      </c>
      <c r="J18" s="579">
        <f>IFERROR(SUMIFS('Rozpočet - HW a licencie'!$I$3:$I$102,'Rozpočet - HW a licencie'!$A$3:$A$102,'TCO TO BE - HW'!J$2,'Rozpočet - HW a licencie'!$C$3:$C$102,"HW",'Rozpočet - HW a licencie'!$G$3:$G$102,'TCO TO BE - HW'!$D8,'Rozpočet - HW a licencie'!$D$3:$D$102,'TCO TO BE - HW'!$B$15)+SUMIFS('Rozpočet - HW a licencie'!$I$3:$I$102,'Rozpočet - HW a licencie'!$A$3:$A$102,'TCO TO BE - HW'!J$2,'Rozpočet - HW a licencie'!$C$3:$C$102,"SW pre HW",'Rozpočet - HW a licencie'!$G$3:$G$102,'TCO TO BE - HW'!$D8,'Rozpočet - HW a licencie'!$D$3:$D$102,'TCO TO BE - HW'!$B$15),)</f>
        <v>0</v>
      </c>
      <c r="K18" s="579">
        <f>IFERROR(SUMIFS('Rozpočet - HW a licencie'!$I$3:$I$102,'Rozpočet - HW a licencie'!$A$3:$A$102,'TCO TO BE - HW'!K$2,'Rozpočet - HW a licencie'!$C$3:$C$102,"HW",'Rozpočet - HW a licencie'!$G$3:$G$102,'TCO TO BE - HW'!$D8,'Rozpočet - HW a licencie'!$D$3:$D$102,'TCO TO BE - HW'!$B$15)+SUMIFS('Rozpočet - HW a licencie'!$I$3:$I$102,'Rozpočet - HW a licencie'!$A$3:$A$102,'TCO TO BE - HW'!K$2,'Rozpočet - HW a licencie'!$C$3:$C$102,"SW pre HW",'Rozpočet - HW a licencie'!$G$3:$G$102,'TCO TO BE - HW'!$D8,'Rozpočet - HW a licencie'!$D$3:$D$102,'TCO TO BE - HW'!$B$15),)</f>
        <v>0</v>
      </c>
      <c r="L18" s="579">
        <f>IFERROR(SUMIFS('Rozpočet - HW a licencie'!$I$3:$I$102,'Rozpočet - HW a licencie'!$A$3:$A$102,'TCO TO BE - HW'!L$2,'Rozpočet - HW a licencie'!$C$3:$C$102,"HW",'Rozpočet - HW a licencie'!$G$3:$G$102,'TCO TO BE - HW'!$D8,'Rozpočet - HW a licencie'!$D$3:$D$102,'TCO TO BE - HW'!$B$15)+SUMIFS('Rozpočet - HW a licencie'!$I$3:$I$102,'Rozpočet - HW a licencie'!$A$3:$A$102,'TCO TO BE - HW'!L$2,'Rozpočet - HW a licencie'!$C$3:$C$102,"SW pre HW",'Rozpočet - HW a licencie'!$G$3:$G$102,'TCO TO BE - HW'!$D8,'Rozpočet - HW a licencie'!$D$3:$D$102,'TCO TO BE - HW'!$B$15),)</f>
        <v>0</v>
      </c>
      <c r="M18" s="579">
        <f>IFERROR(SUMIFS('Rozpočet - HW a licencie'!$I$3:$I$102,'Rozpočet - HW a licencie'!$A$3:$A$102,'TCO TO BE - HW'!M$2,'Rozpočet - HW a licencie'!$C$3:$C$102,"HW",'Rozpočet - HW a licencie'!$G$3:$G$102,'TCO TO BE - HW'!$D8,'Rozpočet - HW a licencie'!$D$3:$D$102,'TCO TO BE - HW'!$B$15)+SUMIFS('Rozpočet - HW a licencie'!$I$3:$I$102,'Rozpočet - HW a licencie'!$A$3:$A$102,'TCO TO BE - HW'!M$2,'Rozpočet - HW a licencie'!$C$3:$C$102,"SW pre HW",'Rozpočet - HW a licencie'!$G$3:$G$102,'TCO TO BE - HW'!$D8,'Rozpočet - HW a licencie'!$D$3:$D$102,'TCO TO BE - HW'!$B$15),)</f>
        <v>0</v>
      </c>
      <c r="N18" s="579">
        <f>IFERROR(SUMIFS('Rozpočet - HW a licencie'!$I$3:$I$102,'Rozpočet - HW a licencie'!$A$3:$A$102,'TCO TO BE - HW'!N$2,'Rozpočet - HW a licencie'!$C$3:$C$102,"HW",'Rozpočet - HW a licencie'!$G$3:$G$102,'TCO TO BE - HW'!$D8,'Rozpočet - HW a licencie'!$D$3:$D$102,'TCO TO BE - HW'!$B$15)+SUMIFS('Rozpočet - HW a licencie'!$I$3:$I$102,'Rozpočet - HW a licencie'!$A$3:$A$102,'TCO TO BE - HW'!N$2,'Rozpočet - HW a licencie'!$C$3:$C$102,"SW pre HW",'Rozpočet - HW a licencie'!$G$3:$G$102,'TCO TO BE - HW'!$D8,'Rozpočet - HW a licencie'!$D$3:$D$102,'TCO TO BE - HW'!$B$15),)</f>
        <v>0</v>
      </c>
      <c r="O18" s="579">
        <f>IFERROR(SUMIFS('Rozpočet - HW a licencie'!$I$3:$I$102,'Rozpočet - HW a licencie'!$A$3:$A$102,'TCO TO BE - HW'!O$2,'Rozpočet - HW a licencie'!$C$3:$C$102,"HW",'Rozpočet - HW a licencie'!$G$3:$G$102,'TCO TO BE - HW'!$D8,'Rozpočet - HW a licencie'!$D$3:$D$102,'TCO TO BE - HW'!$B$15)+SUMIFS('Rozpočet - HW a licencie'!$I$3:$I$102,'Rozpočet - HW a licencie'!$A$3:$A$102,'TCO TO BE - HW'!O$2,'Rozpočet - HW a licencie'!$C$3:$C$102,"SW pre HW",'Rozpočet - HW a licencie'!$G$3:$G$102,'TCO TO BE - HW'!$D8,'Rozpočet - HW a licencie'!$D$3:$D$102,'TCO TO BE - HW'!$B$15),)</f>
        <v>0</v>
      </c>
      <c r="P18" s="579">
        <f>IFERROR(SUMIFS('Rozpočet - HW a licencie'!$I$3:$I$102,'Rozpočet - HW a licencie'!$A$3:$A$102,'TCO TO BE - HW'!P$2,'Rozpočet - HW a licencie'!$C$3:$C$102,"HW",'Rozpočet - HW a licencie'!$G$3:$G$102,'TCO TO BE - HW'!$D8,'Rozpočet - HW a licencie'!$D$3:$D$102,'TCO TO BE - HW'!$B$15)+SUMIFS('Rozpočet - HW a licencie'!$I$3:$I$102,'Rozpočet - HW a licencie'!$A$3:$A$102,'TCO TO BE - HW'!P$2,'Rozpočet - HW a licencie'!$C$3:$C$102,"SW pre HW",'Rozpočet - HW a licencie'!$G$3:$G$102,'TCO TO BE - HW'!$D8,'Rozpočet - HW a licencie'!$D$3:$D$102,'TCO TO BE - HW'!$B$15),)</f>
        <v>0</v>
      </c>
      <c r="Q18" s="579">
        <f>IFERROR(SUMIFS('Rozpočet - HW a licencie'!$I$3:$I$102,'Rozpočet - HW a licencie'!$A$3:$A$102,'TCO TO BE - HW'!Q$2,'Rozpočet - HW a licencie'!$C$3:$C$102,"HW",'Rozpočet - HW a licencie'!$G$3:$G$102,'TCO TO BE - HW'!$D8,'Rozpočet - HW a licencie'!$D$3:$D$102,'TCO TO BE - HW'!$B$15)+SUMIFS('Rozpočet - HW a licencie'!$I$3:$I$102,'Rozpočet - HW a licencie'!$A$3:$A$102,'TCO TO BE - HW'!Q$2,'Rozpočet - HW a licencie'!$C$3:$C$102,"SW pre HW",'Rozpočet - HW a licencie'!$G$3:$G$102,'TCO TO BE - HW'!$D8,'Rozpočet - HW a licencie'!$D$3:$D$102,'TCO TO BE - HW'!$B$15),)</f>
        <v>0</v>
      </c>
      <c r="R18" s="579">
        <f>IFERROR(SUMIFS('Rozpočet - HW a licencie'!$I$3:$I$102,'Rozpočet - HW a licencie'!$A$3:$A$102,'TCO TO BE - HW'!R$2,'Rozpočet - HW a licencie'!$C$3:$C$102,"HW",'Rozpočet - HW a licencie'!$G$3:$G$102,'TCO TO BE - HW'!$D8,'Rozpočet - HW a licencie'!$D$3:$D$102,'TCO TO BE - HW'!$B$15)+SUMIFS('Rozpočet - HW a licencie'!$I$3:$I$102,'Rozpočet - HW a licencie'!$A$3:$A$102,'TCO TO BE - HW'!R$2,'Rozpočet - HW a licencie'!$C$3:$C$102,"SW pre HW",'Rozpočet - HW a licencie'!$G$3:$G$102,'TCO TO BE - HW'!$D8,'Rozpočet - HW a licencie'!$D$3:$D$102,'TCO TO BE - HW'!$B$15),)</f>
        <v>0</v>
      </c>
      <c r="S18" s="579">
        <f>IFERROR(SUMIFS('Rozpočet - HW a licencie'!$I$3:$I$102,'Rozpočet - HW a licencie'!$A$3:$A$102,'TCO TO BE - HW'!S$2,'Rozpočet - HW a licencie'!$C$3:$C$102,"HW",'Rozpočet - HW a licencie'!$G$3:$G$102,'TCO TO BE - HW'!$D8,'Rozpočet - HW a licencie'!$D$3:$D$102,'TCO TO BE - HW'!$B$15)+SUMIFS('Rozpočet - HW a licencie'!$I$3:$I$102,'Rozpočet - HW a licencie'!$A$3:$A$102,'TCO TO BE - HW'!S$2,'Rozpočet - HW a licencie'!$C$3:$C$102,"SW pre HW",'Rozpočet - HW a licencie'!$G$3:$G$102,'TCO TO BE - HW'!$D8,'Rozpočet - HW a licencie'!$D$3:$D$102,'TCO TO BE - HW'!$B$15),)</f>
        <v>0</v>
      </c>
      <c r="T18" s="579">
        <f>IFERROR(SUMIFS('Rozpočet - HW a licencie'!$I$3:$I$102,'Rozpočet - HW a licencie'!$A$3:$A$102,'TCO TO BE - HW'!T$2,'Rozpočet - HW a licencie'!$C$3:$C$102,"HW",'Rozpočet - HW a licencie'!$G$3:$G$102,'TCO TO BE - HW'!$D8,'Rozpočet - HW a licencie'!$D$3:$D$102,'TCO TO BE - HW'!$B$15)+SUMIFS('Rozpočet - HW a licencie'!$I$3:$I$102,'Rozpočet - HW a licencie'!$A$3:$A$102,'TCO TO BE - HW'!T$2,'Rozpočet - HW a licencie'!$C$3:$C$102,"SW pre HW",'Rozpočet - HW a licencie'!$G$3:$G$102,'TCO TO BE - HW'!$D8,'Rozpočet - HW a licencie'!$D$3:$D$102,'TCO TO BE - HW'!$B$15),)</f>
        <v>0</v>
      </c>
      <c r="U18" s="579">
        <f>IFERROR(SUMIFS('Rozpočet - HW a licencie'!$I$3:$I$102,'Rozpočet - HW a licencie'!$A$3:$A$102,'TCO TO BE - HW'!U$2,'Rozpočet - HW a licencie'!$C$3:$C$102,"HW",'Rozpočet - HW a licencie'!$G$3:$G$102,'TCO TO BE - HW'!$D8,'Rozpočet - HW a licencie'!$D$3:$D$102,'TCO TO BE - HW'!$B$15)+SUMIFS('Rozpočet - HW a licencie'!$I$3:$I$102,'Rozpočet - HW a licencie'!$A$3:$A$102,'TCO TO BE - HW'!U$2,'Rozpočet - HW a licencie'!$C$3:$C$102,"SW pre HW",'Rozpočet - HW a licencie'!$G$3:$G$102,'TCO TO BE - HW'!$D8,'Rozpočet - HW a licencie'!$D$3:$D$102,'TCO TO BE - HW'!$B$15),)</f>
        <v>0</v>
      </c>
      <c r="V18" s="579">
        <f>IFERROR(SUMIFS('Rozpočet - HW a licencie'!$I$3:$I$102,'Rozpočet - HW a licencie'!$A$3:$A$102,'TCO TO BE - HW'!V$2,'Rozpočet - HW a licencie'!$C$3:$C$102,"HW",'Rozpočet - HW a licencie'!$G$3:$G$102,'TCO TO BE - HW'!$D8,'Rozpočet - HW a licencie'!$D$3:$D$102,'TCO TO BE - HW'!$B$15)+SUMIFS('Rozpočet - HW a licencie'!$I$3:$I$102,'Rozpočet - HW a licencie'!$A$3:$A$102,'TCO TO BE - HW'!V$2,'Rozpočet - HW a licencie'!$C$3:$C$102,"SW pre HW",'Rozpočet - HW a licencie'!$G$3:$G$102,'TCO TO BE - HW'!$D8,'Rozpočet - HW a licencie'!$D$3:$D$102,'TCO TO BE - HW'!$B$15),)</f>
        <v>0</v>
      </c>
      <c r="W18" s="579">
        <f>IFERROR(SUMIFS('Rozpočet - HW a licencie'!$I$3:$I$102,'Rozpočet - HW a licencie'!$A$3:$A$102,'TCO TO BE - HW'!W$2,'Rozpočet - HW a licencie'!$C$3:$C$102,"HW",'Rozpočet - HW a licencie'!$G$3:$G$102,'TCO TO BE - HW'!$D8,'Rozpočet - HW a licencie'!$D$3:$D$102,'TCO TO BE - HW'!$B$15)+SUMIFS('Rozpočet - HW a licencie'!$I$3:$I$102,'Rozpočet - HW a licencie'!$A$3:$A$102,'TCO TO BE - HW'!W$2,'Rozpočet - HW a licencie'!$C$3:$C$102,"SW pre HW",'Rozpočet - HW a licencie'!$G$3:$G$102,'TCO TO BE - HW'!$D8,'Rozpočet - HW a licencie'!$D$3:$D$102,'TCO TO BE - HW'!$B$15),)</f>
        <v>0</v>
      </c>
      <c r="X18" s="579">
        <f>IFERROR(SUMIFS('Rozpočet - HW a licencie'!$I$3:$I$102,'Rozpočet - HW a licencie'!$A$3:$A$102,'TCO TO BE - HW'!X$2,'Rozpočet - HW a licencie'!$C$3:$C$102,"HW",'Rozpočet - HW a licencie'!$G$3:$G$102,'TCO TO BE - HW'!$D8,'Rozpočet - HW a licencie'!$D$3:$D$102,'TCO TO BE - HW'!$B$15)+SUMIFS('Rozpočet - HW a licencie'!$I$3:$I$102,'Rozpočet - HW a licencie'!$A$3:$A$102,'TCO TO BE - HW'!X$2,'Rozpočet - HW a licencie'!$C$3:$C$102,"SW pre HW",'Rozpočet - HW a licencie'!$G$3:$G$102,'TCO TO BE - HW'!$D8,'Rozpočet - HW a licencie'!$D$3:$D$102,'TCO TO BE - HW'!$B$15),)</f>
        <v>0</v>
      </c>
      <c r="Y18" s="579">
        <f>IFERROR(SUMIFS('Rozpočet - HW a licencie'!$I$3:$I$102,'Rozpočet - HW a licencie'!$A$3:$A$102,'TCO TO BE - HW'!Y$2,'Rozpočet - HW a licencie'!$C$3:$C$102,"HW",'Rozpočet - HW a licencie'!$G$3:$G$102,'TCO TO BE - HW'!$D8,'Rozpočet - HW a licencie'!$D$3:$D$102,'TCO TO BE - HW'!$B$15)+SUMIFS('Rozpočet - HW a licencie'!$I$3:$I$102,'Rozpočet - HW a licencie'!$A$3:$A$102,'TCO TO BE - HW'!Y$2,'Rozpočet - HW a licencie'!$C$3:$C$102,"SW pre HW",'Rozpočet - HW a licencie'!$G$3:$G$102,'TCO TO BE - HW'!$D8,'Rozpočet - HW a licencie'!$D$3:$D$102,'TCO TO BE - HW'!$B$15),)</f>
        <v>0</v>
      </c>
      <c r="Z18" s="579">
        <f>IFERROR(SUMIFS('Rozpočet - HW a licencie'!$I$3:$I$102,'Rozpočet - HW a licencie'!$A$3:$A$102,'TCO TO BE - HW'!Z$2,'Rozpočet - HW a licencie'!$C$3:$C$102,"HW",'Rozpočet - HW a licencie'!$G$3:$G$102,'TCO TO BE - HW'!$D8,'Rozpočet - HW a licencie'!$D$3:$D$102,'TCO TO BE - HW'!$B$15)+SUMIFS('Rozpočet - HW a licencie'!$I$3:$I$102,'Rozpočet - HW a licencie'!$A$3:$A$102,'TCO TO BE - HW'!Z$2,'Rozpočet - HW a licencie'!$C$3:$C$102,"SW pre HW",'Rozpočet - HW a licencie'!$G$3:$G$102,'TCO TO BE - HW'!$D8,'Rozpočet - HW a licencie'!$D$3:$D$102,'TCO TO BE - HW'!$B$15),)</f>
        <v>0</v>
      </c>
    </row>
    <row r="19" spans="1:26" outlineLevel="1" x14ac:dyDescent="0.2">
      <c r="A19" s="1390"/>
      <c r="B19" s="1391"/>
      <c r="C19" s="1391"/>
      <c r="D19" s="497">
        <v>5</v>
      </c>
      <c r="E19" s="68">
        <f t="shared" si="2"/>
        <v>0</v>
      </c>
      <c r="F19" s="579">
        <f>IFERROR(SUMIFS('Rozpočet - HW a licencie'!$I$3:$I$102,'Rozpočet - HW a licencie'!$A$3:$A$102,'TCO TO BE - HW'!F$2,'Rozpočet - HW a licencie'!$C$3:$C$102,"HW",'Rozpočet - HW a licencie'!$G$3:$G$102,'TCO TO BE - HW'!$D9,'Rozpočet - HW a licencie'!$D$3:$D$102,'TCO TO BE - HW'!$B$15)+SUMIFS('Rozpočet - HW a licencie'!$I$3:$I$102,'Rozpočet - HW a licencie'!$A$3:$A$102,'TCO TO BE - HW'!F$2,'Rozpočet - HW a licencie'!$C$3:$C$102,"SW pre HW",'Rozpočet - HW a licencie'!$G$3:$G$102,'TCO TO BE - HW'!$D9,'Rozpočet - HW a licencie'!$D$3:$D$102,'TCO TO BE - HW'!$B$15),)</f>
        <v>0</v>
      </c>
      <c r="G19" s="579">
        <f>IFERROR(SUMIFS('Rozpočet - HW a licencie'!$I$3:$I$102,'Rozpočet - HW a licencie'!$A$3:$A$102,'TCO TO BE - HW'!G$2,'Rozpočet - HW a licencie'!$C$3:$C$102,"HW",'Rozpočet - HW a licencie'!$G$3:$G$102,'TCO TO BE - HW'!$D9,'Rozpočet - HW a licencie'!$D$3:$D$102,'TCO TO BE - HW'!$B$15)+SUMIFS('Rozpočet - HW a licencie'!$I$3:$I$102,'Rozpočet - HW a licencie'!$A$3:$A$102,'TCO TO BE - HW'!G$2,'Rozpočet - HW a licencie'!$C$3:$C$102,"SW pre HW",'Rozpočet - HW a licencie'!$G$3:$G$102,'TCO TO BE - HW'!$D9,'Rozpočet - HW a licencie'!$D$3:$D$102,'TCO TO BE - HW'!$B$15),)</f>
        <v>0</v>
      </c>
      <c r="H19" s="579">
        <f>IFERROR(SUMIFS('Rozpočet - HW a licencie'!$I$3:$I$102,'Rozpočet - HW a licencie'!$A$3:$A$102,'TCO TO BE - HW'!H$2,'Rozpočet - HW a licencie'!$C$3:$C$102,"HW",'Rozpočet - HW a licencie'!$G$3:$G$102,'TCO TO BE - HW'!$D9,'Rozpočet - HW a licencie'!$D$3:$D$102,'TCO TO BE - HW'!$B$15)+SUMIFS('Rozpočet - HW a licencie'!$I$3:$I$102,'Rozpočet - HW a licencie'!$A$3:$A$102,'TCO TO BE - HW'!H$2,'Rozpočet - HW a licencie'!$C$3:$C$102,"SW pre HW",'Rozpočet - HW a licencie'!$G$3:$G$102,'TCO TO BE - HW'!$D9,'Rozpočet - HW a licencie'!$D$3:$D$102,'TCO TO BE - HW'!$B$15),)</f>
        <v>0</v>
      </c>
      <c r="I19" s="579">
        <f>IFERROR(SUMIFS('Rozpočet - HW a licencie'!$I$3:$I$102,'Rozpočet - HW a licencie'!$A$3:$A$102,'TCO TO BE - HW'!I$2,'Rozpočet - HW a licencie'!$C$3:$C$102,"HW",'Rozpočet - HW a licencie'!$G$3:$G$102,'TCO TO BE - HW'!$D9,'Rozpočet - HW a licencie'!$D$3:$D$102,'TCO TO BE - HW'!$B$15)+SUMIFS('Rozpočet - HW a licencie'!$I$3:$I$102,'Rozpočet - HW a licencie'!$A$3:$A$102,'TCO TO BE - HW'!I$2,'Rozpočet - HW a licencie'!$C$3:$C$102,"SW pre HW",'Rozpočet - HW a licencie'!$G$3:$G$102,'TCO TO BE - HW'!$D9,'Rozpočet - HW a licencie'!$D$3:$D$102,'TCO TO BE - HW'!$B$15),)</f>
        <v>0</v>
      </c>
      <c r="J19" s="579">
        <f>IFERROR(SUMIFS('Rozpočet - HW a licencie'!$I$3:$I$102,'Rozpočet - HW a licencie'!$A$3:$A$102,'TCO TO BE - HW'!J$2,'Rozpočet - HW a licencie'!$C$3:$C$102,"HW",'Rozpočet - HW a licencie'!$G$3:$G$102,'TCO TO BE - HW'!$D9,'Rozpočet - HW a licencie'!$D$3:$D$102,'TCO TO BE - HW'!$B$15)+SUMIFS('Rozpočet - HW a licencie'!$I$3:$I$102,'Rozpočet - HW a licencie'!$A$3:$A$102,'TCO TO BE - HW'!J$2,'Rozpočet - HW a licencie'!$C$3:$C$102,"SW pre HW",'Rozpočet - HW a licencie'!$G$3:$G$102,'TCO TO BE - HW'!$D9,'Rozpočet - HW a licencie'!$D$3:$D$102,'TCO TO BE - HW'!$B$15),)</f>
        <v>0</v>
      </c>
      <c r="K19" s="579">
        <f>IFERROR(SUMIFS('Rozpočet - HW a licencie'!$I$3:$I$102,'Rozpočet - HW a licencie'!$A$3:$A$102,'TCO TO BE - HW'!K$2,'Rozpočet - HW a licencie'!$C$3:$C$102,"HW",'Rozpočet - HW a licencie'!$G$3:$G$102,'TCO TO BE - HW'!$D9,'Rozpočet - HW a licencie'!$D$3:$D$102,'TCO TO BE - HW'!$B$15)+SUMIFS('Rozpočet - HW a licencie'!$I$3:$I$102,'Rozpočet - HW a licencie'!$A$3:$A$102,'TCO TO BE - HW'!K$2,'Rozpočet - HW a licencie'!$C$3:$C$102,"SW pre HW",'Rozpočet - HW a licencie'!$G$3:$G$102,'TCO TO BE - HW'!$D9,'Rozpočet - HW a licencie'!$D$3:$D$102,'TCO TO BE - HW'!$B$15),)</f>
        <v>0</v>
      </c>
      <c r="L19" s="579">
        <f>IFERROR(SUMIFS('Rozpočet - HW a licencie'!$I$3:$I$102,'Rozpočet - HW a licencie'!$A$3:$A$102,'TCO TO BE - HW'!L$2,'Rozpočet - HW a licencie'!$C$3:$C$102,"HW",'Rozpočet - HW a licencie'!$G$3:$G$102,'TCO TO BE - HW'!$D9,'Rozpočet - HW a licencie'!$D$3:$D$102,'TCO TO BE - HW'!$B$15)+SUMIFS('Rozpočet - HW a licencie'!$I$3:$I$102,'Rozpočet - HW a licencie'!$A$3:$A$102,'TCO TO BE - HW'!L$2,'Rozpočet - HW a licencie'!$C$3:$C$102,"SW pre HW",'Rozpočet - HW a licencie'!$G$3:$G$102,'TCO TO BE - HW'!$D9,'Rozpočet - HW a licencie'!$D$3:$D$102,'TCO TO BE - HW'!$B$15),)</f>
        <v>0</v>
      </c>
      <c r="M19" s="579">
        <f>IFERROR(SUMIFS('Rozpočet - HW a licencie'!$I$3:$I$102,'Rozpočet - HW a licencie'!$A$3:$A$102,'TCO TO BE - HW'!M$2,'Rozpočet - HW a licencie'!$C$3:$C$102,"HW",'Rozpočet - HW a licencie'!$G$3:$G$102,'TCO TO BE - HW'!$D9,'Rozpočet - HW a licencie'!$D$3:$D$102,'TCO TO BE - HW'!$B$15)+SUMIFS('Rozpočet - HW a licencie'!$I$3:$I$102,'Rozpočet - HW a licencie'!$A$3:$A$102,'TCO TO BE - HW'!M$2,'Rozpočet - HW a licencie'!$C$3:$C$102,"SW pre HW",'Rozpočet - HW a licencie'!$G$3:$G$102,'TCO TO BE - HW'!$D9,'Rozpočet - HW a licencie'!$D$3:$D$102,'TCO TO BE - HW'!$B$15),)</f>
        <v>0</v>
      </c>
      <c r="N19" s="579">
        <f>IFERROR(SUMIFS('Rozpočet - HW a licencie'!$I$3:$I$102,'Rozpočet - HW a licencie'!$A$3:$A$102,'TCO TO BE - HW'!N$2,'Rozpočet - HW a licencie'!$C$3:$C$102,"HW",'Rozpočet - HW a licencie'!$G$3:$G$102,'TCO TO BE - HW'!$D9,'Rozpočet - HW a licencie'!$D$3:$D$102,'TCO TO BE - HW'!$B$15)+SUMIFS('Rozpočet - HW a licencie'!$I$3:$I$102,'Rozpočet - HW a licencie'!$A$3:$A$102,'TCO TO BE - HW'!N$2,'Rozpočet - HW a licencie'!$C$3:$C$102,"SW pre HW",'Rozpočet - HW a licencie'!$G$3:$G$102,'TCO TO BE - HW'!$D9,'Rozpočet - HW a licencie'!$D$3:$D$102,'TCO TO BE - HW'!$B$15),)</f>
        <v>0</v>
      </c>
      <c r="O19" s="579">
        <f>IFERROR(SUMIFS('Rozpočet - HW a licencie'!$I$3:$I$102,'Rozpočet - HW a licencie'!$A$3:$A$102,'TCO TO BE - HW'!O$2,'Rozpočet - HW a licencie'!$C$3:$C$102,"HW",'Rozpočet - HW a licencie'!$G$3:$G$102,'TCO TO BE - HW'!$D9,'Rozpočet - HW a licencie'!$D$3:$D$102,'TCO TO BE - HW'!$B$15)+SUMIFS('Rozpočet - HW a licencie'!$I$3:$I$102,'Rozpočet - HW a licencie'!$A$3:$A$102,'TCO TO BE - HW'!O$2,'Rozpočet - HW a licencie'!$C$3:$C$102,"SW pre HW",'Rozpočet - HW a licencie'!$G$3:$G$102,'TCO TO BE - HW'!$D9,'Rozpočet - HW a licencie'!$D$3:$D$102,'TCO TO BE - HW'!$B$15),)</f>
        <v>0</v>
      </c>
      <c r="P19" s="579">
        <f>IFERROR(SUMIFS('Rozpočet - HW a licencie'!$I$3:$I$102,'Rozpočet - HW a licencie'!$A$3:$A$102,'TCO TO BE - HW'!P$2,'Rozpočet - HW a licencie'!$C$3:$C$102,"HW",'Rozpočet - HW a licencie'!$G$3:$G$102,'TCO TO BE - HW'!$D9,'Rozpočet - HW a licencie'!$D$3:$D$102,'TCO TO BE - HW'!$B$15)+SUMIFS('Rozpočet - HW a licencie'!$I$3:$I$102,'Rozpočet - HW a licencie'!$A$3:$A$102,'TCO TO BE - HW'!P$2,'Rozpočet - HW a licencie'!$C$3:$C$102,"SW pre HW",'Rozpočet - HW a licencie'!$G$3:$G$102,'TCO TO BE - HW'!$D9,'Rozpočet - HW a licencie'!$D$3:$D$102,'TCO TO BE - HW'!$B$15),)</f>
        <v>0</v>
      </c>
      <c r="Q19" s="579">
        <f>IFERROR(SUMIFS('Rozpočet - HW a licencie'!$I$3:$I$102,'Rozpočet - HW a licencie'!$A$3:$A$102,'TCO TO BE - HW'!Q$2,'Rozpočet - HW a licencie'!$C$3:$C$102,"HW",'Rozpočet - HW a licencie'!$G$3:$G$102,'TCO TO BE - HW'!$D9,'Rozpočet - HW a licencie'!$D$3:$D$102,'TCO TO BE - HW'!$B$15)+SUMIFS('Rozpočet - HW a licencie'!$I$3:$I$102,'Rozpočet - HW a licencie'!$A$3:$A$102,'TCO TO BE - HW'!Q$2,'Rozpočet - HW a licencie'!$C$3:$C$102,"SW pre HW",'Rozpočet - HW a licencie'!$G$3:$G$102,'TCO TO BE - HW'!$D9,'Rozpočet - HW a licencie'!$D$3:$D$102,'TCO TO BE - HW'!$B$15),)</f>
        <v>0</v>
      </c>
      <c r="R19" s="579">
        <f>IFERROR(SUMIFS('Rozpočet - HW a licencie'!$I$3:$I$102,'Rozpočet - HW a licencie'!$A$3:$A$102,'TCO TO BE - HW'!R$2,'Rozpočet - HW a licencie'!$C$3:$C$102,"HW",'Rozpočet - HW a licencie'!$G$3:$G$102,'TCO TO BE - HW'!$D9,'Rozpočet - HW a licencie'!$D$3:$D$102,'TCO TO BE - HW'!$B$15)+SUMIFS('Rozpočet - HW a licencie'!$I$3:$I$102,'Rozpočet - HW a licencie'!$A$3:$A$102,'TCO TO BE - HW'!R$2,'Rozpočet - HW a licencie'!$C$3:$C$102,"SW pre HW",'Rozpočet - HW a licencie'!$G$3:$G$102,'TCO TO BE - HW'!$D9,'Rozpočet - HW a licencie'!$D$3:$D$102,'TCO TO BE - HW'!$B$15),)</f>
        <v>0</v>
      </c>
      <c r="S19" s="579">
        <f>IFERROR(SUMIFS('Rozpočet - HW a licencie'!$I$3:$I$102,'Rozpočet - HW a licencie'!$A$3:$A$102,'TCO TO BE - HW'!S$2,'Rozpočet - HW a licencie'!$C$3:$C$102,"HW",'Rozpočet - HW a licencie'!$G$3:$G$102,'TCO TO BE - HW'!$D9,'Rozpočet - HW a licencie'!$D$3:$D$102,'TCO TO BE - HW'!$B$15)+SUMIFS('Rozpočet - HW a licencie'!$I$3:$I$102,'Rozpočet - HW a licencie'!$A$3:$A$102,'TCO TO BE - HW'!S$2,'Rozpočet - HW a licencie'!$C$3:$C$102,"SW pre HW",'Rozpočet - HW a licencie'!$G$3:$G$102,'TCO TO BE - HW'!$D9,'Rozpočet - HW a licencie'!$D$3:$D$102,'TCO TO BE - HW'!$B$15),)</f>
        <v>0</v>
      </c>
      <c r="T19" s="579">
        <f>IFERROR(SUMIFS('Rozpočet - HW a licencie'!$I$3:$I$102,'Rozpočet - HW a licencie'!$A$3:$A$102,'TCO TO BE - HW'!T$2,'Rozpočet - HW a licencie'!$C$3:$C$102,"HW",'Rozpočet - HW a licencie'!$G$3:$G$102,'TCO TO BE - HW'!$D9,'Rozpočet - HW a licencie'!$D$3:$D$102,'TCO TO BE - HW'!$B$15)+SUMIFS('Rozpočet - HW a licencie'!$I$3:$I$102,'Rozpočet - HW a licencie'!$A$3:$A$102,'TCO TO BE - HW'!T$2,'Rozpočet - HW a licencie'!$C$3:$C$102,"SW pre HW",'Rozpočet - HW a licencie'!$G$3:$G$102,'TCO TO BE - HW'!$D9,'Rozpočet - HW a licencie'!$D$3:$D$102,'TCO TO BE - HW'!$B$15),)</f>
        <v>0</v>
      </c>
      <c r="U19" s="579">
        <f>IFERROR(SUMIFS('Rozpočet - HW a licencie'!$I$3:$I$102,'Rozpočet - HW a licencie'!$A$3:$A$102,'TCO TO BE - HW'!U$2,'Rozpočet - HW a licencie'!$C$3:$C$102,"HW",'Rozpočet - HW a licencie'!$G$3:$G$102,'TCO TO BE - HW'!$D9,'Rozpočet - HW a licencie'!$D$3:$D$102,'TCO TO BE - HW'!$B$15)+SUMIFS('Rozpočet - HW a licencie'!$I$3:$I$102,'Rozpočet - HW a licencie'!$A$3:$A$102,'TCO TO BE - HW'!U$2,'Rozpočet - HW a licencie'!$C$3:$C$102,"SW pre HW",'Rozpočet - HW a licencie'!$G$3:$G$102,'TCO TO BE - HW'!$D9,'Rozpočet - HW a licencie'!$D$3:$D$102,'TCO TO BE - HW'!$B$15),)</f>
        <v>0</v>
      </c>
      <c r="V19" s="579">
        <f>IFERROR(SUMIFS('Rozpočet - HW a licencie'!$I$3:$I$102,'Rozpočet - HW a licencie'!$A$3:$A$102,'TCO TO BE - HW'!V$2,'Rozpočet - HW a licencie'!$C$3:$C$102,"HW",'Rozpočet - HW a licencie'!$G$3:$G$102,'TCO TO BE - HW'!$D9,'Rozpočet - HW a licencie'!$D$3:$D$102,'TCO TO BE - HW'!$B$15)+SUMIFS('Rozpočet - HW a licencie'!$I$3:$I$102,'Rozpočet - HW a licencie'!$A$3:$A$102,'TCO TO BE - HW'!V$2,'Rozpočet - HW a licencie'!$C$3:$C$102,"SW pre HW",'Rozpočet - HW a licencie'!$G$3:$G$102,'TCO TO BE - HW'!$D9,'Rozpočet - HW a licencie'!$D$3:$D$102,'TCO TO BE - HW'!$B$15),)</f>
        <v>0</v>
      </c>
      <c r="W19" s="579">
        <f>IFERROR(SUMIFS('Rozpočet - HW a licencie'!$I$3:$I$102,'Rozpočet - HW a licencie'!$A$3:$A$102,'TCO TO BE - HW'!W$2,'Rozpočet - HW a licencie'!$C$3:$C$102,"HW",'Rozpočet - HW a licencie'!$G$3:$G$102,'TCO TO BE - HW'!$D9,'Rozpočet - HW a licencie'!$D$3:$D$102,'TCO TO BE - HW'!$B$15)+SUMIFS('Rozpočet - HW a licencie'!$I$3:$I$102,'Rozpočet - HW a licencie'!$A$3:$A$102,'TCO TO BE - HW'!W$2,'Rozpočet - HW a licencie'!$C$3:$C$102,"SW pre HW",'Rozpočet - HW a licencie'!$G$3:$G$102,'TCO TO BE - HW'!$D9,'Rozpočet - HW a licencie'!$D$3:$D$102,'TCO TO BE - HW'!$B$15),)</f>
        <v>0</v>
      </c>
      <c r="X19" s="579">
        <f>IFERROR(SUMIFS('Rozpočet - HW a licencie'!$I$3:$I$102,'Rozpočet - HW a licencie'!$A$3:$A$102,'TCO TO BE - HW'!X$2,'Rozpočet - HW a licencie'!$C$3:$C$102,"HW",'Rozpočet - HW a licencie'!$G$3:$G$102,'TCO TO BE - HW'!$D9,'Rozpočet - HW a licencie'!$D$3:$D$102,'TCO TO BE - HW'!$B$15)+SUMIFS('Rozpočet - HW a licencie'!$I$3:$I$102,'Rozpočet - HW a licencie'!$A$3:$A$102,'TCO TO BE - HW'!X$2,'Rozpočet - HW a licencie'!$C$3:$C$102,"SW pre HW",'Rozpočet - HW a licencie'!$G$3:$G$102,'TCO TO BE - HW'!$D9,'Rozpočet - HW a licencie'!$D$3:$D$102,'TCO TO BE - HW'!$B$15),)</f>
        <v>0</v>
      </c>
      <c r="Y19" s="579">
        <f>IFERROR(SUMIFS('Rozpočet - HW a licencie'!$I$3:$I$102,'Rozpočet - HW a licencie'!$A$3:$A$102,'TCO TO BE - HW'!Y$2,'Rozpočet - HW a licencie'!$C$3:$C$102,"HW",'Rozpočet - HW a licencie'!$G$3:$G$102,'TCO TO BE - HW'!$D9,'Rozpočet - HW a licencie'!$D$3:$D$102,'TCO TO BE - HW'!$B$15)+SUMIFS('Rozpočet - HW a licencie'!$I$3:$I$102,'Rozpočet - HW a licencie'!$A$3:$A$102,'TCO TO BE - HW'!Y$2,'Rozpočet - HW a licencie'!$C$3:$C$102,"SW pre HW",'Rozpočet - HW a licencie'!$G$3:$G$102,'TCO TO BE - HW'!$D9,'Rozpočet - HW a licencie'!$D$3:$D$102,'TCO TO BE - HW'!$B$15),)</f>
        <v>0</v>
      </c>
      <c r="Z19" s="579">
        <f>IFERROR(SUMIFS('Rozpočet - HW a licencie'!$I$3:$I$102,'Rozpočet - HW a licencie'!$A$3:$A$102,'TCO TO BE - HW'!Z$2,'Rozpočet - HW a licencie'!$C$3:$C$102,"HW",'Rozpočet - HW a licencie'!$G$3:$G$102,'TCO TO BE - HW'!$D9,'Rozpočet - HW a licencie'!$D$3:$D$102,'TCO TO BE - HW'!$B$15)+SUMIFS('Rozpočet - HW a licencie'!$I$3:$I$102,'Rozpočet - HW a licencie'!$A$3:$A$102,'TCO TO BE - HW'!Z$2,'Rozpočet - HW a licencie'!$C$3:$C$102,"SW pre HW",'Rozpočet - HW a licencie'!$G$3:$G$102,'TCO TO BE - HW'!$D9,'Rozpočet - HW a licencie'!$D$3:$D$102,'TCO TO BE - HW'!$B$15),)</f>
        <v>0</v>
      </c>
    </row>
    <row r="20" spans="1:26" outlineLevel="1" x14ac:dyDescent="0.2">
      <c r="A20" s="1390"/>
      <c r="B20" s="1391"/>
      <c r="C20" s="1391"/>
      <c r="D20" s="497">
        <v>6</v>
      </c>
      <c r="E20" s="68">
        <f t="shared" si="2"/>
        <v>0</v>
      </c>
      <c r="F20" s="579">
        <f>IFERROR(SUMIFS('Rozpočet - HW a licencie'!$I$3:$I$102,'Rozpočet - HW a licencie'!$A$3:$A$102,'TCO TO BE - HW'!F$2,'Rozpočet - HW a licencie'!$C$3:$C$102,"HW",'Rozpočet - HW a licencie'!$G$3:$G$102,'TCO TO BE - HW'!$D10,'Rozpočet - HW a licencie'!$D$3:$D$102,'TCO TO BE - HW'!$B$15)+SUMIFS('Rozpočet - HW a licencie'!$I$3:$I$102,'Rozpočet - HW a licencie'!$A$3:$A$102,'TCO TO BE - HW'!F$2,'Rozpočet - HW a licencie'!$C$3:$C$102,"SW pre HW",'Rozpočet - HW a licencie'!$G$3:$G$102,'TCO TO BE - HW'!$D10,'Rozpočet - HW a licencie'!$D$3:$D$102,'TCO TO BE - HW'!$B$15),)</f>
        <v>0</v>
      </c>
      <c r="G20" s="579">
        <f>IFERROR(SUMIFS('Rozpočet - HW a licencie'!$I$3:$I$102,'Rozpočet - HW a licencie'!$A$3:$A$102,'TCO TO BE - HW'!G$2,'Rozpočet - HW a licencie'!$C$3:$C$102,"HW",'Rozpočet - HW a licencie'!$G$3:$G$102,'TCO TO BE - HW'!$D10,'Rozpočet - HW a licencie'!$D$3:$D$102,'TCO TO BE - HW'!$B$15)+SUMIFS('Rozpočet - HW a licencie'!$I$3:$I$102,'Rozpočet - HW a licencie'!$A$3:$A$102,'TCO TO BE - HW'!G$2,'Rozpočet - HW a licencie'!$C$3:$C$102,"SW pre HW",'Rozpočet - HW a licencie'!$G$3:$G$102,'TCO TO BE - HW'!$D10,'Rozpočet - HW a licencie'!$D$3:$D$102,'TCO TO BE - HW'!$B$15),)</f>
        <v>0</v>
      </c>
      <c r="H20" s="579">
        <f>IFERROR(SUMIFS('Rozpočet - HW a licencie'!$I$3:$I$102,'Rozpočet - HW a licencie'!$A$3:$A$102,'TCO TO BE - HW'!H$2,'Rozpočet - HW a licencie'!$C$3:$C$102,"HW",'Rozpočet - HW a licencie'!$G$3:$G$102,'TCO TO BE - HW'!$D10,'Rozpočet - HW a licencie'!$D$3:$D$102,'TCO TO BE - HW'!$B$15)+SUMIFS('Rozpočet - HW a licencie'!$I$3:$I$102,'Rozpočet - HW a licencie'!$A$3:$A$102,'TCO TO BE - HW'!H$2,'Rozpočet - HW a licencie'!$C$3:$C$102,"SW pre HW",'Rozpočet - HW a licencie'!$G$3:$G$102,'TCO TO BE - HW'!$D10,'Rozpočet - HW a licencie'!$D$3:$D$102,'TCO TO BE - HW'!$B$15),)</f>
        <v>0</v>
      </c>
      <c r="I20" s="579">
        <f>IFERROR(SUMIFS('Rozpočet - HW a licencie'!$I$3:$I$102,'Rozpočet - HW a licencie'!$A$3:$A$102,'TCO TO BE - HW'!I$2,'Rozpočet - HW a licencie'!$C$3:$C$102,"HW",'Rozpočet - HW a licencie'!$G$3:$G$102,'TCO TO BE - HW'!$D10,'Rozpočet - HW a licencie'!$D$3:$D$102,'TCO TO BE - HW'!$B$15)+SUMIFS('Rozpočet - HW a licencie'!$I$3:$I$102,'Rozpočet - HW a licencie'!$A$3:$A$102,'TCO TO BE - HW'!I$2,'Rozpočet - HW a licencie'!$C$3:$C$102,"SW pre HW",'Rozpočet - HW a licencie'!$G$3:$G$102,'TCO TO BE - HW'!$D10,'Rozpočet - HW a licencie'!$D$3:$D$102,'TCO TO BE - HW'!$B$15),)</f>
        <v>0</v>
      </c>
      <c r="J20" s="579">
        <f>IFERROR(SUMIFS('Rozpočet - HW a licencie'!$I$3:$I$102,'Rozpočet - HW a licencie'!$A$3:$A$102,'TCO TO BE - HW'!J$2,'Rozpočet - HW a licencie'!$C$3:$C$102,"HW",'Rozpočet - HW a licencie'!$G$3:$G$102,'TCO TO BE - HW'!$D10,'Rozpočet - HW a licencie'!$D$3:$D$102,'TCO TO BE - HW'!$B$15)+SUMIFS('Rozpočet - HW a licencie'!$I$3:$I$102,'Rozpočet - HW a licencie'!$A$3:$A$102,'TCO TO BE - HW'!J$2,'Rozpočet - HW a licencie'!$C$3:$C$102,"SW pre HW",'Rozpočet - HW a licencie'!$G$3:$G$102,'TCO TO BE - HW'!$D10,'Rozpočet - HW a licencie'!$D$3:$D$102,'TCO TO BE - HW'!$B$15),)</f>
        <v>0</v>
      </c>
      <c r="K20" s="579">
        <f>IFERROR(SUMIFS('Rozpočet - HW a licencie'!$I$3:$I$102,'Rozpočet - HW a licencie'!$A$3:$A$102,'TCO TO BE - HW'!K$2,'Rozpočet - HW a licencie'!$C$3:$C$102,"HW",'Rozpočet - HW a licencie'!$G$3:$G$102,'TCO TO BE - HW'!$D10,'Rozpočet - HW a licencie'!$D$3:$D$102,'TCO TO BE - HW'!$B$15)+SUMIFS('Rozpočet - HW a licencie'!$I$3:$I$102,'Rozpočet - HW a licencie'!$A$3:$A$102,'TCO TO BE - HW'!K$2,'Rozpočet - HW a licencie'!$C$3:$C$102,"SW pre HW",'Rozpočet - HW a licencie'!$G$3:$G$102,'TCO TO BE - HW'!$D10,'Rozpočet - HW a licencie'!$D$3:$D$102,'TCO TO BE - HW'!$B$15),)</f>
        <v>0</v>
      </c>
      <c r="L20" s="579">
        <f>IFERROR(SUMIFS('Rozpočet - HW a licencie'!$I$3:$I$102,'Rozpočet - HW a licencie'!$A$3:$A$102,'TCO TO BE - HW'!L$2,'Rozpočet - HW a licencie'!$C$3:$C$102,"HW",'Rozpočet - HW a licencie'!$G$3:$G$102,'TCO TO BE - HW'!$D10,'Rozpočet - HW a licencie'!$D$3:$D$102,'TCO TO BE - HW'!$B$15)+SUMIFS('Rozpočet - HW a licencie'!$I$3:$I$102,'Rozpočet - HW a licencie'!$A$3:$A$102,'TCO TO BE - HW'!L$2,'Rozpočet - HW a licencie'!$C$3:$C$102,"SW pre HW",'Rozpočet - HW a licencie'!$G$3:$G$102,'TCO TO BE - HW'!$D10,'Rozpočet - HW a licencie'!$D$3:$D$102,'TCO TO BE - HW'!$B$15),)</f>
        <v>0</v>
      </c>
      <c r="M20" s="579">
        <f>IFERROR(SUMIFS('Rozpočet - HW a licencie'!$I$3:$I$102,'Rozpočet - HW a licencie'!$A$3:$A$102,'TCO TO BE - HW'!M$2,'Rozpočet - HW a licencie'!$C$3:$C$102,"HW",'Rozpočet - HW a licencie'!$G$3:$G$102,'TCO TO BE - HW'!$D10,'Rozpočet - HW a licencie'!$D$3:$D$102,'TCO TO BE - HW'!$B$15)+SUMIFS('Rozpočet - HW a licencie'!$I$3:$I$102,'Rozpočet - HW a licencie'!$A$3:$A$102,'TCO TO BE - HW'!M$2,'Rozpočet - HW a licencie'!$C$3:$C$102,"SW pre HW",'Rozpočet - HW a licencie'!$G$3:$G$102,'TCO TO BE - HW'!$D10,'Rozpočet - HW a licencie'!$D$3:$D$102,'TCO TO BE - HW'!$B$15),)</f>
        <v>0</v>
      </c>
      <c r="N20" s="579">
        <f>IFERROR(SUMIFS('Rozpočet - HW a licencie'!$I$3:$I$102,'Rozpočet - HW a licencie'!$A$3:$A$102,'TCO TO BE - HW'!N$2,'Rozpočet - HW a licencie'!$C$3:$C$102,"HW",'Rozpočet - HW a licencie'!$G$3:$G$102,'TCO TO BE - HW'!$D10,'Rozpočet - HW a licencie'!$D$3:$D$102,'TCO TO BE - HW'!$B$15)+SUMIFS('Rozpočet - HW a licencie'!$I$3:$I$102,'Rozpočet - HW a licencie'!$A$3:$A$102,'TCO TO BE - HW'!N$2,'Rozpočet - HW a licencie'!$C$3:$C$102,"SW pre HW",'Rozpočet - HW a licencie'!$G$3:$G$102,'TCO TO BE - HW'!$D10,'Rozpočet - HW a licencie'!$D$3:$D$102,'TCO TO BE - HW'!$B$15),)</f>
        <v>0</v>
      </c>
      <c r="O20" s="579">
        <f>IFERROR(SUMIFS('Rozpočet - HW a licencie'!$I$3:$I$102,'Rozpočet - HW a licencie'!$A$3:$A$102,'TCO TO BE - HW'!O$2,'Rozpočet - HW a licencie'!$C$3:$C$102,"HW",'Rozpočet - HW a licencie'!$G$3:$G$102,'TCO TO BE - HW'!$D10,'Rozpočet - HW a licencie'!$D$3:$D$102,'TCO TO BE - HW'!$B$15)+SUMIFS('Rozpočet - HW a licencie'!$I$3:$I$102,'Rozpočet - HW a licencie'!$A$3:$A$102,'TCO TO BE - HW'!O$2,'Rozpočet - HW a licencie'!$C$3:$C$102,"SW pre HW",'Rozpočet - HW a licencie'!$G$3:$G$102,'TCO TO BE - HW'!$D10,'Rozpočet - HW a licencie'!$D$3:$D$102,'TCO TO BE - HW'!$B$15),)</f>
        <v>0</v>
      </c>
      <c r="P20" s="579">
        <f>IFERROR(SUMIFS('Rozpočet - HW a licencie'!$I$3:$I$102,'Rozpočet - HW a licencie'!$A$3:$A$102,'TCO TO BE - HW'!P$2,'Rozpočet - HW a licencie'!$C$3:$C$102,"HW",'Rozpočet - HW a licencie'!$G$3:$G$102,'TCO TO BE - HW'!$D10,'Rozpočet - HW a licencie'!$D$3:$D$102,'TCO TO BE - HW'!$B$15)+SUMIFS('Rozpočet - HW a licencie'!$I$3:$I$102,'Rozpočet - HW a licencie'!$A$3:$A$102,'TCO TO BE - HW'!P$2,'Rozpočet - HW a licencie'!$C$3:$C$102,"SW pre HW",'Rozpočet - HW a licencie'!$G$3:$G$102,'TCO TO BE - HW'!$D10,'Rozpočet - HW a licencie'!$D$3:$D$102,'TCO TO BE - HW'!$B$15),)</f>
        <v>0</v>
      </c>
      <c r="Q20" s="579">
        <f>IFERROR(SUMIFS('Rozpočet - HW a licencie'!$I$3:$I$102,'Rozpočet - HW a licencie'!$A$3:$A$102,'TCO TO BE - HW'!Q$2,'Rozpočet - HW a licencie'!$C$3:$C$102,"HW",'Rozpočet - HW a licencie'!$G$3:$G$102,'TCO TO BE - HW'!$D10,'Rozpočet - HW a licencie'!$D$3:$D$102,'TCO TO BE - HW'!$B$15)+SUMIFS('Rozpočet - HW a licencie'!$I$3:$I$102,'Rozpočet - HW a licencie'!$A$3:$A$102,'TCO TO BE - HW'!Q$2,'Rozpočet - HW a licencie'!$C$3:$C$102,"SW pre HW",'Rozpočet - HW a licencie'!$G$3:$G$102,'TCO TO BE - HW'!$D10,'Rozpočet - HW a licencie'!$D$3:$D$102,'TCO TO BE - HW'!$B$15),)</f>
        <v>0</v>
      </c>
      <c r="R20" s="579">
        <f>IFERROR(SUMIFS('Rozpočet - HW a licencie'!$I$3:$I$102,'Rozpočet - HW a licencie'!$A$3:$A$102,'TCO TO BE - HW'!R$2,'Rozpočet - HW a licencie'!$C$3:$C$102,"HW",'Rozpočet - HW a licencie'!$G$3:$G$102,'TCO TO BE - HW'!$D10,'Rozpočet - HW a licencie'!$D$3:$D$102,'TCO TO BE - HW'!$B$15)+SUMIFS('Rozpočet - HW a licencie'!$I$3:$I$102,'Rozpočet - HW a licencie'!$A$3:$A$102,'TCO TO BE - HW'!R$2,'Rozpočet - HW a licencie'!$C$3:$C$102,"SW pre HW",'Rozpočet - HW a licencie'!$G$3:$G$102,'TCO TO BE - HW'!$D10,'Rozpočet - HW a licencie'!$D$3:$D$102,'TCO TO BE - HW'!$B$15),)</f>
        <v>0</v>
      </c>
      <c r="S20" s="579">
        <f>IFERROR(SUMIFS('Rozpočet - HW a licencie'!$I$3:$I$102,'Rozpočet - HW a licencie'!$A$3:$A$102,'TCO TO BE - HW'!S$2,'Rozpočet - HW a licencie'!$C$3:$C$102,"HW",'Rozpočet - HW a licencie'!$G$3:$G$102,'TCO TO BE - HW'!$D10,'Rozpočet - HW a licencie'!$D$3:$D$102,'TCO TO BE - HW'!$B$15)+SUMIFS('Rozpočet - HW a licencie'!$I$3:$I$102,'Rozpočet - HW a licencie'!$A$3:$A$102,'TCO TO BE - HW'!S$2,'Rozpočet - HW a licencie'!$C$3:$C$102,"SW pre HW",'Rozpočet - HW a licencie'!$G$3:$G$102,'TCO TO BE - HW'!$D10,'Rozpočet - HW a licencie'!$D$3:$D$102,'TCO TO BE - HW'!$B$15),)</f>
        <v>0</v>
      </c>
      <c r="T20" s="579">
        <f>IFERROR(SUMIFS('Rozpočet - HW a licencie'!$I$3:$I$102,'Rozpočet - HW a licencie'!$A$3:$A$102,'TCO TO BE - HW'!T$2,'Rozpočet - HW a licencie'!$C$3:$C$102,"HW",'Rozpočet - HW a licencie'!$G$3:$G$102,'TCO TO BE - HW'!$D10,'Rozpočet - HW a licencie'!$D$3:$D$102,'TCO TO BE - HW'!$B$15)+SUMIFS('Rozpočet - HW a licencie'!$I$3:$I$102,'Rozpočet - HW a licencie'!$A$3:$A$102,'TCO TO BE - HW'!T$2,'Rozpočet - HW a licencie'!$C$3:$C$102,"SW pre HW",'Rozpočet - HW a licencie'!$G$3:$G$102,'TCO TO BE - HW'!$D10,'Rozpočet - HW a licencie'!$D$3:$D$102,'TCO TO BE - HW'!$B$15),)</f>
        <v>0</v>
      </c>
      <c r="U20" s="579">
        <f>IFERROR(SUMIFS('Rozpočet - HW a licencie'!$I$3:$I$102,'Rozpočet - HW a licencie'!$A$3:$A$102,'TCO TO BE - HW'!U$2,'Rozpočet - HW a licencie'!$C$3:$C$102,"HW",'Rozpočet - HW a licencie'!$G$3:$G$102,'TCO TO BE - HW'!$D10,'Rozpočet - HW a licencie'!$D$3:$D$102,'TCO TO BE - HW'!$B$15)+SUMIFS('Rozpočet - HW a licencie'!$I$3:$I$102,'Rozpočet - HW a licencie'!$A$3:$A$102,'TCO TO BE - HW'!U$2,'Rozpočet - HW a licencie'!$C$3:$C$102,"SW pre HW",'Rozpočet - HW a licencie'!$G$3:$G$102,'TCO TO BE - HW'!$D10,'Rozpočet - HW a licencie'!$D$3:$D$102,'TCO TO BE - HW'!$B$15),)</f>
        <v>0</v>
      </c>
      <c r="V20" s="579">
        <f>IFERROR(SUMIFS('Rozpočet - HW a licencie'!$I$3:$I$102,'Rozpočet - HW a licencie'!$A$3:$A$102,'TCO TO BE - HW'!V$2,'Rozpočet - HW a licencie'!$C$3:$C$102,"HW",'Rozpočet - HW a licencie'!$G$3:$G$102,'TCO TO BE - HW'!$D10,'Rozpočet - HW a licencie'!$D$3:$D$102,'TCO TO BE - HW'!$B$15)+SUMIFS('Rozpočet - HW a licencie'!$I$3:$I$102,'Rozpočet - HW a licencie'!$A$3:$A$102,'TCO TO BE - HW'!V$2,'Rozpočet - HW a licencie'!$C$3:$C$102,"SW pre HW",'Rozpočet - HW a licencie'!$G$3:$G$102,'TCO TO BE - HW'!$D10,'Rozpočet - HW a licencie'!$D$3:$D$102,'TCO TO BE - HW'!$B$15),)</f>
        <v>0</v>
      </c>
      <c r="W20" s="579">
        <f>IFERROR(SUMIFS('Rozpočet - HW a licencie'!$I$3:$I$102,'Rozpočet - HW a licencie'!$A$3:$A$102,'TCO TO BE - HW'!W$2,'Rozpočet - HW a licencie'!$C$3:$C$102,"HW",'Rozpočet - HW a licencie'!$G$3:$G$102,'TCO TO BE - HW'!$D10,'Rozpočet - HW a licencie'!$D$3:$D$102,'TCO TO BE - HW'!$B$15)+SUMIFS('Rozpočet - HW a licencie'!$I$3:$I$102,'Rozpočet - HW a licencie'!$A$3:$A$102,'TCO TO BE - HW'!W$2,'Rozpočet - HW a licencie'!$C$3:$C$102,"SW pre HW",'Rozpočet - HW a licencie'!$G$3:$G$102,'TCO TO BE - HW'!$D10,'Rozpočet - HW a licencie'!$D$3:$D$102,'TCO TO BE - HW'!$B$15),)</f>
        <v>0</v>
      </c>
      <c r="X20" s="579">
        <f>IFERROR(SUMIFS('Rozpočet - HW a licencie'!$I$3:$I$102,'Rozpočet - HW a licencie'!$A$3:$A$102,'TCO TO BE - HW'!X$2,'Rozpočet - HW a licencie'!$C$3:$C$102,"HW",'Rozpočet - HW a licencie'!$G$3:$G$102,'TCO TO BE - HW'!$D10,'Rozpočet - HW a licencie'!$D$3:$D$102,'TCO TO BE - HW'!$B$15)+SUMIFS('Rozpočet - HW a licencie'!$I$3:$I$102,'Rozpočet - HW a licencie'!$A$3:$A$102,'TCO TO BE - HW'!X$2,'Rozpočet - HW a licencie'!$C$3:$C$102,"SW pre HW",'Rozpočet - HW a licencie'!$G$3:$G$102,'TCO TO BE - HW'!$D10,'Rozpočet - HW a licencie'!$D$3:$D$102,'TCO TO BE - HW'!$B$15),)</f>
        <v>0</v>
      </c>
      <c r="Y20" s="579">
        <f>IFERROR(SUMIFS('Rozpočet - HW a licencie'!$I$3:$I$102,'Rozpočet - HW a licencie'!$A$3:$A$102,'TCO TO BE - HW'!Y$2,'Rozpočet - HW a licencie'!$C$3:$C$102,"HW",'Rozpočet - HW a licencie'!$G$3:$G$102,'TCO TO BE - HW'!$D10,'Rozpočet - HW a licencie'!$D$3:$D$102,'TCO TO BE - HW'!$B$15)+SUMIFS('Rozpočet - HW a licencie'!$I$3:$I$102,'Rozpočet - HW a licencie'!$A$3:$A$102,'TCO TO BE - HW'!Y$2,'Rozpočet - HW a licencie'!$C$3:$C$102,"SW pre HW",'Rozpočet - HW a licencie'!$G$3:$G$102,'TCO TO BE - HW'!$D10,'Rozpočet - HW a licencie'!$D$3:$D$102,'TCO TO BE - HW'!$B$15),)</f>
        <v>0</v>
      </c>
      <c r="Z20" s="579">
        <f>IFERROR(SUMIFS('Rozpočet - HW a licencie'!$I$3:$I$102,'Rozpočet - HW a licencie'!$A$3:$A$102,'TCO TO BE - HW'!Z$2,'Rozpočet - HW a licencie'!$C$3:$C$102,"HW",'Rozpočet - HW a licencie'!$G$3:$G$102,'TCO TO BE - HW'!$D10,'Rozpočet - HW a licencie'!$D$3:$D$102,'TCO TO BE - HW'!$B$15)+SUMIFS('Rozpočet - HW a licencie'!$I$3:$I$102,'Rozpočet - HW a licencie'!$A$3:$A$102,'TCO TO BE - HW'!Z$2,'Rozpočet - HW a licencie'!$C$3:$C$102,"SW pre HW",'Rozpočet - HW a licencie'!$G$3:$G$102,'TCO TO BE - HW'!$D10,'Rozpočet - HW a licencie'!$D$3:$D$102,'TCO TO BE - HW'!$B$15),)</f>
        <v>0</v>
      </c>
    </row>
    <row r="21" spans="1:26" outlineLevel="1" x14ac:dyDescent="0.2">
      <c r="A21" s="1390"/>
      <c r="B21" s="1391"/>
      <c r="C21" s="1391"/>
      <c r="D21" s="497">
        <v>7</v>
      </c>
      <c r="E21" s="68">
        <f t="shared" si="2"/>
        <v>0</v>
      </c>
      <c r="F21" s="579">
        <f>IFERROR(SUMIFS('Rozpočet - HW a licencie'!$I$3:$I$102,'Rozpočet - HW a licencie'!$A$3:$A$102,'TCO TO BE - HW'!F$2,'Rozpočet - HW a licencie'!$C$3:$C$102,"HW",'Rozpočet - HW a licencie'!$G$3:$G$102,'TCO TO BE - HW'!$D11,'Rozpočet - HW a licencie'!$D$3:$D$102,'TCO TO BE - HW'!$B$15)+SUMIFS('Rozpočet - HW a licencie'!$I$3:$I$102,'Rozpočet - HW a licencie'!$A$3:$A$102,'TCO TO BE - HW'!F$2,'Rozpočet - HW a licencie'!$C$3:$C$102,"SW pre HW",'Rozpočet - HW a licencie'!$G$3:$G$102,'TCO TO BE - HW'!$D11,'Rozpočet - HW a licencie'!$D$3:$D$102,'TCO TO BE - HW'!$B$15),)</f>
        <v>0</v>
      </c>
      <c r="G21" s="579">
        <f>IFERROR(SUMIFS('Rozpočet - HW a licencie'!$I$3:$I$102,'Rozpočet - HW a licencie'!$A$3:$A$102,'TCO TO BE - HW'!G$2,'Rozpočet - HW a licencie'!$C$3:$C$102,"HW",'Rozpočet - HW a licencie'!$G$3:$G$102,'TCO TO BE - HW'!$D11,'Rozpočet - HW a licencie'!$D$3:$D$102,'TCO TO BE - HW'!$B$15)+SUMIFS('Rozpočet - HW a licencie'!$I$3:$I$102,'Rozpočet - HW a licencie'!$A$3:$A$102,'TCO TO BE - HW'!G$2,'Rozpočet - HW a licencie'!$C$3:$C$102,"SW pre HW",'Rozpočet - HW a licencie'!$G$3:$G$102,'TCO TO BE - HW'!$D11,'Rozpočet - HW a licencie'!$D$3:$D$102,'TCO TO BE - HW'!$B$15),)</f>
        <v>0</v>
      </c>
      <c r="H21" s="579">
        <f>IFERROR(SUMIFS('Rozpočet - HW a licencie'!$I$3:$I$102,'Rozpočet - HW a licencie'!$A$3:$A$102,'TCO TO BE - HW'!H$2,'Rozpočet - HW a licencie'!$C$3:$C$102,"HW",'Rozpočet - HW a licencie'!$G$3:$G$102,'TCO TO BE - HW'!$D11,'Rozpočet - HW a licencie'!$D$3:$D$102,'TCO TO BE - HW'!$B$15)+SUMIFS('Rozpočet - HW a licencie'!$I$3:$I$102,'Rozpočet - HW a licencie'!$A$3:$A$102,'TCO TO BE - HW'!H$2,'Rozpočet - HW a licencie'!$C$3:$C$102,"SW pre HW",'Rozpočet - HW a licencie'!$G$3:$G$102,'TCO TO BE - HW'!$D11,'Rozpočet - HW a licencie'!$D$3:$D$102,'TCO TO BE - HW'!$B$15),)</f>
        <v>0</v>
      </c>
      <c r="I21" s="579">
        <f>IFERROR(SUMIFS('Rozpočet - HW a licencie'!$I$3:$I$102,'Rozpočet - HW a licencie'!$A$3:$A$102,'TCO TO BE - HW'!I$2,'Rozpočet - HW a licencie'!$C$3:$C$102,"HW",'Rozpočet - HW a licencie'!$G$3:$G$102,'TCO TO BE - HW'!$D11,'Rozpočet - HW a licencie'!$D$3:$D$102,'TCO TO BE - HW'!$B$15)+SUMIFS('Rozpočet - HW a licencie'!$I$3:$I$102,'Rozpočet - HW a licencie'!$A$3:$A$102,'TCO TO BE - HW'!I$2,'Rozpočet - HW a licencie'!$C$3:$C$102,"SW pre HW",'Rozpočet - HW a licencie'!$G$3:$G$102,'TCO TO BE - HW'!$D11,'Rozpočet - HW a licencie'!$D$3:$D$102,'TCO TO BE - HW'!$B$15),)</f>
        <v>0</v>
      </c>
      <c r="J21" s="579">
        <f>IFERROR(SUMIFS('Rozpočet - HW a licencie'!$I$3:$I$102,'Rozpočet - HW a licencie'!$A$3:$A$102,'TCO TO BE - HW'!J$2,'Rozpočet - HW a licencie'!$C$3:$C$102,"HW",'Rozpočet - HW a licencie'!$G$3:$G$102,'TCO TO BE - HW'!$D11,'Rozpočet - HW a licencie'!$D$3:$D$102,'TCO TO BE - HW'!$B$15)+SUMIFS('Rozpočet - HW a licencie'!$I$3:$I$102,'Rozpočet - HW a licencie'!$A$3:$A$102,'TCO TO BE - HW'!J$2,'Rozpočet - HW a licencie'!$C$3:$C$102,"SW pre HW",'Rozpočet - HW a licencie'!$G$3:$G$102,'TCO TO BE - HW'!$D11,'Rozpočet - HW a licencie'!$D$3:$D$102,'TCO TO BE - HW'!$B$15),)</f>
        <v>0</v>
      </c>
      <c r="K21" s="579">
        <f>IFERROR(SUMIFS('Rozpočet - HW a licencie'!$I$3:$I$102,'Rozpočet - HW a licencie'!$A$3:$A$102,'TCO TO BE - HW'!K$2,'Rozpočet - HW a licencie'!$C$3:$C$102,"HW",'Rozpočet - HW a licencie'!$G$3:$G$102,'TCO TO BE - HW'!$D11,'Rozpočet - HW a licencie'!$D$3:$D$102,'TCO TO BE - HW'!$B$15)+SUMIFS('Rozpočet - HW a licencie'!$I$3:$I$102,'Rozpočet - HW a licencie'!$A$3:$A$102,'TCO TO BE - HW'!K$2,'Rozpočet - HW a licencie'!$C$3:$C$102,"SW pre HW",'Rozpočet - HW a licencie'!$G$3:$G$102,'TCO TO BE - HW'!$D11,'Rozpočet - HW a licencie'!$D$3:$D$102,'TCO TO BE - HW'!$B$15),)</f>
        <v>0</v>
      </c>
      <c r="L21" s="579">
        <f>IFERROR(SUMIFS('Rozpočet - HW a licencie'!$I$3:$I$102,'Rozpočet - HW a licencie'!$A$3:$A$102,'TCO TO BE - HW'!L$2,'Rozpočet - HW a licencie'!$C$3:$C$102,"HW",'Rozpočet - HW a licencie'!$G$3:$G$102,'TCO TO BE - HW'!$D11,'Rozpočet - HW a licencie'!$D$3:$D$102,'TCO TO BE - HW'!$B$15)+SUMIFS('Rozpočet - HW a licencie'!$I$3:$I$102,'Rozpočet - HW a licencie'!$A$3:$A$102,'TCO TO BE - HW'!L$2,'Rozpočet - HW a licencie'!$C$3:$C$102,"SW pre HW",'Rozpočet - HW a licencie'!$G$3:$G$102,'TCO TO BE - HW'!$D11,'Rozpočet - HW a licencie'!$D$3:$D$102,'TCO TO BE - HW'!$B$15),)</f>
        <v>0</v>
      </c>
      <c r="M21" s="579">
        <f>IFERROR(SUMIFS('Rozpočet - HW a licencie'!$I$3:$I$102,'Rozpočet - HW a licencie'!$A$3:$A$102,'TCO TO BE - HW'!M$2,'Rozpočet - HW a licencie'!$C$3:$C$102,"HW",'Rozpočet - HW a licencie'!$G$3:$G$102,'TCO TO BE - HW'!$D11,'Rozpočet - HW a licencie'!$D$3:$D$102,'TCO TO BE - HW'!$B$15)+SUMIFS('Rozpočet - HW a licencie'!$I$3:$I$102,'Rozpočet - HW a licencie'!$A$3:$A$102,'TCO TO BE - HW'!M$2,'Rozpočet - HW a licencie'!$C$3:$C$102,"SW pre HW",'Rozpočet - HW a licencie'!$G$3:$G$102,'TCO TO BE - HW'!$D11,'Rozpočet - HW a licencie'!$D$3:$D$102,'TCO TO BE - HW'!$B$15),)</f>
        <v>0</v>
      </c>
      <c r="N21" s="579">
        <f>IFERROR(SUMIFS('Rozpočet - HW a licencie'!$I$3:$I$102,'Rozpočet - HW a licencie'!$A$3:$A$102,'TCO TO BE - HW'!N$2,'Rozpočet - HW a licencie'!$C$3:$C$102,"HW",'Rozpočet - HW a licencie'!$G$3:$G$102,'TCO TO BE - HW'!$D11,'Rozpočet - HW a licencie'!$D$3:$D$102,'TCO TO BE - HW'!$B$15)+SUMIFS('Rozpočet - HW a licencie'!$I$3:$I$102,'Rozpočet - HW a licencie'!$A$3:$A$102,'TCO TO BE - HW'!N$2,'Rozpočet - HW a licencie'!$C$3:$C$102,"SW pre HW",'Rozpočet - HW a licencie'!$G$3:$G$102,'TCO TO BE - HW'!$D11,'Rozpočet - HW a licencie'!$D$3:$D$102,'TCO TO BE - HW'!$B$15),)</f>
        <v>0</v>
      </c>
      <c r="O21" s="579">
        <f>IFERROR(SUMIFS('Rozpočet - HW a licencie'!$I$3:$I$102,'Rozpočet - HW a licencie'!$A$3:$A$102,'TCO TO BE - HW'!O$2,'Rozpočet - HW a licencie'!$C$3:$C$102,"HW",'Rozpočet - HW a licencie'!$G$3:$G$102,'TCO TO BE - HW'!$D11,'Rozpočet - HW a licencie'!$D$3:$D$102,'TCO TO BE - HW'!$B$15)+SUMIFS('Rozpočet - HW a licencie'!$I$3:$I$102,'Rozpočet - HW a licencie'!$A$3:$A$102,'TCO TO BE - HW'!O$2,'Rozpočet - HW a licencie'!$C$3:$C$102,"SW pre HW",'Rozpočet - HW a licencie'!$G$3:$G$102,'TCO TO BE - HW'!$D11,'Rozpočet - HW a licencie'!$D$3:$D$102,'TCO TO BE - HW'!$B$15),)</f>
        <v>0</v>
      </c>
      <c r="P21" s="579">
        <f>IFERROR(SUMIFS('Rozpočet - HW a licencie'!$I$3:$I$102,'Rozpočet - HW a licencie'!$A$3:$A$102,'TCO TO BE - HW'!P$2,'Rozpočet - HW a licencie'!$C$3:$C$102,"HW",'Rozpočet - HW a licencie'!$G$3:$G$102,'TCO TO BE - HW'!$D11,'Rozpočet - HW a licencie'!$D$3:$D$102,'TCO TO BE - HW'!$B$15)+SUMIFS('Rozpočet - HW a licencie'!$I$3:$I$102,'Rozpočet - HW a licencie'!$A$3:$A$102,'TCO TO BE - HW'!P$2,'Rozpočet - HW a licencie'!$C$3:$C$102,"SW pre HW",'Rozpočet - HW a licencie'!$G$3:$G$102,'TCO TO BE - HW'!$D11,'Rozpočet - HW a licencie'!$D$3:$D$102,'TCO TO BE - HW'!$B$15),)</f>
        <v>0</v>
      </c>
      <c r="Q21" s="579">
        <f>IFERROR(SUMIFS('Rozpočet - HW a licencie'!$I$3:$I$102,'Rozpočet - HW a licencie'!$A$3:$A$102,'TCO TO BE - HW'!Q$2,'Rozpočet - HW a licencie'!$C$3:$C$102,"HW",'Rozpočet - HW a licencie'!$G$3:$G$102,'TCO TO BE - HW'!$D11,'Rozpočet - HW a licencie'!$D$3:$D$102,'TCO TO BE - HW'!$B$15)+SUMIFS('Rozpočet - HW a licencie'!$I$3:$I$102,'Rozpočet - HW a licencie'!$A$3:$A$102,'TCO TO BE - HW'!Q$2,'Rozpočet - HW a licencie'!$C$3:$C$102,"SW pre HW",'Rozpočet - HW a licencie'!$G$3:$G$102,'TCO TO BE - HW'!$D11,'Rozpočet - HW a licencie'!$D$3:$D$102,'TCO TO BE - HW'!$B$15),)</f>
        <v>0</v>
      </c>
      <c r="R21" s="579">
        <f>IFERROR(SUMIFS('Rozpočet - HW a licencie'!$I$3:$I$102,'Rozpočet - HW a licencie'!$A$3:$A$102,'TCO TO BE - HW'!R$2,'Rozpočet - HW a licencie'!$C$3:$C$102,"HW",'Rozpočet - HW a licencie'!$G$3:$G$102,'TCO TO BE - HW'!$D11,'Rozpočet - HW a licencie'!$D$3:$D$102,'TCO TO BE - HW'!$B$15)+SUMIFS('Rozpočet - HW a licencie'!$I$3:$I$102,'Rozpočet - HW a licencie'!$A$3:$A$102,'TCO TO BE - HW'!R$2,'Rozpočet - HW a licencie'!$C$3:$C$102,"SW pre HW",'Rozpočet - HW a licencie'!$G$3:$G$102,'TCO TO BE - HW'!$D11,'Rozpočet - HW a licencie'!$D$3:$D$102,'TCO TO BE - HW'!$B$15),)</f>
        <v>0</v>
      </c>
      <c r="S21" s="579">
        <f>IFERROR(SUMIFS('Rozpočet - HW a licencie'!$I$3:$I$102,'Rozpočet - HW a licencie'!$A$3:$A$102,'TCO TO BE - HW'!S$2,'Rozpočet - HW a licencie'!$C$3:$C$102,"HW",'Rozpočet - HW a licencie'!$G$3:$G$102,'TCO TO BE - HW'!$D11,'Rozpočet - HW a licencie'!$D$3:$D$102,'TCO TO BE - HW'!$B$15)+SUMIFS('Rozpočet - HW a licencie'!$I$3:$I$102,'Rozpočet - HW a licencie'!$A$3:$A$102,'TCO TO BE - HW'!S$2,'Rozpočet - HW a licencie'!$C$3:$C$102,"SW pre HW",'Rozpočet - HW a licencie'!$G$3:$G$102,'TCO TO BE - HW'!$D11,'Rozpočet - HW a licencie'!$D$3:$D$102,'TCO TO BE - HW'!$B$15),)</f>
        <v>0</v>
      </c>
      <c r="T21" s="579">
        <f>IFERROR(SUMIFS('Rozpočet - HW a licencie'!$I$3:$I$102,'Rozpočet - HW a licencie'!$A$3:$A$102,'TCO TO BE - HW'!T$2,'Rozpočet - HW a licencie'!$C$3:$C$102,"HW",'Rozpočet - HW a licencie'!$G$3:$G$102,'TCO TO BE - HW'!$D11,'Rozpočet - HW a licencie'!$D$3:$D$102,'TCO TO BE - HW'!$B$15)+SUMIFS('Rozpočet - HW a licencie'!$I$3:$I$102,'Rozpočet - HW a licencie'!$A$3:$A$102,'TCO TO BE - HW'!T$2,'Rozpočet - HW a licencie'!$C$3:$C$102,"SW pre HW",'Rozpočet - HW a licencie'!$G$3:$G$102,'TCO TO BE - HW'!$D11,'Rozpočet - HW a licencie'!$D$3:$D$102,'TCO TO BE - HW'!$B$15),)</f>
        <v>0</v>
      </c>
      <c r="U21" s="579">
        <f>IFERROR(SUMIFS('Rozpočet - HW a licencie'!$I$3:$I$102,'Rozpočet - HW a licencie'!$A$3:$A$102,'TCO TO BE - HW'!U$2,'Rozpočet - HW a licencie'!$C$3:$C$102,"HW",'Rozpočet - HW a licencie'!$G$3:$G$102,'TCO TO BE - HW'!$D11,'Rozpočet - HW a licencie'!$D$3:$D$102,'TCO TO BE - HW'!$B$15)+SUMIFS('Rozpočet - HW a licencie'!$I$3:$I$102,'Rozpočet - HW a licencie'!$A$3:$A$102,'TCO TO BE - HW'!U$2,'Rozpočet - HW a licencie'!$C$3:$C$102,"SW pre HW",'Rozpočet - HW a licencie'!$G$3:$G$102,'TCO TO BE - HW'!$D11,'Rozpočet - HW a licencie'!$D$3:$D$102,'TCO TO BE - HW'!$B$15),)</f>
        <v>0</v>
      </c>
      <c r="V21" s="579">
        <f>IFERROR(SUMIFS('Rozpočet - HW a licencie'!$I$3:$I$102,'Rozpočet - HW a licencie'!$A$3:$A$102,'TCO TO BE - HW'!V$2,'Rozpočet - HW a licencie'!$C$3:$C$102,"HW",'Rozpočet - HW a licencie'!$G$3:$G$102,'TCO TO BE - HW'!$D11,'Rozpočet - HW a licencie'!$D$3:$D$102,'TCO TO BE - HW'!$B$15)+SUMIFS('Rozpočet - HW a licencie'!$I$3:$I$102,'Rozpočet - HW a licencie'!$A$3:$A$102,'TCO TO BE - HW'!V$2,'Rozpočet - HW a licencie'!$C$3:$C$102,"SW pre HW",'Rozpočet - HW a licencie'!$G$3:$G$102,'TCO TO BE - HW'!$D11,'Rozpočet - HW a licencie'!$D$3:$D$102,'TCO TO BE - HW'!$B$15),)</f>
        <v>0</v>
      </c>
      <c r="W21" s="579">
        <f>IFERROR(SUMIFS('Rozpočet - HW a licencie'!$I$3:$I$102,'Rozpočet - HW a licencie'!$A$3:$A$102,'TCO TO BE - HW'!W$2,'Rozpočet - HW a licencie'!$C$3:$C$102,"HW",'Rozpočet - HW a licencie'!$G$3:$G$102,'TCO TO BE - HW'!$D11,'Rozpočet - HW a licencie'!$D$3:$D$102,'TCO TO BE - HW'!$B$15)+SUMIFS('Rozpočet - HW a licencie'!$I$3:$I$102,'Rozpočet - HW a licencie'!$A$3:$A$102,'TCO TO BE - HW'!W$2,'Rozpočet - HW a licencie'!$C$3:$C$102,"SW pre HW",'Rozpočet - HW a licencie'!$G$3:$G$102,'TCO TO BE - HW'!$D11,'Rozpočet - HW a licencie'!$D$3:$D$102,'TCO TO BE - HW'!$B$15),)</f>
        <v>0</v>
      </c>
      <c r="X21" s="579">
        <f>IFERROR(SUMIFS('Rozpočet - HW a licencie'!$I$3:$I$102,'Rozpočet - HW a licencie'!$A$3:$A$102,'TCO TO BE - HW'!X$2,'Rozpočet - HW a licencie'!$C$3:$C$102,"HW",'Rozpočet - HW a licencie'!$G$3:$G$102,'TCO TO BE - HW'!$D11,'Rozpočet - HW a licencie'!$D$3:$D$102,'TCO TO BE - HW'!$B$15)+SUMIFS('Rozpočet - HW a licencie'!$I$3:$I$102,'Rozpočet - HW a licencie'!$A$3:$A$102,'TCO TO BE - HW'!X$2,'Rozpočet - HW a licencie'!$C$3:$C$102,"SW pre HW",'Rozpočet - HW a licencie'!$G$3:$G$102,'TCO TO BE - HW'!$D11,'Rozpočet - HW a licencie'!$D$3:$D$102,'TCO TO BE - HW'!$B$15),)</f>
        <v>0</v>
      </c>
      <c r="Y21" s="579">
        <f>IFERROR(SUMIFS('Rozpočet - HW a licencie'!$I$3:$I$102,'Rozpočet - HW a licencie'!$A$3:$A$102,'TCO TO BE - HW'!Y$2,'Rozpočet - HW a licencie'!$C$3:$C$102,"HW",'Rozpočet - HW a licencie'!$G$3:$G$102,'TCO TO BE - HW'!$D11,'Rozpočet - HW a licencie'!$D$3:$D$102,'TCO TO BE - HW'!$B$15)+SUMIFS('Rozpočet - HW a licencie'!$I$3:$I$102,'Rozpočet - HW a licencie'!$A$3:$A$102,'TCO TO BE - HW'!Y$2,'Rozpočet - HW a licencie'!$C$3:$C$102,"SW pre HW",'Rozpočet - HW a licencie'!$G$3:$G$102,'TCO TO BE - HW'!$D11,'Rozpočet - HW a licencie'!$D$3:$D$102,'TCO TO BE - HW'!$B$15),)</f>
        <v>0</v>
      </c>
      <c r="Z21" s="579">
        <f>IFERROR(SUMIFS('Rozpočet - HW a licencie'!$I$3:$I$102,'Rozpočet - HW a licencie'!$A$3:$A$102,'TCO TO BE - HW'!Z$2,'Rozpočet - HW a licencie'!$C$3:$C$102,"HW",'Rozpočet - HW a licencie'!$G$3:$G$102,'TCO TO BE - HW'!$D11,'Rozpočet - HW a licencie'!$D$3:$D$102,'TCO TO BE - HW'!$B$15)+SUMIFS('Rozpočet - HW a licencie'!$I$3:$I$102,'Rozpočet - HW a licencie'!$A$3:$A$102,'TCO TO BE - HW'!Z$2,'Rozpočet - HW a licencie'!$C$3:$C$102,"SW pre HW",'Rozpočet - HW a licencie'!$G$3:$G$102,'TCO TO BE - HW'!$D11,'Rozpočet - HW a licencie'!$D$3:$D$102,'TCO TO BE - HW'!$B$15),)</f>
        <v>0</v>
      </c>
    </row>
    <row r="22" spans="1:26" outlineLevel="1" x14ac:dyDescent="0.2">
      <c r="A22" s="1390"/>
      <c r="B22" s="1391"/>
      <c r="C22" s="1391"/>
      <c r="D22" s="497">
        <v>8</v>
      </c>
      <c r="E22" s="68">
        <f t="shared" si="2"/>
        <v>0</v>
      </c>
      <c r="F22" s="579">
        <f>IFERROR(SUMIFS('Rozpočet - HW a licencie'!$I$3:$I$102,'Rozpočet - HW a licencie'!$A$3:$A$102,'TCO TO BE - HW'!F$2,'Rozpočet - HW a licencie'!$C$3:$C$102,"HW",'Rozpočet - HW a licencie'!$G$3:$G$102,'TCO TO BE - HW'!$D12,'Rozpočet - HW a licencie'!$D$3:$D$102,'TCO TO BE - HW'!$B$15)+SUMIFS('Rozpočet - HW a licencie'!$I$3:$I$102,'Rozpočet - HW a licencie'!$A$3:$A$102,'TCO TO BE - HW'!F$2,'Rozpočet - HW a licencie'!$C$3:$C$102,"SW pre HW",'Rozpočet - HW a licencie'!$G$3:$G$102,'TCO TO BE - HW'!$D12,'Rozpočet - HW a licencie'!$D$3:$D$102,'TCO TO BE - HW'!$B$15),)</f>
        <v>0</v>
      </c>
      <c r="G22" s="579">
        <f>IFERROR(SUMIFS('Rozpočet - HW a licencie'!$I$3:$I$102,'Rozpočet - HW a licencie'!$A$3:$A$102,'TCO TO BE - HW'!G$2,'Rozpočet - HW a licencie'!$C$3:$C$102,"HW",'Rozpočet - HW a licencie'!$G$3:$G$102,'TCO TO BE - HW'!$D12,'Rozpočet - HW a licencie'!$D$3:$D$102,'TCO TO BE - HW'!$B$15)+SUMIFS('Rozpočet - HW a licencie'!$I$3:$I$102,'Rozpočet - HW a licencie'!$A$3:$A$102,'TCO TO BE - HW'!G$2,'Rozpočet - HW a licencie'!$C$3:$C$102,"SW pre HW",'Rozpočet - HW a licencie'!$G$3:$G$102,'TCO TO BE - HW'!$D12,'Rozpočet - HW a licencie'!$D$3:$D$102,'TCO TO BE - HW'!$B$15),)</f>
        <v>0</v>
      </c>
      <c r="H22" s="579">
        <f>IFERROR(SUMIFS('Rozpočet - HW a licencie'!$I$3:$I$102,'Rozpočet - HW a licencie'!$A$3:$A$102,'TCO TO BE - HW'!H$2,'Rozpočet - HW a licencie'!$C$3:$C$102,"HW",'Rozpočet - HW a licencie'!$G$3:$G$102,'TCO TO BE - HW'!$D12,'Rozpočet - HW a licencie'!$D$3:$D$102,'TCO TO BE - HW'!$B$15)+SUMIFS('Rozpočet - HW a licencie'!$I$3:$I$102,'Rozpočet - HW a licencie'!$A$3:$A$102,'TCO TO BE - HW'!H$2,'Rozpočet - HW a licencie'!$C$3:$C$102,"SW pre HW",'Rozpočet - HW a licencie'!$G$3:$G$102,'TCO TO BE - HW'!$D12,'Rozpočet - HW a licencie'!$D$3:$D$102,'TCO TO BE - HW'!$B$15),)</f>
        <v>0</v>
      </c>
      <c r="I22" s="579">
        <f>IFERROR(SUMIFS('Rozpočet - HW a licencie'!$I$3:$I$102,'Rozpočet - HW a licencie'!$A$3:$A$102,'TCO TO BE - HW'!I$2,'Rozpočet - HW a licencie'!$C$3:$C$102,"HW",'Rozpočet - HW a licencie'!$G$3:$G$102,'TCO TO BE - HW'!$D12,'Rozpočet - HW a licencie'!$D$3:$D$102,'TCO TO BE - HW'!$B$15)+SUMIFS('Rozpočet - HW a licencie'!$I$3:$I$102,'Rozpočet - HW a licencie'!$A$3:$A$102,'TCO TO BE - HW'!I$2,'Rozpočet - HW a licencie'!$C$3:$C$102,"SW pre HW",'Rozpočet - HW a licencie'!$G$3:$G$102,'TCO TO BE - HW'!$D12,'Rozpočet - HW a licencie'!$D$3:$D$102,'TCO TO BE - HW'!$B$15),)</f>
        <v>0</v>
      </c>
      <c r="J22" s="579">
        <f>IFERROR(SUMIFS('Rozpočet - HW a licencie'!$I$3:$I$102,'Rozpočet - HW a licencie'!$A$3:$A$102,'TCO TO BE - HW'!J$2,'Rozpočet - HW a licencie'!$C$3:$C$102,"HW",'Rozpočet - HW a licencie'!$G$3:$G$102,'TCO TO BE - HW'!$D12,'Rozpočet - HW a licencie'!$D$3:$D$102,'TCO TO BE - HW'!$B$15)+SUMIFS('Rozpočet - HW a licencie'!$I$3:$I$102,'Rozpočet - HW a licencie'!$A$3:$A$102,'TCO TO BE - HW'!J$2,'Rozpočet - HW a licencie'!$C$3:$C$102,"SW pre HW",'Rozpočet - HW a licencie'!$G$3:$G$102,'TCO TO BE - HW'!$D12,'Rozpočet - HW a licencie'!$D$3:$D$102,'TCO TO BE - HW'!$B$15),)</f>
        <v>0</v>
      </c>
      <c r="K22" s="579">
        <f>IFERROR(SUMIFS('Rozpočet - HW a licencie'!$I$3:$I$102,'Rozpočet - HW a licencie'!$A$3:$A$102,'TCO TO BE - HW'!K$2,'Rozpočet - HW a licencie'!$C$3:$C$102,"HW",'Rozpočet - HW a licencie'!$G$3:$G$102,'TCO TO BE - HW'!$D12,'Rozpočet - HW a licencie'!$D$3:$D$102,'TCO TO BE - HW'!$B$15)+SUMIFS('Rozpočet - HW a licencie'!$I$3:$I$102,'Rozpočet - HW a licencie'!$A$3:$A$102,'TCO TO BE - HW'!K$2,'Rozpočet - HW a licencie'!$C$3:$C$102,"SW pre HW",'Rozpočet - HW a licencie'!$G$3:$G$102,'TCO TO BE - HW'!$D12,'Rozpočet - HW a licencie'!$D$3:$D$102,'TCO TO BE - HW'!$B$15),)</f>
        <v>0</v>
      </c>
      <c r="L22" s="579">
        <f>IFERROR(SUMIFS('Rozpočet - HW a licencie'!$I$3:$I$102,'Rozpočet - HW a licencie'!$A$3:$A$102,'TCO TO BE - HW'!L$2,'Rozpočet - HW a licencie'!$C$3:$C$102,"HW",'Rozpočet - HW a licencie'!$G$3:$G$102,'TCO TO BE - HW'!$D12,'Rozpočet - HW a licencie'!$D$3:$D$102,'TCO TO BE - HW'!$B$15)+SUMIFS('Rozpočet - HW a licencie'!$I$3:$I$102,'Rozpočet - HW a licencie'!$A$3:$A$102,'TCO TO BE - HW'!L$2,'Rozpočet - HW a licencie'!$C$3:$C$102,"SW pre HW",'Rozpočet - HW a licencie'!$G$3:$G$102,'TCO TO BE - HW'!$D12,'Rozpočet - HW a licencie'!$D$3:$D$102,'TCO TO BE - HW'!$B$15),)</f>
        <v>0</v>
      </c>
      <c r="M22" s="579">
        <f>IFERROR(SUMIFS('Rozpočet - HW a licencie'!$I$3:$I$102,'Rozpočet - HW a licencie'!$A$3:$A$102,'TCO TO BE - HW'!M$2,'Rozpočet - HW a licencie'!$C$3:$C$102,"HW",'Rozpočet - HW a licencie'!$G$3:$G$102,'TCO TO BE - HW'!$D12,'Rozpočet - HW a licencie'!$D$3:$D$102,'TCO TO BE - HW'!$B$15)+SUMIFS('Rozpočet - HW a licencie'!$I$3:$I$102,'Rozpočet - HW a licencie'!$A$3:$A$102,'TCO TO BE - HW'!M$2,'Rozpočet - HW a licencie'!$C$3:$C$102,"SW pre HW",'Rozpočet - HW a licencie'!$G$3:$G$102,'TCO TO BE - HW'!$D12,'Rozpočet - HW a licencie'!$D$3:$D$102,'TCO TO BE - HW'!$B$15),)</f>
        <v>0</v>
      </c>
      <c r="N22" s="579">
        <f>IFERROR(SUMIFS('Rozpočet - HW a licencie'!$I$3:$I$102,'Rozpočet - HW a licencie'!$A$3:$A$102,'TCO TO BE - HW'!N$2,'Rozpočet - HW a licencie'!$C$3:$C$102,"HW",'Rozpočet - HW a licencie'!$G$3:$G$102,'TCO TO BE - HW'!$D12,'Rozpočet - HW a licencie'!$D$3:$D$102,'TCO TO BE - HW'!$B$15)+SUMIFS('Rozpočet - HW a licencie'!$I$3:$I$102,'Rozpočet - HW a licencie'!$A$3:$A$102,'TCO TO BE - HW'!N$2,'Rozpočet - HW a licencie'!$C$3:$C$102,"SW pre HW",'Rozpočet - HW a licencie'!$G$3:$G$102,'TCO TO BE - HW'!$D12,'Rozpočet - HW a licencie'!$D$3:$D$102,'TCO TO BE - HW'!$B$15),)</f>
        <v>0</v>
      </c>
      <c r="O22" s="579">
        <f>IFERROR(SUMIFS('Rozpočet - HW a licencie'!$I$3:$I$102,'Rozpočet - HW a licencie'!$A$3:$A$102,'TCO TO BE - HW'!O$2,'Rozpočet - HW a licencie'!$C$3:$C$102,"HW",'Rozpočet - HW a licencie'!$G$3:$G$102,'TCO TO BE - HW'!$D12,'Rozpočet - HW a licencie'!$D$3:$D$102,'TCO TO BE - HW'!$B$15)+SUMIFS('Rozpočet - HW a licencie'!$I$3:$I$102,'Rozpočet - HW a licencie'!$A$3:$A$102,'TCO TO BE - HW'!O$2,'Rozpočet - HW a licencie'!$C$3:$C$102,"SW pre HW",'Rozpočet - HW a licencie'!$G$3:$G$102,'TCO TO BE - HW'!$D12,'Rozpočet - HW a licencie'!$D$3:$D$102,'TCO TO BE - HW'!$B$15),)</f>
        <v>0</v>
      </c>
      <c r="P22" s="579">
        <f>IFERROR(SUMIFS('Rozpočet - HW a licencie'!$I$3:$I$102,'Rozpočet - HW a licencie'!$A$3:$A$102,'TCO TO BE - HW'!P$2,'Rozpočet - HW a licencie'!$C$3:$C$102,"HW",'Rozpočet - HW a licencie'!$G$3:$G$102,'TCO TO BE - HW'!$D12,'Rozpočet - HW a licencie'!$D$3:$D$102,'TCO TO BE - HW'!$B$15)+SUMIFS('Rozpočet - HW a licencie'!$I$3:$I$102,'Rozpočet - HW a licencie'!$A$3:$A$102,'TCO TO BE - HW'!P$2,'Rozpočet - HW a licencie'!$C$3:$C$102,"SW pre HW",'Rozpočet - HW a licencie'!$G$3:$G$102,'TCO TO BE - HW'!$D12,'Rozpočet - HW a licencie'!$D$3:$D$102,'TCO TO BE - HW'!$B$15),)</f>
        <v>0</v>
      </c>
      <c r="Q22" s="579">
        <f>IFERROR(SUMIFS('Rozpočet - HW a licencie'!$I$3:$I$102,'Rozpočet - HW a licencie'!$A$3:$A$102,'TCO TO BE - HW'!Q$2,'Rozpočet - HW a licencie'!$C$3:$C$102,"HW",'Rozpočet - HW a licencie'!$G$3:$G$102,'TCO TO BE - HW'!$D12,'Rozpočet - HW a licencie'!$D$3:$D$102,'TCO TO BE - HW'!$B$15)+SUMIFS('Rozpočet - HW a licencie'!$I$3:$I$102,'Rozpočet - HW a licencie'!$A$3:$A$102,'TCO TO BE - HW'!Q$2,'Rozpočet - HW a licencie'!$C$3:$C$102,"SW pre HW",'Rozpočet - HW a licencie'!$G$3:$G$102,'TCO TO BE - HW'!$D12,'Rozpočet - HW a licencie'!$D$3:$D$102,'TCO TO BE - HW'!$B$15),)</f>
        <v>0</v>
      </c>
      <c r="R22" s="579">
        <f>IFERROR(SUMIFS('Rozpočet - HW a licencie'!$I$3:$I$102,'Rozpočet - HW a licencie'!$A$3:$A$102,'TCO TO BE - HW'!R$2,'Rozpočet - HW a licencie'!$C$3:$C$102,"HW",'Rozpočet - HW a licencie'!$G$3:$G$102,'TCO TO BE - HW'!$D12,'Rozpočet - HW a licencie'!$D$3:$D$102,'TCO TO BE - HW'!$B$15)+SUMIFS('Rozpočet - HW a licencie'!$I$3:$I$102,'Rozpočet - HW a licencie'!$A$3:$A$102,'TCO TO BE - HW'!R$2,'Rozpočet - HW a licencie'!$C$3:$C$102,"SW pre HW",'Rozpočet - HW a licencie'!$G$3:$G$102,'TCO TO BE - HW'!$D12,'Rozpočet - HW a licencie'!$D$3:$D$102,'TCO TO BE - HW'!$B$15),)</f>
        <v>0</v>
      </c>
      <c r="S22" s="579">
        <f>IFERROR(SUMIFS('Rozpočet - HW a licencie'!$I$3:$I$102,'Rozpočet - HW a licencie'!$A$3:$A$102,'TCO TO BE - HW'!S$2,'Rozpočet - HW a licencie'!$C$3:$C$102,"HW",'Rozpočet - HW a licencie'!$G$3:$G$102,'TCO TO BE - HW'!$D12,'Rozpočet - HW a licencie'!$D$3:$D$102,'TCO TO BE - HW'!$B$15)+SUMIFS('Rozpočet - HW a licencie'!$I$3:$I$102,'Rozpočet - HW a licencie'!$A$3:$A$102,'TCO TO BE - HW'!S$2,'Rozpočet - HW a licencie'!$C$3:$C$102,"SW pre HW",'Rozpočet - HW a licencie'!$G$3:$G$102,'TCO TO BE - HW'!$D12,'Rozpočet - HW a licencie'!$D$3:$D$102,'TCO TO BE - HW'!$B$15),)</f>
        <v>0</v>
      </c>
      <c r="T22" s="579">
        <f>IFERROR(SUMIFS('Rozpočet - HW a licencie'!$I$3:$I$102,'Rozpočet - HW a licencie'!$A$3:$A$102,'TCO TO BE - HW'!T$2,'Rozpočet - HW a licencie'!$C$3:$C$102,"HW",'Rozpočet - HW a licencie'!$G$3:$G$102,'TCO TO BE - HW'!$D12,'Rozpočet - HW a licencie'!$D$3:$D$102,'TCO TO BE - HW'!$B$15)+SUMIFS('Rozpočet - HW a licencie'!$I$3:$I$102,'Rozpočet - HW a licencie'!$A$3:$A$102,'TCO TO BE - HW'!T$2,'Rozpočet - HW a licencie'!$C$3:$C$102,"SW pre HW",'Rozpočet - HW a licencie'!$G$3:$G$102,'TCO TO BE - HW'!$D12,'Rozpočet - HW a licencie'!$D$3:$D$102,'TCO TO BE - HW'!$B$15),)</f>
        <v>0</v>
      </c>
      <c r="U22" s="579">
        <f>IFERROR(SUMIFS('Rozpočet - HW a licencie'!$I$3:$I$102,'Rozpočet - HW a licencie'!$A$3:$A$102,'TCO TO BE - HW'!U$2,'Rozpočet - HW a licencie'!$C$3:$C$102,"HW",'Rozpočet - HW a licencie'!$G$3:$G$102,'TCO TO BE - HW'!$D12,'Rozpočet - HW a licencie'!$D$3:$D$102,'TCO TO BE - HW'!$B$15)+SUMIFS('Rozpočet - HW a licencie'!$I$3:$I$102,'Rozpočet - HW a licencie'!$A$3:$A$102,'TCO TO BE - HW'!U$2,'Rozpočet - HW a licencie'!$C$3:$C$102,"SW pre HW",'Rozpočet - HW a licencie'!$G$3:$G$102,'TCO TO BE - HW'!$D12,'Rozpočet - HW a licencie'!$D$3:$D$102,'TCO TO BE - HW'!$B$15),)</f>
        <v>0</v>
      </c>
      <c r="V22" s="579">
        <f>IFERROR(SUMIFS('Rozpočet - HW a licencie'!$I$3:$I$102,'Rozpočet - HW a licencie'!$A$3:$A$102,'TCO TO BE - HW'!V$2,'Rozpočet - HW a licencie'!$C$3:$C$102,"HW",'Rozpočet - HW a licencie'!$G$3:$G$102,'TCO TO BE - HW'!$D12,'Rozpočet - HW a licencie'!$D$3:$D$102,'TCO TO BE - HW'!$B$15)+SUMIFS('Rozpočet - HW a licencie'!$I$3:$I$102,'Rozpočet - HW a licencie'!$A$3:$A$102,'TCO TO BE - HW'!V$2,'Rozpočet - HW a licencie'!$C$3:$C$102,"SW pre HW",'Rozpočet - HW a licencie'!$G$3:$G$102,'TCO TO BE - HW'!$D12,'Rozpočet - HW a licencie'!$D$3:$D$102,'TCO TO BE - HW'!$B$15),)</f>
        <v>0</v>
      </c>
      <c r="W22" s="579">
        <f>IFERROR(SUMIFS('Rozpočet - HW a licencie'!$I$3:$I$102,'Rozpočet - HW a licencie'!$A$3:$A$102,'TCO TO BE - HW'!W$2,'Rozpočet - HW a licencie'!$C$3:$C$102,"HW",'Rozpočet - HW a licencie'!$G$3:$G$102,'TCO TO BE - HW'!$D12,'Rozpočet - HW a licencie'!$D$3:$D$102,'TCO TO BE - HW'!$B$15)+SUMIFS('Rozpočet - HW a licencie'!$I$3:$I$102,'Rozpočet - HW a licencie'!$A$3:$A$102,'TCO TO BE - HW'!W$2,'Rozpočet - HW a licencie'!$C$3:$C$102,"SW pre HW",'Rozpočet - HW a licencie'!$G$3:$G$102,'TCO TO BE - HW'!$D12,'Rozpočet - HW a licencie'!$D$3:$D$102,'TCO TO BE - HW'!$B$15),)</f>
        <v>0</v>
      </c>
      <c r="X22" s="579">
        <f>IFERROR(SUMIFS('Rozpočet - HW a licencie'!$I$3:$I$102,'Rozpočet - HW a licencie'!$A$3:$A$102,'TCO TO BE - HW'!X$2,'Rozpočet - HW a licencie'!$C$3:$C$102,"HW",'Rozpočet - HW a licencie'!$G$3:$G$102,'TCO TO BE - HW'!$D12,'Rozpočet - HW a licencie'!$D$3:$D$102,'TCO TO BE - HW'!$B$15)+SUMIFS('Rozpočet - HW a licencie'!$I$3:$I$102,'Rozpočet - HW a licencie'!$A$3:$A$102,'TCO TO BE - HW'!X$2,'Rozpočet - HW a licencie'!$C$3:$C$102,"SW pre HW",'Rozpočet - HW a licencie'!$G$3:$G$102,'TCO TO BE - HW'!$D12,'Rozpočet - HW a licencie'!$D$3:$D$102,'TCO TO BE - HW'!$B$15),)</f>
        <v>0</v>
      </c>
      <c r="Y22" s="579">
        <f>IFERROR(SUMIFS('Rozpočet - HW a licencie'!$I$3:$I$102,'Rozpočet - HW a licencie'!$A$3:$A$102,'TCO TO BE - HW'!Y$2,'Rozpočet - HW a licencie'!$C$3:$C$102,"HW",'Rozpočet - HW a licencie'!$G$3:$G$102,'TCO TO BE - HW'!$D12,'Rozpočet - HW a licencie'!$D$3:$D$102,'TCO TO BE - HW'!$B$15)+SUMIFS('Rozpočet - HW a licencie'!$I$3:$I$102,'Rozpočet - HW a licencie'!$A$3:$A$102,'TCO TO BE - HW'!Y$2,'Rozpočet - HW a licencie'!$C$3:$C$102,"SW pre HW",'Rozpočet - HW a licencie'!$G$3:$G$102,'TCO TO BE - HW'!$D12,'Rozpočet - HW a licencie'!$D$3:$D$102,'TCO TO BE - HW'!$B$15),)</f>
        <v>0</v>
      </c>
      <c r="Z22" s="579">
        <f>IFERROR(SUMIFS('Rozpočet - HW a licencie'!$I$3:$I$102,'Rozpočet - HW a licencie'!$A$3:$A$102,'TCO TO BE - HW'!Z$2,'Rozpočet - HW a licencie'!$C$3:$C$102,"HW",'Rozpočet - HW a licencie'!$G$3:$G$102,'TCO TO BE - HW'!$D12,'Rozpočet - HW a licencie'!$D$3:$D$102,'TCO TO BE - HW'!$B$15)+SUMIFS('Rozpočet - HW a licencie'!$I$3:$I$102,'Rozpočet - HW a licencie'!$A$3:$A$102,'TCO TO BE - HW'!Z$2,'Rozpočet - HW a licencie'!$C$3:$C$102,"SW pre HW",'Rozpočet - HW a licencie'!$G$3:$G$102,'TCO TO BE - HW'!$D12,'Rozpočet - HW a licencie'!$D$3:$D$102,'TCO TO BE - HW'!$B$15),)</f>
        <v>0</v>
      </c>
    </row>
    <row r="23" spans="1:26" outlineLevel="1" x14ac:dyDescent="0.2">
      <c r="A23" s="1390"/>
      <c r="B23" s="1391"/>
      <c r="C23" s="1391"/>
      <c r="D23" s="497">
        <v>9</v>
      </c>
      <c r="E23" s="68">
        <f t="shared" si="2"/>
        <v>0</v>
      </c>
      <c r="F23" s="579">
        <f>IFERROR(SUMIFS('Rozpočet - HW a licencie'!$I$3:$I$102,'Rozpočet - HW a licencie'!$A$3:$A$102,'TCO TO BE - HW'!F$2,'Rozpočet - HW a licencie'!$C$3:$C$102,"HW",'Rozpočet - HW a licencie'!$G$3:$G$102,'TCO TO BE - HW'!$D13,'Rozpočet - HW a licencie'!$D$3:$D$102,'TCO TO BE - HW'!$B$15)+SUMIFS('Rozpočet - HW a licencie'!$I$3:$I$102,'Rozpočet - HW a licencie'!$A$3:$A$102,'TCO TO BE - HW'!F$2,'Rozpočet - HW a licencie'!$C$3:$C$102,"SW pre HW",'Rozpočet - HW a licencie'!$G$3:$G$102,'TCO TO BE - HW'!$D13,'Rozpočet - HW a licencie'!$D$3:$D$102,'TCO TO BE - HW'!$B$15),)</f>
        <v>0</v>
      </c>
      <c r="G23" s="579">
        <f>IFERROR(SUMIFS('Rozpočet - HW a licencie'!$I$3:$I$102,'Rozpočet - HW a licencie'!$A$3:$A$102,'TCO TO BE - HW'!G$2,'Rozpočet - HW a licencie'!$C$3:$C$102,"HW",'Rozpočet - HW a licencie'!$G$3:$G$102,'TCO TO BE - HW'!$D13,'Rozpočet - HW a licencie'!$D$3:$D$102,'TCO TO BE - HW'!$B$15)+SUMIFS('Rozpočet - HW a licencie'!$I$3:$I$102,'Rozpočet - HW a licencie'!$A$3:$A$102,'TCO TO BE - HW'!G$2,'Rozpočet - HW a licencie'!$C$3:$C$102,"SW pre HW",'Rozpočet - HW a licencie'!$G$3:$G$102,'TCO TO BE - HW'!$D13,'Rozpočet - HW a licencie'!$D$3:$D$102,'TCO TO BE - HW'!$B$15),)</f>
        <v>0</v>
      </c>
      <c r="H23" s="579">
        <f>IFERROR(SUMIFS('Rozpočet - HW a licencie'!$I$3:$I$102,'Rozpočet - HW a licencie'!$A$3:$A$102,'TCO TO BE - HW'!H$2,'Rozpočet - HW a licencie'!$C$3:$C$102,"HW",'Rozpočet - HW a licencie'!$G$3:$G$102,'TCO TO BE - HW'!$D13,'Rozpočet - HW a licencie'!$D$3:$D$102,'TCO TO BE - HW'!$B$15)+SUMIFS('Rozpočet - HW a licencie'!$I$3:$I$102,'Rozpočet - HW a licencie'!$A$3:$A$102,'TCO TO BE - HW'!H$2,'Rozpočet - HW a licencie'!$C$3:$C$102,"SW pre HW",'Rozpočet - HW a licencie'!$G$3:$G$102,'TCO TO BE - HW'!$D13,'Rozpočet - HW a licencie'!$D$3:$D$102,'TCO TO BE - HW'!$B$15),)</f>
        <v>0</v>
      </c>
      <c r="I23" s="579">
        <f>IFERROR(SUMIFS('Rozpočet - HW a licencie'!$I$3:$I$102,'Rozpočet - HW a licencie'!$A$3:$A$102,'TCO TO BE - HW'!I$2,'Rozpočet - HW a licencie'!$C$3:$C$102,"HW",'Rozpočet - HW a licencie'!$G$3:$G$102,'TCO TO BE - HW'!$D13,'Rozpočet - HW a licencie'!$D$3:$D$102,'TCO TO BE - HW'!$B$15)+SUMIFS('Rozpočet - HW a licencie'!$I$3:$I$102,'Rozpočet - HW a licencie'!$A$3:$A$102,'TCO TO BE - HW'!I$2,'Rozpočet - HW a licencie'!$C$3:$C$102,"SW pre HW",'Rozpočet - HW a licencie'!$G$3:$G$102,'TCO TO BE - HW'!$D13,'Rozpočet - HW a licencie'!$D$3:$D$102,'TCO TO BE - HW'!$B$15),)</f>
        <v>0</v>
      </c>
      <c r="J23" s="579">
        <f>IFERROR(SUMIFS('Rozpočet - HW a licencie'!$I$3:$I$102,'Rozpočet - HW a licencie'!$A$3:$A$102,'TCO TO BE - HW'!J$2,'Rozpočet - HW a licencie'!$C$3:$C$102,"HW",'Rozpočet - HW a licencie'!$G$3:$G$102,'TCO TO BE - HW'!$D13,'Rozpočet - HW a licencie'!$D$3:$D$102,'TCO TO BE - HW'!$B$15)+SUMIFS('Rozpočet - HW a licencie'!$I$3:$I$102,'Rozpočet - HW a licencie'!$A$3:$A$102,'TCO TO BE - HW'!J$2,'Rozpočet - HW a licencie'!$C$3:$C$102,"SW pre HW",'Rozpočet - HW a licencie'!$G$3:$G$102,'TCO TO BE - HW'!$D13,'Rozpočet - HW a licencie'!$D$3:$D$102,'TCO TO BE - HW'!$B$15),)</f>
        <v>0</v>
      </c>
      <c r="K23" s="579">
        <f>IFERROR(SUMIFS('Rozpočet - HW a licencie'!$I$3:$I$102,'Rozpočet - HW a licencie'!$A$3:$A$102,'TCO TO BE - HW'!K$2,'Rozpočet - HW a licencie'!$C$3:$C$102,"HW",'Rozpočet - HW a licencie'!$G$3:$G$102,'TCO TO BE - HW'!$D13,'Rozpočet - HW a licencie'!$D$3:$D$102,'TCO TO BE - HW'!$B$15)+SUMIFS('Rozpočet - HW a licencie'!$I$3:$I$102,'Rozpočet - HW a licencie'!$A$3:$A$102,'TCO TO BE - HW'!K$2,'Rozpočet - HW a licencie'!$C$3:$C$102,"SW pre HW",'Rozpočet - HW a licencie'!$G$3:$G$102,'TCO TO BE - HW'!$D13,'Rozpočet - HW a licencie'!$D$3:$D$102,'TCO TO BE - HW'!$B$15),)</f>
        <v>0</v>
      </c>
      <c r="L23" s="579">
        <f>IFERROR(SUMIFS('Rozpočet - HW a licencie'!$I$3:$I$102,'Rozpočet - HW a licencie'!$A$3:$A$102,'TCO TO BE - HW'!L$2,'Rozpočet - HW a licencie'!$C$3:$C$102,"HW",'Rozpočet - HW a licencie'!$G$3:$G$102,'TCO TO BE - HW'!$D13,'Rozpočet - HW a licencie'!$D$3:$D$102,'TCO TO BE - HW'!$B$15)+SUMIFS('Rozpočet - HW a licencie'!$I$3:$I$102,'Rozpočet - HW a licencie'!$A$3:$A$102,'TCO TO BE - HW'!L$2,'Rozpočet - HW a licencie'!$C$3:$C$102,"SW pre HW",'Rozpočet - HW a licencie'!$G$3:$G$102,'TCO TO BE - HW'!$D13,'Rozpočet - HW a licencie'!$D$3:$D$102,'TCO TO BE - HW'!$B$15),)</f>
        <v>0</v>
      </c>
      <c r="M23" s="579">
        <f>IFERROR(SUMIFS('Rozpočet - HW a licencie'!$I$3:$I$102,'Rozpočet - HW a licencie'!$A$3:$A$102,'TCO TO BE - HW'!M$2,'Rozpočet - HW a licencie'!$C$3:$C$102,"HW",'Rozpočet - HW a licencie'!$G$3:$G$102,'TCO TO BE - HW'!$D13,'Rozpočet - HW a licencie'!$D$3:$D$102,'TCO TO BE - HW'!$B$15)+SUMIFS('Rozpočet - HW a licencie'!$I$3:$I$102,'Rozpočet - HW a licencie'!$A$3:$A$102,'TCO TO BE - HW'!M$2,'Rozpočet - HW a licencie'!$C$3:$C$102,"SW pre HW",'Rozpočet - HW a licencie'!$G$3:$G$102,'TCO TO BE - HW'!$D13,'Rozpočet - HW a licencie'!$D$3:$D$102,'TCO TO BE - HW'!$B$15),)</f>
        <v>0</v>
      </c>
      <c r="N23" s="579">
        <f>IFERROR(SUMIFS('Rozpočet - HW a licencie'!$I$3:$I$102,'Rozpočet - HW a licencie'!$A$3:$A$102,'TCO TO BE - HW'!N$2,'Rozpočet - HW a licencie'!$C$3:$C$102,"HW",'Rozpočet - HW a licencie'!$G$3:$G$102,'TCO TO BE - HW'!$D13,'Rozpočet - HW a licencie'!$D$3:$D$102,'TCO TO BE - HW'!$B$15)+SUMIFS('Rozpočet - HW a licencie'!$I$3:$I$102,'Rozpočet - HW a licencie'!$A$3:$A$102,'TCO TO BE - HW'!N$2,'Rozpočet - HW a licencie'!$C$3:$C$102,"SW pre HW",'Rozpočet - HW a licencie'!$G$3:$G$102,'TCO TO BE - HW'!$D13,'Rozpočet - HW a licencie'!$D$3:$D$102,'TCO TO BE - HW'!$B$15),)</f>
        <v>0</v>
      </c>
      <c r="O23" s="579">
        <f>IFERROR(SUMIFS('Rozpočet - HW a licencie'!$I$3:$I$102,'Rozpočet - HW a licencie'!$A$3:$A$102,'TCO TO BE - HW'!O$2,'Rozpočet - HW a licencie'!$C$3:$C$102,"HW",'Rozpočet - HW a licencie'!$G$3:$G$102,'TCO TO BE - HW'!$D13,'Rozpočet - HW a licencie'!$D$3:$D$102,'TCO TO BE - HW'!$B$15)+SUMIFS('Rozpočet - HW a licencie'!$I$3:$I$102,'Rozpočet - HW a licencie'!$A$3:$A$102,'TCO TO BE - HW'!O$2,'Rozpočet - HW a licencie'!$C$3:$C$102,"SW pre HW",'Rozpočet - HW a licencie'!$G$3:$G$102,'TCO TO BE - HW'!$D13,'Rozpočet - HW a licencie'!$D$3:$D$102,'TCO TO BE - HW'!$B$15),)</f>
        <v>0</v>
      </c>
      <c r="P23" s="579">
        <f>IFERROR(SUMIFS('Rozpočet - HW a licencie'!$I$3:$I$102,'Rozpočet - HW a licencie'!$A$3:$A$102,'TCO TO BE - HW'!P$2,'Rozpočet - HW a licencie'!$C$3:$C$102,"HW",'Rozpočet - HW a licencie'!$G$3:$G$102,'TCO TO BE - HW'!$D13,'Rozpočet - HW a licencie'!$D$3:$D$102,'TCO TO BE - HW'!$B$15)+SUMIFS('Rozpočet - HW a licencie'!$I$3:$I$102,'Rozpočet - HW a licencie'!$A$3:$A$102,'TCO TO BE - HW'!P$2,'Rozpočet - HW a licencie'!$C$3:$C$102,"SW pre HW",'Rozpočet - HW a licencie'!$G$3:$G$102,'TCO TO BE - HW'!$D13,'Rozpočet - HW a licencie'!$D$3:$D$102,'TCO TO BE - HW'!$B$15),)</f>
        <v>0</v>
      </c>
      <c r="Q23" s="579">
        <f>IFERROR(SUMIFS('Rozpočet - HW a licencie'!$I$3:$I$102,'Rozpočet - HW a licencie'!$A$3:$A$102,'TCO TO BE - HW'!Q$2,'Rozpočet - HW a licencie'!$C$3:$C$102,"HW",'Rozpočet - HW a licencie'!$G$3:$G$102,'TCO TO BE - HW'!$D13,'Rozpočet - HW a licencie'!$D$3:$D$102,'TCO TO BE - HW'!$B$15)+SUMIFS('Rozpočet - HW a licencie'!$I$3:$I$102,'Rozpočet - HW a licencie'!$A$3:$A$102,'TCO TO BE - HW'!Q$2,'Rozpočet - HW a licencie'!$C$3:$C$102,"SW pre HW",'Rozpočet - HW a licencie'!$G$3:$G$102,'TCO TO BE - HW'!$D13,'Rozpočet - HW a licencie'!$D$3:$D$102,'TCO TO BE - HW'!$B$15),)</f>
        <v>0</v>
      </c>
      <c r="R23" s="579">
        <f>IFERROR(SUMIFS('Rozpočet - HW a licencie'!$I$3:$I$102,'Rozpočet - HW a licencie'!$A$3:$A$102,'TCO TO BE - HW'!R$2,'Rozpočet - HW a licencie'!$C$3:$C$102,"HW",'Rozpočet - HW a licencie'!$G$3:$G$102,'TCO TO BE - HW'!$D13,'Rozpočet - HW a licencie'!$D$3:$D$102,'TCO TO BE - HW'!$B$15)+SUMIFS('Rozpočet - HW a licencie'!$I$3:$I$102,'Rozpočet - HW a licencie'!$A$3:$A$102,'TCO TO BE - HW'!R$2,'Rozpočet - HW a licencie'!$C$3:$C$102,"SW pre HW",'Rozpočet - HW a licencie'!$G$3:$G$102,'TCO TO BE - HW'!$D13,'Rozpočet - HW a licencie'!$D$3:$D$102,'TCO TO BE - HW'!$B$15),)</f>
        <v>0</v>
      </c>
      <c r="S23" s="579">
        <f>IFERROR(SUMIFS('Rozpočet - HW a licencie'!$I$3:$I$102,'Rozpočet - HW a licencie'!$A$3:$A$102,'TCO TO BE - HW'!S$2,'Rozpočet - HW a licencie'!$C$3:$C$102,"HW",'Rozpočet - HW a licencie'!$G$3:$G$102,'TCO TO BE - HW'!$D13,'Rozpočet - HW a licencie'!$D$3:$D$102,'TCO TO BE - HW'!$B$15)+SUMIFS('Rozpočet - HW a licencie'!$I$3:$I$102,'Rozpočet - HW a licencie'!$A$3:$A$102,'TCO TO BE - HW'!S$2,'Rozpočet - HW a licencie'!$C$3:$C$102,"SW pre HW",'Rozpočet - HW a licencie'!$G$3:$G$102,'TCO TO BE - HW'!$D13,'Rozpočet - HW a licencie'!$D$3:$D$102,'TCO TO BE - HW'!$B$15),)</f>
        <v>0</v>
      </c>
      <c r="T23" s="579">
        <f>IFERROR(SUMIFS('Rozpočet - HW a licencie'!$I$3:$I$102,'Rozpočet - HW a licencie'!$A$3:$A$102,'TCO TO BE - HW'!T$2,'Rozpočet - HW a licencie'!$C$3:$C$102,"HW",'Rozpočet - HW a licencie'!$G$3:$G$102,'TCO TO BE - HW'!$D13,'Rozpočet - HW a licencie'!$D$3:$D$102,'TCO TO BE - HW'!$B$15)+SUMIFS('Rozpočet - HW a licencie'!$I$3:$I$102,'Rozpočet - HW a licencie'!$A$3:$A$102,'TCO TO BE - HW'!T$2,'Rozpočet - HW a licencie'!$C$3:$C$102,"SW pre HW",'Rozpočet - HW a licencie'!$G$3:$G$102,'TCO TO BE - HW'!$D13,'Rozpočet - HW a licencie'!$D$3:$D$102,'TCO TO BE - HW'!$B$15),)</f>
        <v>0</v>
      </c>
      <c r="U23" s="579">
        <f>IFERROR(SUMIFS('Rozpočet - HW a licencie'!$I$3:$I$102,'Rozpočet - HW a licencie'!$A$3:$A$102,'TCO TO BE - HW'!U$2,'Rozpočet - HW a licencie'!$C$3:$C$102,"HW",'Rozpočet - HW a licencie'!$G$3:$G$102,'TCO TO BE - HW'!$D13,'Rozpočet - HW a licencie'!$D$3:$D$102,'TCO TO BE - HW'!$B$15)+SUMIFS('Rozpočet - HW a licencie'!$I$3:$I$102,'Rozpočet - HW a licencie'!$A$3:$A$102,'TCO TO BE - HW'!U$2,'Rozpočet - HW a licencie'!$C$3:$C$102,"SW pre HW",'Rozpočet - HW a licencie'!$G$3:$G$102,'TCO TO BE - HW'!$D13,'Rozpočet - HW a licencie'!$D$3:$D$102,'TCO TO BE - HW'!$B$15),)</f>
        <v>0</v>
      </c>
      <c r="V23" s="579">
        <f>IFERROR(SUMIFS('Rozpočet - HW a licencie'!$I$3:$I$102,'Rozpočet - HW a licencie'!$A$3:$A$102,'TCO TO BE - HW'!V$2,'Rozpočet - HW a licencie'!$C$3:$C$102,"HW",'Rozpočet - HW a licencie'!$G$3:$G$102,'TCO TO BE - HW'!$D13,'Rozpočet - HW a licencie'!$D$3:$D$102,'TCO TO BE - HW'!$B$15)+SUMIFS('Rozpočet - HW a licencie'!$I$3:$I$102,'Rozpočet - HW a licencie'!$A$3:$A$102,'TCO TO BE - HW'!V$2,'Rozpočet - HW a licencie'!$C$3:$C$102,"SW pre HW",'Rozpočet - HW a licencie'!$G$3:$G$102,'TCO TO BE - HW'!$D13,'Rozpočet - HW a licencie'!$D$3:$D$102,'TCO TO BE - HW'!$B$15),)</f>
        <v>0</v>
      </c>
      <c r="W23" s="579">
        <f>IFERROR(SUMIFS('Rozpočet - HW a licencie'!$I$3:$I$102,'Rozpočet - HW a licencie'!$A$3:$A$102,'TCO TO BE - HW'!W$2,'Rozpočet - HW a licencie'!$C$3:$C$102,"HW",'Rozpočet - HW a licencie'!$G$3:$G$102,'TCO TO BE - HW'!$D13,'Rozpočet - HW a licencie'!$D$3:$D$102,'TCO TO BE - HW'!$B$15)+SUMIFS('Rozpočet - HW a licencie'!$I$3:$I$102,'Rozpočet - HW a licencie'!$A$3:$A$102,'TCO TO BE - HW'!W$2,'Rozpočet - HW a licencie'!$C$3:$C$102,"SW pre HW",'Rozpočet - HW a licencie'!$G$3:$G$102,'TCO TO BE - HW'!$D13,'Rozpočet - HW a licencie'!$D$3:$D$102,'TCO TO BE - HW'!$B$15),)</f>
        <v>0</v>
      </c>
      <c r="X23" s="579">
        <f>IFERROR(SUMIFS('Rozpočet - HW a licencie'!$I$3:$I$102,'Rozpočet - HW a licencie'!$A$3:$A$102,'TCO TO BE - HW'!X$2,'Rozpočet - HW a licencie'!$C$3:$C$102,"HW",'Rozpočet - HW a licencie'!$G$3:$G$102,'TCO TO BE - HW'!$D13,'Rozpočet - HW a licencie'!$D$3:$D$102,'TCO TO BE - HW'!$B$15)+SUMIFS('Rozpočet - HW a licencie'!$I$3:$I$102,'Rozpočet - HW a licencie'!$A$3:$A$102,'TCO TO BE - HW'!X$2,'Rozpočet - HW a licencie'!$C$3:$C$102,"SW pre HW",'Rozpočet - HW a licencie'!$G$3:$G$102,'TCO TO BE - HW'!$D13,'Rozpočet - HW a licencie'!$D$3:$D$102,'TCO TO BE - HW'!$B$15),)</f>
        <v>0</v>
      </c>
      <c r="Y23" s="579">
        <f>IFERROR(SUMIFS('Rozpočet - HW a licencie'!$I$3:$I$102,'Rozpočet - HW a licencie'!$A$3:$A$102,'TCO TO BE - HW'!Y$2,'Rozpočet - HW a licencie'!$C$3:$C$102,"HW",'Rozpočet - HW a licencie'!$G$3:$G$102,'TCO TO BE - HW'!$D13,'Rozpočet - HW a licencie'!$D$3:$D$102,'TCO TO BE - HW'!$B$15)+SUMIFS('Rozpočet - HW a licencie'!$I$3:$I$102,'Rozpočet - HW a licencie'!$A$3:$A$102,'TCO TO BE - HW'!Y$2,'Rozpočet - HW a licencie'!$C$3:$C$102,"SW pre HW",'Rozpočet - HW a licencie'!$G$3:$G$102,'TCO TO BE - HW'!$D13,'Rozpočet - HW a licencie'!$D$3:$D$102,'TCO TO BE - HW'!$B$15),)</f>
        <v>0</v>
      </c>
      <c r="Z23" s="579">
        <f>IFERROR(SUMIFS('Rozpočet - HW a licencie'!$I$3:$I$102,'Rozpočet - HW a licencie'!$A$3:$A$102,'TCO TO BE - HW'!Z$2,'Rozpočet - HW a licencie'!$C$3:$C$102,"HW",'Rozpočet - HW a licencie'!$G$3:$G$102,'TCO TO BE - HW'!$D13,'Rozpočet - HW a licencie'!$D$3:$D$102,'TCO TO BE - HW'!$B$15)+SUMIFS('Rozpočet - HW a licencie'!$I$3:$I$102,'Rozpočet - HW a licencie'!$A$3:$A$102,'TCO TO BE - HW'!Z$2,'Rozpočet - HW a licencie'!$C$3:$C$102,"SW pre HW",'Rozpočet - HW a licencie'!$G$3:$G$102,'TCO TO BE - HW'!$D13,'Rozpočet - HW a licencie'!$D$3:$D$102,'TCO TO BE - HW'!$B$15),)</f>
        <v>0</v>
      </c>
    </row>
    <row r="24" spans="1:26" ht="16" outlineLevel="1" thickBot="1" x14ac:dyDescent="0.25">
      <c r="A24" s="1390"/>
      <c r="B24" s="1391"/>
      <c r="C24" s="1391"/>
      <c r="D24" s="498">
        <v>10</v>
      </c>
      <c r="E24" s="69">
        <f t="shared" si="2"/>
        <v>0</v>
      </c>
      <c r="F24" s="579">
        <f>IFERROR(SUMIFS('Rozpočet - HW a licencie'!$I$3:$I$102,'Rozpočet - HW a licencie'!$A$3:$A$102,'TCO TO BE - HW'!F$2,'Rozpočet - HW a licencie'!$C$3:$C$102,"HW",'Rozpočet - HW a licencie'!$G$3:$G$102,'TCO TO BE - HW'!$D14,'Rozpočet - HW a licencie'!$D$3:$D$102,'TCO TO BE - HW'!$B$15)+SUMIFS('Rozpočet - HW a licencie'!$I$3:$I$102,'Rozpočet - HW a licencie'!$A$3:$A$102,'TCO TO BE - HW'!F$2,'Rozpočet - HW a licencie'!$C$3:$C$102,"SW pre HW",'Rozpočet - HW a licencie'!$G$3:$G$102,'TCO TO BE - HW'!$D14,'Rozpočet - HW a licencie'!$D$3:$D$102,'TCO TO BE - HW'!$B$15),)</f>
        <v>0</v>
      </c>
      <c r="G24" s="580">
        <f>IFERROR(SUMIFS('Rozpočet - HW a licencie'!$I$3:$I$102,'Rozpočet - HW a licencie'!$A$3:$A$102,'TCO TO BE - HW'!G$2,'Rozpočet - HW a licencie'!$C$3:$C$102,"HW",'Rozpočet - HW a licencie'!$G$3:$G$102,'TCO TO BE - HW'!$D14,'Rozpočet - HW a licencie'!$D$3:$D$102,'TCO TO BE - HW'!$B$15)+SUMIFS('Rozpočet - HW a licencie'!$I$3:$I$102,'Rozpočet - HW a licencie'!$A$3:$A$102,'TCO TO BE - HW'!G$2,'Rozpočet - HW a licencie'!$C$3:$C$102,"SW pre HW",'Rozpočet - HW a licencie'!$G$3:$G$102,'TCO TO BE - HW'!$D14,'Rozpočet - HW a licencie'!$D$3:$D$102,'TCO TO BE - HW'!$B$15),)</f>
        <v>0</v>
      </c>
      <c r="H24" s="580">
        <f>IFERROR(SUMIFS('Rozpočet - HW a licencie'!$I$3:$I$102,'Rozpočet - HW a licencie'!$A$3:$A$102,'TCO TO BE - HW'!H$2,'Rozpočet - HW a licencie'!$C$3:$C$102,"HW",'Rozpočet - HW a licencie'!$G$3:$G$102,'TCO TO BE - HW'!$D14,'Rozpočet - HW a licencie'!$D$3:$D$102,'TCO TO BE - HW'!$B$15)+SUMIFS('Rozpočet - HW a licencie'!$I$3:$I$102,'Rozpočet - HW a licencie'!$A$3:$A$102,'TCO TO BE - HW'!H$2,'Rozpočet - HW a licencie'!$C$3:$C$102,"SW pre HW",'Rozpočet - HW a licencie'!$G$3:$G$102,'TCO TO BE - HW'!$D14,'Rozpočet - HW a licencie'!$D$3:$D$102,'TCO TO BE - HW'!$B$15),)</f>
        <v>0</v>
      </c>
      <c r="I24" s="580">
        <f>IFERROR(SUMIFS('Rozpočet - HW a licencie'!$I$3:$I$102,'Rozpočet - HW a licencie'!$A$3:$A$102,'TCO TO BE - HW'!I$2,'Rozpočet - HW a licencie'!$C$3:$C$102,"HW",'Rozpočet - HW a licencie'!$G$3:$G$102,'TCO TO BE - HW'!$D14,'Rozpočet - HW a licencie'!$D$3:$D$102,'TCO TO BE - HW'!$B$15)+SUMIFS('Rozpočet - HW a licencie'!$I$3:$I$102,'Rozpočet - HW a licencie'!$A$3:$A$102,'TCO TO BE - HW'!I$2,'Rozpočet - HW a licencie'!$C$3:$C$102,"SW pre HW",'Rozpočet - HW a licencie'!$G$3:$G$102,'TCO TO BE - HW'!$D14,'Rozpočet - HW a licencie'!$D$3:$D$102,'TCO TO BE - HW'!$B$15),)</f>
        <v>0</v>
      </c>
      <c r="J24" s="580">
        <f>IFERROR(SUMIFS('Rozpočet - HW a licencie'!$I$3:$I$102,'Rozpočet - HW a licencie'!$A$3:$A$102,'TCO TO BE - HW'!J$2,'Rozpočet - HW a licencie'!$C$3:$C$102,"HW",'Rozpočet - HW a licencie'!$G$3:$G$102,'TCO TO BE - HW'!$D14,'Rozpočet - HW a licencie'!$D$3:$D$102,'TCO TO BE - HW'!$B$15)+SUMIFS('Rozpočet - HW a licencie'!$I$3:$I$102,'Rozpočet - HW a licencie'!$A$3:$A$102,'TCO TO BE - HW'!J$2,'Rozpočet - HW a licencie'!$C$3:$C$102,"SW pre HW",'Rozpočet - HW a licencie'!$G$3:$G$102,'TCO TO BE - HW'!$D14,'Rozpočet - HW a licencie'!$D$3:$D$102,'TCO TO BE - HW'!$B$15),)</f>
        <v>0</v>
      </c>
      <c r="K24" s="580">
        <f>IFERROR(SUMIFS('Rozpočet - HW a licencie'!$I$3:$I$102,'Rozpočet - HW a licencie'!$A$3:$A$102,'TCO TO BE - HW'!K$2,'Rozpočet - HW a licencie'!$C$3:$C$102,"HW",'Rozpočet - HW a licencie'!$G$3:$G$102,'TCO TO BE - HW'!$D14,'Rozpočet - HW a licencie'!$D$3:$D$102,'TCO TO BE - HW'!$B$15)+SUMIFS('Rozpočet - HW a licencie'!$I$3:$I$102,'Rozpočet - HW a licencie'!$A$3:$A$102,'TCO TO BE - HW'!K$2,'Rozpočet - HW a licencie'!$C$3:$C$102,"SW pre HW",'Rozpočet - HW a licencie'!$G$3:$G$102,'TCO TO BE - HW'!$D14,'Rozpočet - HW a licencie'!$D$3:$D$102,'TCO TO BE - HW'!$B$15),)</f>
        <v>0</v>
      </c>
      <c r="L24" s="580">
        <f>IFERROR(SUMIFS('Rozpočet - HW a licencie'!$I$3:$I$102,'Rozpočet - HW a licencie'!$A$3:$A$102,'TCO TO BE - HW'!L$2,'Rozpočet - HW a licencie'!$C$3:$C$102,"HW",'Rozpočet - HW a licencie'!$G$3:$G$102,'TCO TO BE - HW'!$D14,'Rozpočet - HW a licencie'!$D$3:$D$102,'TCO TO BE - HW'!$B$15)+SUMIFS('Rozpočet - HW a licencie'!$I$3:$I$102,'Rozpočet - HW a licencie'!$A$3:$A$102,'TCO TO BE - HW'!L$2,'Rozpočet - HW a licencie'!$C$3:$C$102,"SW pre HW",'Rozpočet - HW a licencie'!$G$3:$G$102,'TCO TO BE - HW'!$D14,'Rozpočet - HW a licencie'!$D$3:$D$102,'TCO TO BE - HW'!$B$15),)</f>
        <v>0</v>
      </c>
      <c r="M24" s="580">
        <f>IFERROR(SUMIFS('Rozpočet - HW a licencie'!$I$3:$I$102,'Rozpočet - HW a licencie'!$A$3:$A$102,'TCO TO BE - HW'!M$2,'Rozpočet - HW a licencie'!$C$3:$C$102,"HW",'Rozpočet - HW a licencie'!$G$3:$G$102,'TCO TO BE - HW'!$D14,'Rozpočet - HW a licencie'!$D$3:$D$102,'TCO TO BE - HW'!$B$15)+SUMIFS('Rozpočet - HW a licencie'!$I$3:$I$102,'Rozpočet - HW a licencie'!$A$3:$A$102,'TCO TO BE - HW'!M$2,'Rozpočet - HW a licencie'!$C$3:$C$102,"SW pre HW",'Rozpočet - HW a licencie'!$G$3:$G$102,'TCO TO BE - HW'!$D14,'Rozpočet - HW a licencie'!$D$3:$D$102,'TCO TO BE - HW'!$B$15),)</f>
        <v>0</v>
      </c>
      <c r="N24" s="580">
        <f>IFERROR(SUMIFS('Rozpočet - HW a licencie'!$I$3:$I$102,'Rozpočet - HW a licencie'!$A$3:$A$102,'TCO TO BE - HW'!N$2,'Rozpočet - HW a licencie'!$C$3:$C$102,"HW",'Rozpočet - HW a licencie'!$G$3:$G$102,'TCO TO BE - HW'!$D14,'Rozpočet - HW a licencie'!$D$3:$D$102,'TCO TO BE - HW'!$B$15)+SUMIFS('Rozpočet - HW a licencie'!$I$3:$I$102,'Rozpočet - HW a licencie'!$A$3:$A$102,'TCO TO BE - HW'!N$2,'Rozpočet - HW a licencie'!$C$3:$C$102,"SW pre HW",'Rozpočet - HW a licencie'!$G$3:$G$102,'TCO TO BE - HW'!$D14,'Rozpočet - HW a licencie'!$D$3:$D$102,'TCO TO BE - HW'!$B$15),)</f>
        <v>0</v>
      </c>
      <c r="O24" s="580">
        <f>IFERROR(SUMIFS('Rozpočet - HW a licencie'!$I$3:$I$102,'Rozpočet - HW a licencie'!$A$3:$A$102,'TCO TO BE - HW'!O$2,'Rozpočet - HW a licencie'!$C$3:$C$102,"HW",'Rozpočet - HW a licencie'!$G$3:$G$102,'TCO TO BE - HW'!$D14,'Rozpočet - HW a licencie'!$D$3:$D$102,'TCO TO BE - HW'!$B$15)+SUMIFS('Rozpočet - HW a licencie'!$I$3:$I$102,'Rozpočet - HW a licencie'!$A$3:$A$102,'TCO TO BE - HW'!O$2,'Rozpočet - HW a licencie'!$C$3:$C$102,"SW pre HW",'Rozpočet - HW a licencie'!$G$3:$G$102,'TCO TO BE - HW'!$D14,'Rozpočet - HW a licencie'!$D$3:$D$102,'TCO TO BE - HW'!$B$15),)</f>
        <v>0</v>
      </c>
      <c r="P24" s="580">
        <f>IFERROR(SUMIFS('Rozpočet - HW a licencie'!$I$3:$I$102,'Rozpočet - HW a licencie'!$A$3:$A$102,'TCO TO BE - HW'!P$2,'Rozpočet - HW a licencie'!$C$3:$C$102,"HW",'Rozpočet - HW a licencie'!$G$3:$G$102,'TCO TO BE - HW'!$D14,'Rozpočet - HW a licencie'!$D$3:$D$102,'TCO TO BE - HW'!$B$15)+SUMIFS('Rozpočet - HW a licencie'!$I$3:$I$102,'Rozpočet - HW a licencie'!$A$3:$A$102,'TCO TO BE - HW'!P$2,'Rozpočet - HW a licencie'!$C$3:$C$102,"SW pre HW",'Rozpočet - HW a licencie'!$G$3:$G$102,'TCO TO BE - HW'!$D14,'Rozpočet - HW a licencie'!$D$3:$D$102,'TCO TO BE - HW'!$B$15),)</f>
        <v>0</v>
      </c>
      <c r="Q24" s="580">
        <f>IFERROR(SUMIFS('Rozpočet - HW a licencie'!$I$3:$I$102,'Rozpočet - HW a licencie'!$A$3:$A$102,'TCO TO BE - HW'!Q$2,'Rozpočet - HW a licencie'!$C$3:$C$102,"HW",'Rozpočet - HW a licencie'!$G$3:$G$102,'TCO TO BE - HW'!$D14,'Rozpočet - HW a licencie'!$D$3:$D$102,'TCO TO BE - HW'!$B$15)+SUMIFS('Rozpočet - HW a licencie'!$I$3:$I$102,'Rozpočet - HW a licencie'!$A$3:$A$102,'TCO TO BE - HW'!Q$2,'Rozpočet - HW a licencie'!$C$3:$C$102,"SW pre HW",'Rozpočet - HW a licencie'!$G$3:$G$102,'TCO TO BE - HW'!$D14,'Rozpočet - HW a licencie'!$D$3:$D$102,'TCO TO BE - HW'!$B$15),)</f>
        <v>0</v>
      </c>
      <c r="R24" s="580">
        <f>IFERROR(SUMIFS('Rozpočet - HW a licencie'!$I$3:$I$102,'Rozpočet - HW a licencie'!$A$3:$A$102,'TCO TO BE - HW'!R$2,'Rozpočet - HW a licencie'!$C$3:$C$102,"HW",'Rozpočet - HW a licencie'!$G$3:$G$102,'TCO TO BE - HW'!$D14,'Rozpočet - HW a licencie'!$D$3:$D$102,'TCO TO BE - HW'!$B$15)+SUMIFS('Rozpočet - HW a licencie'!$I$3:$I$102,'Rozpočet - HW a licencie'!$A$3:$A$102,'TCO TO BE - HW'!R$2,'Rozpočet - HW a licencie'!$C$3:$C$102,"SW pre HW",'Rozpočet - HW a licencie'!$G$3:$G$102,'TCO TO BE - HW'!$D14,'Rozpočet - HW a licencie'!$D$3:$D$102,'TCO TO BE - HW'!$B$15),)</f>
        <v>0</v>
      </c>
      <c r="S24" s="580">
        <f>IFERROR(SUMIFS('Rozpočet - HW a licencie'!$I$3:$I$102,'Rozpočet - HW a licencie'!$A$3:$A$102,'TCO TO BE - HW'!S$2,'Rozpočet - HW a licencie'!$C$3:$C$102,"HW",'Rozpočet - HW a licencie'!$G$3:$G$102,'TCO TO BE - HW'!$D14,'Rozpočet - HW a licencie'!$D$3:$D$102,'TCO TO BE - HW'!$B$15)+SUMIFS('Rozpočet - HW a licencie'!$I$3:$I$102,'Rozpočet - HW a licencie'!$A$3:$A$102,'TCO TO BE - HW'!S$2,'Rozpočet - HW a licencie'!$C$3:$C$102,"SW pre HW",'Rozpočet - HW a licencie'!$G$3:$G$102,'TCO TO BE - HW'!$D14,'Rozpočet - HW a licencie'!$D$3:$D$102,'TCO TO BE - HW'!$B$15),)</f>
        <v>0</v>
      </c>
      <c r="T24" s="580">
        <f>IFERROR(SUMIFS('Rozpočet - HW a licencie'!$I$3:$I$102,'Rozpočet - HW a licencie'!$A$3:$A$102,'TCO TO BE - HW'!T$2,'Rozpočet - HW a licencie'!$C$3:$C$102,"HW",'Rozpočet - HW a licencie'!$G$3:$G$102,'TCO TO BE - HW'!$D14,'Rozpočet - HW a licencie'!$D$3:$D$102,'TCO TO BE - HW'!$B$15)+SUMIFS('Rozpočet - HW a licencie'!$I$3:$I$102,'Rozpočet - HW a licencie'!$A$3:$A$102,'TCO TO BE - HW'!T$2,'Rozpočet - HW a licencie'!$C$3:$C$102,"SW pre HW",'Rozpočet - HW a licencie'!$G$3:$G$102,'TCO TO BE - HW'!$D14,'Rozpočet - HW a licencie'!$D$3:$D$102,'TCO TO BE - HW'!$B$15),)</f>
        <v>0</v>
      </c>
      <c r="U24" s="580">
        <f>IFERROR(SUMIFS('Rozpočet - HW a licencie'!$I$3:$I$102,'Rozpočet - HW a licencie'!$A$3:$A$102,'TCO TO BE - HW'!U$2,'Rozpočet - HW a licencie'!$C$3:$C$102,"HW",'Rozpočet - HW a licencie'!$G$3:$G$102,'TCO TO BE - HW'!$D14,'Rozpočet - HW a licencie'!$D$3:$D$102,'TCO TO BE - HW'!$B$15)+SUMIFS('Rozpočet - HW a licencie'!$I$3:$I$102,'Rozpočet - HW a licencie'!$A$3:$A$102,'TCO TO BE - HW'!U$2,'Rozpočet - HW a licencie'!$C$3:$C$102,"SW pre HW",'Rozpočet - HW a licencie'!$G$3:$G$102,'TCO TO BE - HW'!$D14,'Rozpočet - HW a licencie'!$D$3:$D$102,'TCO TO BE - HW'!$B$15),)</f>
        <v>0</v>
      </c>
      <c r="V24" s="580">
        <f>IFERROR(SUMIFS('Rozpočet - HW a licencie'!$I$3:$I$102,'Rozpočet - HW a licencie'!$A$3:$A$102,'TCO TO BE - HW'!V$2,'Rozpočet - HW a licencie'!$C$3:$C$102,"HW",'Rozpočet - HW a licencie'!$G$3:$G$102,'TCO TO BE - HW'!$D14,'Rozpočet - HW a licencie'!$D$3:$D$102,'TCO TO BE - HW'!$B$15)+SUMIFS('Rozpočet - HW a licencie'!$I$3:$I$102,'Rozpočet - HW a licencie'!$A$3:$A$102,'TCO TO BE - HW'!V$2,'Rozpočet - HW a licencie'!$C$3:$C$102,"SW pre HW",'Rozpočet - HW a licencie'!$G$3:$G$102,'TCO TO BE - HW'!$D14,'Rozpočet - HW a licencie'!$D$3:$D$102,'TCO TO BE - HW'!$B$15),)</f>
        <v>0</v>
      </c>
      <c r="W24" s="580">
        <f>IFERROR(SUMIFS('Rozpočet - HW a licencie'!$I$3:$I$102,'Rozpočet - HW a licencie'!$A$3:$A$102,'TCO TO BE - HW'!W$2,'Rozpočet - HW a licencie'!$C$3:$C$102,"HW",'Rozpočet - HW a licencie'!$G$3:$G$102,'TCO TO BE - HW'!$D14,'Rozpočet - HW a licencie'!$D$3:$D$102,'TCO TO BE - HW'!$B$15)+SUMIFS('Rozpočet - HW a licencie'!$I$3:$I$102,'Rozpočet - HW a licencie'!$A$3:$A$102,'TCO TO BE - HW'!W$2,'Rozpočet - HW a licencie'!$C$3:$C$102,"SW pre HW",'Rozpočet - HW a licencie'!$G$3:$G$102,'TCO TO BE - HW'!$D14,'Rozpočet - HW a licencie'!$D$3:$D$102,'TCO TO BE - HW'!$B$15),)</f>
        <v>0</v>
      </c>
      <c r="X24" s="580">
        <f>IFERROR(SUMIFS('Rozpočet - HW a licencie'!$I$3:$I$102,'Rozpočet - HW a licencie'!$A$3:$A$102,'TCO TO BE - HW'!X$2,'Rozpočet - HW a licencie'!$C$3:$C$102,"HW",'Rozpočet - HW a licencie'!$G$3:$G$102,'TCO TO BE - HW'!$D14,'Rozpočet - HW a licencie'!$D$3:$D$102,'TCO TO BE - HW'!$B$15)+SUMIFS('Rozpočet - HW a licencie'!$I$3:$I$102,'Rozpočet - HW a licencie'!$A$3:$A$102,'TCO TO BE - HW'!X$2,'Rozpočet - HW a licencie'!$C$3:$C$102,"SW pre HW",'Rozpočet - HW a licencie'!$G$3:$G$102,'TCO TO BE - HW'!$D14,'Rozpočet - HW a licencie'!$D$3:$D$102,'TCO TO BE - HW'!$B$15),)</f>
        <v>0</v>
      </c>
      <c r="Y24" s="580">
        <f>IFERROR(SUMIFS('Rozpočet - HW a licencie'!$I$3:$I$102,'Rozpočet - HW a licencie'!$A$3:$A$102,'TCO TO BE - HW'!Y$2,'Rozpočet - HW a licencie'!$C$3:$C$102,"HW",'Rozpočet - HW a licencie'!$G$3:$G$102,'TCO TO BE - HW'!$D14,'Rozpočet - HW a licencie'!$D$3:$D$102,'TCO TO BE - HW'!$B$15)+SUMIFS('Rozpočet - HW a licencie'!$I$3:$I$102,'Rozpočet - HW a licencie'!$A$3:$A$102,'TCO TO BE - HW'!Y$2,'Rozpočet - HW a licencie'!$C$3:$C$102,"SW pre HW",'Rozpočet - HW a licencie'!$G$3:$G$102,'TCO TO BE - HW'!$D14,'Rozpočet - HW a licencie'!$D$3:$D$102,'TCO TO BE - HW'!$B$15),)</f>
        <v>0</v>
      </c>
      <c r="Z24" s="580">
        <f>IFERROR(SUMIFS('Rozpočet - HW a licencie'!$I$3:$I$102,'Rozpočet - HW a licencie'!$A$3:$A$102,'TCO TO BE - HW'!Z$2,'Rozpočet - HW a licencie'!$C$3:$C$102,"HW",'Rozpočet - HW a licencie'!$G$3:$G$102,'TCO TO BE - HW'!$D14,'Rozpočet - HW a licencie'!$D$3:$D$102,'TCO TO BE - HW'!$B$15)+SUMIFS('Rozpočet - HW a licencie'!$I$3:$I$102,'Rozpočet - HW a licencie'!$A$3:$A$102,'TCO TO BE - HW'!Z$2,'Rozpočet - HW a licencie'!$C$3:$C$102,"SW pre HW",'Rozpočet - HW a licencie'!$G$3:$G$102,'TCO TO BE - HW'!$D14,'Rozpočet - HW a licencie'!$D$3:$D$102,'TCO TO BE - HW'!$B$15),)</f>
        <v>0</v>
      </c>
    </row>
    <row r="25" spans="1:26" outlineLevel="1" x14ac:dyDescent="0.2">
      <c r="A25" s="1390" t="s">
        <v>418</v>
      </c>
      <c r="B25" s="1391" t="s">
        <v>76</v>
      </c>
      <c r="C25" s="1391">
        <v>637040</v>
      </c>
      <c r="D25" s="496">
        <v>1</v>
      </c>
      <c r="E25" s="68">
        <f t="shared" ref="E25:E34" si="3">SUM(F25:Z25)</f>
        <v>0</v>
      </c>
      <c r="F25" s="581">
        <v>0</v>
      </c>
      <c r="G25" s="581">
        <v>0</v>
      </c>
      <c r="H25" s="581">
        <v>0</v>
      </c>
      <c r="I25" s="581">
        <v>0</v>
      </c>
      <c r="J25" s="581">
        <v>0</v>
      </c>
      <c r="K25" s="581">
        <v>0</v>
      </c>
      <c r="L25" s="581">
        <v>0</v>
      </c>
      <c r="M25" s="581">
        <v>0</v>
      </c>
      <c r="N25" s="581">
        <v>0</v>
      </c>
      <c r="O25" s="581">
        <v>0</v>
      </c>
      <c r="P25" s="581">
        <v>0</v>
      </c>
      <c r="Q25" s="581">
        <v>0</v>
      </c>
      <c r="R25" s="581">
        <v>0</v>
      </c>
      <c r="S25" s="581">
        <v>0</v>
      </c>
      <c r="T25" s="581">
        <v>0</v>
      </c>
      <c r="U25" s="581">
        <v>0</v>
      </c>
      <c r="V25" s="581">
        <v>0</v>
      </c>
      <c r="W25" s="581">
        <v>0</v>
      </c>
      <c r="X25" s="581">
        <v>0</v>
      </c>
      <c r="Y25" s="581">
        <v>0</v>
      </c>
      <c r="Z25" s="581">
        <v>0</v>
      </c>
    </row>
    <row r="26" spans="1:26" outlineLevel="1" x14ac:dyDescent="0.2">
      <c r="A26" s="1390"/>
      <c r="B26" s="1391"/>
      <c r="C26" s="1391"/>
      <c r="D26" s="497">
        <v>2</v>
      </c>
      <c r="E26" s="68">
        <f t="shared" si="3"/>
        <v>0</v>
      </c>
      <c r="F26" s="582">
        <v>0</v>
      </c>
      <c r="G26" s="582">
        <v>0</v>
      </c>
      <c r="H26" s="582">
        <v>0</v>
      </c>
      <c r="I26" s="582">
        <v>0</v>
      </c>
      <c r="J26" s="582">
        <v>0</v>
      </c>
      <c r="K26" s="582">
        <v>0</v>
      </c>
      <c r="L26" s="582">
        <v>0</v>
      </c>
      <c r="M26" s="582">
        <v>0</v>
      </c>
      <c r="N26" s="582">
        <v>0</v>
      </c>
      <c r="O26" s="582">
        <v>0</v>
      </c>
      <c r="P26" s="582">
        <v>0</v>
      </c>
      <c r="Q26" s="582">
        <v>0</v>
      </c>
      <c r="R26" s="582">
        <v>0</v>
      </c>
      <c r="S26" s="582">
        <v>0</v>
      </c>
      <c r="T26" s="582">
        <v>0</v>
      </c>
      <c r="U26" s="582">
        <v>0</v>
      </c>
      <c r="V26" s="582">
        <v>0</v>
      </c>
      <c r="W26" s="582">
        <v>0</v>
      </c>
      <c r="X26" s="582">
        <v>0</v>
      </c>
      <c r="Y26" s="582">
        <v>0</v>
      </c>
      <c r="Z26" s="582">
        <v>0</v>
      </c>
    </row>
    <row r="27" spans="1:26" outlineLevel="1" x14ac:dyDescent="0.2">
      <c r="A27" s="1390"/>
      <c r="B27" s="1391"/>
      <c r="C27" s="1391"/>
      <c r="D27" s="497">
        <v>3</v>
      </c>
      <c r="E27" s="68">
        <f t="shared" si="3"/>
        <v>0</v>
      </c>
      <c r="F27" s="582">
        <v>0</v>
      </c>
      <c r="G27" s="582">
        <v>0</v>
      </c>
      <c r="H27" s="582">
        <v>0</v>
      </c>
      <c r="I27" s="582">
        <v>0</v>
      </c>
      <c r="J27" s="582">
        <v>0</v>
      </c>
      <c r="K27" s="582">
        <v>0</v>
      </c>
      <c r="L27" s="582">
        <v>0</v>
      </c>
      <c r="M27" s="582">
        <v>0</v>
      </c>
      <c r="N27" s="582">
        <v>0</v>
      </c>
      <c r="O27" s="582">
        <v>0</v>
      </c>
      <c r="P27" s="582">
        <v>0</v>
      </c>
      <c r="Q27" s="582">
        <v>0</v>
      </c>
      <c r="R27" s="582">
        <v>0</v>
      </c>
      <c r="S27" s="582">
        <v>0</v>
      </c>
      <c r="T27" s="582">
        <v>0</v>
      </c>
      <c r="U27" s="582">
        <v>0</v>
      </c>
      <c r="V27" s="582">
        <v>0</v>
      </c>
      <c r="W27" s="582">
        <v>0</v>
      </c>
      <c r="X27" s="582">
        <v>0</v>
      </c>
      <c r="Y27" s="582">
        <v>0</v>
      </c>
      <c r="Z27" s="582">
        <v>0</v>
      </c>
    </row>
    <row r="28" spans="1:26" outlineLevel="1" x14ac:dyDescent="0.2">
      <c r="A28" s="1390"/>
      <c r="B28" s="1391"/>
      <c r="C28" s="1391"/>
      <c r="D28" s="497">
        <v>4</v>
      </c>
      <c r="E28" s="68">
        <f t="shared" si="3"/>
        <v>0</v>
      </c>
      <c r="F28" s="582">
        <v>0</v>
      </c>
      <c r="G28" s="582">
        <v>0</v>
      </c>
      <c r="H28" s="582">
        <v>0</v>
      </c>
      <c r="I28" s="582">
        <v>0</v>
      </c>
      <c r="J28" s="582">
        <v>0</v>
      </c>
      <c r="K28" s="582">
        <v>0</v>
      </c>
      <c r="L28" s="582">
        <v>0</v>
      </c>
      <c r="M28" s="582">
        <v>0</v>
      </c>
      <c r="N28" s="582">
        <v>0</v>
      </c>
      <c r="O28" s="582">
        <v>0</v>
      </c>
      <c r="P28" s="582">
        <v>0</v>
      </c>
      <c r="Q28" s="582">
        <v>0</v>
      </c>
      <c r="R28" s="582">
        <v>0</v>
      </c>
      <c r="S28" s="582">
        <v>0</v>
      </c>
      <c r="T28" s="582">
        <v>0</v>
      </c>
      <c r="U28" s="582">
        <v>0</v>
      </c>
      <c r="V28" s="582">
        <v>0</v>
      </c>
      <c r="W28" s="582">
        <v>0</v>
      </c>
      <c r="X28" s="582">
        <v>0</v>
      </c>
      <c r="Y28" s="582">
        <v>0</v>
      </c>
      <c r="Z28" s="582">
        <v>0</v>
      </c>
    </row>
    <row r="29" spans="1:26" outlineLevel="1" x14ac:dyDescent="0.2">
      <c r="A29" s="1390"/>
      <c r="B29" s="1391"/>
      <c r="C29" s="1391"/>
      <c r="D29" s="497">
        <v>5</v>
      </c>
      <c r="E29" s="68">
        <f t="shared" si="3"/>
        <v>0</v>
      </c>
      <c r="F29" s="582">
        <v>0</v>
      </c>
      <c r="G29" s="582">
        <v>0</v>
      </c>
      <c r="H29" s="582">
        <v>0</v>
      </c>
      <c r="I29" s="582">
        <v>0</v>
      </c>
      <c r="J29" s="582">
        <v>0</v>
      </c>
      <c r="K29" s="582">
        <v>0</v>
      </c>
      <c r="L29" s="582">
        <v>0</v>
      </c>
      <c r="M29" s="582">
        <v>0</v>
      </c>
      <c r="N29" s="582">
        <v>0</v>
      </c>
      <c r="O29" s="582">
        <v>0</v>
      </c>
      <c r="P29" s="582">
        <v>0</v>
      </c>
      <c r="Q29" s="582">
        <v>0</v>
      </c>
      <c r="R29" s="582">
        <v>0</v>
      </c>
      <c r="S29" s="582">
        <v>0</v>
      </c>
      <c r="T29" s="582">
        <v>0</v>
      </c>
      <c r="U29" s="582">
        <v>0</v>
      </c>
      <c r="V29" s="582">
        <v>0</v>
      </c>
      <c r="W29" s="582">
        <v>0</v>
      </c>
      <c r="X29" s="582">
        <v>0</v>
      </c>
      <c r="Y29" s="582">
        <v>0</v>
      </c>
      <c r="Z29" s="582">
        <v>0</v>
      </c>
    </row>
    <row r="30" spans="1:26" outlineLevel="1" x14ac:dyDescent="0.2">
      <c r="A30" s="1390"/>
      <c r="B30" s="1391"/>
      <c r="C30" s="1391"/>
      <c r="D30" s="497">
        <v>6</v>
      </c>
      <c r="E30" s="68">
        <f t="shared" si="3"/>
        <v>0</v>
      </c>
      <c r="F30" s="582">
        <v>0</v>
      </c>
      <c r="G30" s="582">
        <v>0</v>
      </c>
      <c r="H30" s="582">
        <v>0</v>
      </c>
      <c r="I30" s="582">
        <v>0</v>
      </c>
      <c r="J30" s="582">
        <v>0</v>
      </c>
      <c r="K30" s="582">
        <v>0</v>
      </c>
      <c r="L30" s="582">
        <v>0</v>
      </c>
      <c r="M30" s="582">
        <v>0</v>
      </c>
      <c r="N30" s="582">
        <v>0</v>
      </c>
      <c r="O30" s="582">
        <v>0</v>
      </c>
      <c r="P30" s="582">
        <v>0</v>
      </c>
      <c r="Q30" s="582">
        <v>0</v>
      </c>
      <c r="R30" s="582">
        <v>0</v>
      </c>
      <c r="S30" s="582">
        <v>0</v>
      </c>
      <c r="T30" s="582">
        <v>0</v>
      </c>
      <c r="U30" s="582">
        <v>0</v>
      </c>
      <c r="V30" s="582">
        <v>0</v>
      </c>
      <c r="W30" s="582">
        <v>0</v>
      </c>
      <c r="X30" s="582">
        <v>0</v>
      </c>
      <c r="Y30" s="582">
        <v>0</v>
      </c>
      <c r="Z30" s="582">
        <v>0</v>
      </c>
    </row>
    <row r="31" spans="1:26" outlineLevel="1" x14ac:dyDescent="0.2">
      <c r="A31" s="1390"/>
      <c r="B31" s="1391"/>
      <c r="C31" s="1391"/>
      <c r="D31" s="497">
        <v>7</v>
      </c>
      <c r="E31" s="68">
        <f t="shared" si="3"/>
        <v>0</v>
      </c>
      <c r="F31" s="582">
        <v>0</v>
      </c>
      <c r="G31" s="582">
        <v>0</v>
      </c>
      <c r="H31" s="582">
        <v>0</v>
      </c>
      <c r="I31" s="582">
        <v>0</v>
      </c>
      <c r="J31" s="582">
        <v>0</v>
      </c>
      <c r="K31" s="582">
        <v>0</v>
      </c>
      <c r="L31" s="582">
        <v>0</v>
      </c>
      <c r="M31" s="582">
        <v>0</v>
      </c>
      <c r="N31" s="582">
        <v>0</v>
      </c>
      <c r="O31" s="582">
        <v>0</v>
      </c>
      <c r="P31" s="582">
        <v>0</v>
      </c>
      <c r="Q31" s="582">
        <v>0</v>
      </c>
      <c r="R31" s="582">
        <v>0</v>
      </c>
      <c r="S31" s="582">
        <v>0</v>
      </c>
      <c r="T31" s="582">
        <v>0</v>
      </c>
      <c r="U31" s="582">
        <v>0</v>
      </c>
      <c r="V31" s="582">
        <v>0</v>
      </c>
      <c r="W31" s="582">
        <v>0</v>
      </c>
      <c r="X31" s="582">
        <v>0</v>
      </c>
      <c r="Y31" s="582">
        <v>0</v>
      </c>
      <c r="Z31" s="582">
        <v>0</v>
      </c>
    </row>
    <row r="32" spans="1:26" outlineLevel="1" x14ac:dyDescent="0.2">
      <c r="A32" s="1390"/>
      <c r="B32" s="1391"/>
      <c r="C32" s="1391"/>
      <c r="D32" s="497">
        <v>8</v>
      </c>
      <c r="E32" s="68">
        <f t="shared" si="3"/>
        <v>0</v>
      </c>
      <c r="F32" s="582">
        <v>0</v>
      </c>
      <c r="G32" s="582">
        <v>0</v>
      </c>
      <c r="H32" s="582">
        <v>0</v>
      </c>
      <c r="I32" s="582">
        <v>0</v>
      </c>
      <c r="J32" s="582">
        <v>0</v>
      </c>
      <c r="K32" s="582">
        <v>0</v>
      </c>
      <c r="L32" s="582">
        <v>0</v>
      </c>
      <c r="M32" s="582">
        <v>0</v>
      </c>
      <c r="N32" s="582">
        <v>0</v>
      </c>
      <c r="O32" s="582">
        <v>0</v>
      </c>
      <c r="P32" s="582">
        <v>0</v>
      </c>
      <c r="Q32" s="582">
        <v>0</v>
      </c>
      <c r="R32" s="582">
        <v>0</v>
      </c>
      <c r="S32" s="582">
        <v>0</v>
      </c>
      <c r="T32" s="582">
        <v>0</v>
      </c>
      <c r="U32" s="582">
        <v>0</v>
      </c>
      <c r="V32" s="582">
        <v>0</v>
      </c>
      <c r="W32" s="582">
        <v>0</v>
      </c>
      <c r="X32" s="582">
        <v>0</v>
      </c>
      <c r="Y32" s="582">
        <v>0</v>
      </c>
      <c r="Z32" s="582">
        <v>0</v>
      </c>
    </row>
    <row r="33" spans="1:26" outlineLevel="1" x14ac:dyDescent="0.2">
      <c r="A33" s="1390"/>
      <c r="B33" s="1391"/>
      <c r="C33" s="1391"/>
      <c r="D33" s="497">
        <v>9</v>
      </c>
      <c r="E33" s="68">
        <f t="shared" si="3"/>
        <v>0</v>
      </c>
      <c r="F33" s="582">
        <v>0</v>
      </c>
      <c r="G33" s="582">
        <v>0</v>
      </c>
      <c r="H33" s="582">
        <v>0</v>
      </c>
      <c r="I33" s="582">
        <v>0</v>
      </c>
      <c r="J33" s="582">
        <v>0</v>
      </c>
      <c r="K33" s="582">
        <v>0</v>
      </c>
      <c r="L33" s="582">
        <v>0</v>
      </c>
      <c r="M33" s="582">
        <v>0</v>
      </c>
      <c r="N33" s="582">
        <v>0</v>
      </c>
      <c r="O33" s="582">
        <v>0</v>
      </c>
      <c r="P33" s="582">
        <v>0</v>
      </c>
      <c r="Q33" s="582">
        <v>0</v>
      </c>
      <c r="R33" s="582">
        <v>0</v>
      </c>
      <c r="S33" s="582">
        <v>0</v>
      </c>
      <c r="T33" s="582">
        <v>0</v>
      </c>
      <c r="U33" s="582">
        <v>0</v>
      </c>
      <c r="V33" s="582">
        <v>0</v>
      </c>
      <c r="W33" s="582">
        <v>0</v>
      </c>
      <c r="X33" s="582">
        <v>0</v>
      </c>
      <c r="Y33" s="582">
        <v>0</v>
      </c>
      <c r="Z33" s="582">
        <v>0</v>
      </c>
    </row>
    <row r="34" spans="1:26" ht="16" outlineLevel="1" thickBot="1" x14ac:dyDescent="0.25">
      <c r="A34" s="1390"/>
      <c r="B34" s="1391"/>
      <c r="C34" s="1391"/>
      <c r="D34" s="498">
        <v>10</v>
      </c>
      <c r="E34" s="69">
        <f t="shared" si="3"/>
        <v>0</v>
      </c>
      <c r="F34" s="586">
        <v>0</v>
      </c>
      <c r="G34" s="586">
        <v>0</v>
      </c>
      <c r="H34" s="586">
        <v>0</v>
      </c>
      <c r="I34" s="586">
        <v>0</v>
      </c>
      <c r="J34" s="586">
        <v>0</v>
      </c>
      <c r="K34" s="586">
        <v>0</v>
      </c>
      <c r="L34" s="586">
        <v>0</v>
      </c>
      <c r="M34" s="586">
        <v>0</v>
      </c>
      <c r="N34" s="586">
        <v>0</v>
      </c>
      <c r="O34" s="586">
        <v>0</v>
      </c>
      <c r="P34" s="586">
        <v>0</v>
      </c>
      <c r="Q34" s="586">
        <v>0</v>
      </c>
      <c r="R34" s="586">
        <v>0</v>
      </c>
      <c r="S34" s="586">
        <v>0</v>
      </c>
      <c r="T34" s="586">
        <v>0</v>
      </c>
      <c r="U34" s="586">
        <v>0</v>
      </c>
      <c r="V34" s="586">
        <v>0</v>
      </c>
      <c r="W34" s="586">
        <v>0</v>
      </c>
      <c r="X34" s="586">
        <v>0</v>
      </c>
      <c r="Y34" s="586">
        <v>0</v>
      </c>
      <c r="Z34" s="586">
        <v>0</v>
      </c>
    </row>
    <row r="35" spans="1:26" outlineLevel="1" x14ac:dyDescent="0.2">
      <c r="A35" s="1390" t="s">
        <v>418</v>
      </c>
      <c r="B35" s="1391" t="s">
        <v>519</v>
      </c>
      <c r="C35" s="1391">
        <v>637040</v>
      </c>
      <c r="D35" s="496">
        <v>1</v>
      </c>
      <c r="E35" s="68">
        <f t="shared" ref="E35:E44" si="4">SUM(F35:Z35)</f>
        <v>0</v>
      </c>
      <c r="F35" s="581">
        <v>0</v>
      </c>
      <c r="G35" s="581">
        <v>0</v>
      </c>
      <c r="H35" s="581">
        <v>0</v>
      </c>
      <c r="I35" s="581">
        <v>0</v>
      </c>
      <c r="J35" s="581">
        <v>0</v>
      </c>
      <c r="K35" s="581">
        <v>0</v>
      </c>
      <c r="L35" s="581">
        <v>0</v>
      </c>
      <c r="M35" s="581">
        <v>0</v>
      </c>
      <c r="N35" s="581">
        <v>0</v>
      </c>
      <c r="O35" s="581">
        <v>0</v>
      </c>
      <c r="P35" s="581">
        <v>0</v>
      </c>
      <c r="Q35" s="581">
        <v>0</v>
      </c>
      <c r="R35" s="581">
        <v>0</v>
      </c>
      <c r="S35" s="581">
        <v>0</v>
      </c>
      <c r="T35" s="581">
        <v>0</v>
      </c>
      <c r="U35" s="581">
        <v>0</v>
      </c>
      <c r="V35" s="581">
        <v>0</v>
      </c>
      <c r="W35" s="581">
        <v>0</v>
      </c>
      <c r="X35" s="581">
        <v>0</v>
      </c>
      <c r="Y35" s="581">
        <v>0</v>
      </c>
      <c r="Z35" s="581">
        <v>0</v>
      </c>
    </row>
    <row r="36" spans="1:26" outlineLevel="1" x14ac:dyDescent="0.2">
      <c r="A36" s="1390"/>
      <c r="B36" s="1391"/>
      <c r="C36" s="1391"/>
      <c r="D36" s="497">
        <v>2</v>
      </c>
      <c r="E36" s="68">
        <f t="shared" si="4"/>
        <v>0</v>
      </c>
      <c r="F36" s="582">
        <v>0</v>
      </c>
      <c r="G36" s="582">
        <v>0</v>
      </c>
      <c r="H36" s="582">
        <v>0</v>
      </c>
      <c r="I36" s="582">
        <v>0</v>
      </c>
      <c r="J36" s="582">
        <v>0</v>
      </c>
      <c r="K36" s="582">
        <v>0</v>
      </c>
      <c r="L36" s="582">
        <v>0</v>
      </c>
      <c r="M36" s="582">
        <v>0</v>
      </c>
      <c r="N36" s="582">
        <v>0</v>
      </c>
      <c r="O36" s="582">
        <v>0</v>
      </c>
      <c r="P36" s="582">
        <v>0</v>
      </c>
      <c r="Q36" s="582">
        <v>0</v>
      </c>
      <c r="R36" s="582">
        <v>0</v>
      </c>
      <c r="S36" s="582">
        <v>0</v>
      </c>
      <c r="T36" s="582">
        <v>0</v>
      </c>
      <c r="U36" s="582">
        <v>0</v>
      </c>
      <c r="V36" s="582">
        <v>0</v>
      </c>
      <c r="W36" s="582">
        <v>0</v>
      </c>
      <c r="X36" s="582">
        <v>0</v>
      </c>
      <c r="Y36" s="582">
        <v>0</v>
      </c>
      <c r="Z36" s="582">
        <v>0</v>
      </c>
    </row>
    <row r="37" spans="1:26" outlineLevel="1" x14ac:dyDescent="0.2">
      <c r="A37" s="1390"/>
      <c r="B37" s="1391"/>
      <c r="C37" s="1391"/>
      <c r="D37" s="497">
        <v>3</v>
      </c>
      <c r="E37" s="68">
        <f t="shared" si="4"/>
        <v>0</v>
      </c>
      <c r="F37" s="582">
        <v>0</v>
      </c>
      <c r="G37" s="582">
        <v>0</v>
      </c>
      <c r="H37" s="582">
        <v>0</v>
      </c>
      <c r="I37" s="582">
        <v>0</v>
      </c>
      <c r="J37" s="582">
        <v>0</v>
      </c>
      <c r="K37" s="582">
        <v>0</v>
      </c>
      <c r="L37" s="582">
        <v>0</v>
      </c>
      <c r="M37" s="582">
        <v>0</v>
      </c>
      <c r="N37" s="582">
        <v>0</v>
      </c>
      <c r="O37" s="582">
        <v>0</v>
      </c>
      <c r="P37" s="582">
        <v>0</v>
      </c>
      <c r="Q37" s="582">
        <v>0</v>
      </c>
      <c r="R37" s="582">
        <v>0</v>
      </c>
      <c r="S37" s="582">
        <v>0</v>
      </c>
      <c r="T37" s="582">
        <v>0</v>
      </c>
      <c r="U37" s="582">
        <v>0</v>
      </c>
      <c r="V37" s="582">
        <v>0</v>
      </c>
      <c r="W37" s="582">
        <v>0</v>
      </c>
      <c r="X37" s="582">
        <v>0</v>
      </c>
      <c r="Y37" s="582">
        <v>0</v>
      </c>
      <c r="Z37" s="582">
        <v>0</v>
      </c>
    </row>
    <row r="38" spans="1:26" outlineLevel="1" x14ac:dyDescent="0.2">
      <c r="A38" s="1390"/>
      <c r="B38" s="1391"/>
      <c r="C38" s="1391"/>
      <c r="D38" s="497">
        <v>4</v>
      </c>
      <c r="E38" s="68">
        <f t="shared" si="4"/>
        <v>0</v>
      </c>
      <c r="F38" s="582">
        <v>0</v>
      </c>
      <c r="G38" s="582">
        <v>0</v>
      </c>
      <c r="H38" s="582">
        <v>0</v>
      </c>
      <c r="I38" s="582">
        <v>0</v>
      </c>
      <c r="J38" s="582">
        <v>0</v>
      </c>
      <c r="K38" s="582">
        <v>0</v>
      </c>
      <c r="L38" s="582">
        <v>0</v>
      </c>
      <c r="M38" s="582">
        <v>0</v>
      </c>
      <c r="N38" s="582">
        <v>0</v>
      </c>
      <c r="O38" s="582">
        <v>0</v>
      </c>
      <c r="P38" s="582">
        <v>0</v>
      </c>
      <c r="Q38" s="582">
        <v>0</v>
      </c>
      <c r="R38" s="582">
        <v>0</v>
      </c>
      <c r="S38" s="582">
        <v>0</v>
      </c>
      <c r="T38" s="582">
        <v>0</v>
      </c>
      <c r="U38" s="582">
        <v>0</v>
      </c>
      <c r="V38" s="582">
        <v>0</v>
      </c>
      <c r="W38" s="582">
        <v>0</v>
      </c>
      <c r="X38" s="582">
        <v>0</v>
      </c>
      <c r="Y38" s="582">
        <v>0</v>
      </c>
      <c r="Z38" s="582">
        <v>0</v>
      </c>
    </row>
    <row r="39" spans="1:26" outlineLevel="1" x14ac:dyDescent="0.2">
      <c r="A39" s="1390"/>
      <c r="B39" s="1391"/>
      <c r="C39" s="1391"/>
      <c r="D39" s="497">
        <v>5</v>
      </c>
      <c r="E39" s="68">
        <f t="shared" si="4"/>
        <v>0</v>
      </c>
      <c r="F39" s="582">
        <v>0</v>
      </c>
      <c r="G39" s="582">
        <v>0</v>
      </c>
      <c r="H39" s="582">
        <v>0</v>
      </c>
      <c r="I39" s="582">
        <v>0</v>
      </c>
      <c r="J39" s="582">
        <v>0</v>
      </c>
      <c r="K39" s="582">
        <v>0</v>
      </c>
      <c r="L39" s="582">
        <v>0</v>
      </c>
      <c r="M39" s="582">
        <v>0</v>
      </c>
      <c r="N39" s="582">
        <v>0</v>
      </c>
      <c r="O39" s="582">
        <v>0</v>
      </c>
      <c r="P39" s="582">
        <v>0</v>
      </c>
      <c r="Q39" s="582">
        <v>0</v>
      </c>
      <c r="R39" s="582">
        <v>0</v>
      </c>
      <c r="S39" s="582">
        <v>0</v>
      </c>
      <c r="T39" s="582">
        <v>0</v>
      </c>
      <c r="U39" s="582">
        <v>0</v>
      </c>
      <c r="V39" s="582">
        <v>0</v>
      </c>
      <c r="W39" s="582">
        <v>0</v>
      </c>
      <c r="X39" s="582">
        <v>0</v>
      </c>
      <c r="Y39" s="582">
        <v>0</v>
      </c>
      <c r="Z39" s="582">
        <v>0</v>
      </c>
    </row>
    <row r="40" spans="1:26" outlineLevel="1" x14ac:dyDescent="0.2">
      <c r="A40" s="1390"/>
      <c r="B40" s="1391"/>
      <c r="C40" s="1391"/>
      <c r="D40" s="497">
        <v>6</v>
      </c>
      <c r="E40" s="68">
        <f t="shared" si="4"/>
        <v>0</v>
      </c>
      <c r="F40" s="582">
        <v>0</v>
      </c>
      <c r="G40" s="582">
        <v>0</v>
      </c>
      <c r="H40" s="582">
        <v>0</v>
      </c>
      <c r="I40" s="582">
        <v>0</v>
      </c>
      <c r="J40" s="582">
        <v>0</v>
      </c>
      <c r="K40" s="582">
        <v>0</v>
      </c>
      <c r="L40" s="582">
        <v>0</v>
      </c>
      <c r="M40" s="582">
        <v>0</v>
      </c>
      <c r="N40" s="582">
        <v>0</v>
      </c>
      <c r="O40" s="582">
        <v>0</v>
      </c>
      <c r="P40" s="582">
        <v>0</v>
      </c>
      <c r="Q40" s="582">
        <v>0</v>
      </c>
      <c r="R40" s="582">
        <v>0</v>
      </c>
      <c r="S40" s="582">
        <v>0</v>
      </c>
      <c r="T40" s="582">
        <v>0</v>
      </c>
      <c r="U40" s="582">
        <v>0</v>
      </c>
      <c r="V40" s="582">
        <v>0</v>
      </c>
      <c r="W40" s="582">
        <v>0</v>
      </c>
      <c r="X40" s="582">
        <v>0</v>
      </c>
      <c r="Y40" s="582">
        <v>0</v>
      </c>
      <c r="Z40" s="582">
        <v>0</v>
      </c>
    </row>
    <row r="41" spans="1:26" outlineLevel="1" x14ac:dyDescent="0.2">
      <c r="A41" s="1390"/>
      <c r="B41" s="1391"/>
      <c r="C41" s="1391"/>
      <c r="D41" s="497">
        <v>7</v>
      </c>
      <c r="E41" s="68">
        <f t="shared" si="4"/>
        <v>0</v>
      </c>
      <c r="F41" s="582">
        <v>0</v>
      </c>
      <c r="G41" s="582">
        <v>0</v>
      </c>
      <c r="H41" s="582">
        <v>0</v>
      </c>
      <c r="I41" s="582">
        <v>0</v>
      </c>
      <c r="J41" s="582">
        <v>0</v>
      </c>
      <c r="K41" s="582">
        <v>0</v>
      </c>
      <c r="L41" s="582">
        <v>0</v>
      </c>
      <c r="M41" s="582">
        <v>0</v>
      </c>
      <c r="N41" s="582">
        <v>0</v>
      </c>
      <c r="O41" s="582">
        <v>0</v>
      </c>
      <c r="P41" s="582">
        <v>0</v>
      </c>
      <c r="Q41" s="582">
        <v>0</v>
      </c>
      <c r="R41" s="582">
        <v>0</v>
      </c>
      <c r="S41" s="582">
        <v>0</v>
      </c>
      <c r="T41" s="582">
        <v>0</v>
      </c>
      <c r="U41" s="582">
        <v>0</v>
      </c>
      <c r="V41" s="582">
        <v>0</v>
      </c>
      <c r="W41" s="582">
        <v>0</v>
      </c>
      <c r="X41" s="582">
        <v>0</v>
      </c>
      <c r="Y41" s="582">
        <v>0</v>
      </c>
      <c r="Z41" s="582">
        <v>0</v>
      </c>
    </row>
    <row r="42" spans="1:26" outlineLevel="1" x14ac:dyDescent="0.2">
      <c r="A42" s="1390"/>
      <c r="B42" s="1391"/>
      <c r="C42" s="1391"/>
      <c r="D42" s="497">
        <v>8</v>
      </c>
      <c r="E42" s="68">
        <f t="shared" si="4"/>
        <v>0</v>
      </c>
      <c r="F42" s="582">
        <v>0</v>
      </c>
      <c r="G42" s="582">
        <v>0</v>
      </c>
      <c r="H42" s="582">
        <v>0</v>
      </c>
      <c r="I42" s="582">
        <v>0</v>
      </c>
      <c r="J42" s="582">
        <v>0</v>
      </c>
      <c r="K42" s="582">
        <v>0</v>
      </c>
      <c r="L42" s="582">
        <v>0</v>
      </c>
      <c r="M42" s="582">
        <v>0</v>
      </c>
      <c r="N42" s="582">
        <v>0</v>
      </c>
      <c r="O42" s="582">
        <v>0</v>
      </c>
      <c r="P42" s="582">
        <v>0</v>
      </c>
      <c r="Q42" s="582">
        <v>0</v>
      </c>
      <c r="R42" s="582">
        <v>0</v>
      </c>
      <c r="S42" s="582">
        <v>0</v>
      </c>
      <c r="T42" s="582">
        <v>0</v>
      </c>
      <c r="U42" s="582">
        <v>0</v>
      </c>
      <c r="V42" s="582">
        <v>0</v>
      </c>
      <c r="W42" s="582">
        <v>0</v>
      </c>
      <c r="X42" s="582">
        <v>0</v>
      </c>
      <c r="Y42" s="582">
        <v>0</v>
      </c>
      <c r="Z42" s="582">
        <v>0</v>
      </c>
    </row>
    <row r="43" spans="1:26" outlineLevel="1" x14ac:dyDescent="0.2">
      <c r="A43" s="1390"/>
      <c r="B43" s="1391"/>
      <c r="C43" s="1391"/>
      <c r="D43" s="497">
        <v>9</v>
      </c>
      <c r="E43" s="68">
        <f t="shared" si="4"/>
        <v>0</v>
      </c>
      <c r="F43" s="582">
        <v>0</v>
      </c>
      <c r="G43" s="582">
        <v>0</v>
      </c>
      <c r="H43" s="582">
        <v>0</v>
      </c>
      <c r="I43" s="582">
        <v>0</v>
      </c>
      <c r="J43" s="582">
        <v>0</v>
      </c>
      <c r="K43" s="582">
        <v>0</v>
      </c>
      <c r="L43" s="582">
        <v>0</v>
      </c>
      <c r="M43" s="582">
        <v>0</v>
      </c>
      <c r="N43" s="582">
        <v>0</v>
      </c>
      <c r="O43" s="582">
        <v>0</v>
      </c>
      <c r="P43" s="582">
        <v>0</v>
      </c>
      <c r="Q43" s="582">
        <v>0</v>
      </c>
      <c r="R43" s="582">
        <v>0</v>
      </c>
      <c r="S43" s="582">
        <v>0</v>
      </c>
      <c r="T43" s="582">
        <v>0</v>
      </c>
      <c r="U43" s="582">
        <v>0</v>
      </c>
      <c r="V43" s="582">
        <v>0</v>
      </c>
      <c r="W43" s="582">
        <v>0</v>
      </c>
      <c r="X43" s="582">
        <v>0</v>
      </c>
      <c r="Y43" s="582">
        <v>0</v>
      </c>
      <c r="Z43" s="582">
        <v>0</v>
      </c>
    </row>
    <row r="44" spans="1:26" ht="16" outlineLevel="1" thickBot="1" x14ac:dyDescent="0.25">
      <c r="A44" s="1390"/>
      <c r="B44" s="1391"/>
      <c r="C44" s="1391"/>
      <c r="D44" s="498">
        <v>10</v>
      </c>
      <c r="E44" s="69">
        <f t="shared" si="4"/>
        <v>0</v>
      </c>
      <c r="F44" s="586">
        <v>0</v>
      </c>
      <c r="G44" s="586">
        <v>0</v>
      </c>
      <c r="H44" s="586">
        <v>0</v>
      </c>
      <c r="I44" s="586">
        <v>0</v>
      </c>
      <c r="J44" s="586">
        <v>0</v>
      </c>
      <c r="K44" s="586">
        <v>0</v>
      </c>
      <c r="L44" s="586">
        <v>0</v>
      </c>
      <c r="M44" s="586">
        <v>0</v>
      </c>
      <c r="N44" s="586">
        <v>0</v>
      </c>
      <c r="O44" s="586">
        <v>0</v>
      </c>
      <c r="P44" s="586">
        <v>0</v>
      </c>
      <c r="Q44" s="586">
        <v>0</v>
      </c>
      <c r="R44" s="586">
        <v>0</v>
      </c>
      <c r="S44" s="586">
        <v>0</v>
      </c>
      <c r="T44" s="586">
        <v>0</v>
      </c>
      <c r="U44" s="586">
        <v>0</v>
      </c>
      <c r="V44" s="586">
        <v>0</v>
      </c>
      <c r="W44" s="586">
        <v>0</v>
      </c>
      <c r="X44" s="586">
        <v>0</v>
      </c>
      <c r="Y44" s="586">
        <v>0</v>
      </c>
      <c r="Z44" s="586">
        <v>0</v>
      </c>
    </row>
    <row r="45" spans="1:26" outlineLevel="1" x14ac:dyDescent="0.2">
      <c r="A45" s="1390" t="s">
        <v>89</v>
      </c>
      <c r="B45" s="1391" t="s">
        <v>76</v>
      </c>
      <c r="C45" s="1391">
        <v>637040</v>
      </c>
      <c r="D45" s="496">
        <v>1</v>
      </c>
      <c r="E45" s="68">
        <f t="shared" si="2"/>
        <v>0</v>
      </c>
      <c r="F45" s="581">
        <v>0</v>
      </c>
      <c r="G45" s="581">
        <v>0</v>
      </c>
      <c r="H45" s="581">
        <v>0</v>
      </c>
      <c r="I45" s="581">
        <v>0</v>
      </c>
      <c r="J45" s="581">
        <v>0</v>
      </c>
      <c r="K45" s="581">
        <v>0</v>
      </c>
      <c r="L45" s="581">
        <v>0</v>
      </c>
      <c r="M45" s="581">
        <v>0</v>
      </c>
      <c r="N45" s="581">
        <v>0</v>
      </c>
      <c r="O45" s="581">
        <v>0</v>
      </c>
      <c r="P45" s="581">
        <v>0</v>
      </c>
      <c r="Q45" s="581">
        <v>0</v>
      </c>
      <c r="R45" s="581">
        <v>0</v>
      </c>
      <c r="S45" s="581">
        <v>0</v>
      </c>
      <c r="T45" s="581">
        <v>0</v>
      </c>
      <c r="U45" s="581">
        <v>0</v>
      </c>
      <c r="V45" s="581">
        <v>0</v>
      </c>
      <c r="W45" s="581">
        <v>0</v>
      </c>
      <c r="X45" s="581">
        <v>0</v>
      </c>
      <c r="Y45" s="581">
        <v>0</v>
      </c>
      <c r="Z45" s="581">
        <v>0</v>
      </c>
    </row>
    <row r="46" spans="1:26" outlineLevel="1" x14ac:dyDescent="0.2">
      <c r="A46" s="1390"/>
      <c r="B46" s="1391"/>
      <c r="C46" s="1391"/>
      <c r="D46" s="497">
        <v>2</v>
      </c>
      <c r="E46" s="68">
        <f t="shared" si="2"/>
        <v>0</v>
      </c>
      <c r="F46" s="582">
        <v>0</v>
      </c>
      <c r="G46" s="582">
        <v>0</v>
      </c>
      <c r="H46" s="582">
        <v>0</v>
      </c>
      <c r="I46" s="582">
        <v>0</v>
      </c>
      <c r="J46" s="582">
        <v>0</v>
      </c>
      <c r="K46" s="582">
        <v>0</v>
      </c>
      <c r="L46" s="582">
        <v>0</v>
      </c>
      <c r="M46" s="582">
        <v>0</v>
      </c>
      <c r="N46" s="582">
        <v>0</v>
      </c>
      <c r="O46" s="582">
        <v>0</v>
      </c>
      <c r="P46" s="582">
        <v>0</v>
      </c>
      <c r="Q46" s="582">
        <v>0</v>
      </c>
      <c r="R46" s="582">
        <v>0</v>
      </c>
      <c r="S46" s="582">
        <v>0</v>
      </c>
      <c r="T46" s="582">
        <v>0</v>
      </c>
      <c r="U46" s="582">
        <v>0</v>
      </c>
      <c r="V46" s="582">
        <v>0</v>
      </c>
      <c r="W46" s="582">
        <v>0</v>
      </c>
      <c r="X46" s="582">
        <v>0</v>
      </c>
      <c r="Y46" s="582">
        <v>0</v>
      </c>
      <c r="Z46" s="582">
        <v>0</v>
      </c>
    </row>
    <row r="47" spans="1:26" outlineLevel="1" x14ac:dyDescent="0.2">
      <c r="A47" s="1390"/>
      <c r="B47" s="1391"/>
      <c r="C47" s="1391"/>
      <c r="D47" s="497">
        <v>3</v>
      </c>
      <c r="E47" s="68">
        <f t="shared" si="2"/>
        <v>0</v>
      </c>
      <c r="F47" s="582">
        <v>0</v>
      </c>
      <c r="G47" s="582">
        <v>0</v>
      </c>
      <c r="H47" s="582">
        <v>0</v>
      </c>
      <c r="I47" s="582">
        <v>0</v>
      </c>
      <c r="J47" s="582">
        <v>0</v>
      </c>
      <c r="K47" s="582">
        <v>0</v>
      </c>
      <c r="L47" s="582">
        <v>0</v>
      </c>
      <c r="M47" s="582">
        <v>0</v>
      </c>
      <c r="N47" s="582">
        <v>0</v>
      </c>
      <c r="O47" s="582">
        <v>0</v>
      </c>
      <c r="P47" s="582">
        <v>0</v>
      </c>
      <c r="Q47" s="582">
        <v>0</v>
      </c>
      <c r="R47" s="582">
        <v>0</v>
      </c>
      <c r="S47" s="582">
        <v>0</v>
      </c>
      <c r="T47" s="582">
        <v>0</v>
      </c>
      <c r="U47" s="582">
        <v>0</v>
      </c>
      <c r="V47" s="582">
        <v>0</v>
      </c>
      <c r="W47" s="582">
        <v>0</v>
      </c>
      <c r="X47" s="582">
        <v>0</v>
      </c>
      <c r="Y47" s="582">
        <v>0</v>
      </c>
      <c r="Z47" s="582">
        <v>0</v>
      </c>
    </row>
    <row r="48" spans="1:26" outlineLevel="1" x14ac:dyDescent="0.2">
      <c r="A48" s="1390"/>
      <c r="B48" s="1391"/>
      <c r="C48" s="1391"/>
      <c r="D48" s="497">
        <v>4</v>
      </c>
      <c r="E48" s="68">
        <f t="shared" si="2"/>
        <v>0</v>
      </c>
      <c r="F48" s="582">
        <v>0</v>
      </c>
      <c r="G48" s="582">
        <v>0</v>
      </c>
      <c r="H48" s="582">
        <v>0</v>
      </c>
      <c r="I48" s="582">
        <v>0</v>
      </c>
      <c r="J48" s="582">
        <v>0</v>
      </c>
      <c r="K48" s="582">
        <v>0</v>
      </c>
      <c r="L48" s="582">
        <v>0</v>
      </c>
      <c r="M48" s="582">
        <v>0</v>
      </c>
      <c r="N48" s="582">
        <v>0</v>
      </c>
      <c r="O48" s="582">
        <v>0</v>
      </c>
      <c r="P48" s="582">
        <v>0</v>
      </c>
      <c r="Q48" s="582">
        <v>0</v>
      </c>
      <c r="R48" s="582">
        <v>0</v>
      </c>
      <c r="S48" s="582">
        <v>0</v>
      </c>
      <c r="T48" s="582">
        <v>0</v>
      </c>
      <c r="U48" s="582">
        <v>0</v>
      </c>
      <c r="V48" s="582">
        <v>0</v>
      </c>
      <c r="W48" s="582">
        <v>0</v>
      </c>
      <c r="X48" s="582">
        <v>0</v>
      </c>
      <c r="Y48" s="582">
        <v>0</v>
      </c>
      <c r="Z48" s="582">
        <v>0</v>
      </c>
    </row>
    <row r="49" spans="1:26" outlineLevel="1" x14ac:dyDescent="0.2">
      <c r="A49" s="1390"/>
      <c r="B49" s="1391"/>
      <c r="C49" s="1391"/>
      <c r="D49" s="497">
        <v>5</v>
      </c>
      <c r="E49" s="68">
        <f t="shared" si="2"/>
        <v>0</v>
      </c>
      <c r="F49" s="582">
        <v>0</v>
      </c>
      <c r="G49" s="582">
        <v>0</v>
      </c>
      <c r="H49" s="582">
        <v>0</v>
      </c>
      <c r="I49" s="582">
        <v>0</v>
      </c>
      <c r="J49" s="582">
        <v>0</v>
      </c>
      <c r="K49" s="582">
        <v>0</v>
      </c>
      <c r="L49" s="582">
        <v>0</v>
      </c>
      <c r="M49" s="582">
        <v>0</v>
      </c>
      <c r="N49" s="582">
        <v>0</v>
      </c>
      <c r="O49" s="582">
        <v>0</v>
      </c>
      <c r="P49" s="582">
        <v>0</v>
      </c>
      <c r="Q49" s="582">
        <v>0</v>
      </c>
      <c r="R49" s="582">
        <v>0</v>
      </c>
      <c r="S49" s="582">
        <v>0</v>
      </c>
      <c r="T49" s="582">
        <v>0</v>
      </c>
      <c r="U49" s="582">
        <v>0</v>
      </c>
      <c r="V49" s="582">
        <v>0</v>
      </c>
      <c r="W49" s="582">
        <v>0</v>
      </c>
      <c r="X49" s="582">
        <v>0</v>
      </c>
      <c r="Y49" s="582">
        <v>0</v>
      </c>
      <c r="Z49" s="582">
        <v>0</v>
      </c>
    </row>
    <row r="50" spans="1:26" outlineLevel="1" x14ac:dyDescent="0.2">
      <c r="A50" s="1390"/>
      <c r="B50" s="1391"/>
      <c r="C50" s="1391"/>
      <c r="D50" s="497">
        <v>6</v>
      </c>
      <c r="E50" s="68">
        <f t="shared" si="2"/>
        <v>0</v>
      </c>
      <c r="F50" s="582">
        <v>0</v>
      </c>
      <c r="G50" s="582">
        <v>0</v>
      </c>
      <c r="H50" s="582">
        <v>0</v>
      </c>
      <c r="I50" s="582">
        <v>0</v>
      </c>
      <c r="J50" s="582">
        <v>0</v>
      </c>
      <c r="K50" s="582">
        <v>0</v>
      </c>
      <c r="L50" s="582">
        <v>0</v>
      </c>
      <c r="M50" s="582">
        <v>0</v>
      </c>
      <c r="N50" s="582">
        <v>0</v>
      </c>
      <c r="O50" s="582">
        <v>0</v>
      </c>
      <c r="P50" s="582">
        <v>0</v>
      </c>
      <c r="Q50" s="582">
        <v>0</v>
      </c>
      <c r="R50" s="582">
        <v>0</v>
      </c>
      <c r="S50" s="582">
        <v>0</v>
      </c>
      <c r="T50" s="582">
        <v>0</v>
      </c>
      <c r="U50" s="582">
        <v>0</v>
      </c>
      <c r="V50" s="582">
        <v>0</v>
      </c>
      <c r="W50" s="582">
        <v>0</v>
      </c>
      <c r="X50" s="582">
        <v>0</v>
      </c>
      <c r="Y50" s="582">
        <v>0</v>
      </c>
      <c r="Z50" s="582">
        <v>0</v>
      </c>
    </row>
    <row r="51" spans="1:26" outlineLevel="1" x14ac:dyDescent="0.2">
      <c r="A51" s="1390"/>
      <c r="B51" s="1391"/>
      <c r="C51" s="1391"/>
      <c r="D51" s="497">
        <v>7</v>
      </c>
      <c r="E51" s="68">
        <f t="shared" si="2"/>
        <v>0</v>
      </c>
      <c r="F51" s="582">
        <v>0</v>
      </c>
      <c r="G51" s="582">
        <v>0</v>
      </c>
      <c r="H51" s="582">
        <v>0</v>
      </c>
      <c r="I51" s="582">
        <v>0</v>
      </c>
      <c r="J51" s="582">
        <v>0</v>
      </c>
      <c r="K51" s="582">
        <v>0</v>
      </c>
      <c r="L51" s="582">
        <v>0</v>
      </c>
      <c r="M51" s="582">
        <v>0</v>
      </c>
      <c r="N51" s="582">
        <v>0</v>
      </c>
      <c r="O51" s="582">
        <v>0</v>
      </c>
      <c r="P51" s="582">
        <v>0</v>
      </c>
      <c r="Q51" s="582">
        <v>0</v>
      </c>
      <c r="R51" s="582">
        <v>0</v>
      </c>
      <c r="S51" s="582">
        <v>0</v>
      </c>
      <c r="T51" s="582">
        <v>0</v>
      </c>
      <c r="U51" s="582">
        <v>0</v>
      </c>
      <c r="V51" s="582">
        <v>0</v>
      </c>
      <c r="W51" s="582">
        <v>0</v>
      </c>
      <c r="X51" s="582">
        <v>0</v>
      </c>
      <c r="Y51" s="582">
        <v>0</v>
      </c>
      <c r="Z51" s="582">
        <v>0</v>
      </c>
    </row>
    <row r="52" spans="1:26" outlineLevel="1" x14ac:dyDescent="0.2">
      <c r="A52" s="1390"/>
      <c r="B52" s="1391"/>
      <c r="C52" s="1391"/>
      <c r="D52" s="497">
        <v>8</v>
      </c>
      <c r="E52" s="68">
        <f t="shared" si="2"/>
        <v>0</v>
      </c>
      <c r="F52" s="582">
        <v>0</v>
      </c>
      <c r="G52" s="582">
        <v>0</v>
      </c>
      <c r="H52" s="582">
        <v>0</v>
      </c>
      <c r="I52" s="582">
        <v>0</v>
      </c>
      <c r="J52" s="582">
        <v>0</v>
      </c>
      <c r="K52" s="582">
        <v>0</v>
      </c>
      <c r="L52" s="582">
        <v>0</v>
      </c>
      <c r="M52" s="582">
        <v>0</v>
      </c>
      <c r="N52" s="582">
        <v>0</v>
      </c>
      <c r="O52" s="582">
        <v>0</v>
      </c>
      <c r="P52" s="582">
        <v>0</v>
      </c>
      <c r="Q52" s="582">
        <v>0</v>
      </c>
      <c r="R52" s="582">
        <v>0</v>
      </c>
      <c r="S52" s="582">
        <v>0</v>
      </c>
      <c r="T52" s="582">
        <v>0</v>
      </c>
      <c r="U52" s="582">
        <v>0</v>
      </c>
      <c r="V52" s="582">
        <v>0</v>
      </c>
      <c r="W52" s="582">
        <v>0</v>
      </c>
      <c r="X52" s="582">
        <v>0</v>
      </c>
      <c r="Y52" s="582">
        <v>0</v>
      </c>
      <c r="Z52" s="582">
        <v>0</v>
      </c>
    </row>
    <row r="53" spans="1:26" outlineLevel="1" x14ac:dyDescent="0.2">
      <c r="A53" s="1390"/>
      <c r="B53" s="1391"/>
      <c r="C53" s="1391"/>
      <c r="D53" s="497">
        <v>9</v>
      </c>
      <c r="E53" s="68">
        <f t="shared" si="2"/>
        <v>0</v>
      </c>
      <c r="F53" s="582">
        <v>0</v>
      </c>
      <c r="G53" s="582">
        <v>0</v>
      </c>
      <c r="H53" s="582">
        <v>0</v>
      </c>
      <c r="I53" s="582">
        <v>0</v>
      </c>
      <c r="J53" s="582">
        <v>0</v>
      </c>
      <c r="K53" s="582">
        <v>0</v>
      </c>
      <c r="L53" s="582">
        <v>0</v>
      </c>
      <c r="M53" s="582">
        <v>0</v>
      </c>
      <c r="N53" s="582">
        <v>0</v>
      </c>
      <c r="O53" s="582">
        <v>0</v>
      </c>
      <c r="P53" s="582">
        <v>0</v>
      </c>
      <c r="Q53" s="582">
        <v>0</v>
      </c>
      <c r="R53" s="582">
        <v>0</v>
      </c>
      <c r="S53" s="582">
        <v>0</v>
      </c>
      <c r="T53" s="582">
        <v>0</v>
      </c>
      <c r="U53" s="582">
        <v>0</v>
      </c>
      <c r="V53" s="582">
        <v>0</v>
      </c>
      <c r="W53" s="582">
        <v>0</v>
      </c>
      <c r="X53" s="582">
        <v>0</v>
      </c>
      <c r="Y53" s="582">
        <v>0</v>
      </c>
      <c r="Z53" s="582">
        <v>0</v>
      </c>
    </row>
    <row r="54" spans="1:26" ht="16" outlineLevel="1" thickBot="1" x14ac:dyDescent="0.25">
      <c r="A54" s="1390"/>
      <c r="B54" s="1391"/>
      <c r="C54" s="1391"/>
      <c r="D54" s="498">
        <v>10</v>
      </c>
      <c r="E54" s="68">
        <f t="shared" si="2"/>
        <v>0</v>
      </c>
      <c r="F54" s="586">
        <v>0</v>
      </c>
      <c r="G54" s="586">
        <v>0</v>
      </c>
      <c r="H54" s="586">
        <v>0</v>
      </c>
      <c r="I54" s="586">
        <v>0</v>
      </c>
      <c r="J54" s="586">
        <v>0</v>
      </c>
      <c r="K54" s="586">
        <v>0</v>
      </c>
      <c r="L54" s="586">
        <v>0</v>
      </c>
      <c r="M54" s="586">
        <v>0</v>
      </c>
      <c r="N54" s="586">
        <v>0</v>
      </c>
      <c r="O54" s="586">
        <v>0</v>
      </c>
      <c r="P54" s="586">
        <v>0</v>
      </c>
      <c r="Q54" s="586">
        <v>0</v>
      </c>
      <c r="R54" s="586">
        <v>0</v>
      </c>
      <c r="S54" s="586">
        <v>0</v>
      </c>
      <c r="T54" s="586">
        <v>0</v>
      </c>
      <c r="U54" s="586">
        <v>0</v>
      </c>
      <c r="V54" s="586">
        <v>0</v>
      </c>
      <c r="W54" s="586">
        <v>0</v>
      </c>
      <c r="X54" s="586">
        <v>0</v>
      </c>
      <c r="Y54" s="586">
        <v>0</v>
      </c>
      <c r="Z54" s="586">
        <v>0</v>
      </c>
    </row>
    <row r="55" spans="1:26" ht="16" thickBot="1" x14ac:dyDescent="0.25">
      <c r="A55" s="1402" t="s">
        <v>86</v>
      </c>
      <c r="B55" s="1402"/>
      <c r="C55" s="1402"/>
      <c r="D55" s="593"/>
      <c r="E55" s="72">
        <f t="shared" ref="E55:F55" si="5">SUM(E56:E105)</f>
        <v>2466414.1105701192</v>
      </c>
      <c r="F55" s="73">
        <f t="shared" si="5"/>
        <v>941811.92608898936</v>
      </c>
      <c r="G55" s="73">
        <f t="shared" ref="G55:Z55" si="6">SUM(G56:G105)</f>
        <v>174872.38084231745</v>
      </c>
      <c r="H55" s="73">
        <f t="shared" si="6"/>
        <v>20639.93053973727</v>
      </c>
      <c r="I55" s="73">
        <f t="shared" si="6"/>
        <v>0</v>
      </c>
      <c r="J55" s="73">
        <f t="shared" si="6"/>
        <v>0</v>
      </c>
      <c r="K55" s="73">
        <f t="shared" si="6"/>
        <v>769407.97846319992</v>
      </c>
      <c r="L55" s="73">
        <f t="shared" si="6"/>
        <v>455992.96887477551</v>
      </c>
      <c r="M55" s="73">
        <f t="shared" si="6"/>
        <v>0</v>
      </c>
      <c r="N55" s="73">
        <f t="shared" si="6"/>
        <v>64722.6</v>
      </c>
      <c r="O55" s="73">
        <f t="shared" si="6"/>
        <v>38966.325761099994</v>
      </c>
      <c r="P55" s="73">
        <f t="shared" si="6"/>
        <v>0</v>
      </c>
      <c r="Q55" s="73">
        <f t="shared" si="6"/>
        <v>0</v>
      </c>
      <c r="R55" s="73">
        <f t="shared" si="6"/>
        <v>0</v>
      </c>
      <c r="S55" s="73">
        <f t="shared" si="6"/>
        <v>0</v>
      </c>
      <c r="T55" s="73">
        <f t="shared" si="6"/>
        <v>0</v>
      </c>
      <c r="U55" s="73">
        <f t="shared" si="6"/>
        <v>0</v>
      </c>
      <c r="V55" s="73">
        <f t="shared" si="6"/>
        <v>0</v>
      </c>
      <c r="W55" s="73">
        <f t="shared" si="6"/>
        <v>0</v>
      </c>
      <c r="X55" s="73">
        <f t="shared" si="6"/>
        <v>0</v>
      </c>
      <c r="Y55" s="73">
        <f t="shared" si="6"/>
        <v>0</v>
      </c>
      <c r="Z55" s="73">
        <f t="shared" si="6"/>
        <v>0</v>
      </c>
    </row>
    <row r="56" spans="1:26" outlineLevel="1" x14ac:dyDescent="0.2">
      <c r="A56" s="1390" t="s">
        <v>91</v>
      </c>
      <c r="B56" s="1391" t="s">
        <v>79</v>
      </c>
      <c r="C56" s="1391">
        <v>635002</v>
      </c>
      <c r="D56" s="496">
        <v>1</v>
      </c>
      <c r="E56" s="67">
        <f t="shared" ref="E56:E105" si="7">SUM(F56:Z56)</f>
        <v>0</v>
      </c>
      <c r="F56" s="578">
        <v>0</v>
      </c>
      <c r="G56" s="578">
        <v>0</v>
      </c>
      <c r="H56" s="578">
        <v>0</v>
      </c>
      <c r="I56" s="578">
        <v>0</v>
      </c>
      <c r="J56" s="578">
        <v>0</v>
      </c>
      <c r="K56" s="578">
        <v>0</v>
      </c>
      <c r="L56" s="578">
        <v>0</v>
      </c>
      <c r="M56" s="578">
        <v>0</v>
      </c>
      <c r="N56" s="578">
        <v>0</v>
      </c>
      <c r="O56" s="578">
        <v>0</v>
      </c>
      <c r="P56" s="578">
        <f>IFERROR(IF(VLOOKUP(P$2,MODULY_CBA!$B$3:$N$23,13,0)&lt;=$D56,SUM(P$5:P$14)*VLOOKUP(P$2,MODULY_CBA!$B$3:$M$23,12,0),0),0)</f>
        <v>0</v>
      </c>
      <c r="Q56" s="578">
        <f>IFERROR(IF(VLOOKUP(Q$2,MODULY_CBA!$B$3:$N$23,13,0)&lt;=$D56,SUM(Q$5:Q$14)*VLOOKUP(Q$2,MODULY_CBA!$B$3:$M$23,12,0),0),0)</f>
        <v>0</v>
      </c>
      <c r="R56" s="578">
        <f>IFERROR(IF(VLOOKUP(R$2,MODULY_CBA!$B$3:$N$23,13,0)&lt;=$D56,SUM(R$5:R$14)*VLOOKUP(R$2,MODULY_CBA!$B$3:$M$23,12,0),0),0)</f>
        <v>0</v>
      </c>
      <c r="S56" s="578">
        <f>IFERROR(IF(VLOOKUP(S$2,MODULY_CBA!$B$3:$N$23,13,0)&lt;=$D56,SUM(S$5:S$14)*VLOOKUP(S$2,MODULY_CBA!$B$3:$M$23,12,0),0),0)</f>
        <v>0</v>
      </c>
      <c r="T56" s="578">
        <f>IFERROR(IF(VLOOKUP(T$2,MODULY_CBA!$B$3:$N$23,13,0)&lt;=$D56,SUM(T$5:T$14)*VLOOKUP(T$2,MODULY_CBA!$B$3:$M$23,12,0),0),0)</f>
        <v>0</v>
      </c>
      <c r="U56" s="578">
        <f>IFERROR(IF(VLOOKUP(U$2,MODULY_CBA!$B$3:$N$23,13,0)&lt;=$D56,SUM(U$5:U$14)*VLOOKUP(U$2,MODULY_CBA!$B$3:$M$23,12,0),0),0)</f>
        <v>0</v>
      </c>
      <c r="V56" s="578">
        <f>IFERROR(IF(VLOOKUP(V$2,MODULY_CBA!$B$3:$N$23,13,0)&lt;=$D56,SUM(V$5:V$14)*VLOOKUP(V$2,MODULY_CBA!$B$3:$M$23,12,0),0),0)</f>
        <v>0</v>
      </c>
      <c r="W56" s="578">
        <f>IFERROR(IF(VLOOKUP(W$2,MODULY_CBA!$B$3:$N$23,13,0)&lt;=$D56,SUM(W$5:W$14)*VLOOKUP(W$2,MODULY_CBA!$B$3:$M$23,12,0),0),0)</f>
        <v>0</v>
      </c>
      <c r="X56" s="578">
        <f>IFERROR(IF(VLOOKUP(X$2,MODULY_CBA!$B$3:$N$23,13,0)&lt;=$D56,SUM(X$5:X$14)*VLOOKUP(X$2,MODULY_CBA!$B$3:$M$23,12,0),0),0)</f>
        <v>0</v>
      </c>
      <c r="Y56" s="578">
        <f>IFERROR(IF(VLOOKUP(Y$2,MODULY_CBA!$B$3:$N$23,13,0)&lt;=$D56,SUM(Y$5:Y$14)*VLOOKUP(Y$2,MODULY_CBA!$B$3:$M$23,12,0),0),0)</f>
        <v>0</v>
      </c>
      <c r="Z56" s="578">
        <f>IFERROR(IF(VLOOKUP(Z$2,MODULY_CBA!$B$3:$N$23,13,0)&lt;=$D56,SUM(Z$5:Z$14)*VLOOKUP(Z$2,MODULY_CBA!$B$3:$M$23,12,0),0),0)</f>
        <v>0</v>
      </c>
    </row>
    <row r="57" spans="1:26" outlineLevel="1" x14ac:dyDescent="0.2">
      <c r="A57" s="1390"/>
      <c r="B57" s="1391"/>
      <c r="C57" s="1391"/>
      <c r="D57" s="497">
        <v>2</v>
      </c>
      <c r="E57" s="68">
        <f t="shared" si="7"/>
        <v>0</v>
      </c>
      <c r="F57" s="579">
        <v>0</v>
      </c>
      <c r="G57" s="579">
        <v>0</v>
      </c>
      <c r="H57" s="579">
        <v>0</v>
      </c>
      <c r="I57" s="579">
        <v>0</v>
      </c>
      <c r="J57" s="579">
        <v>0</v>
      </c>
      <c r="K57" s="579">
        <v>0</v>
      </c>
      <c r="L57" s="579">
        <v>0</v>
      </c>
      <c r="M57" s="579">
        <v>0</v>
      </c>
      <c r="N57" s="579">
        <v>0</v>
      </c>
      <c r="O57" s="579">
        <v>0</v>
      </c>
      <c r="P57" s="579">
        <f>IFERROR(IF(VLOOKUP(P$2,MODULY_CBA!$B$3:$N$23,13,0)&lt;=$D57,SUM(P$5:P$14)*VLOOKUP(P$2,MODULY_CBA!$B$3:$M$23,12,0),0),0)</f>
        <v>0</v>
      </c>
      <c r="Q57" s="579">
        <f>IFERROR(IF(VLOOKUP(Q$2,MODULY_CBA!$B$3:$N$23,13,0)&lt;=$D57,SUM(Q$5:Q$14)*VLOOKUP(Q$2,MODULY_CBA!$B$3:$M$23,12,0),0),0)</f>
        <v>0</v>
      </c>
      <c r="R57" s="579">
        <f>IFERROR(IF(VLOOKUP(R$2,MODULY_CBA!$B$3:$N$23,13,0)&lt;=$D57,SUM(R$5:R$14)*VLOOKUP(R$2,MODULY_CBA!$B$3:$M$23,12,0),0),0)</f>
        <v>0</v>
      </c>
      <c r="S57" s="579">
        <f>IFERROR(IF(VLOOKUP(S$2,MODULY_CBA!$B$3:$N$23,13,0)&lt;=$D57,SUM(S$5:S$14)*VLOOKUP(S$2,MODULY_CBA!$B$3:$M$23,12,0),0),0)</f>
        <v>0</v>
      </c>
      <c r="T57" s="579">
        <f>IFERROR(IF(VLOOKUP(T$2,MODULY_CBA!$B$3:$N$23,13,0)&lt;=$D57,SUM(T$5:T$14)*VLOOKUP(T$2,MODULY_CBA!$B$3:$M$23,12,0),0),0)</f>
        <v>0</v>
      </c>
      <c r="U57" s="579">
        <f>IFERROR(IF(VLOOKUP(U$2,MODULY_CBA!$B$3:$N$23,13,0)&lt;=$D57,SUM(U$5:U$14)*VLOOKUP(U$2,MODULY_CBA!$B$3:$M$23,12,0),0),0)</f>
        <v>0</v>
      </c>
      <c r="V57" s="579">
        <f>IFERROR(IF(VLOOKUP(V$2,MODULY_CBA!$B$3:$N$23,13,0)&lt;=$D57,SUM(V$5:V$14)*VLOOKUP(V$2,MODULY_CBA!$B$3:$M$23,12,0),0),0)</f>
        <v>0</v>
      </c>
      <c r="W57" s="579">
        <f>IFERROR(IF(VLOOKUP(W$2,MODULY_CBA!$B$3:$N$23,13,0)&lt;=$D57,SUM(W$5:W$14)*VLOOKUP(W$2,MODULY_CBA!$B$3:$M$23,12,0),0),0)</f>
        <v>0</v>
      </c>
      <c r="X57" s="579">
        <f>IFERROR(IF(VLOOKUP(X$2,MODULY_CBA!$B$3:$N$23,13,0)&lt;=$D57,SUM(X$5:X$14)*VLOOKUP(X$2,MODULY_CBA!$B$3:$M$23,12,0),0),0)</f>
        <v>0</v>
      </c>
      <c r="Y57" s="579">
        <f>IFERROR(IF(VLOOKUP(Y$2,MODULY_CBA!$B$3:$N$23,13,0)&lt;=$D57,SUM(Y$5:Y$14)*VLOOKUP(Y$2,MODULY_CBA!$B$3:$M$23,12,0),0),0)</f>
        <v>0</v>
      </c>
      <c r="Z57" s="579">
        <f>IFERROR(IF(VLOOKUP(Z$2,MODULY_CBA!$B$3:$N$23,13,0)&lt;=$D57,SUM(Z$5:Z$14)*VLOOKUP(Z$2,MODULY_CBA!$B$3:$M$23,12,0),0),0)</f>
        <v>0</v>
      </c>
    </row>
    <row r="58" spans="1:26" outlineLevel="1" x14ac:dyDescent="0.2">
      <c r="A58" s="1390"/>
      <c r="B58" s="1391"/>
      <c r="C58" s="1391"/>
      <c r="D58" s="497">
        <v>3</v>
      </c>
      <c r="E58" s="68">
        <f t="shared" si="7"/>
        <v>0</v>
      </c>
      <c r="F58" s="579">
        <v>0</v>
      </c>
      <c r="G58" s="579">
        <v>0</v>
      </c>
      <c r="H58" s="579">
        <v>0</v>
      </c>
      <c r="I58" s="579">
        <v>0</v>
      </c>
      <c r="J58" s="579">
        <v>0</v>
      </c>
      <c r="K58" s="579">
        <v>0</v>
      </c>
      <c r="L58" s="579">
        <v>0</v>
      </c>
      <c r="M58" s="579">
        <v>0</v>
      </c>
      <c r="N58" s="579">
        <v>0</v>
      </c>
      <c r="O58" s="579">
        <v>0</v>
      </c>
      <c r="P58" s="579">
        <f>IFERROR(IF(VLOOKUP(P$2,MODULY_CBA!$B$3:$N$23,13,0)&lt;=$D58,SUM(P$5:P$14)*VLOOKUP(P$2,MODULY_CBA!$B$3:$M$23,12,0),0),0)</f>
        <v>0</v>
      </c>
      <c r="Q58" s="579">
        <f>IFERROR(IF(VLOOKUP(Q$2,MODULY_CBA!$B$3:$N$23,13,0)&lt;=$D58,SUM(Q$5:Q$14)*VLOOKUP(Q$2,MODULY_CBA!$B$3:$M$23,12,0),0),0)</f>
        <v>0</v>
      </c>
      <c r="R58" s="579">
        <f>IFERROR(IF(VLOOKUP(R$2,MODULY_CBA!$B$3:$N$23,13,0)&lt;=$D58,SUM(R$5:R$14)*VLOOKUP(R$2,MODULY_CBA!$B$3:$M$23,12,0),0),0)</f>
        <v>0</v>
      </c>
      <c r="S58" s="579">
        <f>IFERROR(IF(VLOOKUP(S$2,MODULY_CBA!$B$3:$N$23,13,0)&lt;=$D58,SUM(S$5:S$14)*VLOOKUP(S$2,MODULY_CBA!$B$3:$M$23,12,0),0),0)</f>
        <v>0</v>
      </c>
      <c r="T58" s="579">
        <f>IFERROR(IF(VLOOKUP(T$2,MODULY_CBA!$B$3:$N$23,13,0)&lt;=$D58,SUM(T$5:T$14)*VLOOKUP(T$2,MODULY_CBA!$B$3:$M$23,12,0),0),0)</f>
        <v>0</v>
      </c>
      <c r="U58" s="579">
        <f>IFERROR(IF(VLOOKUP(U$2,MODULY_CBA!$B$3:$N$23,13,0)&lt;=$D58,SUM(U$5:U$14)*VLOOKUP(U$2,MODULY_CBA!$B$3:$M$23,12,0),0),0)</f>
        <v>0</v>
      </c>
      <c r="V58" s="579">
        <f>IFERROR(IF(VLOOKUP(V$2,MODULY_CBA!$B$3:$N$23,13,0)&lt;=$D58,SUM(V$5:V$14)*VLOOKUP(V$2,MODULY_CBA!$B$3:$M$23,12,0),0),0)</f>
        <v>0</v>
      </c>
      <c r="W58" s="579">
        <f>IFERROR(IF(VLOOKUP(W$2,MODULY_CBA!$B$3:$N$23,13,0)&lt;=$D58,SUM(W$5:W$14)*VLOOKUP(W$2,MODULY_CBA!$B$3:$M$23,12,0),0),0)</f>
        <v>0</v>
      </c>
      <c r="X58" s="579">
        <f>IFERROR(IF(VLOOKUP(X$2,MODULY_CBA!$B$3:$N$23,13,0)&lt;=$D58,SUM(X$5:X$14)*VLOOKUP(X$2,MODULY_CBA!$B$3:$M$23,12,0),0),0)</f>
        <v>0</v>
      </c>
      <c r="Y58" s="579">
        <f>IFERROR(IF(VLOOKUP(Y$2,MODULY_CBA!$B$3:$N$23,13,0)&lt;=$D58,SUM(Y$5:Y$14)*VLOOKUP(Y$2,MODULY_CBA!$B$3:$M$23,12,0),0),0)</f>
        <v>0</v>
      </c>
      <c r="Z58" s="579">
        <f>IFERROR(IF(VLOOKUP(Z$2,MODULY_CBA!$B$3:$N$23,13,0)&lt;=$D58,SUM(Z$5:Z$14)*VLOOKUP(Z$2,MODULY_CBA!$B$3:$M$23,12,0),0),0)</f>
        <v>0</v>
      </c>
    </row>
    <row r="59" spans="1:26" outlineLevel="1" x14ac:dyDescent="0.2">
      <c r="A59" s="1390"/>
      <c r="B59" s="1391"/>
      <c r="C59" s="1391"/>
      <c r="D59" s="497">
        <v>4</v>
      </c>
      <c r="E59" s="68">
        <f t="shared" si="7"/>
        <v>0</v>
      </c>
      <c r="F59" s="579">
        <v>0</v>
      </c>
      <c r="G59" s="579">
        <v>0</v>
      </c>
      <c r="H59" s="579">
        <v>0</v>
      </c>
      <c r="I59" s="579">
        <v>0</v>
      </c>
      <c r="J59" s="579">
        <v>0</v>
      </c>
      <c r="K59" s="579">
        <v>0</v>
      </c>
      <c r="L59" s="579">
        <v>0</v>
      </c>
      <c r="M59" s="579">
        <v>0</v>
      </c>
      <c r="N59" s="579">
        <v>0</v>
      </c>
      <c r="O59" s="579">
        <v>0</v>
      </c>
      <c r="P59" s="579">
        <f>IFERROR(IF(VLOOKUP(P$2,MODULY_CBA!$B$3:$N$23,13,0)&lt;=$D59,SUM(P$5:P$14)*VLOOKUP(P$2,MODULY_CBA!$B$3:$M$23,12,0),0),0)</f>
        <v>0</v>
      </c>
      <c r="Q59" s="579">
        <f>IFERROR(IF(VLOOKUP(Q$2,MODULY_CBA!$B$3:$N$23,13,0)&lt;=$D59,SUM(Q$5:Q$14)*VLOOKUP(Q$2,MODULY_CBA!$B$3:$M$23,12,0),0),0)</f>
        <v>0</v>
      </c>
      <c r="R59" s="579">
        <f>IFERROR(IF(VLOOKUP(R$2,MODULY_CBA!$B$3:$N$23,13,0)&lt;=$D59,SUM(R$5:R$14)*VLOOKUP(R$2,MODULY_CBA!$B$3:$M$23,12,0),0),0)</f>
        <v>0</v>
      </c>
      <c r="S59" s="579">
        <f>IFERROR(IF(VLOOKUP(S$2,MODULY_CBA!$B$3:$N$23,13,0)&lt;=$D59,SUM(S$5:S$14)*VLOOKUP(S$2,MODULY_CBA!$B$3:$M$23,12,0),0),0)</f>
        <v>0</v>
      </c>
      <c r="T59" s="579">
        <f>IFERROR(IF(VLOOKUP(T$2,MODULY_CBA!$B$3:$N$23,13,0)&lt;=$D59,SUM(T$5:T$14)*VLOOKUP(T$2,MODULY_CBA!$B$3:$M$23,12,0),0),0)</f>
        <v>0</v>
      </c>
      <c r="U59" s="579">
        <f>IFERROR(IF(VLOOKUP(U$2,MODULY_CBA!$B$3:$N$23,13,0)&lt;=$D59,SUM(U$5:U$14)*VLOOKUP(U$2,MODULY_CBA!$B$3:$M$23,12,0),0),0)</f>
        <v>0</v>
      </c>
      <c r="V59" s="579">
        <f>IFERROR(IF(VLOOKUP(V$2,MODULY_CBA!$B$3:$N$23,13,0)&lt;=$D59,SUM(V$5:V$14)*VLOOKUP(V$2,MODULY_CBA!$B$3:$M$23,12,0),0),0)</f>
        <v>0</v>
      </c>
      <c r="W59" s="579">
        <f>IFERROR(IF(VLOOKUP(W$2,MODULY_CBA!$B$3:$N$23,13,0)&lt;=$D59,SUM(W$5:W$14)*VLOOKUP(W$2,MODULY_CBA!$B$3:$M$23,12,0),0),0)</f>
        <v>0</v>
      </c>
      <c r="X59" s="579">
        <f>IFERROR(IF(VLOOKUP(X$2,MODULY_CBA!$B$3:$N$23,13,0)&lt;=$D59,SUM(X$5:X$14)*VLOOKUP(X$2,MODULY_CBA!$B$3:$M$23,12,0),0),0)</f>
        <v>0</v>
      </c>
      <c r="Y59" s="579">
        <f>IFERROR(IF(VLOOKUP(Y$2,MODULY_CBA!$B$3:$N$23,13,0)&lt;=$D59,SUM(Y$5:Y$14)*VLOOKUP(Y$2,MODULY_CBA!$B$3:$M$23,12,0),0),0)</f>
        <v>0</v>
      </c>
      <c r="Z59" s="579">
        <f>IFERROR(IF(VLOOKUP(Z$2,MODULY_CBA!$B$3:$N$23,13,0)&lt;=$D59,SUM(Z$5:Z$14)*VLOOKUP(Z$2,MODULY_CBA!$B$3:$M$23,12,0),0),0)</f>
        <v>0</v>
      </c>
    </row>
    <row r="60" spans="1:26" outlineLevel="1" x14ac:dyDescent="0.2">
      <c r="A60" s="1390"/>
      <c r="B60" s="1391"/>
      <c r="C60" s="1391"/>
      <c r="D60" s="497">
        <v>5</v>
      </c>
      <c r="E60" s="68">
        <f t="shared" si="7"/>
        <v>0</v>
      </c>
      <c r="F60" s="579">
        <v>0</v>
      </c>
      <c r="G60" s="579">
        <v>0</v>
      </c>
      <c r="H60" s="579">
        <v>0</v>
      </c>
      <c r="I60" s="579">
        <v>0</v>
      </c>
      <c r="J60" s="579">
        <v>0</v>
      </c>
      <c r="K60" s="579">
        <v>0</v>
      </c>
      <c r="L60" s="579">
        <v>0</v>
      </c>
      <c r="M60" s="579">
        <v>0</v>
      </c>
      <c r="N60" s="579">
        <v>0</v>
      </c>
      <c r="O60" s="579">
        <v>0</v>
      </c>
      <c r="P60" s="579">
        <f>IFERROR(IF(VLOOKUP(P$2,MODULY_CBA!$B$3:$N$23,13,0)&lt;=$D60,SUM(P$5:P$14)*VLOOKUP(P$2,MODULY_CBA!$B$3:$M$23,12,0),0),0)</f>
        <v>0</v>
      </c>
      <c r="Q60" s="579">
        <f>IFERROR(IF(VLOOKUP(Q$2,MODULY_CBA!$B$3:$N$23,13,0)&lt;=$D60,SUM(Q$5:Q$14)*VLOOKUP(Q$2,MODULY_CBA!$B$3:$M$23,12,0),0),0)</f>
        <v>0</v>
      </c>
      <c r="R60" s="579">
        <f>IFERROR(IF(VLOOKUP(R$2,MODULY_CBA!$B$3:$N$23,13,0)&lt;=$D60,SUM(R$5:R$14)*VLOOKUP(R$2,MODULY_CBA!$B$3:$M$23,12,0),0),0)</f>
        <v>0</v>
      </c>
      <c r="S60" s="579">
        <f>IFERROR(IF(VLOOKUP(S$2,MODULY_CBA!$B$3:$N$23,13,0)&lt;=$D60,SUM(S$5:S$14)*VLOOKUP(S$2,MODULY_CBA!$B$3:$M$23,12,0),0),0)</f>
        <v>0</v>
      </c>
      <c r="T60" s="579">
        <f>IFERROR(IF(VLOOKUP(T$2,MODULY_CBA!$B$3:$N$23,13,0)&lt;=$D60,SUM(T$5:T$14)*VLOOKUP(T$2,MODULY_CBA!$B$3:$M$23,12,0),0),0)</f>
        <v>0</v>
      </c>
      <c r="U60" s="579">
        <f>IFERROR(IF(VLOOKUP(U$2,MODULY_CBA!$B$3:$N$23,13,0)&lt;=$D60,SUM(U$5:U$14)*VLOOKUP(U$2,MODULY_CBA!$B$3:$M$23,12,0),0),0)</f>
        <v>0</v>
      </c>
      <c r="V60" s="579">
        <f>IFERROR(IF(VLOOKUP(V$2,MODULY_CBA!$B$3:$N$23,13,0)&lt;=$D60,SUM(V$5:V$14)*VLOOKUP(V$2,MODULY_CBA!$B$3:$M$23,12,0),0),0)</f>
        <v>0</v>
      </c>
      <c r="W60" s="579">
        <f>IFERROR(IF(VLOOKUP(W$2,MODULY_CBA!$B$3:$N$23,13,0)&lt;=$D60,SUM(W$5:W$14)*VLOOKUP(W$2,MODULY_CBA!$B$3:$M$23,12,0),0),0)</f>
        <v>0</v>
      </c>
      <c r="X60" s="579">
        <f>IFERROR(IF(VLOOKUP(X$2,MODULY_CBA!$B$3:$N$23,13,0)&lt;=$D60,SUM(X$5:X$14)*VLOOKUP(X$2,MODULY_CBA!$B$3:$M$23,12,0),0),0)</f>
        <v>0</v>
      </c>
      <c r="Y60" s="579">
        <f>IFERROR(IF(VLOOKUP(Y$2,MODULY_CBA!$B$3:$N$23,13,0)&lt;=$D60,SUM(Y$5:Y$14)*VLOOKUP(Y$2,MODULY_CBA!$B$3:$M$23,12,0),0),0)</f>
        <v>0</v>
      </c>
      <c r="Z60" s="579">
        <f>IFERROR(IF(VLOOKUP(Z$2,MODULY_CBA!$B$3:$N$23,13,0)&lt;=$D60,SUM(Z$5:Z$14)*VLOOKUP(Z$2,MODULY_CBA!$B$3:$M$23,12,0),0),0)</f>
        <v>0</v>
      </c>
    </row>
    <row r="61" spans="1:26" outlineLevel="1" x14ac:dyDescent="0.2">
      <c r="A61" s="1390"/>
      <c r="B61" s="1391"/>
      <c r="C61" s="1391"/>
      <c r="D61" s="497">
        <v>6</v>
      </c>
      <c r="E61" s="68">
        <f t="shared" si="7"/>
        <v>0</v>
      </c>
      <c r="F61" s="579">
        <v>0</v>
      </c>
      <c r="G61" s="579">
        <v>0</v>
      </c>
      <c r="H61" s="579">
        <v>0</v>
      </c>
      <c r="I61" s="579">
        <v>0</v>
      </c>
      <c r="J61" s="579">
        <v>0</v>
      </c>
      <c r="K61" s="579">
        <v>0</v>
      </c>
      <c r="L61" s="579">
        <v>0</v>
      </c>
      <c r="M61" s="579">
        <v>0</v>
      </c>
      <c r="N61" s="579">
        <v>0</v>
      </c>
      <c r="O61" s="579">
        <v>0</v>
      </c>
      <c r="P61" s="579">
        <f>IFERROR(IF(VLOOKUP(P$2,MODULY_CBA!$B$3:$N$23,13,0)&lt;=$D61,SUM(P$5:P$14)*VLOOKUP(P$2,MODULY_CBA!$B$3:$M$23,12,0),0),0)</f>
        <v>0</v>
      </c>
      <c r="Q61" s="579">
        <f>IFERROR(IF(VLOOKUP(Q$2,MODULY_CBA!$B$3:$N$23,13,0)&lt;=$D61,SUM(Q$5:Q$14)*VLOOKUP(Q$2,MODULY_CBA!$B$3:$M$23,12,0),0),0)</f>
        <v>0</v>
      </c>
      <c r="R61" s="579">
        <f>IFERROR(IF(VLOOKUP(R$2,MODULY_CBA!$B$3:$N$23,13,0)&lt;=$D61,SUM(R$5:R$14)*VLOOKUP(R$2,MODULY_CBA!$B$3:$M$23,12,0),0),0)</f>
        <v>0</v>
      </c>
      <c r="S61" s="579">
        <f>IFERROR(IF(VLOOKUP(S$2,MODULY_CBA!$B$3:$N$23,13,0)&lt;=$D61,SUM(S$5:S$14)*VLOOKUP(S$2,MODULY_CBA!$B$3:$M$23,12,0),0),0)</f>
        <v>0</v>
      </c>
      <c r="T61" s="579">
        <f>IFERROR(IF(VLOOKUP(T$2,MODULY_CBA!$B$3:$N$23,13,0)&lt;=$D61,SUM(T$5:T$14)*VLOOKUP(T$2,MODULY_CBA!$B$3:$M$23,12,0),0),0)</f>
        <v>0</v>
      </c>
      <c r="U61" s="579">
        <f>IFERROR(IF(VLOOKUP(U$2,MODULY_CBA!$B$3:$N$23,13,0)&lt;=$D61,SUM(U$5:U$14)*VLOOKUP(U$2,MODULY_CBA!$B$3:$M$23,12,0),0),0)</f>
        <v>0</v>
      </c>
      <c r="V61" s="579">
        <f>IFERROR(IF(VLOOKUP(V$2,MODULY_CBA!$B$3:$N$23,13,0)&lt;=$D61,SUM(V$5:V$14)*VLOOKUP(V$2,MODULY_CBA!$B$3:$M$23,12,0),0),0)</f>
        <v>0</v>
      </c>
      <c r="W61" s="579">
        <f>IFERROR(IF(VLOOKUP(W$2,MODULY_CBA!$B$3:$N$23,13,0)&lt;=$D61,SUM(W$5:W$14)*VLOOKUP(W$2,MODULY_CBA!$B$3:$M$23,12,0),0),0)</f>
        <v>0</v>
      </c>
      <c r="X61" s="579">
        <f>IFERROR(IF(VLOOKUP(X$2,MODULY_CBA!$B$3:$N$23,13,0)&lt;=$D61,SUM(X$5:X$14)*VLOOKUP(X$2,MODULY_CBA!$B$3:$M$23,12,0),0),0)</f>
        <v>0</v>
      </c>
      <c r="Y61" s="579">
        <f>IFERROR(IF(VLOOKUP(Y$2,MODULY_CBA!$B$3:$N$23,13,0)&lt;=$D61,SUM(Y$5:Y$14)*VLOOKUP(Y$2,MODULY_CBA!$B$3:$M$23,12,0),0),0)</f>
        <v>0</v>
      </c>
      <c r="Z61" s="579">
        <f>IFERROR(IF(VLOOKUP(Z$2,MODULY_CBA!$B$3:$N$23,13,0)&lt;=$D61,SUM(Z$5:Z$14)*VLOOKUP(Z$2,MODULY_CBA!$B$3:$M$23,12,0),0),0)</f>
        <v>0</v>
      </c>
    </row>
    <row r="62" spans="1:26" outlineLevel="1" x14ac:dyDescent="0.2">
      <c r="A62" s="1390"/>
      <c r="B62" s="1391"/>
      <c r="C62" s="1391"/>
      <c r="D62" s="497">
        <v>7</v>
      </c>
      <c r="E62" s="68">
        <f t="shared" si="7"/>
        <v>0</v>
      </c>
      <c r="F62" s="579">
        <v>0</v>
      </c>
      <c r="G62" s="579">
        <v>0</v>
      </c>
      <c r="H62" s="579">
        <v>0</v>
      </c>
      <c r="I62" s="579">
        <v>0</v>
      </c>
      <c r="J62" s="579">
        <v>0</v>
      </c>
      <c r="K62" s="579">
        <v>0</v>
      </c>
      <c r="L62" s="579">
        <v>0</v>
      </c>
      <c r="M62" s="579">
        <v>0</v>
      </c>
      <c r="N62" s="579">
        <v>0</v>
      </c>
      <c r="O62" s="579">
        <v>0</v>
      </c>
      <c r="P62" s="579">
        <f>IFERROR(IF(VLOOKUP(P$2,MODULY_CBA!$B$3:$N$23,13,0)&lt;=$D62,SUM(P$5:P$14)*VLOOKUP(P$2,MODULY_CBA!$B$3:$M$23,12,0),0),0)</f>
        <v>0</v>
      </c>
      <c r="Q62" s="579">
        <f>IFERROR(IF(VLOOKUP(Q$2,MODULY_CBA!$B$3:$N$23,13,0)&lt;=$D62,SUM(Q$5:Q$14)*VLOOKUP(Q$2,MODULY_CBA!$B$3:$M$23,12,0),0),0)</f>
        <v>0</v>
      </c>
      <c r="R62" s="579">
        <f>IFERROR(IF(VLOOKUP(R$2,MODULY_CBA!$B$3:$N$23,13,0)&lt;=$D62,SUM(R$5:R$14)*VLOOKUP(R$2,MODULY_CBA!$B$3:$M$23,12,0),0),0)</f>
        <v>0</v>
      </c>
      <c r="S62" s="579">
        <f>IFERROR(IF(VLOOKUP(S$2,MODULY_CBA!$B$3:$N$23,13,0)&lt;=$D62,SUM(S$5:S$14)*VLOOKUP(S$2,MODULY_CBA!$B$3:$M$23,12,0),0),0)</f>
        <v>0</v>
      </c>
      <c r="T62" s="579">
        <f>IFERROR(IF(VLOOKUP(T$2,MODULY_CBA!$B$3:$N$23,13,0)&lt;=$D62,SUM(T$5:T$14)*VLOOKUP(T$2,MODULY_CBA!$B$3:$M$23,12,0),0),0)</f>
        <v>0</v>
      </c>
      <c r="U62" s="579">
        <f>IFERROR(IF(VLOOKUP(U$2,MODULY_CBA!$B$3:$N$23,13,0)&lt;=$D62,SUM(U$5:U$14)*VLOOKUP(U$2,MODULY_CBA!$B$3:$M$23,12,0),0),0)</f>
        <v>0</v>
      </c>
      <c r="V62" s="579">
        <f>IFERROR(IF(VLOOKUP(V$2,MODULY_CBA!$B$3:$N$23,13,0)&lt;=$D62,SUM(V$5:V$14)*VLOOKUP(V$2,MODULY_CBA!$B$3:$M$23,12,0),0),0)</f>
        <v>0</v>
      </c>
      <c r="W62" s="579">
        <f>IFERROR(IF(VLOOKUP(W$2,MODULY_CBA!$B$3:$N$23,13,0)&lt;=$D62,SUM(W$5:W$14)*VLOOKUP(W$2,MODULY_CBA!$B$3:$M$23,12,0),0),0)</f>
        <v>0</v>
      </c>
      <c r="X62" s="579">
        <f>IFERROR(IF(VLOOKUP(X$2,MODULY_CBA!$B$3:$N$23,13,0)&lt;=$D62,SUM(X$5:X$14)*VLOOKUP(X$2,MODULY_CBA!$B$3:$M$23,12,0),0),0)</f>
        <v>0</v>
      </c>
      <c r="Y62" s="579">
        <f>IFERROR(IF(VLOOKUP(Y$2,MODULY_CBA!$B$3:$N$23,13,0)&lt;=$D62,SUM(Y$5:Y$14)*VLOOKUP(Y$2,MODULY_CBA!$B$3:$M$23,12,0),0),0)</f>
        <v>0</v>
      </c>
      <c r="Z62" s="579">
        <f>IFERROR(IF(VLOOKUP(Z$2,MODULY_CBA!$B$3:$N$23,13,0)&lt;=$D62,SUM(Z$5:Z$14)*VLOOKUP(Z$2,MODULY_CBA!$B$3:$M$23,12,0),0),0)</f>
        <v>0</v>
      </c>
    </row>
    <row r="63" spans="1:26" outlineLevel="1" x14ac:dyDescent="0.2">
      <c r="A63" s="1390"/>
      <c r="B63" s="1391"/>
      <c r="C63" s="1391"/>
      <c r="D63" s="497">
        <v>8</v>
      </c>
      <c r="E63" s="68">
        <f t="shared" si="7"/>
        <v>0</v>
      </c>
      <c r="F63" s="579">
        <v>0</v>
      </c>
      <c r="G63" s="579">
        <v>0</v>
      </c>
      <c r="H63" s="579">
        <v>0</v>
      </c>
      <c r="I63" s="579">
        <v>0</v>
      </c>
      <c r="J63" s="579">
        <v>0</v>
      </c>
      <c r="K63" s="579">
        <v>0</v>
      </c>
      <c r="L63" s="579">
        <v>0</v>
      </c>
      <c r="M63" s="579">
        <v>0</v>
      </c>
      <c r="N63" s="579">
        <v>0</v>
      </c>
      <c r="O63" s="579">
        <v>0</v>
      </c>
      <c r="P63" s="579">
        <f>IFERROR(IF(VLOOKUP(P$2,MODULY_CBA!$B$3:$N$23,13,0)&lt;=$D63,SUM(P$5:P$14)*VLOOKUP(P$2,MODULY_CBA!$B$3:$M$23,12,0),0),0)</f>
        <v>0</v>
      </c>
      <c r="Q63" s="579">
        <f>IFERROR(IF(VLOOKUP(Q$2,MODULY_CBA!$B$3:$N$23,13,0)&lt;=$D63,SUM(Q$5:Q$14)*VLOOKUP(Q$2,MODULY_CBA!$B$3:$M$23,12,0),0),0)</f>
        <v>0</v>
      </c>
      <c r="R63" s="579">
        <f>IFERROR(IF(VLOOKUP(R$2,MODULY_CBA!$B$3:$N$23,13,0)&lt;=$D63,SUM(R$5:R$14)*VLOOKUP(R$2,MODULY_CBA!$B$3:$M$23,12,0),0),0)</f>
        <v>0</v>
      </c>
      <c r="S63" s="579">
        <f>IFERROR(IF(VLOOKUP(S$2,MODULY_CBA!$B$3:$N$23,13,0)&lt;=$D63,SUM(S$5:S$14)*VLOOKUP(S$2,MODULY_CBA!$B$3:$M$23,12,0),0),0)</f>
        <v>0</v>
      </c>
      <c r="T63" s="579">
        <f>IFERROR(IF(VLOOKUP(T$2,MODULY_CBA!$B$3:$N$23,13,0)&lt;=$D63,SUM(T$5:T$14)*VLOOKUP(T$2,MODULY_CBA!$B$3:$M$23,12,0),0),0)</f>
        <v>0</v>
      </c>
      <c r="U63" s="579">
        <f>IFERROR(IF(VLOOKUP(U$2,MODULY_CBA!$B$3:$N$23,13,0)&lt;=$D63,SUM(U$5:U$14)*VLOOKUP(U$2,MODULY_CBA!$B$3:$M$23,12,0),0),0)</f>
        <v>0</v>
      </c>
      <c r="V63" s="579">
        <f>IFERROR(IF(VLOOKUP(V$2,MODULY_CBA!$B$3:$N$23,13,0)&lt;=$D63,SUM(V$5:V$14)*VLOOKUP(V$2,MODULY_CBA!$B$3:$M$23,12,0),0),0)</f>
        <v>0</v>
      </c>
      <c r="W63" s="579">
        <f>IFERROR(IF(VLOOKUP(W$2,MODULY_CBA!$B$3:$N$23,13,0)&lt;=$D63,SUM(W$5:W$14)*VLOOKUP(W$2,MODULY_CBA!$B$3:$M$23,12,0),0),0)</f>
        <v>0</v>
      </c>
      <c r="X63" s="579">
        <f>IFERROR(IF(VLOOKUP(X$2,MODULY_CBA!$B$3:$N$23,13,0)&lt;=$D63,SUM(X$5:X$14)*VLOOKUP(X$2,MODULY_CBA!$B$3:$M$23,12,0),0),0)</f>
        <v>0</v>
      </c>
      <c r="Y63" s="579">
        <f>IFERROR(IF(VLOOKUP(Y$2,MODULY_CBA!$B$3:$N$23,13,0)&lt;=$D63,SUM(Y$5:Y$14)*VLOOKUP(Y$2,MODULY_CBA!$B$3:$M$23,12,0),0),0)</f>
        <v>0</v>
      </c>
      <c r="Z63" s="579">
        <f>IFERROR(IF(VLOOKUP(Z$2,MODULY_CBA!$B$3:$N$23,13,0)&lt;=$D63,SUM(Z$5:Z$14)*VLOOKUP(Z$2,MODULY_CBA!$B$3:$M$23,12,0),0),0)</f>
        <v>0</v>
      </c>
    </row>
    <row r="64" spans="1:26" outlineLevel="1" x14ac:dyDescent="0.2">
      <c r="A64" s="1390"/>
      <c r="B64" s="1391"/>
      <c r="C64" s="1391"/>
      <c r="D64" s="497">
        <v>9</v>
      </c>
      <c r="E64" s="68">
        <f t="shared" si="7"/>
        <v>0</v>
      </c>
      <c r="F64" s="579">
        <v>0</v>
      </c>
      <c r="G64" s="579">
        <v>0</v>
      </c>
      <c r="H64" s="579">
        <v>0</v>
      </c>
      <c r="I64" s="579">
        <v>0</v>
      </c>
      <c r="J64" s="579">
        <v>0</v>
      </c>
      <c r="K64" s="579">
        <v>0</v>
      </c>
      <c r="L64" s="579">
        <v>0</v>
      </c>
      <c r="M64" s="579">
        <v>0</v>
      </c>
      <c r="N64" s="579">
        <v>0</v>
      </c>
      <c r="O64" s="579">
        <v>0</v>
      </c>
      <c r="P64" s="579">
        <f>IFERROR(IF(VLOOKUP(P$2,MODULY_CBA!$B$3:$N$23,13,0)&lt;=$D64,SUM(P$5:P$14)*VLOOKUP(P$2,MODULY_CBA!$B$3:$M$23,12,0),0),0)</f>
        <v>0</v>
      </c>
      <c r="Q64" s="579">
        <f>IFERROR(IF(VLOOKUP(Q$2,MODULY_CBA!$B$3:$N$23,13,0)&lt;=$D64,SUM(Q$5:Q$14)*VLOOKUP(Q$2,MODULY_CBA!$B$3:$M$23,12,0),0),0)</f>
        <v>0</v>
      </c>
      <c r="R64" s="579">
        <f>IFERROR(IF(VLOOKUP(R$2,MODULY_CBA!$B$3:$N$23,13,0)&lt;=$D64,SUM(R$5:R$14)*VLOOKUP(R$2,MODULY_CBA!$B$3:$M$23,12,0),0),0)</f>
        <v>0</v>
      </c>
      <c r="S64" s="579">
        <f>IFERROR(IF(VLOOKUP(S$2,MODULY_CBA!$B$3:$N$23,13,0)&lt;=$D64,SUM(S$5:S$14)*VLOOKUP(S$2,MODULY_CBA!$B$3:$M$23,12,0),0),0)</f>
        <v>0</v>
      </c>
      <c r="T64" s="579">
        <f>IFERROR(IF(VLOOKUP(T$2,MODULY_CBA!$B$3:$N$23,13,0)&lt;=$D64,SUM(T$5:T$14)*VLOOKUP(T$2,MODULY_CBA!$B$3:$M$23,12,0),0),0)</f>
        <v>0</v>
      </c>
      <c r="U64" s="579">
        <f>IFERROR(IF(VLOOKUP(U$2,MODULY_CBA!$B$3:$N$23,13,0)&lt;=$D64,SUM(U$5:U$14)*VLOOKUP(U$2,MODULY_CBA!$B$3:$M$23,12,0),0),0)</f>
        <v>0</v>
      </c>
      <c r="V64" s="579">
        <f>IFERROR(IF(VLOOKUP(V$2,MODULY_CBA!$B$3:$N$23,13,0)&lt;=$D64,SUM(V$5:V$14)*VLOOKUP(V$2,MODULY_CBA!$B$3:$M$23,12,0),0),0)</f>
        <v>0</v>
      </c>
      <c r="W64" s="579">
        <f>IFERROR(IF(VLOOKUP(W$2,MODULY_CBA!$B$3:$N$23,13,0)&lt;=$D64,SUM(W$5:W$14)*VLOOKUP(W$2,MODULY_CBA!$B$3:$M$23,12,0),0),0)</f>
        <v>0</v>
      </c>
      <c r="X64" s="579">
        <f>IFERROR(IF(VLOOKUP(X$2,MODULY_CBA!$B$3:$N$23,13,0)&lt;=$D64,SUM(X$5:X$14)*VLOOKUP(X$2,MODULY_CBA!$B$3:$M$23,12,0),0),0)</f>
        <v>0</v>
      </c>
      <c r="Y64" s="579">
        <f>IFERROR(IF(VLOOKUP(Y$2,MODULY_CBA!$B$3:$N$23,13,0)&lt;=$D64,SUM(Y$5:Y$14)*VLOOKUP(Y$2,MODULY_CBA!$B$3:$M$23,12,0),0),0)</f>
        <v>0</v>
      </c>
      <c r="Z64" s="579">
        <f>IFERROR(IF(VLOOKUP(Z$2,MODULY_CBA!$B$3:$N$23,13,0)&lt;=$D64,SUM(Z$5:Z$14)*VLOOKUP(Z$2,MODULY_CBA!$B$3:$M$23,12,0),0),0)</f>
        <v>0</v>
      </c>
    </row>
    <row r="65" spans="1:28" ht="16" outlineLevel="1" thickBot="1" x14ac:dyDescent="0.25">
      <c r="A65" s="1390"/>
      <c r="B65" s="1391"/>
      <c r="C65" s="1391"/>
      <c r="D65" s="498">
        <v>10</v>
      </c>
      <c r="E65" s="69">
        <f t="shared" si="7"/>
        <v>0</v>
      </c>
      <c r="F65" s="579">
        <v>0</v>
      </c>
      <c r="G65" s="579">
        <v>0</v>
      </c>
      <c r="H65" s="579">
        <v>0</v>
      </c>
      <c r="I65" s="579">
        <v>0</v>
      </c>
      <c r="J65" s="579">
        <v>0</v>
      </c>
      <c r="K65" s="579">
        <v>0</v>
      </c>
      <c r="L65" s="579">
        <v>0</v>
      </c>
      <c r="M65" s="579">
        <v>0</v>
      </c>
      <c r="N65" s="579">
        <v>0</v>
      </c>
      <c r="O65" s="579">
        <v>0</v>
      </c>
      <c r="P65" s="579">
        <f>IFERROR(IF(VLOOKUP(P$2,MODULY_CBA!$B$3:$N$23,13,0)&lt;=$D65,SUM(P$5:P$14)*VLOOKUP(P$2,MODULY_CBA!$B$3:$M$23,12,0),0),0)</f>
        <v>0</v>
      </c>
      <c r="Q65" s="579">
        <f>IFERROR(IF(VLOOKUP(Q$2,MODULY_CBA!$B$3:$N$23,13,0)&lt;=$D65,SUM(Q$5:Q$14)*VLOOKUP(Q$2,MODULY_CBA!$B$3:$M$23,12,0),0),0)</f>
        <v>0</v>
      </c>
      <c r="R65" s="579">
        <f>IFERROR(IF(VLOOKUP(R$2,MODULY_CBA!$B$3:$N$23,13,0)&lt;=$D65,SUM(R$5:R$14)*VLOOKUP(R$2,MODULY_CBA!$B$3:$M$23,12,0),0),0)</f>
        <v>0</v>
      </c>
      <c r="S65" s="579">
        <f>IFERROR(IF(VLOOKUP(S$2,MODULY_CBA!$B$3:$N$23,13,0)&lt;=$D65,SUM(S$5:S$14)*VLOOKUP(S$2,MODULY_CBA!$B$3:$M$23,12,0),0),0)</f>
        <v>0</v>
      </c>
      <c r="T65" s="579">
        <f>IFERROR(IF(VLOOKUP(T$2,MODULY_CBA!$B$3:$N$23,13,0)&lt;=$D65,SUM(T$5:T$14)*VLOOKUP(T$2,MODULY_CBA!$B$3:$M$23,12,0),0),0)</f>
        <v>0</v>
      </c>
      <c r="U65" s="579">
        <f>IFERROR(IF(VLOOKUP(U$2,MODULY_CBA!$B$3:$N$23,13,0)&lt;=$D65,SUM(U$5:U$14)*VLOOKUP(U$2,MODULY_CBA!$B$3:$M$23,12,0),0),0)</f>
        <v>0</v>
      </c>
      <c r="V65" s="579">
        <f>IFERROR(IF(VLOOKUP(V$2,MODULY_CBA!$B$3:$N$23,13,0)&lt;=$D65,SUM(V$5:V$14)*VLOOKUP(V$2,MODULY_CBA!$B$3:$M$23,12,0),0),0)</f>
        <v>0</v>
      </c>
      <c r="W65" s="579">
        <f>IFERROR(IF(VLOOKUP(W$2,MODULY_CBA!$B$3:$N$23,13,0)&lt;=$D65,SUM(W$5:W$14)*VLOOKUP(W$2,MODULY_CBA!$B$3:$M$23,12,0),0),0)</f>
        <v>0</v>
      </c>
      <c r="X65" s="579">
        <f>IFERROR(IF(VLOOKUP(X$2,MODULY_CBA!$B$3:$N$23,13,0)&lt;=$D65,SUM(X$5:X$14)*VLOOKUP(X$2,MODULY_CBA!$B$3:$M$23,12,0),0),0)</f>
        <v>0</v>
      </c>
      <c r="Y65" s="579">
        <f>IFERROR(IF(VLOOKUP(Y$2,MODULY_CBA!$B$3:$N$23,13,0)&lt;=$D65,SUM(Y$5:Y$14)*VLOOKUP(Y$2,MODULY_CBA!$B$3:$M$23,12,0),0),0)</f>
        <v>0</v>
      </c>
      <c r="Z65" s="579">
        <f>IFERROR(IF(VLOOKUP(Z$2,MODULY_CBA!$B$3:$N$23,13,0)&lt;=$D65,SUM(Z$5:Z$14)*VLOOKUP(Z$2,MODULY_CBA!$B$3:$M$23,12,0),0),0)</f>
        <v>0</v>
      </c>
    </row>
    <row r="66" spans="1:28" outlineLevel="1" x14ac:dyDescent="0.2">
      <c r="A66" s="1390" t="s">
        <v>92</v>
      </c>
      <c r="B66" s="1390" t="s">
        <v>90</v>
      </c>
      <c r="C66" s="1391">
        <v>718002</v>
      </c>
      <c r="D66" s="496">
        <v>1</v>
      </c>
      <c r="E66" s="68">
        <f t="shared" si="7"/>
        <v>0</v>
      </c>
      <c r="F66" s="581">
        <f>IFERROR(IF(VLOOKUP(F$2,MODULY_CBA!$B$3:$N$23,13,0)&lt;=$D56,SUM(F$5:F$14)*VLOOKUP(F$2,MODULY_CBA!$B$3:$M$23,12,0),0),0)</f>
        <v>0</v>
      </c>
      <c r="G66" s="581">
        <f>IFERROR(IF(VLOOKUP(G$2,MODULY_CBA!$B$3:$N$23,13,0)&lt;=$D56,SUM(G$5:G$14)*VLOOKUP(G$2,MODULY_CBA!$B$3:$M$23,12,0),0),0)</f>
        <v>0</v>
      </c>
      <c r="H66" s="581">
        <f>IFERROR(IF(VLOOKUP(H$2,MODULY_CBA!$B$3:$N$23,13,0)&lt;=$D56,SUM(H$5:H$14)*VLOOKUP(H$2,MODULY_CBA!$B$3:$M$23,12,0),0),0)</f>
        <v>0</v>
      </c>
      <c r="I66" s="581">
        <f>IFERROR(IF(VLOOKUP(I$2,MODULY_CBA!$B$3:$N$23,13,0)&lt;=$D56,SUM(I$5:I$14)*VLOOKUP(I$2,MODULY_CBA!$B$3:$M$23,12,0),0),0)</f>
        <v>0</v>
      </c>
      <c r="J66" s="581">
        <f>IFERROR(IF(VLOOKUP(J$2,MODULY_CBA!$B$3:$N$23,13,0)&lt;=$D56,SUM(J$5:J$14)*VLOOKUP(J$2,MODULY_CBA!$B$3:$M$23,12,0),0),0)</f>
        <v>0</v>
      </c>
      <c r="K66" s="581">
        <f>IFERROR(IF(VLOOKUP(K$2,MODULY_CBA!$B$3:$N$23,13,0)&lt;=$D56,SUM(K$5:K$14)*VLOOKUP(K$2,MODULY_CBA!$B$3:$M$23,12,0),0),0)</f>
        <v>0</v>
      </c>
      <c r="L66" s="581">
        <f>IFERROR(IF(VLOOKUP(L$2,MODULY_CBA!$B$3:$N$23,13,0)&lt;=$D56,SUM(L$5:L$14)*VLOOKUP(L$2,MODULY_CBA!$B$3:$M$23,12,0),0),0)</f>
        <v>0</v>
      </c>
      <c r="M66" s="581">
        <f>IFERROR(IF(VLOOKUP(M$2,MODULY_CBA!$B$3:$N$23,13,0)&lt;=$D56,SUM(M$5:M$14)*VLOOKUP(M$2,MODULY_CBA!$B$3:$M$23,12,0),0),0)</f>
        <v>0</v>
      </c>
      <c r="N66" s="581">
        <f>IFERROR(IF(VLOOKUP(N$2,MODULY_CBA!$B$3:$N$23,13,0)&lt;=$D56,SUM(N$5:N$14)*VLOOKUP(N$2,MODULY_CBA!$B$3:$M$23,12,0),0),0)</f>
        <v>0</v>
      </c>
      <c r="O66" s="581">
        <f>IFERROR(IF(VLOOKUP(O$2,MODULY_CBA!$B$3:$N$23,13,0)&lt;=$D56,SUM(O$5:O$14)*VLOOKUP(O$2,MODULY_CBA!$B$3:$M$23,12,0),0),0)</f>
        <v>0</v>
      </c>
      <c r="P66" s="581">
        <v>0</v>
      </c>
      <c r="Q66" s="581">
        <v>0</v>
      </c>
      <c r="R66" s="581">
        <v>0</v>
      </c>
      <c r="S66" s="581">
        <v>0</v>
      </c>
      <c r="T66" s="581">
        <v>0</v>
      </c>
      <c r="U66" s="581">
        <v>0</v>
      </c>
      <c r="V66" s="581">
        <v>0</v>
      </c>
      <c r="W66" s="581">
        <v>0</v>
      </c>
      <c r="X66" s="581">
        <v>0</v>
      </c>
      <c r="Y66" s="581">
        <v>0</v>
      </c>
      <c r="Z66" s="581">
        <v>0</v>
      </c>
    </row>
    <row r="67" spans="1:28" outlineLevel="1" x14ac:dyDescent="0.2">
      <c r="A67" s="1390"/>
      <c r="B67" s="1391"/>
      <c r="C67" s="1391"/>
      <c r="D67" s="497">
        <v>2</v>
      </c>
      <c r="E67" s="68">
        <f t="shared" si="7"/>
        <v>0</v>
      </c>
      <c r="F67" s="582">
        <f>IFERROR(IF(VLOOKUP(F$2,MODULY_CBA!$B$3:$N$23,13,0)&lt;=$D57,SUM(F$5:F$14)*VLOOKUP(F$2,MODULY_CBA!$B$3:$M$23,12,0),0),0)</f>
        <v>0</v>
      </c>
      <c r="G67" s="582">
        <f>IFERROR(IF(VLOOKUP(G$2,MODULY_CBA!$B$3:$N$23,13,0)&lt;=$D57,SUM(G$5:G$14)*VLOOKUP(G$2,MODULY_CBA!$B$3:$M$23,12,0),0),0)</f>
        <v>0</v>
      </c>
      <c r="H67" s="582">
        <f>IFERROR(IF(VLOOKUP(H$2,MODULY_CBA!$B$3:$N$23,13,0)&lt;=$D57,SUM(H$5:H$14)*VLOOKUP(H$2,MODULY_CBA!$B$3:$M$23,12,0),0),0)</f>
        <v>0</v>
      </c>
      <c r="I67" s="582">
        <f>IFERROR(IF(VLOOKUP(I$2,MODULY_CBA!$B$3:$N$23,13,0)&lt;=$D57,SUM(I$5:I$14)*VLOOKUP(I$2,MODULY_CBA!$B$3:$M$23,12,0),0),0)</f>
        <v>0</v>
      </c>
      <c r="J67" s="582">
        <f>IFERROR(IF(VLOOKUP(J$2,MODULY_CBA!$B$3:$N$23,13,0)&lt;=$D57,SUM(J$5:J$14)*VLOOKUP(J$2,MODULY_CBA!$B$3:$M$23,12,0),0),0)</f>
        <v>0</v>
      </c>
      <c r="K67" s="582">
        <f>IFERROR(IF(VLOOKUP(K$2,MODULY_CBA!$B$3:$N$23,13,0)&lt;=$D57,SUM(K$5:K$14)*VLOOKUP(K$2,MODULY_CBA!$B$3:$M$23,12,0),0),0)</f>
        <v>0</v>
      </c>
      <c r="L67" s="582">
        <f>IFERROR(IF(VLOOKUP(L$2,MODULY_CBA!$B$3:$N$23,13,0)&lt;=$D57,SUM(L$5:L$14)*VLOOKUP(L$2,MODULY_CBA!$B$3:$M$23,12,0),0),0)</f>
        <v>0</v>
      </c>
      <c r="M67" s="582">
        <f>IFERROR(IF(VLOOKUP(M$2,MODULY_CBA!$B$3:$N$23,13,0)&lt;=$D57,SUM(M$5:M$14)*VLOOKUP(M$2,MODULY_CBA!$B$3:$M$23,12,0),0),0)</f>
        <v>0</v>
      </c>
      <c r="N67" s="582">
        <f>IFERROR(IF(VLOOKUP(N$2,MODULY_CBA!$B$3:$N$23,13,0)&lt;=$D57,SUM(N$5:N$14)*VLOOKUP(N$2,MODULY_CBA!$B$3:$M$23,12,0),0),0)</f>
        <v>0</v>
      </c>
      <c r="O67" s="582">
        <f>IFERROR(IF(VLOOKUP(O$2,MODULY_CBA!$B$3:$N$23,13,0)&lt;=$D57,SUM(O$5:O$14)*VLOOKUP(O$2,MODULY_CBA!$B$3:$M$23,12,0),0),0)</f>
        <v>0</v>
      </c>
      <c r="P67" s="582">
        <v>0</v>
      </c>
      <c r="Q67" s="582">
        <v>0</v>
      </c>
      <c r="R67" s="582">
        <v>0</v>
      </c>
      <c r="S67" s="582">
        <v>0</v>
      </c>
      <c r="T67" s="582">
        <v>0</v>
      </c>
      <c r="U67" s="582">
        <v>0</v>
      </c>
      <c r="V67" s="582">
        <v>0</v>
      </c>
      <c r="W67" s="582">
        <v>0</v>
      </c>
      <c r="X67" s="582">
        <v>0</v>
      </c>
      <c r="Y67" s="582">
        <v>0</v>
      </c>
      <c r="Z67" s="582">
        <v>0</v>
      </c>
    </row>
    <row r="68" spans="1:28" outlineLevel="1" x14ac:dyDescent="0.2">
      <c r="A68" s="1390"/>
      <c r="B68" s="1391"/>
      <c r="C68" s="1391"/>
      <c r="D68" s="497">
        <v>3</v>
      </c>
      <c r="E68" s="68">
        <f t="shared" si="7"/>
        <v>0</v>
      </c>
      <c r="F68" s="582">
        <f>IFERROR(IF(VLOOKUP(F$2,MODULY_CBA!$B$3:$N$23,13,0)&lt;=$D58,SUM(F$5:F$14)*VLOOKUP(F$2,MODULY_CBA!$B$3:$M$23,12,0),0),0)</f>
        <v>0</v>
      </c>
      <c r="G68" s="582">
        <f>IFERROR(IF(VLOOKUP(G$2,MODULY_CBA!$B$3:$N$23,13,0)&lt;=$D58,SUM(G$5:G$14)*VLOOKUP(G$2,MODULY_CBA!$B$3:$M$23,12,0),0),0)</f>
        <v>0</v>
      </c>
      <c r="H68" s="582">
        <f>IFERROR(IF(VLOOKUP(H$2,MODULY_CBA!$B$3:$N$23,13,0)&lt;=$D58,SUM(H$5:H$14)*VLOOKUP(H$2,MODULY_CBA!$B$3:$M$23,12,0),0),0)</f>
        <v>0</v>
      </c>
      <c r="I68" s="582">
        <f>IFERROR(IF(VLOOKUP(I$2,MODULY_CBA!$B$3:$N$23,13,0)&lt;=$D58,SUM(I$5:I$14)*VLOOKUP(I$2,MODULY_CBA!$B$3:$M$23,12,0),0),0)</f>
        <v>0</v>
      </c>
      <c r="J68" s="582">
        <f>IFERROR(IF(VLOOKUP(J$2,MODULY_CBA!$B$3:$N$23,13,0)&lt;=$D58,SUM(J$5:J$14)*VLOOKUP(J$2,MODULY_CBA!$B$3:$M$23,12,0),0),0)</f>
        <v>0</v>
      </c>
      <c r="K68" s="582">
        <f>IFERROR(IF(VLOOKUP(K$2,MODULY_CBA!$B$3:$N$23,13,0)&lt;=$D58,SUM(K$5:K$14)*VLOOKUP(K$2,MODULY_CBA!$B$3:$M$23,12,0),0),0)</f>
        <v>0</v>
      </c>
      <c r="L68" s="582">
        <f>IFERROR(IF(VLOOKUP(L$2,MODULY_CBA!$B$3:$N$23,13,0)&lt;=$D58,SUM(L$5:L$14)*VLOOKUP(L$2,MODULY_CBA!$B$3:$M$23,12,0),0),0)</f>
        <v>0</v>
      </c>
      <c r="M68" s="582">
        <f>IFERROR(IF(VLOOKUP(M$2,MODULY_CBA!$B$3:$N$23,13,0)&lt;=$D58,SUM(M$5:M$14)*VLOOKUP(M$2,MODULY_CBA!$B$3:$M$23,12,0),0),0)</f>
        <v>0</v>
      </c>
      <c r="N68" s="582">
        <f>IFERROR(IF(VLOOKUP(N$2,MODULY_CBA!$B$3:$N$23,13,0)&lt;=$D58,SUM(N$5:N$14)*VLOOKUP(N$2,MODULY_CBA!$B$3:$M$23,12,0),0),0)</f>
        <v>0</v>
      </c>
      <c r="O68" s="582">
        <f>IFERROR(IF(VLOOKUP(O$2,MODULY_CBA!$B$3:$N$23,13,0)&lt;=$D58,SUM(O$5:O$14)*VLOOKUP(O$2,MODULY_CBA!$B$3:$M$23,12,0),0),0)</f>
        <v>0</v>
      </c>
      <c r="P68" s="582">
        <v>0</v>
      </c>
      <c r="Q68" s="582">
        <v>0</v>
      </c>
      <c r="R68" s="582">
        <v>0</v>
      </c>
      <c r="S68" s="582">
        <v>0</v>
      </c>
      <c r="T68" s="582">
        <v>0</v>
      </c>
      <c r="U68" s="582">
        <v>0</v>
      </c>
      <c r="V68" s="582">
        <v>0</v>
      </c>
      <c r="W68" s="582">
        <v>0</v>
      </c>
      <c r="X68" s="582">
        <v>0</v>
      </c>
      <c r="Y68" s="582">
        <v>0</v>
      </c>
      <c r="Z68" s="582">
        <v>0</v>
      </c>
    </row>
    <row r="69" spans="1:28" outlineLevel="1" x14ac:dyDescent="0.2">
      <c r="A69" s="1390"/>
      <c r="B69" s="1391"/>
      <c r="C69" s="1391"/>
      <c r="D69" s="497">
        <v>4</v>
      </c>
      <c r="E69" s="68">
        <f t="shared" si="7"/>
        <v>0</v>
      </c>
      <c r="F69" s="582">
        <f>IFERROR(IF(VLOOKUP(F$2,MODULY_CBA!$B$3:$N$23,13,0)&lt;=$D59,SUM(F$5:F$14)*VLOOKUP(F$2,MODULY_CBA!$B$3:$M$23,12,0),0),0)</f>
        <v>0</v>
      </c>
      <c r="G69" s="582">
        <f>IFERROR(IF(VLOOKUP(G$2,MODULY_CBA!$B$3:$N$23,13,0)&lt;=$D59,SUM(G$5:G$14)*VLOOKUP(G$2,MODULY_CBA!$B$3:$M$23,12,0),0),0)</f>
        <v>0</v>
      </c>
      <c r="H69" s="582">
        <f>IFERROR(IF(VLOOKUP(H$2,MODULY_CBA!$B$3:$N$23,13,0)&lt;=$D59,SUM(H$5:H$14)*VLOOKUP(H$2,MODULY_CBA!$B$3:$M$23,12,0),0),0)</f>
        <v>0</v>
      </c>
      <c r="I69" s="582">
        <f>IFERROR(IF(VLOOKUP(I$2,MODULY_CBA!$B$3:$N$23,13,0)&lt;=$D59,SUM(I$5:I$14)*VLOOKUP(I$2,MODULY_CBA!$B$3:$M$23,12,0),0),0)</f>
        <v>0</v>
      </c>
      <c r="J69" s="582">
        <f>IFERROR(IF(VLOOKUP(J$2,MODULY_CBA!$B$3:$N$23,13,0)&lt;=$D59,SUM(J$5:J$14)*VLOOKUP(J$2,MODULY_CBA!$B$3:$M$23,12,0),0),0)</f>
        <v>0</v>
      </c>
      <c r="K69" s="582">
        <f>IFERROR(IF(VLOOKUP(K$2,MODULY_CBA!$B$3:$N$23,13,0)&lt;=$D59,SUM(K$5:K$14)*VLOOKUP(K$2,MODULY_CBA!$B$3:$M$23,12,0),0),0)</f>
        <v>0</v>
      </c>
      <c r="L69" s="582">
        <f>IFERROR(IF(VLOOKUP(L$2,MODULY_CBA!$B$3:$N$23,13,0)&lt;=$D59,SUM(L$5:L$14)*VLOOKUP(L$2,MODULY_CBA!$B$3:$M$23,12,0),0),0)</f>
        <v>0</v>
      </c>
      <c r="M69" s="582">
        <f>IFERROR(IF(VLOOKUP(M$2,MODULY_CBA!$B$3:$N$23,13,0)&lt;=$D59,SUM(M$5:M$14)*VLOOKUP(M$2,MODULY_CBA!$B$3:$M$23,12,0),0),0)</f>
        <v>0</v>
      </c>
      <c r="N69" s="582">
        <f>IFERROR(IF(VLOOKUP(N$2,MODULY_CBA!$B$3:$N$23,13,0)&lt;=$D59,SUM(N$5:N$14)*VLOOKUP(N$2,MODULY_CBA!$B$3:$M$23,12,0),0),0)</f>
        <v>0</v>
      </c>
      <c r="O69" s="582">
        <f>IFERROR(IF(VLOOKUP(O$2,MODULY_CBA!$B$3:$N$23,13,0)&lt;=$D59,SUM(O$5:O$14)*VLOOKUP(O$2,MODULY_CBA!$B$3:$M$23,12,0),0),0)</f>
        <v>0</v>
      </c>
      <c r="P69" s="582">
        <v>0</v>
      </c>
      <c r="Q69" s="582">
        <v>0</v>
      </c>
      <c r="R69" s="582">
        <v>0</v>
      </c>
      <c r="S69" s="582">
        <v>0</v>
      </c>
      <c r="T69" s="582">
        <v>0</v>
      </c>
      <c r="U69" s="582">
        <v>0</v>
      </c>
      <c r="V69" s="582">
        <v>0</v>
      </c>
      <c r="W69" s="582">
        <v>0</v>
      </c>
      <c r="X69" s="582">
        <v>0</v>
      </c>
      <c r="Y69" s="582">
        <v>0</v>
      </c>
      <c r="Z69" s="582">
        <v>0</v>
      </c>
    </row>
    <row r="70" spans="1:28" outlineLevel="1" x14ac:dyDescent="0.2">
      <c r="A70" s="1390"/>
      <c r="B70" s="1391"/>
      <c r="C70" s="1391"/>
      <c r="D70" s="497">
        <v>5</v>
      </c>
      <c r="E70" s="68">
        <f t="shared" si="7"/>
        <v>0</v>
      </c>
      <c r="F70" s="582">
        <f>IFERROR(IF(VLOOKUP(F$2,MODULY_CBA!$B$3:$N$23,13,0)&lt;=$D60,SUM(F$5:F$14)*VLOOKUP(F$2,MODULY_CBA!$B$3:$M$23,12,0),0),0)</f>
        <v>0</v>
      </c>
      <c r="G70" s="582">
        <f>IFERROR(IF(VLOOKUP(G$2,MODULY_CBA!$B$3:$N$23,13,0)&lt;=$D60,SUM(G$5:G$14)*VLOOKUP(G$2,MODULY_CBA!$B$3:$M$23,12,0),0),0)</f>
        <v>0</v>
      </c>
      <c r="H70" s="582">
        <f>IFERROR(IF(VLOOKUP(H$2,MODULY_CBA!$B$3:$N$23,13,0)&lt;=$D60,SUM(H$5:H$14)*VLOOKUP(H$2,MODULY_CBA!$B$3:$M$23,12,0),0),0)</f>
        <v>0</v>
      </c>
      <c r="I70" s="582">
        <f>IFERROR(IF(VLOOKUP(I$2,MODULY_CBA!$B$3:$N$23,13,0)&lt;=$D60,SUM(I$5:I$14)*VLOOKUP(I$2,MODULY_CBA!$B$3:$M$23,12,0),0),0)</f>
        <v>0</v>
      </c>
      <c r="J70" s="582">
        <f>IFERROR(IF(VLOOKUP(J$2,MODULY_CBA!$B$3:$N$23,13,0)&lt;=$D60,SUM(J$5:J$14)*VLOOKUP(J$2,MODULY_CBA!$B$3:$M$23,12,0),0),0)</f>
        <v>0</v>
      </c>
      <c r="K70" s="582">
        <f>IFERROR(IF(VLOOKUP(K$2,MODULY_CBA!$B$3:$N$23,13,0)&lt;=$D60,SUM(K$5:K$14)*VLOOKUP(K$2,MODULY_CBA!$B$3:$M$23,12,0),0),0)</f>
        <v>0</v>
      </c>
      <c r="L70" s="582">
        <f>IFERROR(IF(VLOOKUP(L$2,MODULY_CBA!$B$3:$N$23,13,0)&lt;=$D60,SUM(L$5:L$14)*VLOOKUP(L$2,MODULY_CBA!$B$3:$M$23,12,0),0),0)</f>
        <v>0</v>
      </c>
      <c r="M70" s="582">
        <f>IFERROR(IF(VLOOKUP(M$2,MODULY_CBA!$B$3:$N$23,13,0)&lt;=$D60,SUM(M$5:M$14)*VLOOKUP(M$2,MODULY_CBA!$B$3:$M$23,12,0),0),0)</f>
        <v>0</v>
      </c>
      <c r="N70" s="582">
        <f>IFERROR(IF(VLOOKUP(N$2,MODULY_CBA!$B$3:$N$23,13,0)&lt;=$D60,SUM(N$5:N$14)*VLOOKUP(N$2,MODULY_CBA!$B$3:$M$23,12,0),0),0)</f>
        <v>0</v>
      </c>
      <c r="O70" s="582">
        <f>IFERROR(IF(VLOOKUP(O$2,MODULY_CBA!$B$3:$N$23,13,0)&lt;=$D60,SUM(O$5:O$14)*VLOOKUP(O$2,MODULY_CBA!$B$3:$M$23,12,0),0),0)</f>
        <v>0</v>
      </c>
      <c r="P70" s="582">
        <v>0</v>
      </c>
      <c r="Q70" s="582">
        <v>0</v>
      </c>
      <c r="R70" s="582">
        <v>0</v>
      </c>
      <c r="S70" s="582">
        <v>0</v>
      </c>
      <c r="T70" s="582">
        <v>0</v>
      </c>
      <c r="U70" s="582">
        <v>0</v>
      </c>
      <c r="V70" s="582">
        <v>0</v>
      </c>
      <c r="W70" s="582">
        <v>0</v>
      </c>
      <c r="X70" s="582">
        <v>0</v>
      </c>
      <c r="Y70" s="582">
        <v>0</v>
      </c>
      <c r="Z70" s="582">
        <v>0</v>
      </c>
    </row>
    <row r="71" spans="1:28" outlineLevel="1" x14ac:dyDescent="0.2">
      <c r="A71" s="1390"/>
      <c r="B71" s="1391"/>
      <c r="C71" s="1391"/>
      <c r="D71" s="497">
        <v>6</v>
      </c>
      <c r="E71" s="68">
        <f t="shared" si="7"/>
        <v>0</v>
      </c>
      <c r="F71" s="582">
        <f>IFERROR(IF(VLOOKUP(F$2,MODULY_CBA!$B$3:$N$23,13,0)&lt;=$D61,SUM(F$5:F$14)*VLOOKUP(F$2,MODULY_CBA!$B$3:$M$23,12,0),0),0)</f>
        <v>0</v>
      </c>
      <c r="G71" s="582">
        <f>IFERROR(IF(VLOOKUP(G$2,MODULY_CBA!$B$3:$N$23,13,0)&lt;=$D61,SUM(G$5:G$14)*VLOOKUP(G$2,MODULY_CBA!$B$3:$M$23,12,0),0),0)</f>
        <v>0</v>
      </c>
      <c r="H71" s="582">
        <f>IFERROR(IF(VLOOKUP(H$2,MODULY_CBA!$B$3:$N$23,13,0)&lt;=$D61,SUM(H$5:H$14)*VLOOKUP(H$2,MODULY_CBA!$B$3:$M$23,12,0),0),0)</f>
        <v>0</v>
      </c>
      <c r="I71" s="582">
        <f>IFERROR(IF(VLOOKUP(I$2,MODULY_CBA!$B$3:$N$23,13,0)&lt;=$D61,SUM(I$5:I$14)*VLOOKUP(I$2,MODULY_CBA!$B$3:$M$23,12,0),0),0)</f>
        <v>0</v>
      </c>
      <c r="J71" s="582">
        <f>IFERROR(IF(VLOOKUP(J$2,MODULY_CBA!$B$3:$N$23,13,0)&lt;=$D61,SUM(J$5:J$14)*VLOOKUP(J$2,MODULY_CBA!$B$3:$M$23,12,0),0),0)</f>
        <v>0</v>
      </c>
      <c r="K71" s="582">
        <f>IFERROR(IF(VLOOKUP(K$2,MODULY_CBA!$B$3:$N$23,13,0)&lt;=$D61,SUM(K$5:K$14)*VLOOKUP(K$2,MODULY_CBA!$B$3:$M$23,12,0),0),0)</f>
        <v>0</v>
      </c>
      <c r="L71" s="582">
        <f>IFERROR(IF(VLOOKUP(L$2,MODULY_CBA!$B$3:$N$23,13,0)&lt;=$D61,SUM(L$5:L$14)*VLOOKUP(L$2,MODULY_CBA!$B$3:$M$23,12,0),0),0)</f>
        <v>0</v>
      </c>
      <c r="M71" s="582">
        <f>IFERROR(IF(VLOOKUP(M$2,MODULY_CBA!$B$3:$N$23,13,0)&lt;=$D61,SUM(M$5:M$14)*VLOOKUP(M$2,MODULY_CBA!$B$3:$M$23,12,0),0),0)</f>
        <v>0</v>
      </c>
      <c r="N71" s="582">
        <f>IFERROR(IF(VLOOKUP(N$2,MODULY_CBA!$B$3:$N$23,13,0)&lt;=$D61,SUM(N$5:N$14)*VLOOKUP(N$2,MODULY_CBA!$B$3:$M$23,12,0),0),0)</f>
        <v>0</v>
      </c>
      <c r="O71" s="582">
        <f>IFERROR(IF(VLOOKUP(O$2,MODULY_CBA!$B$3:$N$23,13,0)&lt;=$D61,SUM(O$5:O$14)*VLOOKUP(O$2,MODULY_CBA!$B$3:$M$23,12,0),0),0)</f>
        <v>0</v>
      </c>
      <c r="P71" s="582">
        <v>0</v>
      </c>
      <c r="Q71" s="582">
        <v>0</v>
      </c>
      <c r="R71" s="582">
        <v>0</v>
      </c>
      <c r="S71" s="582">
        <v>0</v>
      </c>
      <c r="T71" s="582">
        <v>0</v>
      </c>
      <c r="U71" s="582">
        <v>0</v>
      </c>
      <c r="V71" s="582">
        <v>0</v>
      </c>
      <c r="W71" s="582">
        <v>0</v>
      </c>
      <c r="X71" s="582">
        <v>0</v>
      </c>
      <c r="Y71" s="582">
        <v>0</v>
      </c>
      <c r="Z71" s="582">
        <v>0</v>
      </c>
    </row>
    <row r="72" spans="1:28" outlineLevel="1" x14ac:dyDescent="0.2">
      <c r="A72" s="1390"/>
      <c r="B72" s="1391"/>
      <c r="C72" s="1391"/>
      <c r="D72" s="497">
        <v>7</v>
      </c>
      <c r="E72" s="68">
        <f t="shared" si="7"/>
        <v>616603.52764252981</v>
      </c>
      <c r="F72" s="582">
        <f>IFERROR(IF(VLOOKUP(F$2,MODULY_CBA!$B$3:$N$23,13,0)&lt;=$D62,SUM(F$5:F$14)*VLOOKUP(F$2,MODULY_CBA!$B$3:$M$23,12,0),0),0)</f>
        <v>235452.98152224734</v>
      </c>
      <c r="G72" s="582">
        <f>IFERROR(IF(VLOOKUP(G$2,MODULY_CBA!$B$3:$N$23,13,0)&lt;=$D62,SUM(G$5:G$14)*VLOOKUP(G$2,MODULY_CBA!$B$3:$M$23,12,0),0),0)</f>
        <v>43718.095210579362</v>
      </c>
      <c r="H72" s="582">
        <f>IFERROR(IF(VLOOKUP(H$2,MODULY_CBA!$B$3:$N$23,13,0)&lt;=$D62,SUM(H$5:H$14)*VLOOKUP(H$2,MODULY_CBA!$B$3:$M$23,12,0),0),0)</f>
        <v>5159.9826349343175</v>
      </c>
      <c r="I72" s="582">
        <f>IFERROR(IF(VLOOKUP(I$2,MODULY_CBA!$B$3:$N$23,13,0)&lt;=$D62,SUM(I$5:I$14)*VLOOKUP(I$2,MODULY_CBA!$B$3:$M$23,12,0),0),0)</f>
        <v>0</v>
      </c>
      <c r="J72" s="582">
        <f>IFERROR(IF(VLOOKUP(J$2,MODULY_CBA!$B$3:$N$23,13,0)&lt;=$D62,SUM(J$5:J$14)*VLOOKUP(J$2,MODULY_CBA!$B$3:$M$23,12,0),0),0)</f>
        <v>0</v>
      </c>
      <c r="K72" s="582">
        <f>IFERROR(IF(VLOOKUP(K$2,MODULY_CBA!$B$3:$N$23,13,0)&lt;=$D62,SUM(K$5:K$14)*VLOOKUP(K$2,MODULY_CBA!$B$3:$M$23,12,0),0),0)</f>
        <v>192351.99461579998</v>
      </c>
      <c r="L72" s="582">
        <f>IFERROR(IF(VLOOKUP(L$2,MODULY_CBA!$B$3:$N$23,13,0)&lt;=$D62,SUM(L$5:L$14)*VLOOKUP(L$2,MODULY_CBA!$B$3:$M$23,12,0),0),0)</f>
        <v>113998.24221869388</v>
      </c>
      <c r="M72" s="582">
        <f>IFERROR(IF(VLOOKUP(M$2,MODULY_CBA!$B$3:$N$23,13,0)&lt;=$D62,SUM(M$5:M$14)*VLOOKUP(M$2,MODULY_CBA!$B$3:$M$23,12,0),0),0)</f>
        <v>0</v>
      </c>
      <c r="N72" s="582">
        <f>IFERROR(IF(VLOOKUP(N$2,MODULY_CBA!$B$3:$N$23,13,0)&lt;=$D62,SUM(N$5:N$14)*VLOOKUP(N$2,MODULY_CBA!$B$3:$M$23,12,0),0),0)</f>
        <v>16180.65</v>
      </c>
      <c r="O72" s="582">
        <f>IFERROR(IF(VLOOKUP(O$2,MODULY_CBA!$B$3:$N$23,13,0)&lt;=$D62,SUM(O$5:O$14)*VLOOKUP(O$2,MODULY_CBA!$B$3:$M$23,12,0),0),0)</f>
        <v>9741.5814402749984</v>
      </c>
      <c r="P72" s="582">
        <v>0</v>
      </c>
      <c r="Q72" s="582">
        <v>0</v>
      </c>
      <c r="R72" s="582">
        <v>0</v>
      </c>
      <c r="S72" s="582">
        <v>0</v>
      </c>
      <c r="T72" s="582">
        <v>0</v>
      </c>
      <c r="U72" s="582">
        <v>0</v>
      </c>
      <c r="V72" s="582">
        <v>0</v>
      </c>
      <c r="W72" s="582">
        <v>0</v>
      </c>
      <c r="X72" s="582">
        <v>0</v>
      </c>
      <c r="Y72" s="582">
        <v>0</v>
      </c>
      <c r="Z72" s="582">
        <v>0</v>
      </c>
    </row>
    <row r="73" spans="1:28" outlineLevel="1" x14ac:dyDescent="0.2">
      <c r="A73" s="1390"/>
      <c r="B73" s="1391"/>
      <c r="C73" s="1391"/>
      <c r="D73" s="497">
        <v>8</v>
      </c>
      <c r="E73" s="68">
        <f t="shared" si="7"/>
        <v>616603.52764252981</v>
      </c>
      <c r="F73" s="582">
        <f>IFERROR(IF(VLOOKUP(F$2,MODULY_CBA!$B$3:$N$23,13,0)&lt;=$D63,SUM(F$5:F$14)*VLOOKUP(F$2,MODULY_CBA!$B$3:$M$23,12,0),0),0)</f>
        <v>235452.98152224734</v>
      </c>
      <c r="G73" s="582">
        <f>IFERROR(IF(VLOOKUP(G$2,MODULY_CBA!$B$3:$N$23,13,0)&lt;=$D63,SUM(G$5:G$14)*VLOOKUP(G$2,MODULY_CBA!$B$3:$M$23,12,0),0),0)</f>
        <v>43718.095210579362</v>
      </c>
      <c r="H73" s="582">
        <f>IFERROR(IF(VLOOKUP(H$2,MODULY_CBA!$B$3:$N$23,13,0)&lt;=$D63,SUM(H$5:H$14)*VLOOKUP(H$2,MODULY_CBA!$B$3:$M$23,12,0),0),0)</f>
        <v>5159.9826349343175</v>
      </c>
      <c r="I73" s="582">
        <f>IFERROR(IF(VLOOKUP(I$2,MODULY_CBA!$B$3:$N$23,13,0)&lt;=$D63,SUM(I$5:I$14)*VLOOKUP(I$2,MODULY_CBA!$B$3:$M$23,12,0),0),0)</f>
        <v>0</v>
      </c>
      <c r="J73" s="582">
        <f>IFERROR(IF(VLOOKUP(J$2,MODULY_CBA!$B$3:$N$23,13,0)&lt;=$D63,SUM(J$5:J$14)*VLOOKUP(J$2,MODULY_CBA!$B$3:$M$23,12,0),0),0)</f>
        <v>0</v>
      </c>
      <c r="K73" s="582">
        <f>IFERROR(IF(VLOOKUP(K$2,MODULY_CBA!$B$3:$N$23,13,0)&lt;=$D63,SUM(K$5:K$14)*VLOOKUP(K$2,MODULY_CBA!$B$3:$M$23,12,0),0),0)</f>
        <v>192351.99461579998</v>
      </c>
      <c r="L73" s="582">
        <f>IFERROR(IF(VLOOKUP(L$2,MODULY_CBA!$B$3:$N$23,13,0)&lt;=$D63,SUM(L$5:L$14)*VLOOKUP(L$2,MODULY_CBA!$B$3:$M$23,12,0),0),0)</f>
        <v>113998.24221869388</v>
      </c>
      <c r="M73" s="582">
        <f>IFERROR(IF(VLOOKUP(M$2,MODULY_CBA!$B$3:$N$23,13,0)&lt;=$D63,SUM(M$5:M$14)*VLOOKUP(M$2,MODULY_CBA!$B$3:$M$23,12,0),0),0)</f>
        <v>0</v>
      </c>
      <c r="N73" s="582">
        <f>IFERROR(IF(VLOOKUP(N$2,MODULY_CBA!$B$3:$N$23,13,0)&lt;=$D63,SUM(N$5:N$14)*VLOOKUP(N$2,MODULY_CBA!$B$3:$M$23,12,0),0),0)</f>
        <v>16180.65</v>
      </c>
      <c r="O73" s="582">
        <f>IFERROR(IF(VLOOKUP(O$2,MODULY_CBA!$B$3:$N$23,13,0)&lt;=$D63,SUM(O$5:O$14)*VLOOKUP(O$2,MODULY_CBA!$B$3:$M$23,12,0),0),0)</f>
        <v>9741.5814402749984</v>
      </c>
      <c r="P73" s="582">
        <v>0</v>
      </c>
      <c r="Q73" s="582">
        <v>0</v>
      </c>
      <c r="R73" s="582">
        <v>0</v>
      </c>
      <c r="S73" s="582">
        <v>0</v>
      </c>
      <c r="T73" s="582">
        <v>0</v>
      </c>
      <c r="U73" s="582">
        <v>0</v>
      </c>
      <c r="V73" s="582">
        <v>0</v>
      </c>
      <c r="W73" s="582">
        <v>0</v>
      </c>
      <c r="X73" s="582">
        <v>0</v>
      </c>
      <c r="Y73" s="582">
        <v>0</v>
      </c>
      <c r="Z73" s="582">
        <v>0</v>
      </c>
    </row>
    <row r="74" spans="1:28" outlineLevel="1" x14ac:dyDescent="0.2">
      <c r="A74" s="1390"/>
      <c r="B74" s="1391"/>
      <c r="C74" s="1391"/>
      <c r="D74" s="497">
        <v>9</v>
      </c>
      <c r="E74" s="68">
        <f t="shared" si="7"/>
        <v>616603.52764252981</v>
      </c>
      <c r="F74" s="582">
        <f>IFERROR(IF(VLOOKUP(F$2,MODULY_CBA!$B$3:$N$23,13,0)&lt;=$D64,SUM(F$5:F$14)*VLOOKUP(F$2,MODULY_CBA!$B$3:$M$23,12,0),0),0)</f>
        <v>235452.98152224734</v>
      </c>
      <c r="G74" s="582">
        <f>IFERROR(IF(VLOOKUP(G$2,MODULY_CBA!$B$3:$N$23,13,0)&lt;=$D64,SUM(G$5:G$14)*VLOOKUP(G$2,MODULY_CBA!$B$3:$M$23,12,0),0),0)</f>
        <v>43718.095210579362</v>
      </c>
      <c r="H74" s="582">
        <f>IFERROR(IF(VLOOKUP(H$2,MODULY_CBA!$B$3:$N$23,13,0)&lt;=$D64,SUM(H$5:H$14)*VLOOKUP(H$2,MODULY_CBA!$B$3:$M$23,12,0),0),0)</f>
        <v>5159.9826349343175</v>
      </c>
      <c r="I74" s="582">
        <f>IFERROR(IF(VLOOKUP(I$2,MODULY_CBA!$B$3:$N$23,13,0)&lt;=$D64,SUM(I$5:I$14)*VLOOKUP(I$2,MODULY_CBA!$B$3:$M$23,12,0),0),0)</f>
        <v>0</v>
      </c>
      <c r="J74" s="582">
        <f>IFERROR(IF(VLOOKUP(J$2,MODULY_CBA!$B$3:$N$23,13,0)&lt;=$D64,SUM(J$5:J$14)*VLOOKUP(J$2,MODULY_CBA!$B$3:$M$23,12,0),0),0)</f>
        <v>0</v>
      </c>
      <c r="K74" s="582">
        <f>IFERROR(IF(VLOOKUP(K$2,MODULY_CBA!$B$3:$N$23,13,0)&lt;=$D64,SUM(K$5:K$14)*VLOOKUP(K$2,MODULY_CBA!$B$3:$M$23,12,0),0),0)</f>
        <v>192351.99461579998</v>
      </c>
      <c r="L74" s="582">
        <f>IFERROR(IF(VLOOKUP(L$2,MODULY_CBA!$B$3:$N$23,13,0)&lt;=$D64,SUM(L$5:L$14)*VLOOKUP(L$2,MODULY_CBA!$B$3:$M$23,12,0),0),0)</f>
        <v>113998.24221869388</v>
      </c>
      <c r="M74" s="582">
        <f>IFERROR(IF(VLOOKUP(M$2,MODULY_CBA!$B$3:$N$23,13,0)&lt;=$D64,SUM(M$5:M$14)*VLOOKUP(M$2,MODULY_CBA!$B$3:$M$23,12,0),0),0)</f>
        <v>0</v>
      </c>
      <c r="N74" s="582">
        <f>IFERROR(IF(VLOOKUP(N$2,MODULY_CBA!$B$3:$N$23,13,0)&lt;=$D64,SUM(N$5:N$14)*VLOOKUP(N$2,MODULY_CBA!$B$3:$M$23,12,0),0),0)</f>
        <v>16180.65</v>
      </c>
      <c r="O74" s="582">
        <f>IFERROR(IF(VLOOKUP(O$2,MODULY_CBA!$B$3:$N$23,13,0)&lt;=$D64,SUM(O$5:O$14)*VLOOKUP(O$2,MODULY_CBA!$B$3:$M$23,12,0),0),0)</f>
        <v>9741.5814402749984</v>
      </c>
      <c r="P74" s="582">
        <v>0</v>
      </c>
      <c r="Q74" s="582">
        <v>0</v>
      </c>
      <c r="R74" s="582">
        <v>0</v>
      </c>
      <c r="S74" s="582">
        <v>0</v>
      </c>
      <c r="T74" s="582">
        <v>0</v>
      </c>
      <c r="U74" s="582">
        <v>0</v>
      </c>
      <c r="V74" s="582">
        <v>0</v>
      </c>
      <c r="W74" s="582">
        <v>0</v>
      </c>
      <c r="X74" s="582">
        <v>0</v>
      </c>
      <c r="Y74" s="582">
        <v>0</v>
      </c>
      <c r="Z74" s="582">
        <v>0</v>
      </c>
    </row>
    <row r="75" spans="1:28" ht="16" outlineLevel="1" thickBot="1" x14ac:dyDescent="0.25">
      <c r="A75" s="1390"/>
      <c r="B75" s="1391"/>
      <c r="C75" s="1391"/>
      <c r="D75" s="498">
        <v>10</v>
      </c>
      <c r="E75" s="69">
        <f t="shared" si="7"/>
        <v>616603.52764252981</v>
      </c>
      <c r="F75" s="586">
        <f>IFERROR(IF(VLOOKUP(F$2,MODULY_CBA!$B$3:$N$23,13,0)&lt;=$D65,SUM(F$5:F$14)*VLOOKUP(F$2,MODULY_CBA!$B$3:$M$23,12,0),0),0)</f>
        <v>235452.98152224734</v>
      </c>
      <c r="G75" s="586">
        <f>IFERROR(IF(VLOOKUP(G$2,MODULY_CBA!$B$3:$N$23,13,0)&lt;=$D65,SUM(G$5:G$14)*VLOOKUP(G$2,MODULY_CBA!$B$3:$M$23,12,0),0),0)</f>
        <v>43718.095210579362</v>
      </c>
      <c r="H75" s="586">
        <f>IFERROR(IF(VLOOKUP(H$2,MODULY_CBA!$B$3:$N$23,13,0)&lt;=$D65,SUM(H$5:H$14)*VLOOKUP(H$2,MODULY_CBA!$B$3:$M$23,12,0),0),0)</f>
        <v>5159.9826349343175</v>
      </c>
      <c r="I75" s="586">
        <f>IFERROR(IF(VLOOKUP(I$2,MODULY_CBA!$B$3:$N$23,13,0)&lt;=$D65,SUM(I$5:I$14)*VLOOKUP(I$2,MODULY_CBA!$B$3:$M$23,12,0),0),0)</f>
        <v>0</v>
      </c>
      <c r="J75" s="586">
        <f>IFERROR(IF(VLOOKUP(J$2,MODULY_CBA!$B$3:$N$23,13,0)&lt;=$D65,SUM(J$5:J$14)*VLOOKUP(J$2,MODULY_CBA!$B$3:$M$23,12,0),0),0)</f>
        <v>0</v>
      </c>
      <c r="K75" s="586">
        <f>IFERROR(IF(VLOOKUP(K$2,MODULY_CBA!$B$3:$N$23,13,0)&lt;=$D65,SUM(K$5:K$14)*VLOOKUP(K$2,MODULY_CBA!$B$3:$M$23,12,0),0),0)</f>
        <v>192351.99461579998</v>
      </c>
      <c r="L75" s="586">
        <f>IFERROR(IF(VLOOKUP(L$2,MODULY_CBA!$B$3:$N$23,13,0)&lt;=$D65,SUM(L$5:L$14)*VLOOKUP(L$2,MODULY_CBA!$B$3:$M$23,12,0),0),0)</f>
        <v>113998.24221869388</v>
      </c>
      <c r="M75" s="586">
        <f>IFERROR(IF(VLOOKUP(M$2,MODULY_CBA!$B$3:$N$23,13,0)&lt;=$D65,SUM(M$5:M$14)*VLOOKUP(M$2,MODULY_CBA!$B$3:$M$23,12,0),0),0)</f>
        <v>0</v>
      </c>
      <c r="N75" s="586">
        <f>IFERROR(IF(VLOOKUP(N$2,MODULY_CBA!$B$3:$N$23,13,0)&lt;=$D65,SUM(N$5:N$14)*VLOOKUP(N$2,MODULY_CBA!$B$3:$M$23,12,0),0),0)</f>
        <v>16180.65</v>
      </c>
      <c r="O75" s="586">
        <f>IFERROR(IF(VLOOKUP(O$2,MODULY_CBA!$B$3:$N$23,13,0)&lt;=$D65,SUM(O$5:O$14)*VLOOKUP(O$2,MODULY_CBA!$B$3:$M$23,12,0),0),0)</f>
        <v>9741.5814402749984</v>
      </c>
      <c r="P75" s="586">
        <v>0</v>
      </c>
      <c r="Q75" s="586">
        <v>0</v>
      </c>
      <c r="R75" s="586">
        <v>0</v>
      </c>
      <c r="S75" s="586">
        <v>0</v>
      </c>
      <c r="T75" s="586">
        <v>0</v>
      </c>
      <c r="U75" s="586">
        <v>0</v>
      </c>
      <c r="V75" s="586">
        <v>0</v>
      </c>
      <c r="W75" s="586">
        <v>0</v>
      </c>
      <c r="X75" s="586">
        <v>0</v>
      </c>
      <c r="Y75" s="586">
        <v>0</v>
      </c>
      <c r="Z75" s="586">
        <v>0</v>
      </c>
    </row>
    <row r="76" spans="1:28" outlineLevel="1" x14ac:dyDescent="0.2">
      <c r="A76" s="1390" t="s">
        <v>93</v>
      </c>
      <c r="B76" s="1391"/>
      <c r="C76" s="1391"/>
      <c r="D76" s="496">
        <v>1</v>
      </c>
      <c r="E76" s="68">
        <f t="shared" si="7"/>
        <v>0</v>
      </c>
      <c r="F76" s="581">
        <v>0</v>
      </c>
      <c r="G76" s="581">
        <v>0</v>
      </c>
      <c r="H76" s="581">
        <v>0</v>
      </c>
      <c r="I76" s="581">
        <v>0</v>
      </c>
      <c r="J76" s="581">
        <v>0</v>
      </c>
      <c r="K76" s="581">
        <v>0</v>
      </c>
      <c r="L76" s="581">
        <v>0</v>
      </c>
      <c r="M76" s="581">
        <v>0</v>
      </c>
      <c r="N76" s="581">
        <v>0</v>
      </c>
      <c r="O76" s="581">
        <v>0</v>
      </c>
      <c r="P76" s="581">
        <v>0</v>
      </c>
      <c r="Q76" s="581">
        <v>0</v>
      </c>
      <c r="R76" s="581">
        <v>0</v>
      </c>
      <c r="S76" s="581">
        <v>0</v>
      </c>
      <c r="T76" s="581">
        <v>0</v>
      </c>
      <c r="U76" s="581">
        <v>0</v>
      </c>
      <c r="V76" s="581">
        <v>0</v>
      </c>
      <c r="W76" s="581">
        <v>0</v>
      </c>
      <c r="X76" s="581">
        <v>0</v>
      </c>
      <c r="Y76" s="581">
        <v>0</v>
      </c>
      <c r="Z76" s="581">
        <v>0</v>
      </c>
      <c r="AB76" s="365"/>
    </row>
    <row r="77" spans="1:28" outlineLevel="1" x14ac:dyDescent="0.2">
      <c r="A77" s="1390"/>
      <c r="B77" s="1391"/>
      <c r="C77" s="1391"/>
      <c r="D77" s="497">
        <v>2</v>
      </c>
      <c r="E77" s="68">
        <f t="shared" si="7"/>
        <v>0</v>
      </c>
      <c r="F77" s="582">
        <v>0</v>
      </c>
      <c r="G77" s="582">
        <v>0</v>
      </c>
      <c r="H77" s="582">
        <v>0</v>
      </c>
      <c r="I77" s="582">
        <v>0</v>
      </c>
      <c r="J77" s="582">
        <v>0</v>
      </c>
      <c r="K77" s="582">
        <v>0</v>
      </c>
      <c r="L77" s="582">
        <v>0</v>
      </c>
      <c r="M77" s="582">
        <v>0</v>
      </c>
      <c r="N77" s="582">
        <v>0</v>
      </c>
      <c r="O77" s="582">
        <v>0</v>
      </c>
      <c r="P77" s="582">
        <v>0</v>
      </c>
      <c r="Q77" s="582">
        <v>0</v>
      </c>
      <c r="R77" s="582">
        <v>0</v>
      </c>
      <c r="S77" s="582">
        <v>0</v>
      </c>
      <c r="T77" s="582">
        <v>0</v>
      </c>
      <c r="U77" s="582">
        <v>0</v>
      </c>
      <c r="V77" s="582">
        <v>0</v>
      </c>
      <c r="W77" s="582">
        <v>0</v>
      </c>
      <c r="X77" s="582">
        <v>0</v>
      </c>
      <c r="Y77" s="582">
        <v>0</v>
      </c>
      <c r="Z77" s="582">
        <v>0</v>
      </c>
      <c r="AB77" s="365"/>
    </row>
    <row r="78" spans="1:28" outlineLevel="1" x14ac:dyDescent="0.2">
      <c r="A78" s="1390"/>
      <c r="B78" s="1391"/>
      <c r="C78" s="1391"/>
      <c r="D78" s="497">
        <v>3</v>
      </c>
      <c r="E78" s="68">
        <f t="shared" si="7"/>
        <v>0</v>
      </c>
      <c r="F78" s="582">
        <v>0</v>
      </c>
      <c r="G78" s="582">
        <v>0</v>
      </c>
      <c r="H78" s="582">
        <v>0</v>
      </c>
      <c r="I78" s="582">
        <v>0</v>
      </c>
      <c r="J78" s="582">
        <v>0</v>
      </c>
      <c r="K78" s="582">
        <v>0</v>
      </c>
      <c r="L78" s="582">
        <v>0</v>
      </c>
      <c r="M78" s="582">
        <v>0</v>
      </c>
      <c r="N78" s="582">
        <v>0</v>
      </c>
      <c r="O78" s="582">
        <v>0</v>
      </c>
      <c r="P78" s="582">
        <v>0</v>
      </c>
      <c r="Q78" s="582">
        <v>0</v>
      </c>
      <c r="R78" s="582">
        <v>0</v>
      </c>
      <c r="S78" s="582">
        <v>0</v>
      </c>
      <c r="T78" s="582">
        <v>0</v>
      </c>
      <c r="U78" s="582">
        <v>0</v>
      </c>
      <c r="V78" s="582">
        <v>0</v>
      </c>
      <c r="W78" s="582">
        <v>0</v>
      </c>
      <c r="X78" s="582">
        <v>0</v>
      </c>
      <c r="Y78" s="582">
        <v>0</v>
      </c>
      <c r="Z78" s="582">
        <v>0</v>
      </c>
      <c r="AB78" s="365"/>
    </row>
    <row r="79" spans="1:28" outlineLevel="1" x14ac:dyDescent="0.2">
      <c r="A79" s="1390"/>
      <c r="B79" s="1391"/>
      <c r="C79" s="1391"/>
      <c r="D79" s="497">
        <v>4</v>
      </c>
      <c r="E79" s="68">
        <f t="shared" si="7"/>
        <v>0</v>
      </c>
      <c r="F79" s="582">
        <v>0</v>
      </c>
      <c r="G79" s="582">
        <v>0</v>
      </c>
      <c r="H79" s="582">
        <v>0</v>
      </c>
      <c r="I79" s="582">
        <v>0</v>
      </c>
      <c r="J79" s="582">
        <v>0</v>
      </c>
      <c r="K79" s="582">
        <v>0</v>
      </c>
      <c r="L79" s="582">
        <v>0</v>
      </c>
      <c r="M79" s="582">
        <v>0</v>
      </c>
      <c r="N79" s="582">
        <v>0</v>
      </c>
      <c r="O79" s="582">
        <v>0</v>
      </c>
      <c r="P79" s="582">
        <v>0</v>
      </c>
      <c r="Q79" s="582">
        <v>0</v>
      </c>
      <c r="R79" s="582">
        <v>0</v>
      </c>
      <c r="S79" s="582">
        <v>0</v>
      </c>
      <c r="T79" s="582">
        <v>0</v>
      </c>
      <c r="U79" s="582">
        <v>0</v>
      </c>
      <c r="V79" s="582">
        <v>0</v>
      </c>
      <c r="W79" s="582">
        <v>0</v>
      </c>
      <c r="X79" s="582">
        <v>0</v>
      </c>
      <c r="Y79" s="582">
        <v>0</v>
      </c>
      <c r="Z79" s="582">
        <v>0</v>
      </c>
    </row>
    <row r="80" spans="1:28" outlineLevel="1" x14ac:dyDescent="0.2">
      <c r="A80" s="1390"/>
      <c r="B80" s="1391"/>
      <c r="C80" s="1391"/>
      <c r="D80" s="497">
        <v>5</v>
      </c>
      <c r="E80" s="68">
        <f t="shared" si="7"/>
        <v>0</v>
      </c>
      <c r="F80" s="582">
        <v>0</v>
      </c>
      <c r="G80" s="582">
        <v>0</v>
      </c>
      <c r="H80" s="582">
        <v>0</v>
      </c>
      <c r="I80" s="582">
        <v>0</v>
      </c>
      <c r="J80" s="582">
        <v>0</v>
      </c>
      <c r="K80" s="582">
        <v>0</v>
      </c>
      <c r="L80" s="582">
        <v>0</v>
      </c>
      <c r="M80" s="582">
        <v>0</v>
      </c>
      <c r="N80" s="582">
        <v>0</v>
      </c>
      <c r="O80" s="582">
        <v>0</v>
      </c>
      <c r="P80" s="582">
        <v>0</v>
      </c>
      <c r="Q80" s="582">
        <v>0</v>
      </c>
      <c r="R80" s="582">
        <v>0</v>
      </c>
      <c r="S80" s="582">
        <v>0</v>
      </c>
      <c r="T80" s="582">
        <v>0</v>
      </c>
      <c r="U80" s="582">
        <v>0</v>
      </c>
      <c r="V80" s="582">
        <v>0</v>
      </c>
      <c r="W80" s="582">
        <v>0</v>
      </c>
      <c r="X80" s="582">
        <v>0</v>
      </c>
      <c r="Y80" s="582">
        <v>0</v>
      </c>
      <c r="Z80" s="582">
        <v>0</v>
      </c>
    </row>
    <row r="81" spans="1:26" outlineLevel="1" x14ac:dyDescent="0.2">
      <c r="A81" s="1390"/>
      <c r="B81" s="1391"/>
      <c r="C81" s="1391"/>
      <c r="D81" s="497">
        <v>6</v>
      </c>
      <c r="E81" s="68">
        <f t="shared" si="7"/>
        <v>0</v>
      </c>
      <c r="F81" s="582">
        <v>0</v>
      </c>
      <c r="G81" s="582">
        <v>0</v>
      </c>
      <c r="H81" s="582">
        <v>0</v>
      </c>
      <c r="I81" s="582">
        <v>0</v>
      </c>
      <c r="J81" s="582">
        <v>0</v>
      </c>
      <c r="K81" s="582">
        <v>0</v>
      </c>
      <c r="L81" s="582">
        <v>0</v>
      </c>
      <c r="M81" s="582">
        <v>0</v>
      </c>
      <c r="N81" s="582">
        <v>0</v>
      </c>
      <c r="O81" s="582">
        <v>0</v>
      </c>
      <c r="P81" s="582">
        <v>0</v>
      </c>
      <c r="Q81" s="582">
        <v>0</v>
      </c>
      <c r="R81" s="582">
        <v>0</v>
      </c>
      <c r="S81" s="582">
        <v>0</v>
      </c>
      <c r="T81" s="582">
        <v>0</v>
      </c>
      <c r="U81" s="582">
        <v>0</v>
      </c>
      <c r="V81" s="582">
        <v>0</v>
      </c>
      <c r="W81" s="582">
        <v>0</v>
      </c>
      <c r="X81" s="582">
        <v>0</v>
      </c>
      <c r="Y81" s="582">
        <v>0</v>
      </c>
      <c r="Z81" s="582">
        <v>0</v>
      </c>
    </row>
    <row r="82" spans="1:26" outlineLevel="1" x14ac:dyDescent="0.2">
      <c r="A82" s="1390"/>
      <c r="B82" s="1391"/>
      <c r="C82" s="1391"/>
      <c r="D82" s="497">
        <v>7</v>
      </c>
      <c r="E82" s="68">
        <f t="shared" si="7"/>
        <v>0</v>
      </c>
      <c r="F82" s="582">
        <v>0</v>
      </c>
      <c r="G82" s="582">
        <v>0</v>
      </c>
      <c r="H82" s="582">
        <v>0</v>
      </c>
      <c r="I82" s="582">
        <v>0</v>
      </c>
      <c r="J82" s="582">
        <v>0</v>
      </c>
      <c r="K82" s="582">
        <v>0</v>
      </c>
      <c r="L82" s="582">
        <v>0</v>
      </c>
      <c r="M82" s="582">
        <v>0</v>
      </c>
      <c r="N82" s="582">
        <v>0</v>
      </c>
      <c r="O82" s="582">
        <v>0</v>
      </c>
      <c r="P82" s="582">
        <v>0</v>
      </c>
      <c r="Q82" s="582">
        <v>0</v>
      </c>
      <c r="R82" s="582">
        <v>0</v>
      </c>
      <c r="S82" s="582">
        <v>0</v>
      </c>
      <c r="T82" s="582">
        <v>0</v>
      </c>
      <c r="U82" s="582">
        <v>0</v>
      </c>
      <c r="V82" s="582">
        <v>0</v>
      </c>
      <c r="W82" s="582">
        <v>0</v>
      </c>
      <c r="X82" s="582">
        <v>0</v>
      </c>
      <c r="Y82" s="582">
        <v>0</v>
      </c>
      <c r="Z82" s="582">
        <v>0</v>
      </c>
    </row>
    <row r="83" spans="1:26" outlineLevel="1" x14ac:dyDescent="0.2">
      <c r="A83" s="1390"/>
      <c r="B83" s="1391"/>
      <c r="C83" s="1391"/>
      <c r="D83" s="497">
        <v>8</v>
      </c>
      <c r="E83" s="68">
        <f t="shared" si="7"/>
        <v>0</v>
      </c>
      <c r="F83" s="582">
        <v>0</v>
      </c>
      <c r="G83" s="582">
        <v>0</v>
      </c>
      <c r="H83" s="582">
        <v>0</v>
      </c>
      <c r="I83" s="582">
        <v>0</v>
      </c>
      <c r="J83" s="582">
        <v>0</v>
      </c>
      <c r="K83" s="582">
        <v>0</v>
      </c>
      <c r="L83" s="582">
        <v>0</v>
      </c>
      <c r="M83" s="582">
        <v>0</v>
      </c>
      <c r="N83" s="582">
        <v>0</v>
      </c>
      <c r="O83" s="582">
        <v>0</v>
      </c>
      <c r="P83" s="582">
        <v>0</v>
      </c>
      <c r="Q83" s="582">
        <v>0</v>
      </c>
      <c r="R83" s="582">
        <v>0</v>
      </c>
      <c r="S83" s="582">
        <v>0</v>
      </c>
      <c r="T83" s="582">
        <v>0</v>
      </c>
      <c r="U83" s="582">
        <v>0</v>
      </c>
      <c r="V83" s="582">
        <v>0</v>
      </c>
      <c r="W83" s="582">
        <v>0</v>
      </c>
      <c r="X83" s="582">
        <v>0</v>
      </c>
      <c r="Y83" s="582">
        <v>0</v>
      </c>
      <c r="Z83" s="582">
        <v>0</v>
      </c>
    </row>
    <row r="84" spans="1:26" outlineLevel="1" x14ac:dyDescent="0.2">
      <c r="A84" s="1390"/>
      <c r="B84" s="1391"/>
      <c r="C84" s="1391"/>
      <c r="D84" s="497">
        <v>9</v>
      </c>
      <c r="E84" s="68">
        <f t="shared" si="7"/>
        <v>0</v>
      </c>
      <c r="F84" s="582">
        <v>0</v>
      </c>
      <c r="G84" s="582">
        <v>0</v>
      </c>
      <c r="H84" s="582">
        <v>0</v>
      </c>
      <c r="I84" s="582">
        <v>0</v>
      </c>
      <c r="J84" s="582">
        <v>0</v>
      </c>
      <c r="K84" s="582">
        <v>0</v>
      </c>
      <c r="L84" s="582">
        <v>0</v>
      </c>
      <c r="M84" s="582">
        <v>0</v>
      </c>
      <c r="N84" s="582">
        <v>0</v>
      </c>
      <c r="O84" s="582">
        <v>0</v>
      </c>
      <c r="P84" s="582">
        <v>0</v>
      </c>
      <c r="Q84" s="582">
        <v>0</v>
      </c>
      <c r="R84" s="582">
        <v>0</v>
      </c>
      <c r="S84" s="582">
        <v>0</v>
      </c>
      <c r="T84" s="582">
        <v>0</v>
      </c>
      <c r="U84" s="582">
        <v>0</v>
      </c>
      <c r="V84" s="582">
        <v>0</v>
      </c>
      <c r="W84" s="582">
        <v>0</v>
      </c>
      <c r="X84" s="582">
        <v>0</v>
      </c>
      <c r="Y84" s="582">
        <v>0</v>
      </c>
      <c r="Z84" s="582">
        <v>0</v>
      </c>
    </row>
    <row r="85" spans="1:26" ht="16" outlineLevel="1" thickBot="1" x14ac:dyDescent="0.25">
      <c r="A85" s="1390"/>
      <c r="B85" s="1391"/>
      <c r="C85" s="1391"/>
      <c r="D85" s="498">
        <v>10</v>
      </c>
      <c r="E85" s="69">
        <f t="shared" si="7"/>
        <v>0</v>
      </c>
      <c r="F85" s="582">
        <v>0</v>
      </c>
      <c r="G85" s="582">
        <v>0</v>
      </c>
      <c r="H85" s="582">
        <v>0</v>
      </c>
      <c r="I85" s="582">
        <v>0</v>
      </c>
      <c r="J85" s="582">
        <v>0</v>
      </c>
      <c r="K85" s="582">
        <v>0</v>
      </c>
      <c r="L85" s="582">
        <v>0</v>
      </c>
      <c r="M85" s="582">
        <v>0</v>
      </c>
      <c r="N85" s="582">
        <v>0</v>
      </c>
      <c r="O85" s="582">
        <v>0</v>
      </c>
      <c r="P85" s="582">
        <v>0</v>
      </c>
      <c r="Q85" s="582">
        <v>0</v>
      </c>
      <c r="R85" s="582">
        <v>0</v>
      </c>
      <c r="S85" s="582">
        <v>0</v>
      </c>
      <c r="T85" s="582">
        <v>0</v>
      </c>
      <c r="U85" s="582">
        <v>0</v>
      </c>
      <c r="V85" s="582">
        <v>0</v>
      </c>
      <c r="W85" s="582">
        <v>0</v>
      </c>
      <c r="X85" s="582">
        <v>0</v>
      </c>
      <c r="Y85" s="582">
        <v>0</v>
      </c>
      <c r="Z85" s="582">
        <v>0</v>
      </c>
    </row>
    <row r="86" spans="1:26" outlineLevel="1" x14ac:dyDescent="0.2">
      <c r="A86" s="1390" t="s">
        <v>94</v>
      </c>
      <c r="B86" s="1391" t="s">
        <v>519</v>
      </c>
      <c r="C86" s="1391">
        <v>610</v>
      </c>
      <c r="D86" s="496">
        <v>1</v>
      </c>
      <c r="E86" s="68">
        <f t="shared" si="7"/>
        <v>0</v>
      </c>
      <c r="F86" s="581">
        <v>0</v>
      </c>
      <c r="G86" s="581">
        <v>0</v>
      </c>
      <c r="H86" s="581">
        <v>0</v>
      </c>
      <c r="I86" s="581">
        <v>0</v>
      </c>
      <c r="J86" s="581">
        <v>0</v>
      </c>
      <c r="K86" s="581">
        <v>0</v>
      </c>
      <c r="L86" s="581">
        <v>0</v>
      </c>
      <c r="M86" s="581">
        <v>0</v>
      </c>
      <c r="N86" s="581">
        <v>0</v>
      </c>
      <c r="O86" s="581">
        <v>0</v>
      </c>
      <c r="P86" s="581">
        <v>0</v>
      </c>
      <c r="Q86" s="581">
        <v>0</v>
      </c>
      <c r="R86" s="581">
        <v>0</v>
      </c>
      <c r="S86" s="581">
        <v>0</v>
      </c>
      <c r="T86" s="581">
        <v>0</v>
      </c>
      <c r="U86" s="581">
        <v>0</v>
      </c>
      <c r="V86" s="581">
        <v>0</v>
      </c>
      <c r="W86" s="581">
        <v>0</v>
      </c>
      <c r="X86" s="581">
        <v>0</v>
      </c>
      <c r="Y86" s="581">
        <v>0</v>
      </c>
      <c r="Z86" s="581">
        <v>0</v>
      </c>
    </row>
    <row r="87" spans="1:26" outlineLevel="1" x14ac:dyDescent="0.2">
      <c r="A87" s="1390"/>
      <c r="B87" s="1391"/>
      <c r="C87" s="1391"/>
      <c r="D87" s="497">
        <v>2</v>
      </c>
      <c r="E87" s="68">
        <f t="shared" si="7"/>
        <v>0</v>
      </c>
      <c r="F87" s="582">
        <v>0</v>
      </c>
      <c r="G87" s="582">
        <v>0</v>
      </c>
      <c r="H87" s="582">
        <v>0</v>
      </c>
      <c r="I87" s="582">
        <v>0</v>
      </c>
      <c r="J87" s="582">
        <v>0</v>
      </c>
      <c r="K87" s="582">
        <v>0</v>
      </c>
      <c r="L87" s="582">
        <v>0</v>
      </c>
      <c r="M87" s="582">
        <v>0</v>
      </c>
      <c r="N87" s="582">
        <v>0</v>
      </c>
      <c r="O87" s="582">
        <v>0</v>
      </c>
      <c r="P87" s="582">
        <v>0</v>
      </c>
      <c r="Q87" s="582">
        <v>0</v>
      </c>
      <c r="R87" s="582">
        <v>0</v>
      </c>
      <c r="S87" s="582">
        <v>0</v>
      </c>
      <c r="T87" s="582">
        <v>0</v>
      </c>
      <c r="U87" s="582">
        <v>0</v>
      </c>
      <c r="V87" s="582">
        <v>0</v>
      </c>
      <c r="W87" s="582">
        <v>0</v>
      </c>
      <c r="X87" s="582">
        <v>0</v>
      </c>
      <c r="Y87" s="582">
        <v>0</v>
      </c>
      <c r="Z87" s="582">
        <v>0</v>
      </c>
    </row>
    <row r="88" spans="1:26" outlineLevel="1" x14ac:dyDescent="0.2">
      <c r="A88" s="1390"/>
      <c r="B88" s="1391"/>
      <c r="C88" s="1391"/>
      <c r="D88" s="497">
        <v>3</v>
      </c>
      <c r="E88" s="68">
        <f t="shared" si="7"/>
        <v>0</v>
      </c>
      <c r="F88" s="582">
        <v>0</v>
      </c>
      <c r="G88" s="582">
        <v>0</v>
      </c>
      <c r="H88" s="582">
        <v>0</v>
      </c>
      <c r="I88" s="582">
        <v>0</v>
      </c>
      <c r="J88" s="582">
        <v>0</v>
      </c>
      <c r="K88" s="582">
        <v>0</v>
      </c>
      <c r="L88" s="582">
        <v>0</v>
      </c>
      <c r="M88" s="582">
        <v>0</v>
      </c>
      <c r="N88" s="582">
        <v>0</v>
      </c>
      <c r="O88" s="582">
        <v>0</v>
      </c>
      <c r="P88" s="582">
        <v>0</v>
      </c>
      <c r="Q88" s="582">
        <v>0</v>
      </c>
      <c r="R88" s="582">
        <v>0</v>
      </c>
      <c r="S88" s="582">
        <v>0</v>
      </c>
      <c r="T88" s="582">
        <v>0</v>
      </c>
      <c r="U88" s="582">
        <v>0</v>
      </c>
      <c r="V88" s="582">
        <v>0</v>
      </c>
      <c r="W88" s="582">
        <v>0</v>
      </c>
      <c r="X88" s="582">
        <v>0</v>
      </c>
      <c r="Y88" s="582">
        <v>0</v>
      </c>
      <c r="Z88" s="582">
        <v>0</v>
      </c>
    </row>
    <row r="89" spans="1:26" outlineLevel="1" x14ac:dyDescent="0.2">
      <c r="A89" s="1390"/>
      <c r="B89" s="1391"/>
      <c r="C89" s="1391"/>
      <c r="D89" s="497">
        <v>4</v>
      </c>
      <c r="E89" s="68">
        <f t="shared" si="7"/>
        <v>0</v>
      </c>
      <c r="F89" s="582">
        <v>0</v>
      </c>
      <c r="G89" s="582">
        <v>0</v>
      </c>
      <c r="H89" s="582">
        <v>0</v>
      </c>
      <c r="I89" s="582">
        <v>0</v>
      </c>
      <c r="J89" s="582">
        <v>0</v>
      </c>
      <c r="K89" s="582">
        <v>0</v>
      </c>
      <c r="L89" s="582">
        <v>0</v>
      </c>
      <c r="M89" s="582">
        <v>0</v>
      </c>
      <c r="N89" s="582">
        <v>0</v>
      </c>
      <c r="O89" s="582">
        <v>0</v>
      </c>
      <c r="P89" s="582">
        <v>0</v>
      </c>
      <c r="Q89" s="582">
        <v>0</v>
      </c>
      <c r="R89" s="582">
        <v>0</v>
      </c>
      <c r="S89" s="582">
        <v>0</v>
      </c>
      <c r="T89" s="582">
        <v>0</v>
      </c>
      <c r="U89" s="582">
        <v>0</v>
      </c>
      <c r="V89" s="582">
        <v>0</v>
      </c>
      <c r="W89" s="582">
        <v>0</v>
      </c>
      <c r="X89" s="582">
        <v>0</v>
      </c>
      <c r="Y89" s="582">
        <v>0</v>
      </c>
      <c r="Z89" s="582">
        <v>0</v>
      </c>
    </row>
    <row r="90" spans="1:26" outlineLevel="1" x14ac:dyDescent="0.2">
      <c r="A90" s="1390"/>
      <c r="B90" s="1391"/>
      <c r="C90" s="1391"/>
      <c r="D90" s="497">
        <v>5</v>
      </c>
      <c r="E90" s="68">
        <f t="shared" si="7"/>
        <v>0</v>
      </c>
      <c r="F90" s="582">
        <v>0</v>
      </c>
      <c r="G90" s="582">
        <v>0</v>
      </c>
      <c r="H90" s="582">
        <v>0</v>
      </c>
      <c r="I90" s="582">
        <v>0</v>
      </c>
      <c r="J90" s="582">
        <v>0</v>
      </c>
      <c r="K90" s="582">
        <v>0</v>
      </c>
      <c r="L90" s="582">
        <v>0</v>
      </c>
      <c r="M90" s="582">
        <v>0</v>
      </c>
      <c r="N90" s="582">
        <v>0</v>
      </c>
      <c r="O90" s="582">
        <v>0</v>
      </c>
      <c r="P90" s="582">
        <v>0</v>
      </c>
      <c r="Q90" s="582">
        <v>0</v>
      </c>
      <c r="R90" s="582">
        <v>0</v>
      </c>
      <c r="S90" s="582">
        <v>0</v>
      </c>
      <c r="T90" s="582">
        <v>0</v>
      </c>
      <c r="U90" s="582">
        <v>0</v>
      </c>
      <c r="V90" s="582">
        <v>0</v>
      </c>
      <c r="W90" s="582">
        <v>0</v>
      </c>
      <c r="X90" s="582">
        <v>0</v>
      </c>
      <c r="Y90" s="582">
        <v>0</v>
      </c>
      <c r="Z90" s="582">
        <v>0</v>
      </c>
    </row>
    <row r="91" spans="1:26" outlineLevel="1" x14ac:dyDescent="0.2">
      <c r="A91" s="1390"/>
      <c r="B91" s="1391"/>
      <c r="C91" s="1391"/>
      <c r="D91" s="497">
        <v>6</v>
      </c>
      <c r="E91" s="68">
        <f t="shared" si="7"/>
        <v>0</v>
      </c>
      <c r="F91" s="582">
        <v>0</v>
      </c>
      <c r="G91" s="582">
        <v>0</v>
      </c>
      <c r="H91" s="582">
        <v>0</v>
      </c>
      <c r="I91" s="582">
        <v>0</v>
      </c>
      <c r="J91" s="582">
        <v>0</v>
      </c>
      <c r="K91" s="582">
        <v>0</v>
      </c>
      <c r="L91" s="582">
        <v>0</v>
      </c>
      <c r="M91" s="582">
        <v>0</v>
      </c>
      <c r="N91" s="582">
        <v>0</v>
      </c>
      <c r="O91" s="582">
        <v>0</v>
      </c>
      <c r="P91" s="582">
        <v>0</v>
      </c>
      <c r="Q91" s="582">
        <v>0</v>
      </c>
      <c r="R91" s="582">
        <v>0</v>
      </c>
      <c r="S91" s="582">
        <v>0</v>
      </c>
      <c r="T91" s="582">
        <v>0</v>
      </c>
      <c r="U91" s="582">
        <v>0</v>
      </c>
      <c r="V91" s="582">
        <v>0</v>
      </c>
      <c r="W91" s="582">
        <v>0</v>
      </c>
      <c r="X91" s="582">
        <v>0</v>
      </c>
      <c r="Y91" s="582">
        <v>0</v>
      </c>
      <c r="Z91" s="582">
        <v>0</v>
      </c>
    </row>
    <row r="92" spans="1:26" outlineLevel="1" x14ac:dyDescent="0.2">
      <c r="A92" s="1390"/>
      <c r="B92" s="1391"/>
      <c r="C92" s="1391"/>
      <c r="D92" s="497">
        <v>7</v>
      </c>
      <c r="E92" s="68">
        <f t="shared" si="7"/>
        <v>0</v>
      </c>
      <c r="F92" s="582">
        <v>0</v>
      </c>
      <c r="G92" s="582">
        <v>0</v>
      </c>
      <c r="H92" s="582">
        <v>0</v>
      </c>
      <c r="I92" s="582">
        <v>0</v>
      </c>
      <c r="J92" s="582">
        <v>0</v>
      </c>
      <c r="K92" s="582">
        <v>0</v>
      </c>
      <c r="L92" s="582">
        <v>0</v>
      </c>
      <c r="M92" s="582">
        <v>0</v>
      </c>
      <c r="N92" s="582">
        <v>0</v>
      </c>
      <c r="O92" s="582">
        <v>0</v>
      </c>
      <c r="P92" s="582">
        <v>0</v>
      </c>
      <c r="Q92" s="582">
        <v>0</v>
      </c>
      <c r="R92" s="582">
        <v>0</v>
      </c>
      <c r="S92" s="582">
        <v>0</v>
      </c>
      <c r="T92" s="582">
        <v>0</v>
      </c>
      <c r="U92" s="582">
        <v>0</v>
      </c>
      <c r="V92" s="582">
        <v>0</v>
      </c>
      <c r="W92" s="582">
        <v>0</v>
      </c>
      <c r="X92" s="582">
        <v>0</v>
      </c>
      <c r="Y92" s="582">
        <v>0</v>
      </c>
      <c r="Z92" s="582">
        <v>0</v>
      </c>
    </row>
    <row r="93" spans="1:26" outlineLevel="1" x14ac:dyDescent="0.2">
      <c r="A93" s="1390"/>
      <c r="B93" s="1391"/>
      <c r="C93" s="1391"/>
      <c r="D93" s="497">
        <v>8</v>
      </c>
      <c r="E93" s="68">
        <f t="shared" si="7"/>
        <v>0</v>
      </c>
      <c r="F93" s="582">
        <v>0</v>
      </c>
      <c r="G93" s="582">
        <v>0</v>
      </c>
      <c r="H93" s="582">
        <v>0</v>
      </c>
      <c r="I93" s="582">
        <v>0</v>
      </c>
      <c r="J93" s="582">
        <v>0</v>
      </c>
      <c r="K93" s="582">
        <v>0</v>
      </c>
      <c r="L93" s="582">
        <v>0</v>
      </c>
      <c r="M93" s="582">
        <v>0</v>
      </c>
      <c r="N93" s="582">
        <v>0</v>
      </c>
      <c r="O93" s="582">
        <v>0</v>
      </c>
      <c r="P93" s="582">
        <v>0</v>
      </c>
      <c r="Q93" s="582">
        <v>0</v>
      </c>
      <c r="R93" s="582">
        <v>0</v>
      </c>
      <c r="S93" s="582">
        <v>0</v>
      </c>
      <c r="T93" s="582">
        <v>0</v>
      </c>
      <c r="U93" s="582">
        <v>0</v>
      </c>
      <c r="V93" s="582">
        <v>0</v>
      </c>
      <c r="W93" s="582">
        <v>0</v>
      </c>
      <c r="X93" s="582">
        <v>0</v>
      </c>
      <c r="Y93" s="582">
        <v>0</v>
      </c>
      <c r="Z93" s="582">
        <v>0</v>
      </c>
    </row>
    <row r="94" spans="1:26" outlineLevel="1" x14ac:dyDescent="0.2">
      <c r="A94" s="1390"/>
      <c r="B94" s="1391"/>
      <c r="C94" s="1391"/>
      <c r="D94" s="497">
        <v>9</v>
      </c>
      <c r="E94" s="68">
        <f t="shared" si="7"/>
        <v>0</v>
      </c>
      <c r="F94" s="582">
        <v>0</v>
      </c>
      <c r="G94" s="582">
        <v>0</v>
      </c>
      <c r="H94" s="582">
        <v>0</v>
      </c>
      <c r="I94" s="582">
        <v>0</v>
      </c>
      <c r="J94" s="582">
        <v>0</v>
      </c>
      <c r="K94" s="582">
        <v>0</v>
      </c>
      <c r="L94" s="582">
        <v>0</v>
      </c>
      <c r="M94" s="582">
        <v>0</v>
      </c>
      <c r="N94" s="582">
        <v>0</v>
      </c>
      <c r="O94" s="582">
        <v>0</v>
      </c>
      <c r="P94" s="582">
        <v>0</v>
      </c>
      <c r="Q94" s="582">
        <v>0</v>
      </c>
      <c r="R94" s="582">
        <v>0</v>
      </c>
      <c r="S94" s="582">
        <v>0</v>
      </c>
      <c r="T94" s="582">
        <v>0</v>
      </c>
      <c r="U94" s="582">
        <v>0</v>
      </c>
      <c r="V94" s="582">
        <v>0</v>
      </c>
      <c r="W94" s="582">
        <v>0</v>
      </c>
      <c r="X94" s="582">
        <v>0</v>
      </c>
      <c r="Y94" s="582">
        <v>0</v>
      </c>
      <c r="Z94" s="582">
        <v>0</v>
      </c>
    </row>
    <row r="95" spans="1:26" ht="16" outlineLevel="1" thickBot="1" x14ac:dyDescent="0.25">
      <c r="A95" s="1390"/>
      <c r="B95" s="1391"/>
      <c r="C95" s="1391"/>
      <c r="D95" s="498">
        <v>10</v>
      </c>
      <c r="E95" s="69">
        <f t="shared" si="7"/>
        <v>0</v>
      </c>
      <c r="F95" s="586">
        <v>0</v>
      </c>
      <c r="G95" s="586">
        <v>0</v>
      </c>
      <c r="H95" s="586">
        <v>0</v>
      </c>
      <c r="I95" s="586">
        <v>0</v>
      </c>
      <c r="J95" s="586">
        <v>0</v>
      </c>
      <c r="K95" s="586">
        <v>0</v>
      </c>
      <c r="L95" s="586">
        <v>0</v>
      </c>
      <c r="M95" s="586">
        <v>0</v>
      </c>
      <c r="N95" s="586">
        <v>0</v>
      </c>
      <c r="O95" s="586">
        <v>0</v>
      </c>
      <c r="P95" s="586">
        <v>0</v>
      </c>
      <c r="Q95" s="586">
        <v>0</v>
      </c>
      <c r="R95" s="586">
        <v>0</v>
      </c>
      <c r="S95" s="586">
        <v>0</v>
      </c>
      <c r="T95" s="586">
        <v>0</v>
      </c>
      <c r="U95" s="586">
        <v>0</v>
      </c>
      <c r="V95" s="586">
        <v>0</v>
      </c>
      <c r="W95" s="586">
        <v>0</v>
      </c>
      <c r="X95" s="586">
        <v>0</v>
      </c>
      <c r="Y95" s="586">
        <v>0</v>
      </c>
      <c r="Z95" s="586">
        <v>0</v>
      </c>
    </row>
    <row r="96" spans="1:26" outlineLevel="1" x14ac:dyDescent="0.2">
      <c r="A96" s="1390" t="s">
        <v>89</v>
      </c>
      <c r="B96" s="1391" t="s">
        <v>76</v>
      </c>
      <c r="C96" s="1391">
        <v>637040</v>
      </c>
      <c r="D96" s="496">
        <v>1</v>
      </c>
      <c r="E96" s="68">
        <f t="shared" si="7"/>
        <v>0</v>
      </c>
      <c r="F96" s="581">
        <v>0</v>
      </c>
      <c r="G96" s="581">
        <v>0</v>
      </c>
      <c r="H96" s="581">
        <v>0</v>
      </c>
      <c r="I96" s="581">
        <v>0</v>
      </c>
      <c r="J96" s="581">
        <v>0</v>
      </c>
      <c r="K96" s="581">
        <v>0</v>
      </c>
      <c r="L96" s="581">
        <v>0</v>
      </c>
      <c r="M96" s="581">
        <v>0</v>
      </c>
      <c r="N96" s="581">
        <v>0</v>
      </c>
      <c r="O96" s="581">
        <v>0</v>
      </c>
      <c r="P96" s="581">
        <v>0</v>
      </c>
      <c r="Q96" s="581">
        <v>0</v>
      </c>
      <c r="R96" s="581">
        <v>0</v>
      </c>
      <c r="S96" s="581">
        <v>0</v>
      </c>
      <c r="T96" s="581">
        <v>0</v>
      </c>
      <c r="U96" s="581">
        <v>0</v>
      </c>
      <c r="V96" s="581">
        <v>0</v>
      </c>
      <c r="W96" s="581">
        <v>0</v>
      </c>
      <c r="X96" s="581">
        <v>0</v>
      </c>
      <c r="Y96" s="581">
        <v>0</v>
      </c>
      <c r="Z96" s="581">
        <v>0</v>
      </c>
    </row>
    <row r="97" spans="1:26" outlineLevel="1" x14ac:dyDescent="0.2">
      <c r="A97" s="1390"/>
      <c r="B97" s="1391"/>
      <c r="C97" s="1391"/>
      <c r="D97" s="497">
        <v>2</v>
      </c>
      <c r="E97" s="68">
        <f t="shared" si="7"/>
        <v>0</v>
      </c>
      <c r="F97" s="582">
        <v>0</v>
      </c>
      <c r="G97" s="582">
        <v>0</v>
      </c>
      <c r="H97" s="582">
        <v>0</v>
      </c>
      <c r="I97" s="582">
        <v>0</v>
      </c>
      <c r="J97" s="582">
        <v>0</v>
      </c>
      <c r="K97" s="582">
        <v>0</v>
      </c>
      <c r="L97" s="582">
        <v>0</v>
      </c>
      <c r="M97" s="582">
        <v>0</v>
      </c>
      <c r="N97" s="582">
        <v>0</v>
      </c>
      <c r="O97" s="582">
        <v>0</v>
      </c>
      <c r="P97" s="582">
        <v>0</v>
      </c>
      <c r="Q97" s="582">
        <v>0</v>
      </c>
      <c r="R97" s="582">
        <v>0</v>
      </c>
      <c r="S97" s="582">
        <v>0</v>
      </c>
      <c r="T97" s="582">
        <v>0</v>
      </c>
      <c r="U97" s="582">
        <v>0</v>
      </c>
      <c r="V97" s="582">
        <v>0</v>
      </c>
      <c r="W97" s="582">
        <v>0</v>
      </c>
      <c r="X97" s="582">
        <v>0</v>
      </c>
      <c r="Y97" s="582">
        <v>0</v>
      </c>
      <c r="Z97" s="582">
        <v>0</v>
      </c>
    </row>
    <row r="98" spans="1:26" outlineLevel="1" x14ac:dyDescent="0.2">
      <c r="A98" s="1390"/>
      <c r="B98" s="1391"/>
      <c r="C98" s="1391"/>
      <c r="D98" s="497">
        <v>3</v>
      </c>
      <c r="E98" s="68">
        <f t="shared" si="7"/>
        <v>0</v>
      </c>
      <c r="F98" s="582">
        <v>0</v>
      </c>
      <c r="G98" s="582">
        <v>0</v>
      </c>
      <c r="H98" s="582">
        <v>0</v>
      </c>
      <c r="I98" s="582">
        <v>0</v>
      </c>
      <c r="J98" s="582">
        <v>0</v>
      </c>
      <c r="K98" s="582">
        <v>0</v>
      </c>
      <c r="L98" s="582">
        <v>0</v>
      </c>
      <c r="M98" s="582">
        <v>0</v>
      </c>
      <c r="N98" s="582">
        <v>0</v>
      </c>
      <c r="O98" s="582">
        <v>0</v>
      </c>
      <c r="P98" s="582">
        <v>0</v>
      </c>
      <c r="Q98" s="582">
        <v>0</v>
      </c>
      <c r="R98" s="582">
        <v>0</v>
      </c>
      <c r="S98" s="582">
        <v>0</v>
      </c>
      <c r="T98" s="582">
        <v>0</v>
      </c>
      <c r="U98" s="582">
        <v>0</v>
      </c>
      <c r="V98" s="582">
        <v>0</v>
      </c>
      <c r="W98" s="582">
        <v>0</v>
      </c>
      <c r="X98" s="582">
        <v>0</v>
      </c>
      <c r="Y98" s="582">
        <v>0</v>
      </c>
      <c r="Z98" s="582">
        <v>0</v>
      </c>
    </row>
    <row r="99" spans="1:26" outlineLevel="1" x14ac:dyDescent="0.2">
      <c r="A99" s="1390"/>
      <c r="B99" s="1391"/>
      <c r="C99" s="1391"/>
      <c r="D99" s="497">
        <v>4</v>
      </c>
      <c r="E99" s="68">
        <f t="shared" si="7"/>
        <v>0</v>
      </c>
      <c r="F99" s="582">
        <v>0</v>
      </c>
      <c r="G99" s="582">
        <v>0</v>
      </c>
      <c r="H99" s="582">
        <v>0</v>
      </c>
      <c r="I99" s="582">
        <v>0</v>
      </c>
      <c r="J99" s="582">
        <v>0</v>
      </c>
      <c r="K99" s="582">
        <v>0</v>
      </c>
      <c r="L99" s="582">
        <v>0</v>
      </c>
      <c r="M99" s="582">
        <v>0</v>
      </c>
      <c r="N99" s="582">
        <v>0</v>
      </c>
      <c r="O99" s="582">
        <v>0</v>
      </c>
      <c r="P99" s="582">
        <v>0</v>
      </c>
      <c r="Q99" s="582">
        <v>0</v>
      </c>
      <c r="R99" s="582">
        <v>0</v>
      </c>
      <c r="S99" s="582">
        <v>0</v>
      </c>
      <c r="T99" s="582">
        <v>0</v>
      </c>
      <c r="U99" s="582">
        <v>0</v>
      </c>
      <c r="V99" s="582">
        <v>0</v>
      </c>
      <c r="W99" s="582">
        <v>0</v>
      </c>
      <c r="X99" s="582">
        <v>0</v>
      </c>
      <c r="Y99" s="582">
        <v>0</v>
      </c>
      <c r="Z99" s="582">
        <v>0</v>
      </c>
    </row>
    <row r="100" spans="1:26" outlineLevel="1" x14ac:dyDescent="0.2">
      <c r="A100" s="1390"/>
      <c r="B100" s="1391"/>
      <c r="C100" s="1391"/>
      <c r="D100" s="497">
        <v>5</v>
      </c>
      <c r="E100" s="68">
        <f t="shared" si="7"/>
        <v>0</v>
      </c>
      <c r="F100" s="582">
        <v>0</v>
      </c>
      <c r="G100" s="582">
        <v>0</v>
      </c>
      <c r="H100" s="582">
        <v>0</v>
      </c>
      <c r="I100" s="582">
        <v>0</v>
      </c>
      <c r="J100" s="582">
        <v>0</v>
      </c>
      <c r="K100" s="582">
        <v>0</v>
      </c>
      <c r="L100" s="582">
        <v>0</v>
      </c>
      <c r="M100" s="582">
        <v>0</v>
      </c>
      <c r="N100" s="582">
        <v>0</v>
      </c>
      <c r="O100" s="582">
        <v>0</v>
      </c>
      <c r="P100" s="582">
        <v>0</v>
      </c>
      <c r="Q100" s="582">
        <v>0</v>
      </c>
      <c r="R100" s="582">
        <v>0</v>
      </c>
      <c r="S100" s="582">
        <v>0</v>
      </c>
      <c r="T100" s="582">
        <v>0</v>
      </c>
      <c r="U100" s="582">
        <v>0</v>
      </c>
      <c r="V100" s="582">
        <v>0</v>
      </c>
      <c r="W100" s="582">
        <v>0</v>
      </c>
      <c r="X100" s="582">
        <v>0</v>
      </c>
      <c r="Y100" s="582">
        <v>0</v>
      </c>
      <c r="Z100" s="582">
        <v>0</v>
      </c>
    </row>
    <row r="101" spans="1:26" outlineLevel="1" x14ac:dyDescent="0.2">
      <c r="A101" s="1390"/>
      <c r="B101" s="1391"/>
      <c r="C101" s="1391"/>
      <c r="D101" s="497">
        <v>6</v>
      </c>
      <c r="E101" s="68">
        <f t="shared" si="7"/>
        <v>0</v>
      </c>
      <c r="F101" s="582">
        <v>0</v>
      </c>
      <c r="G101" s="582">
        <v>0</v>
      </c>
      <c r="H101" s="582">
        <v>0</v>
      </c>
      <c r="I101" s="582">
        <v>0</v>
      </c>
      <c r="J101" s="582">
        <v>0</v>
      </c>
      <c r="K101" s="582">
        <v>0</v>
      </c>
      <c r="L101" s="582">
        <v>0</v>
      </c>
      <c r="M101" s="582">
        <v>0</v>
      </c>
      <c r="N101" s="582">
        <v>0</v>
      </c>
      <c r="O101" s="582">
        <v>0</v>
      </c>
      <c r="P101" s="582">
        <v>0</v>
      </c>
      <c r="Q101" s="582">
        <v>0</v>
      </c>
      <c r="R101" s="582">
        <v>0</v>
      </c>
      <c r="S101" s="582">
        <v>0</v>
      </c>
      <c r="T101" s="582">
        <v>0</v>
      </c>
      <c r="U101" s="582">
        <v>0</v>
      </c>
      <c r="V101" s="582">
        <v>0</v>
      </c>
      <c r="W101" s="582">
        <v>0</v>
      </c>
      <c r="X101" s="582">
        <v>0</v>
      </c>
      <c r="Y101" s="582">
        <v>0</v>
      </c>
      <c r="Z101" s="582">
        <v>0</v>
      </c>
    </row>
    <row r="102" spans="1:26" outlineLevel="1" x14ac:dyDescent="0.2">
      <c r="A102" s="1390"/>
      <c r="B102" s="1391"/>
      <c r="C102" s="1391"/>
      <c r="D102" s="497">
        <v>7</v>
      </c>
      <c r="E102" s="68">
        <f t="shared" si="7"/>
        <v>0</v>
      </c>
      <c r="F102" s="582">
        <v>0</v>
      </c>
      <c r="G102" s="582">
        <v>0</v>
      </c>
      <c r="H102" s="582">
        <v>0</v>
      </c>
      <c r="I102" s="582">
        <v>0</v>
      </c>
      <c r="J102" s="582">
        <v>0</v>
      </c>
      <c r="K102" s="582">
        <v>0</v>
      </c>
      <c r="L102" s="582">
        <v>0</v>
      </c>
      <c r="M102" s="582">
        <v>0</v>
      </c>
      <c r="N102" s="582">
        <v>0</v>
      </c>
      <c r="O102" s="582">
        <v>0</v>
      </c>
      <c r="P102" s="582">
        <v>0</v>
      </c>
      <c r="Q102" s="582">
        <v>0</v>
      </c>
      <c r="R102" s="582">
        <v>0</v>
      </c>
      <c r="S102" s="582">
        <v>0</v>
      </c>
      <c r="T102" s="582">
        <v>0</v>
      </c>
      <c r="U102" s="582">
        <v>0</v>
      </c>
      <c r="V102" s="582">
        <v>0</v>
      </c>
      <c r="W102" s="582">
        <v>0</v>
      </c>
      <c r="X102" s="582">
        <v>0</v>
      </c>
      <c r="Y102" s="582">
        <v>0</v>
      </c>
      <c r="Z102" s="582">
        <v>0</v>
      </c>
    </row>
    <row r="103" spans="1:26" outlineLevel="1" x14ac:dyDescent="0.2">
      <c r="A103" s="1390"/>
      <c r="B103" s="1391"/>
      <c r="C103" s="1391"/>
      <c r="D103" s="497">
        <v>8</v>
      </c>
      <c r="E103" s="68">
        <f t="shared" si="7"/>
        <v>0</v>
      </c>
      <c r="F103" s="582">
        <v>0</v>
      </c>
      <c r="G103" s="582">
        <v>0</v>
      </c>
      <c r="H103" s="582">
        <v>0</v>
      </c>
      <c r="I103" s="582">
        <v>0</v>
      </c>
      <c r="J103" s="582">
        <v>0</v>
      </c>
      <c r="K103" s="582">
        <v>0</v>
      </c>
      <c r="L103" s="582">
        <v>0</v>
      </c>
      <c r="M103" s="582">
        <v>0</v>
      </c>
      <c r="N103" s="582">
        <v>0</v>
      </c>
      <c r="O103" s="582">
        <v>0</v>
      </c>
      <c r="P103" s="582">
        <v>0</v>
      </c>
      <c r="Q103" s="582">
        <v>0</v>
      </c>
      <c r="R103" s="582">
        <v>0</v>
      </c>
      <c r="S103" s="582">
        <v>0</v>
      </c>
      <c r="T103" s="582">
        <v>0</v>
      </c>
      <c r="U103" s="582">
        <v>0</v>
      </c>
      <c r="V103" s="582">
        <v>0</v>
      </c>
      <c r="W103" s="582">
        <v>0</v>
      </c>
      <c r="X103" s="582">
        <v>0</v>
      </c>
      <c r="Y103" s="582">
        <v>0</v>
      </c>
      <c r="Z103" s="582">
        <v>0</v>
      </c>
    </row>
    <row r="104" spans="1:26" outlineLevel="1" x14ac:dyDescent="0.2">
      <c r="A104" s="1390"/>
      <c r="B104" s="1391"/>
      <c r="C104" s="1391"/>
      <c r="D104" s="497">
        <v>9</v>
      </c>
      <c r="E104" s="68">
        <f t="shared" si="7"/>
        <v>0</v>
      </c>
      <c r="F104" s="582">
        <v>0</v>
      </c>
      <c r="G104" s="582">
        <v>0</v>
      </c>
      <c r="H104" s="582">
        <v>0</v>
      </c>
      <c r="I104" s="582">
        <v>0</v>
      </c>
      <c r="J104" s="582">
        <v>0</v>
      </c>
      <c r="K104" s="582">
        <v>0</v>
      </c>
      <c r="L104" s="582">
        <v>0</v>
      </c>
      <c r="M104" s="582">
        <v>0</v>
      </c>
      <c r="N104" s="582">
        <v>0</v>
      </c>
      <c r="O104" s="582">
        <v>0</v>
      </c>
      <c r="P104" s="582">
        <v>0</v>
      </c>
      <c r="Q104" s="582">
        <v>0</v>
      </c>
      <c r="R104" s="582">
        <v>0</v>
      </c>
      <c r="S104" s="582">
        <v>0</v>
      </c>
      <c r="T104" s="582">
        <v>0</v>
      </c>
      <c r="U104" s="582">
        <v>0</v>
      </c>
      <c r="V104" s="582">
        <v>0</v>
      </c>
      <c r="W104" s="582">
        <v>0</v>
      </c>
      <c r="X104" s="582">
        <v>0</v>
      </c>
      <c r="Y104" s="582">
        <v>0</v>
      </c>
      <c r="Z104" s="582">
        <v>0</v>
      </c>
    </row>
    <row r="105" spans="1:26" ht="16" outlineLevel="1" thickBot="1" x14ac:dyDescent="0.25">
      <c r="A105" s="1390"/>
      <c r="B105" s="1391"/>
      <c r="C105" s="1391"/>
      <c r="D105" s="498">
        <v>10</v>
      </c>
      <c r="E105" s="69">
        <f t="shared" si="7"/>
        <v>0</v>
      </c>
      <c r="F105" s="586">
        <v>0</v>
      </c>
      <c r="G105" s="586">
        <v>0</v>
      </c>
      <c r="H105" s="586">
        <v>0</v>
      </c>
      <c r="I105" s="586">
        <v>0</v>
      </c>
      <c r="J105" s="586">
        <v>0</v>
      </c>
      <c r="K105" s="586">
        <v>0</v>
      </c>
      <c r="L105" s="586">
        <v>0</v>
      </c>
      <c r="M105" s="586">
        <v>0</v>
      </c>
      <c r="N105" s="586">
        <v>0</v>
      </c>
      <c r="O105" s="586">
        <v>0</v>
      </c>
      <c r="P105" s="586">
        <v>0</v>
      </c>
      <c r="Q105" s="586">
        <v>0</v>
      </c>
      <c r="R105" s="586">
        <v>0</v>
      </c>
      <c r="S105" s="586">
        <v>0</v>
      </c>
      <c r="T105" s="586">
        <v>0</v>
      </c>
      <c r="U105" s="586">
        <v>0</v>
      </c>
      <c r="V105" s="586">
        <v>0</v>
      </c>
      <c r="W105" s="586">
        <v>0</v>
      </c>
      <c r="X105" s="586">
        <v>0</v>
      </c>
      <c r="Y105" s="586">
        <v>0</v>
      </c>
      <c r="Z105" s="586">
        <v>0</v>
      </c>
    </row>
  </sheetData>
  <mergeCells count="35">
    <mergeCell ref="A56:A65"/>
    <mergeCell ref="B56:B65"/>
    <mergeCell ref="C56:C65"/>
    <mergeCell ref="A4:C4"/>
    <mergeCell ref="A45:A54"/>
    <mergeCell ref="B45:B54"/>
    <mergeCell ref="C45:C54"/>
    <mergeCell ref="A55:C55"/>
    <mergeCell ref="A5:A14"/>
    <mergeCell ref="A25:A34"/>
    <mergeCell ref="B25:B34"/>
    <mergeCell ref="C25:C34"/>
    <mergeCell ref="A35:A44"/>
    <mergeCell ref="B35:B44"/>
    <mergeCell ref="C35:C44"/>
    <mergeCell ref="A96:A105"/>
    <mergeCell ref="B96:B105"/>
    <mergeCell ref="C96:C105"/>
    <mergeCell ref="A66:A75"/>
    <mergeCell ref="B66:B75"/>
    <mergeCell ref="C66:C75"/>
    <mergeCell ref="A76:A85"/>
    <mergeCell ref="B76:B85"/>
    <mergeCell ref="C76:C85"/>
    <mergeCell ref="A86:A95"/>
    <mergeCell ref="B86:B95"/>
    <mergeCell ref="C86:C95"/>
    <mergeCell ref="F1:Z1"/>
    <mergeCell ref="B5:B14"/>
    <mergeCell ref="C5:C14"/>
    <mergeCell ref="A15:A24"/>
    <mergeCell ref="B15:B24"/>
    <mergeCell ref="C15:C24"/>
    <mergeCell ref="A1:D1"/>
    <mergeCell ref="A2:D2"/>
  </mergeCells>
  <conditionalFormatting sqref="F2:Z2">
    <cfRule type="cellIs" dxfId="0" priority="1" operator="equal">
      <formula>0</formula>
    </cfRule>
  </conditionalFormatting>
  <pageMargins left="0.7" right="0.7" top="0.75" bottom="0.75" header="0.3" footer="0.3"/>
  <pageSetup paperSize="9" scale="39" orientation="portrait" r:id="rId1"/>
  <ignoredErrors>
    <ignoredError sqref="E55"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17">
    <tabColor rgb="FFFFFF00"/>
  </sheetPr>
  <dimension ref="A1:D14"/>
  <sheetViews>
    <sheetView zoomScale="80" zoomScaleNormal="80" workbookViewId="0">
      <pane ySplit="1" topLeftCell="A2" activePane="bottomLeft" state="frozen"/>
      <selection activeCell="H74" sqref="H74"/>
      <selection pane="bottomLeft" activeCell="D8" sqref="D8:D9"/>
    </sheetView>
  </sheetViews>
  <sheetFormatPr baseColWidth="10" defaultColWidth="8.83203125" defaultRowHeight="15" x14ac:dyDescent="0.2"/>
  <cols>
    <col min="1" max="1" width="32.33203125" style="4" customWidth="1"/>
    <col min="2" max="2" width="66.6640625" style="4" customWidth="1"/>
    <col min="3" max="3" width="14.33203125" style="6" customWidth="1"/>
    <col min="4" max="4" width="23.5" style="4" customWidth="1"/>
    <col min="5" max="16384" width="8.83203125" style="4"/>
  </cols>
  <sheetData>
    <row r="1" spans="1:4" ht="17" thickTop="1" thickBot="1" x14ac:dyDescent="0.25">
      <c r="A1" s="1" t="s">
        <v>0</v>
      </c>
      <c r="B1" s="2" t="s">
        <v>1</v>
      </c>
      <c r="C1" s="5" t="s">
        <v>10</v>
      </c>
      <c r="D1" s="3" t="s">
        <v>2</v>
      </c>
    </row>
    <row r="2" spans="1:4" ht="122" thickTop="1" thickBot="1" x14ac:dyDescent="0.25">
      <c r="A2" s="323" t="s">
        <v>3</v>
      </c>
      <c r="B2" s="324" t="s">
        <v>4</v>
      </c>
      <c r="C2" s="325" t="s">
        <v>11</v>
      </c>
      <c r="D2" s="150">
        <v>10</v>
      </c>
    </row>
    <row r="3" spans="1:4" ht="41.5" customHeight="1" x14ac:dyDescent="0.2">
      <c r="A3" s="1411" t="s">
        <v>5</v>
      </c>
      <c r="B3" s="1422" t="s">
        <v>14</v>
      </c>
      <c r="C3" s="1424" t="s">
        <v>12</v>
      </c>
      <c r="D3" s="1413">
        <v>0.04</v>
      </c>
    </row>
    <row r="4" spans="1:4" ht="44.5" customHeight="1" thickBot="1" x14ac:dyDescent="0.25">
      <c r="A4" s="1412"/>
      <c r="B4" s="1423"/>
      <c r="C4" s="1425"/>
      <c r="D4" s="1414"/>
    </row>
    <row r="5" spans="1:4" ht="30" x14ac:dyDescent="0.2">
      <c r="A5" s="1411" t="s">
        <v>6</v>
      </c>
      <c r="B5" s="326" t="s">
        <v>7</v>
      </c>
      <c r="C5" s="1424" t="s">
        <v>12</v>
      </c>
      <c r="D5" s="1415">
        <v>0.05</v>
      </c>
    </row>
    <row r="6" spans="1:4" ht="46" thickBot="1" x14ac:dyDescent="0.25">
      <c r="A6" s="1412"/>
      <c r="B6" s="324" t="s">
        <v>8</v>
      </c>
      <c r="C6" s="1425"/>
      <c r="D6" s="1416"/>
    </row>
    <row r="7" spans="1:4" ht="31" thickBot="1" x14ac:dyDescent="0.25">
      <c r="A7" s="327" t="s">
        <v>138</v>
      </c>
      <c r="B7" s="328" t="s">
        <v>444</v>
      </c>
      <c r="C7" s="329" t="s">
        <v>13</v>
      </c>
      <c r="D7" s="594">
        <v>1577</v>
      </c>
    </row>
    <row r="8" spans="1:4" ht="15" customHeight="1" x14ac:dyDescent="0.2">
      <c r="A8" s="1417" t="s">
        <v>9</v>
      </c>
      <c r="B8" s="1407" t="s">
        <v>239</v>
      </c>
      <c r="C8" s="1426" t="s">
        <v>15</v>
      </c>
      <c r="D8" s="1419">
        <f>$D$7*1.352/(D12/12)</f>
        <v>13.070369348659005</v>
      </c>
    </row>
    <row r="9" spans="1:4" ht="16" thickBot="1" x14ac:dyDescent="0.25">
      <c r="A9" s="1418"/>
      <c r="B9" s="1421"/>
      <c r="C9" s="1427"/>
      <c r="D9" s="1420"/>
    </row>
    <row r="10" spans="1:4" x14ac:dyDescent="0.2">
      <c r="A10" s="1405" t="s">
        <v>139</v>
      </c>
      <c r="B10" s="1407" t="s">
        <v>445</v>
      </c>
      <c r="C10" s="1403" t="s">
        <v>15</v>
      </c>
      <c r="D10" s="1409">
        <v>6.85</v>
      </c>
    </row>
    <row r="11" spans="1:4" ht="20.25" customHeight="1" thickBot="1" x14ac:dyDescent="0.25">
      <c r="A11" s="1406"/>
      <c r="B11" s="1408"/>
      <c r="C11" s="1404"/>
      <c r="D11" s="1410"/>
    </row>
    <row r="12" spans="1:4" ht="72" customHeight="1" thickBot="1" x14ac:dyDescent="0.25">
      <c r="A12" s="330" t="s">
        <v>236</v>
      </c>
      <c r="B12" s="328" t="s">
        <v>446</v>
      </c>
      <c r="C12" s="331" t="s">
        <v>237</v>
      </c>
      <c r="D12" s="595">
        <v>1957.5</v>
      </c>
    </row>
    <row r="13" spans="1:4" ht="72" customHeight="1" thickBot="1" x14ac:dyDescent="0.25">
      <c r="A13" s="330" t="s">
        <v>238</v>
      </c>
      <c r="B13" s="328" t="s">
        <v>447</v>
      </c>
      <c r="C13" s="331" t="s">
        <v>237</v>
      </c>
      <c r="D13" s="596">
        <v>2088</v>
      </c>
    </row>
    <row r="14" spans="1:4" ht="21" customHeight="1" thickBot="1" x14ac:dyDescent="0.25">
      <c r="A14" s="330" t="s">
        <v>25</v>
      </c>
      <c r="B14" s="330" t="s">
        <v>109</v>
      </c>
      <c r="C14" s="331" t="s">
        <v>11</v>
      </c>
      <c r="D14" s="597">
        <v>2021</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31"/>
  <dimension ref="A1:A9"/>
  <sheetViews>
    <sheetView workbookViewId="0">
      <selection activeCell="A2" sqref="A2:A9"/>
    </sheetView>
  </sheetViews>
  <sheetFormatPr baseColWidth="10" defaultColWidth="8.83203125" defaultRowHeight="15" x14ac:dyDescent="0.2"/>
  <cols>
    <col min="1" max="1" width="37.5" bestFit="1" customWidth="1"/>
  </cols>
  <sheetData>
    <row r="1" spans="1:1" x14ac:dyDescent="0.2">
      <c r="A1" t="s">
        <v>441</v>
      </c>
    </row>
    <row r="2" spans="1:1" x14ac:dyDescent="0.2">
      <c r="A2" t="s">
        <v>434</v>
      </c>
    </row>
    <row r="3" spans="1:1" x14ac:dyDescent="0.2">
      <c r="A3" t="s">
        <v>375</v>
      </c>
    </row>
    <row r="4" spans="1:1" x14ac:dyDescent="0.2">
      <c r="A4" t="s">
        <v>435</v>
      </c>
    </row>
    <row r="5" spans="1:1" x14ac:dyDescent="0.2">
      <c r="A5" t="s">
        <v>436</v>
      </c>
    </row>
    <row r="6" spans="1:1" x14ac:dyDescent="0.2">
      <c r="A6" t="s">
        <v>437</v>
      </c>
    </row>
    <row r="7" spans="1:1" x14ac:dyDescent="0.2">
      <c r="A7" t="s">
        <v>438</v>
      </c>
    </row>
    <row r="8" spans="1:1" x14ac:dyDescent="0.2">
      <c r="A8" t="s">
        <v>439</v>
      </c>
    </row>
    <row r="9" spans="1:1" x14ac:dyDescent="0.2">
      <c r="A9" t="s">
        <v>440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19"/>
  <dimension ref="A1:T3"/>
  <sheetViews>
    <sheetView view="pageBreakPreview" topLeftCell="D1" zoomScale="60" zoomScaleNormal="60" workbookViewId="0">
      <selection activeCell="S17" sqref="S17"/>
    </sheetView>
  </sheetViews>
  <sheetFormatPr baseColWidth="10" defaultColWidth="8.83203125" defaultRowHeight="15" x14ac:dyDescent="0.2"/>
  <sheetData>
    <row r="1" spans="1:20" x14ac:dyDescent="0.2">
      <c r="A1" t="s">
        <v>169</v>
      </c>
      <c r="D1" s="197"/>
      <c r="E1" s="197"/>
      <c r="F1" s="197"/>
      <c r="G1" s="197"/>
      <c r="H1" s="197"/>
      <c r="I1" s="197"/>
      <c r="J1" s="197"/>
      <c r="K1" s="197"/>
      <c r="L1" s="197"/>
      <c r="M1" s="197"/>
      <c r="N1" s="197"/>
      <c r="O1" s="197"/>
      <c r="P1" s="197"/>
      <c r="Q1" s="197"/>
      <c r="R1" s="197"/>
      <c r="S1" s="197"/>
      <c r="T1" s="197"/>
    </row>
    <row r="2" spans="1:20" x14ac:dyDescent="0.2">
      <c r="A2" t="s">
        <v>170</v>
      </c>
      <c r="D2" s="197"/>
      <c r="E2" s="197"/>
      <c r="F2" s="197"/>
      <c r="G2" s="197"/>
      <c r="H2" s="197"/>
      <c r="I2" s="197"/>
      <c r="J2" s="197"/>
      <c r="K2" s="197"/>
      <c r="L2" s="197"/>
      <c r="M2" s="197"/>
      <c r="N2" s="197"/>
      <c r="O2" s="197"/>
      <c r="P2" s="197"/>
      <c r="Q2" s="197"/>
      <c r="R2" s="197"/>
      <c r="S2" s="197"/>
      <c r="T2" s="197"/>
    </row>
    <row r="3" spans="1:20" x14ac:dyDescent="0.2">
      <c r="A3" s="198" t="s">
        <v>171</v>
      </c>
      <c r="D3" s="197"/>
      <c r="E3" s="197"/>
      <c r="F3" s="197"/>
      <c r="G3" s="197"/>
      <c r="H3" s="197"/>
      <c r="I3" s="197"/>
      <c r="J3" s="197"/>
      <c r="K3" s="197"/>
      <c r="L3" s="197"/>
      <c r="M3" s="197"/>
      <c r="N3" s="197"/>
      <c r="O3" s="197"/>
      <c r="P3" s="197"/>
      <c r="Q3" s="197"/>
      <c r="R3" s="197"/>
      <c r="S3" s="197"/>
      <c r="T3" s="199" t="s">
        <v>124</v>
      </c>
    </row>
  </sheetData>
  <pageMargins left="0.7" right="0.7" top="0.75" bottom="0.75" header="0.3" footer="0.3"/>
  <pageSetup paperSize="9" scale="33" orientation="portrait" r:id="rId1"/>
  <colBreaks count="1" manualBreakCount="1">
    <brk id="15"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theme="0" tint="-0.34998626667073579"/>
  </sheetPr>
  <dimension ref="A1:BA27"/>
  <sheetViews>
    <sheetView tabSelected="1" zoomScale="90" zoomScaleNormal="90" workbookViewId="0">
      <pane ySplit="3" topLeftCell="A4" activePane="bottomLeft" state="frozen"/>
      <selection pane="bottomLeft" activeCell="A15" sqref="A15"/>
    </sheetView>
  </sheetViews>
  <sheetFormatPr baseColWidth="10" defaultColWidth="9.1640625" defaultRowHeight="15" x14ac:dyDescent="0.2"/>
  <cols>
    <col min="3" max="3" width="32.33203125" customWidth="1"/>
    <col min="4" max="5" width="14.5" bestFit="1" customWidth="1"/>
    <col min="6" max="25" width="13.6640625" customWidth="1"/>
    <col min="31" max="31" width="32" customWidth="1"/>
    <col min="32" max="32" width="17.5" bestFit="1" customWidth="1"/>
    <col min="33" max="37" width="16.5" customWidth="1"/>
    <col min="38" max="53" width="13" customWidth="1"/>
  </cols>
  <sheetData>
    <row r="1" spans="1:53" ht="21.75" customHeight="1" x14ac:dyDescent="0.2">
      <c r="A1" s="468" t="s">
        <v>252</v>
      </c>
      <c r="B1" s="468"/>
      <c r="C1" s="468"/>
      <c r="D1" s="468"/>
      <c r="E1" s="468"/>
      <c r="F1" s="468"/>
      <c r="G1" s="468"/>
      <c r="H1" s="468"/>
      <c r="I1" s="468"/>
      <c r="J1" s="468"/>
      <c r="K1" s="468"/>
      <c r="L1" s="468"/>
      <c r="M1" s="468"/>
      <c r="N1" s="468"/>
      <c r="O1" s="468"/>
      <c r="P1" s="468"/>
      <c r="Q1" s="468"/>
      <c r="R1" s="468"/>
      <c r="S1" s="468"/>
      <c r="T1" s="468"/>
      <c r="U1" s="468"/>
      <c r="V1" s="468"/>
      <c r="W1" s="468"/>
      <c r="X1" s="468"/>
      <c r="Y1" s="468"/>
      <c r="AC1" s="468" t="s">
        <v>251</v>
      </c>
      <c r="AD1" s="468"/>
      <c r="AE1" s="468"/>
      <c r="AF1" s="468"/>
      <c r="AG1" s="468"/>
      <c r="AH1" s="468"/>
      <c r="AI1" s="468"/>
      <c r="AJ1" s="468"/>
      <c r="AK1" s="468"/>
      <c r="AL1" s="468"/>
      <c r="AM1" s="468"/>
      <c r="AN1" s="468"/>
      <c r="AO1" s="468"/>
      <c r="AP1" s="468"/>
      <c r="AQ1" s="468"/>
      <c r="AR1" s="468"/>
      <c r="AS1" s="468"/>
      <c r="AT1" s="468"/>
      <c r="AU1" s="468"/>
      <c r="AV1" s="468"/>
      <c r="AW1" s="468"/>
      <c r="AX1" s="468"/>
      <c r="AY1" s="468"/>
      <c r="AZ1" s="468"/>
      <c r="BA1" s="468"/>
    </row>
    <row r="2" spans="1:53" ht="96" x14ac:dyDescent="0.2">
      <c r="A2" s="1273"/>
      <c r="B2" s="1273"/>
      <c r="C2" s="1273"/>
      <c r="D2" s="453" t="s">
        <v>102</v>
      </c>
      <c r="E2" s="467" t="str">
        <f>MODULY_CBA!$B3</f>
        <v>NetAcad LAB A vybavenie (Networking a základy cybersec)</v>
      </c>
      <c r="F2" s="467" t="str">
        <f>MODULY_CBA!$B4</f>
        <v>NetAcad LAB B vybavenie (Pokročilá cybersec)</v>
      </c>
      <c r="G2" s="467" t="str">
        <f>MODULY_CBA!$B5</f>
        <v>NetAcad LAB spoločná komunikačná infraštruktúra</v>
      </c>
      <c r="H2" s="467" t="str">
        <f>MODULY_CBA!$B6</f>
        <v>NetAcad LAB vzdelávací obsah v  oblasti kybernetickej bezpečnosti (na Slovensku)</v>
      </c>
      <c r="I2" s="467" t="str">
        <f>MODULY_CBA!$B7</f>
        <v>LMS Cluster + Interoperabilita</v>
      </c>
      <c r="J2" s="467" t="str">
        <f>MODULY_CBA!$B8</f>
        <v>CSKI Centrálna serverová a komunikačná infraštruktúra</v>
      </c>
      <c r="K2" s="467" t="str">
        <f>MODULY_CBA!$B9</f>
        <v>AI Cluster</v>
      </c>
      <c r="L2" s="467" t="str">
        <f>MODULY_CBA!$B10</f>
        <v>CSIRT-SOC Cluster</v>
      </c>
      <c r="M2" s="467" t="str">
        <f>MODULY_CBA!$B11</f>
        <v>Kvantové počítače a príslušenstvo</v>
      </c>
      <c r="N2" s="467" t="str">
        <f>MODULY_CBA!$B12</f>
        <v>Rozširujúce laboratórne vybavenie UI</v>
      </c>
      <c r="O2" s="467" t="str">
        <f>MODULY_CBA!$B13</f>
        <v>Externé služby a podpora (kurzy, vzdelávanie, ....)</v>
      </c>
      <c r="P2" s="467">
        <f>MODULY_CBA!$B14</f>
        <v>0</v>
      </c>
      <c r="Q2" s="467">
        <f>MODULY_CBA!$B15</f>
        <v>0</v>
      </c>
      <c r="R2" s="467">
        <f>MODULY_CBA!$B16</f>
        <v>0</v>
      </c>
      <c r="S2" s="467">
        <f>MODULY_CBA!$B17</f>
        <v>0</v>
      </c>
      <c r="T2" s="467">
        <f>MODULY_CBA!$B18</f>
        <v>0</v>
      </c>
      <c r="U2" s="467">
        <f>MODULY_CBA!$B19</f>
        <v>0</v>
      </c>
      <c r="V2" s="467">
        <f>MODULY_CBA!$B20</f>
        <v>0</v>
      </c>
      <c r="W2" s="467">
        <f>MODULY_CBA!$B21</f>
        <v>0</v>
      </c>
      <c r="X2" s="467">
        <f>MODULY_CBA!$B22</f>
        <v>0</v>
      </c>
      <c r="Y2" s="467">
        <f>MODULY_CBA!$B23</f>
        <v>0</v>
      </c>
      <c r="AC2" s="1273"/>
      <c r="AD2" s="1273"/>
      <c r="AE2" s="1273"/>
      <c r="AF2" s="453" t="s">
        <v>102</v>
      </c>
      <c r="AG2" s="467" t="str">
        <f>MODULY_CBA!$B3</f>
        <v>NetAcad LAB A vybavenie (Networking a základy cybersec)</v>
      </c>
      <c r="AH2" s="467" t="str">
        <f>MODULY_CBA!$B4</f>
        <v>NetAcad LAB B vybavenie (Pokročilá cybersec)</v>
      </c>
      <c r="AI2" s="467" t="str">
        <f>MODULY_CBA!$B5</f>
        <v>NetAcad LAB spoločná komunikačná infraštruktúra</v>
      </c>
      <c r="AJ2" s="467" t="str">
        <f>MODULY_CBA!$B6</f>
        <v>NetAcad LAB vzdelávací obsah v  oblasti kybernetickej bezpečnosti (na Slovensku)</v>
      </c>
      <c r="AK2" s="467" t="str">
        <f>MODULY_CBA!$B7</f>
        <v>LMS Cluster + Interoperabilita</v>
      </c>
      <c r="AL2" s="467" t="str">
        <f>MODULY_CBA!$B8</f>
        <v>CSKI Centrálna serverová a komunikačná infraštruktúra</v>
      </c>
      <c r="AM2" s="467" t="str">
        <f>MODULY_CBA!$B9</f>
        <v>AI Cluster</v>
      </c>
      <c r="AN2" s="467" t="str">
        <f>MODULY_CBA!$B10</f>
        <v>CSIRT-SOC Cluster</v>
      </c>
      <c r="AO2" s="467" t="str">
        <f>MODULY_CBA!$B11</f>
        <v>Kvantové počítače a príslušenstvo</v>
      </c>
      <c r="AP2" s="467" t="str">
        <f>MODULY_CBA!$B12</f>
        <v>Rozširujúce laboratórne vybavenie UI</v>
      </c>
      <c r="AQ2" s="467" t="str">
        <f>MODULY_CBA!$B13</f>
        <v>Externé služby a podpora (kurzy, vzdelávanie, ....)</v>
      </c>
      <c r="AR2" s="467">
        <f>MODULY_CBA!$B14</f>
        <v>0</v>
      </c>
      <c r="AS2" s="467">
        <f>MODULY_CBA!$B15</f>
        <v>0</v>
      </c>
      <c r="AT2" s="467">
        <f>MODULY_CBA!$B16</f>
        <v>0</v>
      </c>
      <c r="AU2" s="467">
        <f>MODULY_CBA!$B17</f>
        <v>0</v>
      </c>
      <c r="AV2" s="467">
        <f>MODULY_CBA!$B18</f>
        <v>0</v>
      </c>
      <c r="AW2" s="467">
        <f>MODULY_CBA!$B19</f>
        <v>0</v>
      </c>
      <c r="AX2" s="467">
        <f>MODULY_CBA!$B20</f>
        <v>0</v>
      </c>
      <c r="AY2" s="467">
        <f>MODULY_CBA!$B21</f>
        <v>0</v>
      </c>
      <c r="AZ2" s="467">
        <f>MODULY_CBA!$B22</f>
        <v>0</v>
      </c>
      <c r="BA2" s="467">
        <f>MODULY_CBA!$B23</f>
        <v>0</v>
      </c>
    </row>
    <row r="3" spans="1:53" x14ac:dyDescent="0.2">
      <c r="A3" s="454" t="s">
        <v>256</v>
      </c>
      <c r="B3" s="454"/>
      <c r="C3" s="454"/>
      <c r="D3" s="455">
        <f>SUM(E3:Y3)</f>
        <v>23773138.368294507</v>
      </c>
      <c r="E3" s="455">
        <f>E4+E5+E9+E13+E14</f>
        <v>9446273.9255403001</v>
      </c>
      <c r="F3" s="455">
        <f t="shared" ref="F3:Y3" si="0">F4+F5+F9+F13+F14</f>
        <v>1840790.1018441375</v>
      </c>
      <c r="G3" s="455">
        <f t="shared" si="0"/>
        <v>449948.99238205445</v>
      </c>
      <c r="H3" s="455">
        <f t="shared" si="0"/>
        <v>439110</v>
      </c>
      <c r="I3" s="455">
        <f t="shared" si="0"/>
        <v>1405954.0996079997</v>
      </c>
      <c r="J3" s="455">
        <f t="shared" si="0"/>
        <v>448821.32077020005</v>
      </c>
      <c r="K3" s="455">
        <f t="shared" si="0"/>
        <v>4694329.9781244481</v>
      </c>
      <c r="L3" s="455">
        <f t="shared" si="0"/>
        <v>2334991.0130987754</v>
      </c>
      <c r="M3" s="455">
        <f t="shared" si="0"/>
        <v>728922.6</v>
      </c>
      <c r="N3" s="455">
        <f t="shared" si="0"/>
        <v>22730.356693974998</v>
      </c>
      <c r="O3" s="455">
        <f t="shared" si="0"/>
        <v>1961265.9802326118</v>
      </c>
      <c r="P3" s="455">
        <f t="shared" si="0"/>
        <v>0</v>
      </c>
      <c r="Q3" s="455">
        <f t="shared" si="0"/>
        <v>0</v>
      </c>
      <c r="R3" s="455">
        <f t="shared" si="0"/>
        <v>0</v>
      </c>
      <c r="S3" s="455">
        <f t="shared" si="0"/>
        <v>0</v>
      </c>
      <c r="T3" s="455">
        <f t="shared" si="0"/>
        <v>0</v>
      </c>
      <c r="U3" s="455">
        <f t="shared" si="0"/>
        <v>0</v>
      </c>
      <c r="V3" s="455">
        <f t="shared" si="0"/>
        <v>0</v>
      </c>
      <c r="W3" s="455">
        <f t="shared" si="0"/>
        <v>0</v>
      </c>
      <c r="X3" s="455">
        <f t="shared" si="0"/>
        <v>0</v>
      </c>
      <c r="Y3" s="455">
        <f t="shared" si="0"/>
        <v>0</v>
      </c>
      <c r="AC3" s="454" t="s">
        <v>256</v>
      </c>
      <c r="AD3" s="454"/>
      <c r="AE3" s="454"/>
      <c r="AF3" s="455">
        <f>SUM(AG3:BA3)</f>
        <v>29188949.942193821</v>
      </c>
      <c r="AG3" s="455">
        <f>AG4+AG5+AG9+AG13+AG14</f>
        <v>8779486.9393158183</v>
      </c>
      <c r="AH3" s="455">
        <f>AH4+AH5+AH9+AH13+AH14</f>
        <v>1712578.0865791247</v>
      </c>
      <c r="AI3" s="455">
        <f>AI4+AI5+AI9+AI13+AI14</f>
        <v>423012.32209142332</v>
      </c>
      <c r="AJ3" s="455">
        <f>AJ4+AJ5+AJ9+AJ13+AJ14</f>
        <v>408014.8506340679</v>
      </c>
      <c r="AK3" s="455">
        <f>AK5+AK9+AK13+AK14</f>
        <v>1327382.0008025584</v>
      </c>
      <c r="AL3" s="455">
        <f>AL4+AL5+AL9+AL13+AL14</f>
        <v>7089654.0517010549</v>
      </c>
      <c r="AM3" s="455">
        <f>AM4+AM5+AM9+AM13+AM14</f>
        <v>4365368.0478759417</v>
      </c>
      <c r="AN3" s="455">
        <f>AN4+AN5+AN9+AN13+AN14</f>
        <v>2196769.7568870154</v>
      </c>
      <c r="AO3" s="455">
        <f>AO5+AO9+AO13+AO14</f>
        <v>677304.65205255267</v>
      </c>
      <c r="AP3" s="455">
        <f>AP4+AP5+AP9+AP13+AP14</f>
        <v>359052.38448901643</v>
      </c>
      <c r="AQ3" s="455">
        <f>AQ4+AQ5+AQ9+AQ13+AQ14</f>
        <v>1850326.8497652516</v>
      </c>
      <c r="AR3" s="455">
        <f>AR4+AR5+AR9+AR13+AR14</f>
        <v>0</v>
      </c>
      <c r="AS3" s="455">
        <f>AS5+AS9+AS13+AS14</f>
        <v>0</v>
      </c>
      <c r="AT3" s="455">
        <f>AT4+AT5+AT9+AT13+AT14</f>
        <v>0</v>
      </c>
      <c r="AU3" s="455">
        <f>AU4+AU5+AU9+AU13+AU14</f>
        <v>0</v>
      </c>
      <c r="AV3" s="455">
        <f>AV4+AV5+AV9+AV13+AV14</f>
        <v>0</v>
      </c>
      <c r="AW3" s="455">
        <f>AW5+AW9+AW13+AW14</f>
        <v>0</v>
      </c>
      <c r="AX3" s="455">
        <f>AX4+AX5+AX9+AX13+AX14</f>
        <v>0</v>
      </c>
      <c r="AY3" s="455">
        <f>AY4+AY5+AY9+AY13+AY14</f>
        <v>0</v>
      </c>
      <c r="AZ3" s="455">
        <f>AZ4+AZ5+AZ9+AZ13+AZ14</f>
        <v>0</v>
      </c>
      <c r="BA3" s="455">
        <f>BA5+BA9+BA13+BA14</f>
        <v>0</v>
      </c>
    </row>
    <row r="4" spans="1:53" x14ac:dyDescent="0.2">
      <c r="A4" s="456"/>
      <c r="B4" s="457" t="s">
        <v>66</v>
      </c>
      <c r="C4" s="457"/>
      <c r="D4" s="458">
        <f>SUM(E4:Y4)</f>
        <v>0</v>
      </c>
      <c r="E4" s="458">
        <f>SUM('Parametre - Agendové IS'!I106:I115)</f>
        <v>0</v>
      </c>
      <c r="F4" s="458">
        <f>SUM('Parametre - Agendové IS'!J106:J115)</f>
        <v>0</v>
      </c>
      <c r="G4" s="458">
        <f>SUM('Parametre - Agendové IS'!K106:K115)</f>
        <v>0</v>
      </c>
      <c r="H4" s="458">
        <f>SUM('Parametre - Agendové IS'!L106:L115)</f>
        <v>0</v>
      </c>
      <c r="I4" s="458">
        <f>SUM('Parametre - Agendové IS'!M106:M115)</f>
        <v>0</v>
      </c>
      <c r="J4" s="458">
        <f>SUM('Parametre - Agendové IS'!N106:N115)</f>
        <v>0</v>
      </c>
      <c r="K4" s="458">
        <f>SUM('Parametre - Agendové IS'!O106:O115)</f>
        <v>0</v>
      </c>
      <c r="L4" s="458">
        <f>SUM('Parametre - Agendové IS'!P106:P115)</f>
        <v>0</v>
      </c>
      <c r="M4" s="458">
        <f>SUM('Parametre - Agendové IS'!Q106:Q115)</f>
        <v>0</v>
      </c>
      <c r="N4" s="458">
        <f>SUM('Parametre - Agendové IS'!R106:R115)</f>
        <v>0</v>
      </c>
      <c r="O4" s="458">
        <f>SUM('Parametre - Agendové IS'!S106:S115)</f>
        <v>0</v>
      </c>
      <c r="P4" s="458">
        <f>SUM('Parametre - Agendové IS'!T106:T115)</f>
        <v>0</v>
      </c>
      <c r="Q4" s="458">
        <f>SUM('Parametre - Agendové IS'!U106:U115)</f>
        <v>0</v>
      </c>
      <c r="R4" s="458">
        <f>SUM('Parametre - Agendové IS'!V106:V115)</f>
        <v>0</v>
      </c>
      <c r="S4" s="458">
        <f>SUM('Parametre - Agendové IS'!W106:W115)</f>
        <v>0</v>
      </c>
      <c r="T4" s="458">
        <f>SUM('Parametre - Agendové IS'!X106:X115)</f>
        <v>0</v>
      </c>
      <c r="U4" s="458">
        <f>SUM('Parametre - Agendové IS'!Y106:Y115)</f>
        <v>0</v>
      </c>
      <c r="V4" s="458">
        <f>SUM('Parametre - Agendové IS'!Z106:Z115)</f>
        <v>0</v>
      </c>
      <c r="W4" s="458">
        <f>SUM('Parametre - Agendové IS'!AA106:AA115)</f>
        <v>0</v>
      </c>
      <c r="X4" s="458">
        <f>SUM('Parametre - Agendové IS'!AB106:AB115)</f>
        <v>0</v>
      </c>
      <c r="Y4" s="458">
        <f>SUM('Parametre - Agendové IS'!AC106:AC115)</f>
        <v>0</v>
      </c>
      <c r="AC4" s="456"/>
      <c r="AD4" s="457" t="s">
        <v>66</v>
      </c>
      <c r="AE4" s="457"/>
      <c r="AF4" s="458">
        <f>SUM(AG4:BA4)</f>
        <v>0</v>
      </c>
      <c r="AG4" s="458">
        <f>'Parametre - Agendové IS'!I106+NPV(Faktory!$D$5,'Parametre - Agendové IS'!I107:I115)</f>
        <v>0</v>
      </c>
      <c r="AH4" s="458">
        <f>'Parametre - Agendové IS'!J106+NPV(Faktory!$D$5,'Parametre - Agendové IS'!J107:J115)</f>
        <v>0</v>
      </c>
      <c r="AI4" s="458">
        <f>'Parametre - Agendové IS'!K106+NPV(Faktory!$D$5,'Parametre - Agendové IS'!K107:K115)</f>
        <v>0</v>
      </c>
      <c r="AJ4" s="458">
        <f>'Parametre - Agendové IS'!L106+NPV(Faktory!$D$5,'Parametre - Agendové IS'!L107:L115)</f>
        <v>0</v>
      </c>
      <c r="AK4" s="458">
        <f>'Parametre - Agendové IS'!M106+NPV(Faktory!$D$5,'Parametre - Agendové IS'!M107:M115)</f>
        <v>0</v>
      </c>
      <c r="AL4" s="458">
        <f>'Parametre - Agendové IS'!N106+NPV(Faktory!$D$5,'Parametre - Agendové IS'!N107:N115)</f>
        <v>0</v>
      </c>
      <c r="AM4" s="458">
        <f>'Parametre - Agendové IS'!O106+NPV(Faktory!$D$5,'Parametre - Agendové IS'!O107:O115)</f>
        <v>0</v>
      </c>
      <c r="AN4" s="458">
        <f>'Parametre - Agendové IS'!P106+NPV(Faktory!$D$5,'Parametre - Agendové IS'!P107:P115)</f>
        <v>0</v>
      </c>
      <c r="AO4" s="458">
        <f>'Parametre - Agendové IS'!Q106+NPV(Faktory!$D$5,'Parametre - Agendové IS'!Q107:Q115)</f>
        <v>0</v>
      </c>
      <c r="AP4" s="458">
        <f>'Parametre - Agendové IS'!R106+NPV(Faktory!$D$5,'Parametre - Agendové IS'!R107:R115)</f>
        <v>0</v>
      </c>
      <c r="AQ4" s="458">
        <f>'Parametre - Agendové IS'!S106+NPV(Faktory!$D$5,'Parametre - Agendové IS'!S107:S115)</f>
        <v>0</v>
      </c>
      <c r="AR4" s="458">
        <f>'Parametre - Agendové IS'!T106+NPV(Faktory!$D$5,'Parametre - Agendové IS'!T107:T115)</f>
        <v>0</v>
      </c>
      <c r="AS4" s="458">
        <f>'Parametre - Agendové IS'!U106+NPV(Faktory!$D$5,'Parametre - Agendové IS'!U107:U115)</f>
        <v>0</v>
      </c>
      <c r="AT4" s="458">
        <f>'Parametre - Agendové IS'!V106+NPV(Faktory!$D$5,'Parametre - Agendové IS'!V107:V115)</f>
        <v>0</v>
      </c>
      <c r="AU4" s="458">
        <f>'Parametre - Agendové IS'!W106+NPV(Faktory!$D$5,'Parametre - Agendové IS'!W107:W115)</f>
        <v>0</v>
      </c>
      <c r="AV4" s="458">
        <f>'Parametre - Agendové IS'!X106+NPV(Faktory!$D$5,'Parametre - Agendové IS'!X107:X115)</f>
        <v>0</v>
      </c>
      <c r="AW4" s="458">
        <f>'Parametre - Agendové IS'!Y106+NPV(Faktory!$D$5,'Parametre - Agendové IS'!Y107:Y115)</f>
        <v>0</v>
      </c>
      <c r="AX4" s="458">
        <f>'Parametre - Agendové IS'!Z106+NPV(Faktory!$D$5,'Parametre - Agendové IS'!Z107:Z115)</f>
        <v>0</v>
      </c>
      <c r="AY4" s="458">
        <f>'Parametre - Agendové IS'!AA106+NPV(Faktory!$D$5,'Parametre - Agendové IS'!AA107:AA115)</f>
        <v>0</v>
      </c>
      <c r="AZ4" s="458">
        <f>'Parametre - Agendové IS'!AB106+NPV(Faktory!$D$5,'Parametre - Agendové IS'!AB107:AB115)</f>
        <v>0</v>
      </c>
      <c r="BA4" s="458">
        <f>'Parametre - Agendové IS'!AC106+NPV(Faktory!$D$5,'Parametre - Agendové IS'!AC107:AC115)</f>
        <v>0</v>
      </c>
    </row>
    <row r="5" spans="1:53" x14ac:dyDescent="0.2">
      <c r="A5" s="456"/>
      <c r="B5" s="457" t="s">
        <v>163</v>
      </c>
      <c r="C5" s="457"/>
      <c r="D5" s="458">
        <f>SUM(E5:Y5)</f>
        <v>19085663.670663841</v>
      </c>
      <c r="E5" s="458">
        <f>SUM(E6:E8)</f>
        <v>8822053.7688849885</v>
      </c>
      <c r="F5" s="458">
        <f>SUM(F6:F8)</f>
        <v>1663951.3465827177</v>
      </c>
      <c r="G5" s="458">
        <f>SUM(G6:G8)</f>
        <v>265800.34009605128</v>
      </c>
      <c r="H5" s="458">
        <f>SUM(H6:H8)</f>
        <v>413280</v>
      </c>
      <c r="I5" s="458">
        <f>SUM(I6:I8)</f>
        <v>651392.46854400006</v>
      </c>
      <c r="J5" s="458">
        <f>SUM(J6+J7)</f>
        <v>0</v>
      </c>
      <c r="K5" s="458">
        <f>SUM(K6:K8)</f>
        <v>4307359.128874775</v>
      </c>
      <c r="L5" s="458">
        <f>SUM(L6:L8)</f>
        <v>1329250.1294106122</v>
      </c>
      <c r="M5" s="458">
        <f>SUM(M6:M8)</f>
        <v>686044.79999999993</v>
      </c>
      <c r="N5" s="458">
        <f>SUM(N6+N7)</f>
        <v>0</v>
      </c>
      <c r="O5" s="458">
        <f>SUM(O6:O8)</f>
        <v>946531.68827069376</v>
      </c>
      <c r="P5" s="458">
        <f>SUM(P6:P8)</f>
        <v>0</v>
      </c>
      <c r="Q5" s="458">
        <f>SUM(Q6:Q8)</f>
        <v>0</v>
      </c>
      <c r="R5" s="458">
        <f>SUM(R6+R7)</f>
        <v>0</v>
      </c>
      <c r="S5" s="458">
        <f>SUM(S6:S8)</f>
        <v>0</v>
      </c>
      <c r="T5" s="458">
        <f>SUM(T6:T8)</f>
        <v>0</v>
      </c>
      <c r="U5" s="458">
        <f>SUM(U6:U8)</f>
        <v>0</v>
      </c>
      <c r="V5" s="458">
        <f>SUM(V6+V7)</f>
        <v>0</v>
      </c>
      <c r="W5" s="458">
        <f>SUM(W6:W8)</f>
        <v>0</v>
      </c>
      <c r="X5" s="458">
        <f>SUM(X6:X8)</f>
        <v>0</v>
      </c>
      <c r="Y5" s="458">
        <f>SUM(Y6:Y8)</f>
        <v>0</v>
      </c>
      <c r="AC5" s="456"/>
      <c r="AD5" s="457" t="s">
        <v>163</v>
      </c>
      <c r="AE5" s="457"/>
      <c r="AF5" s="458">
        <f>SUM(AG5:BA5)</f>
        <v>24662690.821901791</v>
      </c>
      <c r="AG5" s="458">
        <f>SUM(AG6:AG8)</f>
        <v>8159161.8463620944</v>
      </c>
      <c r="AH5" s="458">
        <f t="shared" ref="AH5:BA5" si="1">SUM(AH6:AH8)</f>
        <v>1539634.3950192924</v>
      </c>
      <c r="AI5" s="458">
        <f t="shared" si="1"/>
        <v>247822.31631907145</v>
      </c>
      <c r="AJ5" s="458">
        <f t="shared" si="1"/>
        <v>382184.8506340679</v>
      </c>
      <c r="AK5" s="458">
        <f t="shared" si="1"/>
        <v>610991.99401411659</v>
      </c>
      <c r="AL5" s="458">
        <f t="shared" si="1"/>
        <v>6640832.7309308546</v>
      </c>
      <c r="AM5" s="458">
        <f t="shared" si="1"/>
        <v>3984694.218277168</v>
      </c>
      <c r="AN5" s="458">
        <f t="shared" si="1"/>
        <v>1240366.3467522941</v>
      </c>
      <c r="AO5" s="458">
        <f t="shared" si="1"/>
        <v>634426.85205255263</v>
      </c>
      <c r="AP5" s="458">
        <f t="shared" si="1"/>
        <v>336322.02779504145</v>
      </c>
      <c r="AQ5" s="458">
        <f t="shared" si="1"/>
        <v>886253.2437452412</v>
      </c>
      <c r="AR5" s="458">
        <f t="shared" si="1"/>
        <v>0</v>
      </c>
      <c r="AS5" s="458">
        <f t="shared" si="1"/>
        <v>0</v>
      </c>
      <c r="AT5" s="458">
        <f t="shared" si="1"/>
        <v>0</v>
      </c>
      <c r="AU5" s="458">
        <f t="shared" si="1"/>
        <v>0</v>
      </c>
      <c r="AV5" s="458">
        <f t="shared" si="1"/>
        <v>0</v>
      </c>
      <c r="AW5" s="458">
        <f t="shared" si="1"/>
        <v>0</v>
      </c>
      <c r="AX5" s="458">
        <f t="shared" si="1"/>
        <v>0</v>
      </c>
      <c r="AY5" s="458">
        <f t="shared" si="1"/>
        <v>0</v>
      </c>
      <c r="AZ5" s="458">
        <f t="shared" si="1"/>
        <v>0</v>
      </c>
      <c r="BA5" s="458">
        <f t="shared" si="1"/>
        <v>0</v>
      </c>
    </row>
    <row r="6" spans="1:53" x14ac:dyDescent="0.2">
      <c r="A6" s="459"/>
      <c r="B6" s="459"/>
      <c r="C6" s="460" t="s">
        <v>104</v>
      </c>
      <c r="D6" s="471">
        <f>SUM(E6:Y6)</f>
        <v>1298872.6200000001</v>
      </c>
      <c r="E6" s="471">
        <f>SUM('TCO TO BE- SW'!F37:F46)+SUM('TCO TO BE- SW'!F120:F129)</f>
        <v>31809.125387755103</v>
      </c>
      <c r="F6" s="471">
        <f>SUM('TCO TO BE- SW'!G37:G46)+SUM('TCO TO BE- SW'!G120:G129)</f>
        <v>31809.125387755103</v>
      </c>
      <c r="G6" s="471">
        <f>SUM('TCO TO BE- SW'!H37:H46)+SUM('TCO TO BE- SW'!H120:H129)</f>
        <v>73160.988391836756</v>
      </c>
      <c r="H6" s="471">
        <f>SUM('TCO TO BE- SW'!I37:I46)+SUM('TCO TO BE- SW'!I120:I129)</f>
        <v>0</v>
      </c>
      <c r="I6" s="471">
        <f>SUM('TCO TO BE- SW'!J37:J46)+SUM('TCO TO BE- SW'!J120:J129)</f>
        <v>311729.42879999999</v>
      </c>
      <c r="J6" s="471">
        <f>SUM('TCO TO BE- SW'!K37:K46)+SUM('TCO TO BE- SW'!K120:K129)</f>
        <v>0</v>
      </c>
      <c r="K6" s="471">
        <f>SUM('TCO TO BE- SW'!L37:L46)+SUM('TCO TO BE- SW'!L120:L129)</f>
        <v>51424.752710204077</v>
      </c>
      <c r="L6" s="471">
        <f>SUM('TCO TO BE- SW'!M37:M46)+SUM('TCO TO BE- SW'!M120:M129)</f>
        <v>402915.58824489795</v>
      </c>
      <c r="M6" s="471">
        <f>SUM('TCO TO BE- SW'!N37:N46)+SUM('TCO TO BE- SW'!N120:N129)</f>
        <v>0</v>
      </c>
      <c r="N6" s="471">
        <f>SUM('TCO TO BE- SW'!O37:O46)+SUM('TCO TO BE- SW'!O120:O129)</f>
        <v>0</v>
      </c>
      <c r="O6" s="471">
        <f>SUM('TCO TO BE- SW'!P37:P46)+SUM('TCO TO BE- SW'!P120:P129)</f>
        <v>396023.61107755103</v>
      </c>
      <c r="P6" s="471">
        <f>SUM('TCO TO BE- SW'!Q37:Q46)+SUM('TCO TO BE- SW'!Q120:Q129)</f>
        <v>0</v>
      </c>
      <c r="Q6" s="471">
        <f>SUM('TCO TO BE- SW'!R37:R46)+SUM('TCO TO BE- SW'!R120:R129)</f>
        <v>0</v>
      </c>
      <c r="R6" s="471">
        <f>SUM('TCO TO BE- SW'!S37:S46)+SUM('TCO TO BE- SW'!S120:S129)</f>
        <v>0</v>
      </c>
      <c r="S6" s="471">
        <f>SUM('TCO TO BE- SW'!T37:T46)+SUM('TCO TO BE- SW'!T120:T129)</f>
        <v>0</v>
      </c>
      <c r="T6" s="471">
        <f>SUM('TCO TO BE- SW'!U37:U46)+SUM('TCO TO BE- SW'!U120:U129)</f>
        <v>0</v>
      </c>
      <c r="U6" s="471">
        <f>SUM('TCO TO BE- SW'!V37:V46)+SUM('TCO TO BE- SW'!V120:V129)</f>
        <v>0</v>
      </c>
      <c r="V6" s="471">
        <f>SUM('TCO TO BE- SW'!W37:W46)+SUM('TCO TO BE- SW'!W120:W129)</f>
        <v>0</v>
      </c>
      <c r="W6" s="471">
        <f>SUM('TCO TO BE- SW'!X37:X46)+SUM('TCO TO BE- SW'!X120:X129)</f>
        <v>0</v>
      </c>
      <c r="X6" s="471">
        <f>SUM('TCO TO BE- SW'!Y37:Y46)+SUM('TCO TO BE- SW'!Y120:Y129)</f>
        <v>0</v>
      </c>
      <c r="Y6" s="471">
        <f>SUM('TCO TO BE- SW'!Z37:Z46)+SUM('TCO TO BE- SW'!Z120:Z129)</f>
        <v>0</v>
      </c>
      <c r="AC6" s="459"/>
      <c r="AD6" s="459"/>
      <c r="AE6" s="460" t="s">
        <v>104</v>
      </c>
      <c r="AF6" s="471">
        <f>SUM(AG6:BA6)</f>
        <v>1237021.5428571426</v>
      </c>
      <c r="AG6" s="471">
        <f>('TCO TO BE- SW'!F37+NPV(Faktory!$D$5,'TCO TO BE- SW'!F38:F46)+'TCO TO BE- SW'!F120+NPV(Faktory!$D$5,'TCO TO BE- SW'!F121:F129))</f>
        <v>30294.405131195334</v>
      </c>
      <c r="AH6" s="471">
        <f>('TCO TO BE- SW'!G37+NPV(Faktory!$D$5,'TCO TO BE- SW'!G38:G46)+'TCO TO BE- SW'!G120+NPV(Faktory!$D$5,'TCO TO BE- SW'!G121:G129))</f>
        <v>30294.405131195334</v>
      </c>
      <c r="AI6" s="471">
        <f>('TCO TO BE- SW'!H37+NPV(Faktory!$D$5,'TCO TO BE- SW'!H38:H46)+'TCO TO BE- SW'!H120+NPV(Faktory!$D$5,'TCO TO BE- SW'!H121:H129))</f>
        <v>69677.131801749289</v>
      </c>
      <c r="AJ6" s="471">
        <f>('TCO TO BE- SW'!I37+NPV(Faktory!$D$5,'TCO TO BE- SW'!I38:I46)+'TCO TO BE- SW'!I120+NPV(Faktory!$D$5,'TCO TO BE- SW'!I121:I129))</f>
        <v>0</v>
      </c>
      <c r="AK6" s="471">
        <f>('TCO TO BE- SW'!J37+NPV(Faktory!$D$5,'TCO TO BE- SW'!J38:J46)+'TCO TO BE- SW'!J120+NPV(Faktory!$D$5,'TCO TO BE- SW'!J121:J129))</f>
        <v>296885.17028571427</v>
      </c>
      <c r="AL6" s="471">
        <f>('TCO TO BE- SW'!K37+NPV(Faktory!$D$5,'TCO TO BE- SW'!K38:K46)+'TCO TO BE- SW'!K120+NPV(Faktory!$D$5,'TCO TO BE- SW'!K121:K129))</f>
        <v>0</v>
      </c>
      <c r="AM6" s="471">
        <f>('TCO TO BE- SW'!L37+NPV(Faktory!$D$5,'TCO TO BE- SW'!L38:L46)+'TCO TO BE- SW'!L120+NPV(Faktory!$D$5,'TCO TO BE- SW'!L121:L129))</f>
        <v>48975.954962099117</v>
      </c>
      <c r="AN6" s="471">
        <f>('TCO TO BE- SW'!M37+NPV(Faktory!$D$5,'TCO TO BE- SW'!M38:M46)+'TCO TO BE- SW'!M120+NPV(Faktory!$D$5,'TCO TO BE- SW'!M121:M129))</f>
        <v>383729.13166180754</v>
      </c>
      <c r="AO6" s="471">
        <f>('TCO TO BE- SW'!N37+NPV(Faktory!$D$5,'TCO TO BE- SW'!N38:N46)+'TCO TO BE- SW'!N120+NPV(Faktory!$D$5,'TCO TO BE- SW'!N121:N129))</f>
        <v>0</v>
      </c>
      <c r="AP6" s="471">
        <f>('TCO TO BE- SW'!O37+NPV(Faktory!$D$5,'TCO TO BE- SW'!O38:O46)+'TCO TO BE- SW'!O120+NPV(Faktory!$D$5,'TCO TO BE- SW'!O121:O129))</f>
        <v>0</v>
      </c>
      <c r="AQ6" s="471">
        <f>('TCO TO BE- SW'!P37+NPV(Faktory!$D$5,'TCO TO BE- SW'!P38:P46)+'TCO TO BE- SW'!P120+NPV(Faktory!$D$5,'TCO TO BE- SW'!P121:P129))</f>
        <v>377165.34388338192</v>
      </c>
      <c r="AR6" s="471">
        <f>('TCO TO BE- SW'!Q37+NPV(Faktory!$D$5,'TCO TO BE- SW'!Q38:Q46)+'TCO TO BE- SW'!Q120+NPV(Faktory!$D$5,'TCO TO BE- SW'!Q121:Q129))</f>
        <v>0</v>
      </c>
      <c r="AS6" s="471">
        <f>('TCO TO BE- SW'!R37+NPV(Faktory!$D$5,'TCO TO BE- SW'!R38:R46)+'TCO TO BE- SW'!R120+NPV(Faktory!$D$5,'TCO TO BE- SW'!R121:R129))</f>
        <v>0</v>
      </c>
      <c r="AT6" s="471">
        <f>('TCO TO BE- SW'!S37+NPV(Faktory!$D$5,'TCO TO BE- SW'!S38:S46)+'TCO TO BE- SW'!S120+NPV(Faktory!$D$5,'TCO TO BE- SW'!S121:S129))</f>
        <v>0</v>
      </c>
      <c r="AU6" s="471">
        <f>('TCO TO BE- SW'!T37+NPV(Faktory!$D$5,'TCO TO BE- SW'!T38:T46)+'TCO TO BE- SW'!T120+NPV(Faktory!$D$5,'TCO TO BE- SW'!T121:T129))</f>
        <v>0</v>
      </c>
      <c r="AV6" s="471">
        <f>('TCO TO BE- SW'!U37+NPV(Faktory!$D$5,'TCO TO BE- SW'!U38:U46)+'TCO TO BE- SW'!U120+NPV(Faktory!$D$5,'TCO TO BE- SW'!U121:U129))</f>
        <v>0</v>
      </c>
      <c r="AW6" s="471">
        <f>('TCO TO BE- SW'!V37+NPV(Faktory!$D$5,'TCO TO BE- SW'!V38:V46)+'TCO TO BE- SW'!V120+NPV(Faktory!$D$5,'TCO TO BE- SW'!V121:V129))</f>
        <v>0</v>
      </c>
      <c r="AX6" s="471">
        <f>('TCO TO BE- SW'!W37+NPV(Faktory!$D$5,'TCO TO BE- SW'!W38:W46)+'TCO TO BE- SW'!W120+NPV(Faktory!$D$5,'TCO TO BE- SW'!W121:W129))</f>
        <v>0</v>
      </c>
      <c r="AY6" s="471">
        <f>('TCO TO BE- SW'!X37+NPV(Faktory!$D$5,'TCO TO BE- SW'!X38:X46)+'TCO TO BE- SW'!X120+NPV(Faktory!$D$5,'TCO TO BE- SW'!X121:X129))</f>
        <v>0</v>
      </c>
      <c r="AZ6" s="471">
        <f>('TCO TO BE- SW'!Y37+NPV(Faktory!$D$5,'TCO TO BE- SW'!Y38:Y46)+'TCO TO BE- SW'!Y120+NPV(Faktory!$D$5,'TCO TO BE- SW'!Y121:Y129))</f>
        <v>0</v>
      </c>
      <c r="BA6" s="471">
        <f>('TCO TO BE- SW'!Z37+NPV(Faktory!$D$5,'TCO TO BE- SW'!Z38:Z46)+'TCO TO BE- SW'!Z120+NPV(Faktory!$D$5,'TCO TO BE- SW'!Z121:Z129))</f>
        <v>0</v>
      </c>
    </row>
    <row r="7" spans="1:53" x14ac:dyDescent="0.2">
      <c r="A7" s="459"/>
      <c r="B7" s="459"/>
      <c r="C7" s="460" t="s">
        <v>65</v>
      </c>
      <c r="D7" s="471">
        <f>SUM(E7:Y7)</f>
        <v>2311752.8581028567</v>
      </c>
      <c r="E7" s="471">
        <f>SUM('TCO TO BE- SW'!F6:F15)+SUM('TCO TO BE- SW'!F89:F98)</f>
        <v>0</v>
      </c>
      <c r="F7" s="471">
        <f>SUM('TCO TO BE- SW'!G6:G15)+SUM('TCO TO BE- SW'!G89:G98)</f>
        <v>0</v>
      </c>
      <c r="G7" s="471">
        <f>SUM('TCO TO BE- SW'!H6:H15)+SUM('TCO TO BE- SW'!H89:H98)</f>
        <v>0</v>
      </c>
      <c r="H7" s="471">
        <f>SUM('TCO TO BE- SW'!I6:I15)+SUM('TCO TO BE- SW'!I89:I98)</f>
        <v>413280</v>
      </c>
      <c r="I7" s="471">
        <f>SUM('TCO TO BE- SW'!J6:J15)+SUM('TCO TO BE- SW'!J89:J98)</f>
        <v>339663.03974400001</v>
      </c>
      <c r="J7" s="471">
        <f>SUM('TCO TO BE- SW'!K6:K15)+SUM('TCO TO BE- SW'!K89:K98)</f>
        <v>0</v>
      </c>
      <c r="K7" s="471">
        <f>SUM('TCO TO BE- SW'!L6:L15)+SUM('TCO TO BE- SW'!L89:L98)</f>
        <v>0</v>
      </c>
      <c r="L7" s="471">
        <f>SUM('TCO TO BE- SW'!M6:M15)+SUM('TCO TO BE- SW'!M89:M98)</f>
        <v>926334.54116571427</v>
      </c>
      <c r="M7" s="471">
        <f>SUM('TCO TO BE- SW'!N6:N15)+SUM('TCO TO BE- SW'!N89:N98)</f>
        <v>81967.199999999997</v>
      </c>
      <c r="N7" s="471">
        <f>SUM('TCO TO BE- SW'!O6:O15)+SUM('TCO TO BE- SW'!O89:O98)</f>
        <v>0</v>
      </c>
      <c r="O7" s="471">
        <f>SUM('TCO TO BE- SW'!P6:P15)+SUM('TCO TO BE- SW'!P89:P98)</f>
        <v>550508.07719314273</v>
      </c>
      <c r="P7" s="471">
        <f>SUM('TCO TO BE- SW'!Q6:Q15)+SUM('TCO TO BE- SW'!Q89:Q98)</f>
        <v>0</v>
      </c>
      <c r="Q7" s="471">
        <f>SUM('TCO TO BE- SW'!R6:R15)+SUM('TCO TO BE- SW'!R89:R98)</f>
        <v>0</v>
      </c>
      <c r="R7" s="471">
        <f>SUM('TCO TO BE- SW'!S6:S15)+SUM('TCO TO BE- SW'!S89:S98)</f>
        <v>0</v>
      </c>
      <c r="S7" s="471">
        <f>SUM('TCO TO BE- SW'!T6:T15)+SUM('TCO TO BE- SW'!T89:T98)</f>
        <v>0</v>
      </c>
      <c r="T7" s="471">
        <f>SUM('TCO TO BE- SW'!U6:U15)+SUM('TCO TO BE- SW'!U89:U98)</f>
        <v>0</v>
      </c>
      <c r="U7" s="471">
        <f>SUM('TCO TO BE- SW'!V6:V15)+SUM('TCO TO BE- SW'!V89:V98)</f>
        <v>0</v>
      </c>
      <c r="V7" s="471">
        <f>SUM('TCO TO BE- SW'!W6:W15)+SUM('TCO TO BE- SW'!W89:W98)</f>
        <v>0</v>
      </c>
      <c r="W7" s="471">
        <f>SUM('TCO TO BE- SW'!X6:X15)+SUM('TCO TO BE- SW'!X89:X98)</f>
        <v>0</v>
      </c>
      <c r="X7" s="471">
        <f>SUM('TCO TO BE- SW'!Y6:Y15)+SUM('TCO TO BE- SW'!Y89:Y98)</f>
        <v>0</v>
      </c>
      <c r="Y7" s="471">
        <f>SUM('TCO TO BE- SW'!Z6:Z15)+SUM('TCO TO BE- SW'!Z89:Z98)</f>
        <v>0</v>
      </c>
      <c r="AC7" s="459"/>
      <c r="AD7" s="459"/>
      <c r="AE7" s="460" t="s">
        <v>65</v>
      </c>
      <c r="AF7" s="471">
        <f>SUM(AG7:BA7)</f>
        <v>2137816.7846905729</v>
      </c>
      <c r="AG7" s="471">
        <f>('TCO TO BE- SW'!F6+NPV(Faktory!$D$5,'TCO TO BE- SW'!F7:F15)+'TCO TO BE- SW'!F89+NPV(Faktory!$D$5,'TCO TO BE- SW'!F90:F98))</f>
        <v>0</v>
      </c>
      <c r="AH7" s="471">
        <f>('TCO TO BE- SW'!G6+NPV(Faktory!$D$5,'TCO TO BE- SW'!G7:G15)+'TCO TO BE- SW'!G89+NPV(Faktory!$D$5,'TCO TO BE- SW'!G90:G98))</f>
        <v>0</v>
      </c>
      <c r="AI7" s="471">
        <f>('TCO TO BE- SW'!H6+NPV(Faktory!$D$5,'TCO TO BE- SW'!H7:H15)+'TCO TO BE- SW'!H89+NPV(Faktory!$D$5,'TCO TO BE- SW'!H90:H98))</f>
        <v>0</v>
      </c>
      <c r="AJ7" s="471">
        <f>('TCO TO BE- SW'!I6+NPV(Faktory!$D$5,'TCO TO BE- SW'!I7:I15)+'TCO TO BE- SW'!I89+NPV(Faktory!$D$5,'TCO TO BE- SW'!I90:I98))</f>
        <v>382184.8506340679</v>
      </c>
      <c r="AK7" s="471">
        <f>('TCO TO BE- SW'!J6+NPV(Faktory!$D$5,'TCO TO BE- SW'!J7:J15)+'TCO TO BE- SW'!J89+NPV(Faktory!$D$5,'TCO TO BE- SW'!J90:J98))</f>
        <v>314106.82372840232</v>
      </c>
      <c r="AL7" s="471">
        <f>('TCO TO BE- SW'!K6+NPV(Faktory!$D$5,'TCO TO BE- SW'!K7:K15)+'TCO TO BE- SW'!K89+NPV(Faktory!$D$5,'TCO TO BE- SW'!K90:K98))</f>
        <v>0</v>
      </c>
      <c r="AM7" s="471">
        <f>('TCO TO BE- SW'!L6+NPV(Faktory!$D$5,'TCO TO BE- SW'!L7:L15)+'TCO TO BE- SW'!L89+NPV(Faktory!$D$5,'TCO TO BE- SW'!L90:L98))</f>
        <v>0</v>
      </c>
      <c r="AN7" s="471">
        <f>('TCO TO BE- SW'!M6+NPV(Faktory!$D$5,'TCO TO BE- SW'!M7:M15)+'TCO TO BE- SW'!M89+NPV(Faktory!$D$5,'TCO TO BE- SW'!M90:M98))</f>
        <v>856637.21509048657</v>
      </c>
      <c r="AO7" s="471">
        <f>('TCO TO BE- SW'!N6+NPV(Faktory!$D$5,'TCO TO BE- SW'!N7:N15)+'TCO TO BE- SW'!N89+NPV(Faktory!$D$5,'TCO TO BE- SW'!N90:N98))</f>
        <v>75799.9953757568</v>
      </c>
      <c r="AP7" s="471">
        <f>('TCO TO BE- SW'!O6+NPV(Faktory!$D$5,'TCO TO BE- SW'!O7:O15)+'TCO TO BE- SW'!O89+NPV(Faktory!$D$5,'TCO TO BE- SW'!O90:O98))</f>
        <v>0</v>
      </c>
      <c r="AQ7" s="471">
        <f>('TCO TO BE- SW'!P6+NPV(Faktory!$D$5,'TCO TO BE- SW'!P7:P15)+'TCO TO BE- SW'!P89+NPV(Faktory!$D$5,'TCO TO BE- SW'!P90:P98))</f>
        <v>509087.89986185927</v>
      </c>
      <c r="AR7" s="471">
        <f>('TCO TO BE- SW'!Q6+NPV(Faktory!$D$5,'TCO TO BE- SW'!Q7:Q15)+'TCO TO BE- SW'!Q89+NPV(Faktory!$D$5,'TCO TO BE- SW'!Q90:Q98))</f>
        <v>0</v>
      </c>
      <c r="AS7" s="471">
        <f>('TCO TO BE- SW'!R6+NPV(Faktory!$D$5,'TCO TO BE- SW'!R7:R15)+'TCO TO BE- SW'!R89+NPV(Faktory!$D$5,'TCO TO BE- SW'!R90:R98))</f>
        <v>0</v>
      </c>
      <c r="AT7" s="471">
        <f>('TCO TO BE- SW'!S6+NPV(Faktory!$D$5,'TCO TO BE- SW'!S7:S15)+'TCO TO BE- SW'!S89+NPV(Faktory!$D$5,'TCO TO BE- SW'!S90:S98))</f>
        <v>0</v>
      </c>
      <c r="AU7" s="471">
        <f>('TCO TO BE- SW'!T6+NPV(Faktory!$D$5,'TCO TO BE- SW'!T7:T15)+'TCO TO BE- SW'!T89+NPV(Faktory!$D$5,'TCO TO BE- SW'!T90:T98))</f>
        <v>0</v>
      </c>
      <c r="AV7" s="471">
        <f>('TCO TO BE- SW'!U6+NPV(Faktory!$D$5,'TCO TO BE- SW'!U7:U15)+'TCO TO BE- SW'!U89+NPV(Faktory!$D$5,'TCO TO BE- SW'!U90:U98))</f>
        <v>0</v>
      </c>
      <c r="AW7" s="471">
        <f>('TCO TO BE- SW'!V6+NPV(Faktory!$D$5,'TCO TO BE- SW'!V7:V15)+'TCO TO BE- SW'!V89+NPV(Faktory!$D$5,'TCO TO BE- SW'!V90:V98))</f>
        <v>0</v>
      </c>
      <c r="AX7" s="471">
        <f>('TCO TO BE- SW'!W6+NPV(Faktory!$D$5,'TCO TO BE- SW'!W7:W15)+'TCO TO BE- SW'!W89+NPV(Faktory!$D$5,'TCO TO BE- SW'!W90:W98))</f>
        <v>0</v>
      </c>
      <c r="AY7" s="471">
        <f>('TCO TO BE- SW'!X6+NPV(Faktory!$D$5,'TCO TO BE- SW'!X7:X15)+'TCO TO BE- SW'!X89+NPV(Faktory!$D$5,'TCO TO BE- SW'!X90:X98))</f>
        <v>0</v>
      </c>
      <c r="AZ7" s="471">
        <f>('TCO TO BE- SW'!Y6+NPV(Faktory!$D$5,'TCO TO BE- SW'!Y7:Y15)+'TCO TO BE- SW'!Y89+NPV(Faktory!$D$5,'TCO TO BE- SW'!Y90:Y98))</f>
        <v>0</v>
      </c>
      <c r="BA7" s="471">
        <f>('TCO TO BE- SW'!Z6+NPV(Faktory!$D$5,'TCO TO BE- SW'!Z7:Z15)+'TCO TO BE- SW'!Z89+NPV(Faktory!$D$5,'TCO TO BE- SW'!Z90:Z98))</f>
        <v>0</v>
      </c>
    </row>
    <row r="8" spans="1:53" x14ac:dyDescent="0.2">
      <c r="A8" s="459"/>
      <c r="B8" s="459"/>
      <c r="C8" s="460" t="s">
        <v>64</v>
      </c>
      <c r="D8" s="471">
        <f>SUM(E8:X8)</f>
        <v>23019865.031987783</v>
      </c>
      <c r="E8" s="471">
        <f>SUM('TCO TO BE - HW'!F5:F14)+SUM('TCO TO BE - HW'!F66:F75)</f>
        <v>8790244.6434972342</v>
      </c>
      <c r="F8" s="471">
        <f>SUM('TCO TO BE - HW'!G5:G14)+SUM('TCO TO BE - HW'!G66:G75)</f>
        <v>1632142.2211949627</v>
      </c>
      <c r="G8" s="471">
        <f>SUM('TCO TO BE - HW'!H5:H14)+SUM('TCO TO BE - HW'!H66:H75)</f>
        <v>192639.35170421452</v>
      </c>
      <c r="H8" s="471">
        <f>SUM('TCO TO BE - HW'!I5:I14)+SUM('TCO TO BE - HW'!I66:I75)</f>
        <v>0</v>
      </c>
      <c r="I8" s="471">
        <f>SUM('TCO TO BE - HW'!J5:J14)+SUM('TCO TO BE - HW'!J66:J75)</f>
        <v>0</v>
      </c>
      <c r="J8" s="471">
        <f>SUM('TCO TO BE - HW'!K5:K14)+SUM('TCO TO BE - HW'!K66:K75)</f>
        <v>7181141.1323231999</v>
      </c>
      <c r="K8" s="471">
        <f>SUM('TCO TO BE - HW'!L5:L14)+SUM('TCO TO BE - HW'!L66:L75)</f>
        <v>4255934.3761645714</v>
      </c>
      <c r="L8" s="471">
        <f>SUM('TCO TO BE - HW'!M5:M14)+SUM('TCO TO BE - HW'!M66:M75)</f>
        <v>0</v>
      </c>
      <c r="M8" s="471">
        <f>SUM('TCO TO BE - HW'!N5:N14)+SUM('TCO TO BE - HW'!N66:N75)</f>
        <v>604077.6</v>
      </c>
      <c r="N8" s="471">
        <f>SUM('TCO TO BE - HW'!O5:O14)+SUM('TCO TO BE - HW'!O66:O75)</f>
        <v>363685.70710359997</v>
      </c>
      <c r="O8" s="471">
        <f>SUM('TCO TO BE - HW'!P5:P14)+SUM('TCO TO BE - HW'!P66:P75)</f>
        <v>0</v>
      </c>
      <c r="P8" s="471">
        <f>SUM('TCO TO BE - HW'!Q5:Q14)+SUM('TCO TO BE - HW'!Q66:Q75)</f>
        <v>0</v>
      </c>
      <c r="Q8" s="471">
        <f>SUM('TCO TO BE - HW'!R5:R14)+SUM('TCO TO BE - HW'!R66:R75)</f>
        <v>0</v>
      </c>
      <c r="R8" s="471">
        <f>SUM('TCO TO BE - HW'!S5:S14)+SUM('TCO TO BE - HW'!S66:S75)</f>
        <v>0</v>
      </c>
      <c r="S8" s="471">
        <f>SUM('TCO TO BE - HW'!T5:T14)+SUM('TCO TO BE - HW'!T66:T75)</f>
        <v>0</v>
      </c>
      <c r="T8" s="471">
        <f>SUM('TCO TO BE - HW'!U5:U14)+SUM('TCO TO BE - HW'!U66:U75)</f>
        <v>0</v>
      </c>
      <c r="U8" s="471">
        <f>SUM('TCO TO BE - HW'!V5:V14)+SUM('TCO TO BE - HW'!V66:V75)</f>
        <v>0</v>
      </c>
      <c r="V8" s="471">
        <f>SUM('TCO TO BE - HW'!W5:W14)+SUM('TCO TO BE - HW'!W66:W75)</f>
        <v>0</v>
      </c>
      <c r="W8" s="471">
        <f>SUM('TCO TO BE - HW'!X5:X14)+SUM('TCO TO BE - HW'!X66:X75)</f>
        <v>0</v>
      </c>
      <c r="X8" s="471">
        <f>SUM('TCO TO BE - HW'!Y5:Y14)+SUM('TCO TO BE - HW'!Y66:Y75)</f>
        <v>0</v>
      </c>
      <c r="Y8" s="471">
        <f>SUM('TCO TO BE - HW'!Z5:Z14)+SUM('TCO TO BE - HW'!Z66:Z75)</f>
        <v>0</v>
      </c>
      <c r="AC8" s="459"/>
      <c r="AD8" s="459"/>
      <c r="AE8" s="460" t="s">
        <v>64</v>
      </c>
      <c r="AF8" s="471">
        <f>SUM(AG8:AZ8)</f>
        <v>21287852.49435408</v>
      </c>
      <c r="AG8" s="471">
        <f>('TCO TO BE - HW'!F5+NPV(Faktory!$D$5,'TCO TO BE - HW'!F6:F14)+'TCO TO BE - HW'!F66+NPV(Faktory!$D$5,'TCO TO BE - HW'!F67:F75))</f>
        <v>8128867.4412308987</v>
      </c>
      <c r="AH8" s="471">
        <f>('TCO TO BE - HW'!G5+NPV(Faktory!$D$5,'TCO TO BE - HW'!G6:G14)+'TCO TO BE - HW'!G66+NPV(Faktory!$D$5,'TCO TO BE - HW'!G67:G75))</f>
        <v>1509339.9898880969</v>
      </c>
      <c r="AI8" s="471">
        <f>('TCO TO BE - HW'!H5+NPV(Faktory!$D$5,'TCO TO BE - HW'!H6:H14)+'TCO TO BE - HW'!H66+NPV(Faktory!$D$5,'TCO TO BE - HW'!H67:H75))</f>
        <v>178145.18451732217</v>
      </c>
      <c r="AJ8" s="471">
        <f>('TCO TO BE - HW'!I5+NPV(Faktory!$D$5,'TCO TO BE - HW'!I6:I14)+'TCO TO BE - HW'!I66+NPV(Faktory!$D$5,'TCO TO BE - HW'!I67:I75))</f>
        <v>0</v>
      </c>
      <c r="AK8" s="471">
        <f>('TCO TO BE - HW'!J5+NPV(Faktory!$D$5,'TCO TO BE - HW'!J6:J14)+'TCO TO BE - HW'!J66+NPV(Faktory!$D$5,'TCO TO BE - HW'!J67:J75))</f>
        <v>0</v>
      </c>
      <c r="AL8" s="471">
        <f>('TCO TO BE - HW'!K5+NPV(Faktory!$D$5,'TCO TO BE - HW'!K6:K14)+'TCO TO BE - HW'!K66+NPV(Faktory!$D$5,'TCO TO BE - HW'!K67:K75))</f>
        <v>6640832.7309308546</v>
      </c>
      <c r="AM8" s="471">
        <f>('TCO TO BE - HW'!L5+NPV(Faktory!$D$5,'TCO TO BE - HW'!L6:L14)+'TCO TO BE - HW'!L66+NPV(Faktory!$D$5,'TCO TO BE - HW'!L67:L75))</f>
        <v>3935718.263315069</v>
      </c>
      <c r="AN8" s="471">
        <f>('TCO TO BE - HW'!M5+NPV(Faktory!$D$5,'TCO TO BE - HW'!M6:M14)+'TCO TO BE - HW'!M66+NPV(Faktory!$D$5,'TCO TO BE - HW'!M67:M75))</f>
        <v>0</v>
      </c>
      <c r="AO8" s="471">
        <f>('TCO TO BE - HW'!N5+NPV(Faktory!$D$5,'TCO TO BE - HW'!N6:N14)+'TCO TO BE - HW'!N66+NPV(Faktory!$D$5,'TCO TO BE - HW'!N67:N75))</f>
        <v>558626.85667679587</v>
      </c>
      <c r="AP8" s="471">
        <f>('TCO TO BE - HW'!O5+NPV(Faktory!$D$5,'TCO TO BE - HW'!O6:O14)+'TCO TO BE - HW'!O66+NPV(Faktory!$D$5,'TCO TO BE - HW'!O67:O75))</f>
        <v>336322.02779504145</v>
      </c>
      <c r="AQ8" s="471">
        <f>('TCO TO BE - HW'!P5+NPV(Faktory!$D$5,'TCO TO BE - HW'!P6:P14)+'TCO TO BE - HW'!P66+NPV(Faktory!$D$5,'TCO TO BE - HW'!P67:P75))</f>
        <v>0</v>
      </c>
      <c r="AR8" s="471">
        <f>('TCO TO BE - HW'!Q5+NPV(Faktory!$D$5,'TCO TO BE - HW'!Q6:Q14)+'TCO TO BE - HW'!Q66+NPV(Faktory!$D$5,'TCO TO BE - HW'!Q67:Q75))</f>
        <v>0</v>
      </c>
      <c r="AS8" s="471">
        <f>('TCO TO BE - HW'!R5+NPV(Faktory!$D$5,'TCO TO BE - HW'!R6:R14)+'TCO TO BE - HW'!R66+NPV(Faktory!$D$5,'TCO TO BE - HW'!R67:R75))</f>
        <v>0</v>
      </c>
      <c r="AT8" s="471">
        <f>('TCO TO BE - HW'!S5+NPV(Faktory!$D$5,'TCO TO BE - HW'!S6:S14)+'TCO TO BE - HW'!S66+NPV(Faktory!$D$5,'TCO TO BE - HW'!S67:S75))</f>
        <v>0</v>
      </c>
      <c r="AU8" s="471">
        <f>('TCO TO BE - HW'!T5+NPV(Faktory!$D$5,'TCO TO BE - HW'!T6:T14)+'TCO TO BE - HW'!T66+NPV(Faktory!$D$5,'TCO TO BE - HW'!T67:T75))</f>
        <v>0</v>
      </c>
      <c r="AV8" s="471">
        <f>('TCO TO BE - HW'!U5+NPV(Faktory!$D$5,'TCO TO BE - HW'!U6:U14)+'TCO TO BE - HW'!U66+NPV(Faktory!$D$5,'TCO TO BE - HW'!U67:U75))</f>
        <v>0</v>
      </c>
      <c r="AW8" s="471">
        <f>('TCO TO BE - HW'!V5+NPV(Faktory!$D$5,'TCO TO BE - HW'!V6:V14)+'TCO TO BE - HW'!V66+NPV(Faktory!$D$5,'TCO TO BE - HW'!V67:V75))</f>
        <v>0</v>
      </c>
      <c r="AX8" s="471">
        <f>('TCO TO BE - HW'!W5+NPV(Faktory!$D$5,'TCO TO BE - HW'!W6:W14)+'TCO TO BE - HW'!W66+NPV(Faktory!$D$5,'TCO TO BE - HW'!W67:W75))</f>
        <v>0</v>
      </c>
      <c r="AY8" s="471">
        <f>('TCO TO BE - HW'!X5+NPV(Faktory!$D$5,'TCO TO BE - HW'!X6:X14)+'TCO TO BE - HW'!X66+NPV(Faktory!$D$5,'TCO TO BE - HW'!X67:X75))</f>
        <v>0</v>
      </c>
      <c r="AZ8" s="471">
        <f>('TCO TO BE - HW'!Y5+NPV(Faktory!$D$5,'TCO TO BE - HW'!Y6:Y14)+'TCO TO BE - HW'!Y66+NPV(Faktory!$D$5,'TCO TO BE - HW'!Y67:Y75))</f>
        <v>0</v>
      </c>
      <c r="BA8" s="471">
        <f>('TCO TO BE - HW'!Z5+NPV(Faktory!$D$5,'TCO TO BE - HW'!Z6:Z14)+'TCO TO BE - HW'!Z66+NPV(Faktory!$D$5,'TCO TO BE - HW'!Z67:Z75))</f>
        <v>0</v>
      </c>
    </row>
    <row r="9" spans="1:53" x14ac:dyDescent="0.2">
      <c r="A9" s="456"/>
      <c r="B9" s="457" t="s">
        <v>164</v>
      </c>
      <c r="C9" s="457"/>
      <c r="D9" s="458">
        <f>SUM(E9:Y9)</f>
        <v>2822991.7595999995</v>
      </c>
      <c r="E9" s="458">
        <f>SUM(E10:E12)</f>
        <v>68019.96145959181</v>
      </c>
      <c r="F9" s="458">
        <f>SUM(F10:F12)</f>
        <v>68019.96145959181</v>
      </c>
      <c r="G9" s="458">
        <f>SUM(G10:G12)</f>
        <v>156445.91135706118</v>
      </c>
      <c r="H9" s="458">
        <f>SUM(H10:H12)</f>
        <v>0</v>
      </c>
      <c r="I9" s="458">
        <f>SUM(I10:I12)</f>
        <v>666595.62230399984</v>
      </c>
      <c r="J9" s="458">
        <f>SUM(J10+J11)</f>
        <v>0</v>
      </c>
      <c r="K9" s="458">
        <f>SUM(K10:K12)</f>
        <v>109965.60435967345</v>
      </c>
      <c r="L9" s="458">
        <f>SUM(L10:L12)</f>
        <v>861586.17848816304</v>
      </c>
      <c r="M9" s="458">
        <f>SUM(M10:M12)</f>
        <v>0</v>
      </c>
      <c r="N9" s="458">
        <f>SUM(N10+N11)</f>
        <v>0</v>
      </c>
      <c r="O9" s="458">
        <f>SUM(O10:O12)</f>
        <v>892358.52017191809</v>
      </c>
      <c r="P9" s="458">
        <f>SUM(P10:P12)</f>
        <v>0</v>
      </c>
      <c r="Q9" s="458">
        <f>SUM(Q10:Q12)</f>
        <v>0</v>
      </c>
      <c r="R9" s="458">
        <f>SUM(R10+R11)</f>
        <v>0</v>
      </c>
      <c r="S9" s="458">
        <f>SUM(S10:S12)</f>
        <v>0</v>
      </c>
      <c r="T9" s="458">
        <f>SUM(T10:T12)</f>
        <v>0</v>
      </c>
      <c r="U9" s="458">
        <f>SUM(U10:U12)</f>
        <v>0</v>
      </c>
      <c r="V9" s="458">
        <f>SUM(V10+V11)</f>
        <v>0</v>
      </c>
      <c r="W9" s="458">
        <f>SUM(W10:W12)</f>
        <v>0</v>
      </c>
      <c r="X9" s="458">
        <f>SUM(X10:X12)</f>
        <v>0</v>
      </c>
      <c r="Y9" s="458">
        <f>SUM(Y10:Y12)</f>
        <v>0</v>
      </c>
      <c r="AC9" s="456"/>
      <c r="AD9" s="457" t="s">
        <v>164</v>
      </c>
      <c r="AE9" s="457"/>
      <c r="AF9" s="458">
        <f>SUM(AG9:BA9)</f>
        <v>2661776.1822613655</v>
      </c>
      <c r="AG9" s="458">
        <f t="shared" ref="AG9:BA9" si="2">SUM(AG10:AG12)</f>
        <v>64124.897758004263</v>
      </c>
      <c r="AH9" s="458">
        <f t="shared" si="2"/>
        <v>64124.897758004263</v>
      </c>
      <c r="AI9" s="458">
        <f t="shared" si="2"/>
        <v>147487.26484340985</v>
      </c>
      <c r="AJ9" s="458">
        <f t="shared" si="2"/>
        <v>0</v>
      </c>
      <c r="AK9" s="458">
        <f t="shared" si="2"/>
        <v>628423.99802844191</v>
      </c>
      <c r="AL9" s="458">
        <f t="shared" si="2"/>
        <v>0</v>
      </c>
      <c r="AM9" s="458">
        <f t="shared" si="2"/>
        <v>103668.5847087736</v>
      </c>
      <c r="AN9" s="458">
        <f t="shared" si="2"/>
        <v>812248.704934721</v>
      </c>
      <c r="AO9" s="458">
        <f t="shared" si="2"/>
        <v>0</v>
      </c>
      <c r="AP9" s="458">
        <f t="shared" si="2"/>
        <v>0</v>
      </c>
      <c r="AQ9" s="458">
        <f t="shared" si="2"/>
        <v>841697.8342300104</v>
      </c>
      <c r="AR9" s="458">
        <f t="shared" si="2"/>
        <v>0</v>
      </c>
      <c r="AS9" s="458">
        <f t="shared" si="2"/>
        <v>0</v>
      </c>
      <c r="AT9" s="458">
        <f t="shared" si="2"/>
        <v>0</v>
      </c>
      <c r="AU9" s="458">
        <f t="shared" si="2"/>
        <v>0</v>
      </c>
      <c r="AV9" s="458">
        <f t="shared" si="2"/>
        <v>0</v>
      </c>
      <c r="AW9" s="458">
        <f t="shared" si="2"/>
        <v>0</v>
      </c>
      <c r="AX9" s="458">
        <f t="shared" si="2"/>
        <v>0</v>
      </c>
      <c r="AY9" s="458">
        <f t="shared" si="2"/>
        <v>0</v>
      </c>
      <c r="AZ9" s="458">
        <f t="shared" si="2"/>
        <v>0</v>
      </c>
      <c r="BA9" s="458">
        <f t="shared" si="2"/>
        <v>0</v>
      </c>
    </row>
    <row r="10" spans="1:53" x14ac:dyDescent="0.2">
      <c r="A10" s="459"/>
      <c r="B10" s="459"/>
      <c r="C10" s="460" t="s">
        <v>104</v>
      </c>
      <c r="D10" s="475">
        <f>SUM(E10:Y10)</f>
        <v>2777481.7595999995</v>
      </c>
      <c r="E10" s="471">
        <f>SUM('TCO TO BE- SW'!F47:F76)+SUM('TCO TO BE- SW'!F100:F119)+SUM('TCO TO BE- SW'!E130:E149)</f>
        <v>68019.96145959181</v>
      </c>
      <c r="F10" s="471">
        <f>SUM('TCO TO BE- SW'!G47:G76)+SUM('TCO TO BE- SW'!G100:G119)+SUM('TCO TO BE- SW'!F130:F149)</f>
        <v>68019.96145959181</v>
      </c>
      <c r="G10" s="471">
        <f>SUM('TCO TO BE- SW'!H47:H76)+SUM('TCO TO BE- SW'!H100:H119)+SUM('TCO TO BE- SW'!G130:G149)</f>
        <v>156445.91135706118</v>
      </c>
      <c r="H10" s="471">
        <f>SUM('TCO TO BE- SW'!I47:I76)+SUM('TCO TO BE- SW'!I100:I119)+SUM('TCO TO BE- SW'!H130:H149)</f>
        <v>0</v>
      </c>
      <c r="I10" s="471">
        <f>SUM('TCO TO BE- SW'!J47:J76)+SUM('TCO TO BE- SW'!J100:J119)+SUM('TCO TO BE- SW'!I130:I149)</f>
        <v>666595.62230399984</v>
      </c>
      <c r="J10" s="471">
        <f>SUM('TCO TO BE- SW'!K47:K76)+SUM('TCO TO BE- SW'!K100:K119)+SUM('TCO TO BE- SW'!J130:J149)</f>
        <v>0</v>
      </c>
      <c r="K10" s="471">
        <f>SUM('TCO TO BE- SW'!L47:L76)+SUM('TCO TO BE- SW'!L100:L119)+SUM('TCO TO BE- SW'!K130:K149)</f>
        <v>109965.60435967345</v>
      </c>
      <c r="L10" s="471">
        <f>SUM('TCO TO BE- SW'!M47:M76)+SUM('TCO TO BE- SW'!M100:M119)+SUM('TCO TO BE- SW'!L130:L149)</f>
        <v>861586.17848816304</v>
      </c>
      <c r="M10" s="471">
        <f>SUM('TCO TO BE- SW'!N47:N76)+SUM('TCO TO BE- SW'!N100:N119)+SUM('TCO TO BE- SW'!M130:M149)</f>
        <v>0</v>
      </c>
      <c r="N10" s="471">
        <f>SUM('TCO TO BE- SW'!O47:O76)+SUM('TCO TO BE- SW'!O100:O119)+SUM('TCO TO BE- SW'!N130:N149)</f>
        <v>0</v>
      </c>
      <c r="O10" s="471">
        <f>SUM('TCO TO BE- SW'!P47:P76)+SUM('TCO TO BE- SW'!P100:P119)+SUM('TCO TO BE- SW'!O130:O149)</f>
        <v>846848.52017191809</v>
      </c>
      <c r="P10" s="471">
        <f>SUM('TCO TO BE- SW'!Q47:Q76)+SUM('TCO TO BE- SW'!Q100:Q119)+SUM('TCO TO BE- SW'!P130:P149)</f>
        <v>0</v>
      </c>
      <c r="Q10" s="471">
        <f>SUM('TCO TO BE- SW'!R47:R76)+SUM('TCO TO BE- SW'!R100:R119)+SUM('TCO TO BE- SW'!Q130:Q149)</f>
        <v>0</v>
      </c>
      <c r="R10" s="471">
        <f>SUM('TCO TO BE- SW'!S47:S76)+SUM('TCO TO BE- SW'!S100:S119)+SUM('TCO TO BE- SW'!R130:R149)</f>
        <v>0</v>
      </c>
      <c r="S10" s="471">
        <f>SUM('TCO TO BE- SW'!T47:T76)+SUM('TCO TO BE- SW'!T100:T119)+SUM('TCO TO BE- SW'!S130:S149)</f>
        <v>0</v>
      </c>
      <c r="T10" s="471">
        <f>SUM('TCO TO BE- SW'!U47:U76)+SUM('TCO TO BE- SW'!U100:U119)+SUM('TCO TO BE- SW'!T130:T149)</f>
        <v>0</v>
      </c>
      <c r="U10" s="471">
        <f>SUM('TCO TO BE- SW'!V47:V76)+SUM('TCO TO BE- SW'!V100:V119)+SUM('TCO TO BE- SW'!U130:U149)</f>
        <v>0</v>
      </c>
      <c r="V10" s="471">
        <f>SUM('TCO TO BE- SW'!W47:W76)+SUM('TCO TO BE- SW'!W100:W119)+SUM('TCO TO BE- SW'!V130:V149)</f>
        <v>0</v>
      </c>
      <c r="W10" s="471">
        <f>SUM('TCO TO BE- SW'!X47:X76)+SUM('TCO TO BE- SW'!X100:X119)+SUM('TCO TO BE- SW'!W130:W149)</f>
        <v>0</v>
      </c>
      <c r="X10" s="471">
        <f>SUM('TCO TO BE- SW'!Y47:Y76)+SUM('TCO TO BE- SW'!Y100:Y119)+SUM('TCO TO BE- SW'!X130:X149)</f>
        <v>0</v>
      </c>
      <c r="Y10" s="471">
        <f>SUM('TCO TO BE- SW'!Z47:Z76)+SUM('TCO TO BE- SW'!Z100:Z119)+SUM('TCO TO BE- SW'!Y130:Y149)</f>
        <v>0</v>
      </c>
      <c r="AC10" s="459"/>
      <c r="AD10" s="459"/>
      <c r="AE10" s="460" t="s">
        <v>104</v>
      </c>
      <c r="AF10" s="472">
        <f>SUM(AG10:BA10)</f>
        <v>2618433.3251185082</v>
      </c>
      <c r="AG10" s="471">
        <f>('TCO TO BE- SW'!F47+NPV(Faktory!$D$5,'TCO TO BE- SW'!F48:F56)+'TCO TO BE- SW'!F57+NPV(Faktory!$D$5,'TCO TO BE- SW'!F58:F66)+'TCO TO BE- SW'!F67+NPV(Faktory!$D$5,'TCO TO BE- SW'!F68:F76)+'TCO TO BE- SW'!F100+NPV(Faktory!$D$5,'TCO TO BE- SW'!F101:F109)+'TCO TO BE- SW'!F110+NPV(Faktory!$D$5,'TCO TO BE- SW'!F111:F119)+'TCO TO BE- SW'!F130+NPV(Faktory!$D$5,'TCO TO BE- SW'!F131:F139)+'TCO TO BE- SW'!F140+NPV(Faktory!$D$5,'TCO TO BE- SW'!F141:F149))</f>
        <v>64124.897758004263</v>
      </c>
      <c r="AH10" s="471">
        <f>('TCO TO BE- SW'!G47+NPV(Faktory!$D$5,'TCO TO BE- SW'!G48:G56)+'TCO TO BE- SW'!G57+NPV(Faktory!$D$5,'TCO TO BE- SW'!G58:G66)+'TCO TO BE- SW'!G67+NPV(Faktory!$D$5,'TCO TO BE- SW'!G68:G76)+'TCO TO BE- SW'!G100+NPV(Faktory!$D$5,'TCO TO BE- SW'!G101:G109)+'TCO TO BE- SW'!G110+NPV(Faktory!$D$5,'TCO TO BE- SW'!G111:G119)+'TCO TO BE- SW'!G130+NPV(Faktory!$D$5,'TCO TO BE- SW'!G131:G139)+'TCO TO BE- SW'!G140+NPV(Faktory!$D$5,'TCO TO BE- SW'!G141:G149))</f>
        <v>64124.897758004263</v>
      </c>
      <c r="AI10" s="471">
        <f>('TCO TO BE- SW'!H47+NPV(Faktory!$D$5,'TCO TO BE- SW'!H48:H56)+'TCO TO BE- SW'!H57+NPV(Faktory!$D$5,'TCO TO BE- SW'!H58:H66)+'TCO TO BE- SW'!H67+NPV(Faktory!$D$5,'TCO TO BE- SW'!H68:H76)+'TCO TO BE- SW'!H100+NPV(Faktory!$D$5,'TCO TO BE- SW'!H101:H109)+'TCO TO BE- SW'!H110+NPV(Faktory!$D$5,'TCO TO BE- SW'!H111:H119)+'TCO TO BE- SW'!H130+NPV(Faktory!$D$5,'TCO TO BE- SW'!H131:H139)+'TCO TO BE- SW'!H140+NPV(Faktory!$D$5,'TCO TO BE- SW'!H141:H149))</f>
        <v>147487.26484340985</v>
      </c>
      <c r="AJ10" s="471">
        <f>('TCO TO BE- SW'!I47+NPV(Faktory!$D$5,'TCO TO BE- SW'!I48:I56)+'TCO TO BE- SW'!I57+NPV(Faktory!$D$5,'TCO TO BE- SW'!I58:I66)+'TCO TO BE- SW'!I67+NPV(Faktory!$D$5,'TCO TO BE- SW'!I68:I76)+'TCO TO BE- SW'!I100+NPV(Faktory!$D$5,'TCO TO BE- SW'!I101:I109)+'TCO TO BE- SW'!I110+NPV(Faktory!$D$5,'TCO TO BE- SW'!I111:I119)+'TCO TO BE- SW'!I130+NPV(Faktory!$D$5,'TCO TO BE- SW'!I131:I139)+'TCO TO BE- SW'!I140+NPV(Faktory!$D$5,'TCO TO BE- SW'!I141:I149))</f>
        <v>0</v>
      </c>
      <c r="AK10" s="471">
        <f>('TCO TO BE- SW'!J47+NPV(Faktory!$D$5,'TCO TO BE- SW'!J48:J56)+'TCO TO BE- SW'!J57+NPV(Faktory!$D$5,'TCO TO BE- SW'!J58:J66)+'TCO TO BE- SW'!J67+NPV(Faktory!$D$5,'TCO TO BE- SW'!J68:J76)+'TCO TO BE- SW'!J100+NPV(Faktory!$D$5,'TCO TO BE- SW'!J101:J109)+'TCO TO BE- SW'!J110+NPV(Faktory!$D$5,'TCO TO BE- SW'!J111:J119)+'TCO TO BE- SW'!J130+NPV(Faktory!$D$5,'TCO TO BE- SW'!J131:J139)+'TCO TO BE- SW'!J140+NPV(Faktory!$D$5,'TCO TO BE- SW'!J141:J149))</f>
        <v>628423.99802844191</v>
      </c>
      <c r="AL10" s="471">
        <f>('TCO TO BE- SW'!K47+NPV(Faktory!$D$5,'TCO TO BE- SW'!K48:K56)+'TCO TO BE- SW'!K57+NPV(Faktory!$D$5,'TCO TO BE- SW'!K58:K66)+'TCO TO BE- SW'!K67+NPV(Faktory!$D$5,'TCO TO BE- SW'!K68:K76)+'TCO TO BE- SW'!K100+NPV(Faktory!$D$5,'TCO TO BE- SW'!K101:K109)+'TCO TO BE- SW'!K110+NPV(Faktory!$D$5,'TCO TO BE- SW'!K111:K119)+'TCO TO BE- SW'!K130+NPV(Faktory!$D$5,'TCO TO BE- SW'!K131:K139)+'TCO TO BE- SW'!K140+NPV(Faktory!$D$5,'TCO TO BE- SW'!K141:K149))</f>
        <v>0</v>
      </c>
      <c r="AM10" s="471">
        <f>('TCO TO BE- SW'!L47+NPV(Faktory!$D$5,'TCO TO BE- SW'!L48:L56)+'TCO TO BE- SW'!L57+NPV(Faktory!$D$5,'TCO TO BE- SW'!L58:L66)+'TCO TO BE- SW'!L67+NPV(Faktory!$D$5,'TCO TO BE- SW'!L68:L76)+'TCO TO BE- SW'!L100+NPV(Faktory!$D$5,'TCO TO BE- SW'!L101:L109)+'TCO TO BE- SW'!L110+NPV(Faktory!$D$5,'TCO TO BE- SW'!L111:L119)+'TCO TO BE- SW'!L130+NPV(Faktory!$D$5,'TCO TO BE- SW'!L131:L139)+'TCO TO BE- SW'!L140+NPV(Faktory!$D$5,'TCO TO BE- SW'!L141:L149))</f>
        <v>103668.5847087736</v>
      </c>
      <c r="AN10" s="471">
        <f>('TCO TO BE- SW'!M47+NPV(Faktory!$D$5,'TCO TO BE- SW'!M48:M56)+'TCO TO BE- SW'!M57+NPV(Faktory!$D$5,'TCO TO BE- SW'!M58:M66)+'TCO TO BE- SW'!M67+NPV(Faktory!$D$5,'TCO TO BE- SW'!M68:M76)+'TCO TO BE- SW'!M100+NPV(Faktory!$D$5,'TCO TO BE- SW'!M101:M109)+'TCO TO BE- SW'!M110+NPV(Faktory!$D$5,'TCO TO BE- SW'!M111:M119)+'TCO TO BE- SW'!M130+NPV(Faktory!$D$5,'TCO TO BE- SW'!M131:M139)+'TCO TO BE- SW'!M140+NPV(Faktory!$D$5,'TCO TO BE- SW'!M141:M149))</f>
        <v>812248.704934721</v>
      </c>
      <c r="AO10" s="471">
        <f>('TCO TO BE- SW'!N47+NPV(Faktory!$D$5,'TCO TO BE- SW'!N48:N56)+'TCO TO BE- SW'!N57+NPV(Faktory!$D$5,'TCO TO BE- SW'!N58:N66)+'TCO TO BE- SW'!N67+NPV(Faktory!$D$5,'TCO TO BE- SW'!N68:N76)+'TCO TO BE- SW'!N100+NPV(Faktory!$D$5,'TCO TO BE- SW'!N101:N109)+'TCO TO BE- SW'!N110+NPV(Faktory!$D$5,'TCO TO BE- SW'!N111:N119)+'TCO TO BE- SW'!N130+NPV(Faktory!$D$5,'TCO TO BE- SW'!N131:N139)+'TCO TO BE- SW'!N140+NPV(Faktory!$D$5,'TCO TO BE- SW'!N141:N149))</f>
        <v>0</v>
      </c>
      <c r="AP10" s="471">
        <f>('TCO TO BE- SW'!O47+NPV(Faktory!$D$5,'TCO TO BE- SW'!O48:O56)+'TCO TO BE- SW'!O57+NPV(Faktory!$D$5,'TCO TO BE- SW'!O58:O66)+'TCO TO BE- SW'!O67+NPV(Faktory!$D$5,'TCO TO BE- SW'!O68:O76)+'TCO TO BE- SW'!O100+NPV(Faktory!$D$5,'TCO TO BE- SW'!O101:O109)+'TCO TO BE- SW'!O110+NPV(Faktory!$D$5,'TCO TO BE- SW'!O111:O119)+'TCO TO BE- SW'!O130+NPV(Faktory!$D$5,'TCO TO BE- SW'!O131:O139)+'TCO TO BE- SW'!O140+NPV(Faktory!$D$5,'TCO TO BE- SW'!O141:O149))</f>
        <v>0</v>
      </c>
      <c r="AQ10" s="471">
        <f>('TCO TO BE- SW'!P47+NPV(Faktory!$D$5,'TCO TO BE- SW'!P48:P56)+'TCO TO BE- SW'!P57+NPV(Faktory!$D$5,'TCO TO BE- SW'!P58:P66)+'TCO TO BE- SW'!P67+NPV(Faktory!$D$5,'TCO TO BE- SW'!P68:P76)+'TCO TO BE- SW'!P100+NPV(Faktory!$D$5,'TCO TO BE- SW'!P101:P109)+'TCO TO BE- SW'!P110+NPV(Faktory!$D$5,'TCO TO BE- SW'!P111:P119)+'TCO TO BE- SW'!P130+NPV(Faktory!$D$5,'TCO TO BE- SW'!P131:P139)+'TCO TO BE- SW'!P140+NPV(Faktory!$D$5,'TCO TO BE- SW'!P141:P149))</f>
        <v>798354.97708715324</v>
      </c>
      <c r="AR10" s="471">
        <f>('TCO TO BE- SW'!Q47+NPV(Faktory!$D$5,'TCO TO BE- SW'!Q48:Q56)+'TCO TO BE- SW'!Q57+NPV(Faktory!$D$5,'TCO TO BE- SW'!Q58:Q66)+'TCO TO BE- SW'!Q67+NPV(Faktory!$D$5,'TCO TO BE- SW'!Q68:Q76)+'TCO TO BE- SW'!Q100+NPV(Faktory!$D$5,'TCO TO BE- SW'!Q101:Q109)+'TCO TO BE- SW'!Q110+NPV(Faktory!$D$5,'TCO TO BE- SW'!Q111:Q119)+'TCO TO BE- SW'!Q130+NPV(Faktory!$D$5,'TCO TO BE- SW'!Q131:Q139)+'TCO TO BE- SW'!Q140+NPV(Faktory!$D$5,'TCO TO BE- SW'!Q141:Q149))</f>
        <v>0</v>
      </c>
      <c r="AS10" s="471">
        <f>('TCO TO BE- SW'!R47+NPV(Faktory!$D$5,'TCO TO BE- SW'!R48:R56)+'TCO TO BE- SW'!R57+NPV(Faktory!$D$5,'TCO TO BE- SW'!R58:R66)+'TCO TO BE- SW'!R67+NPV(Faktory!$D$5,'TCO TO BE- SW'!R68:R76)+'TCO TO BE- SW'!R100+NPV(Faktory!$D$5,'TCO TO BE- SW'!R101:R109)+'TCO TO BE- SW'!R110+NPV(Faktory!$D$5,'TCO TO BE- SW'!R111:R119)+'TCO TO BE- SW'!R130+NPV(Faktory!$D$5,'TCO TO BE- SW'!R131:R139)+'TCO TO BE- SW'!R140+NPV(Faktory!$D$5,'TCO TO BE- SW'!R141:R149))</f>
        <v>0</v>
      </c>
      <c r="AT10" s="471">
        <f>('TCO TO BE- SW'!S47+NPV(Faktory!$D$5,'TCO TO BE- SW'!S48:S56)+'TCO TO BE- SW'!S57+NPV(Faktory!$D$5,'TCO TO BE- SW'!S58:S66)+'TCO TO BE- SW'!S67+NPV(Faktory!$D$5,'TCO TO BE- SW'!S68:S76)+'TCO TO BE- SW'!S100+NPV(Faktory!$D$5,'TCO TO BE- SW'!S101:S109)+'TCO TO BE- SW'!S110+NPV(Faktory!$D$5,'TCO TO BE- SW'!S111:S119)+'TCO TO BE- SW'!S130+NPV(Faktory!$D$5,'TCO TO BE- SW'!S131:S139)+'TCO TO BE- SW'!S140+NPV(Faktory!$D$5,'TCO TO BE- SW'!S141:S149))</f>
        <v>0</v>
      </c>
      <c r="AU10" s="471">
        <f>('TCO TO BE- SW'!T47+NPV(Faktory!$D$5,'TCO TO BE- SW'!T48:T56)+'TCO TO BE- SW'!T57+NPV(Faktory!$D$5,'TCO TO BE- SW'!T58:T66)+'TCO TO BE- SW'!T67+NPV(Faktory!$D$5,'TCO TO BE- SW'!T68:T76)+'TCO TO BE- SW'!T100+NPV(Faktory!$D$5,'TCO TO BE- SW'!T101:T109)+'TCO TO BE- SW'!T110+NPV(Faktory!$D$5,'TCO TO BE- SW'!T111:T119)+'TCO TO BE- SW'!T130+NPV(Faktory!$D$5,'TCO TO BE- SW'!T131:T139)+'TCO TO BE- SW'!T140+NPV(Faktory!$D$5,'TCO TO BE- SW'!T141:T149))</f>
        <v>0</v>
      </c>
      <c r="AV10" s="471">
        <f>('TCO TO BE- SW'!U47+NPV(Faktory!$D$5,'TCO TO BE- SW'!U48:U56)+'TCO TO BE- SW'!U57+NPV(Faktory!$D$5,'TCO TO BE- SW'!U58:U66)+'TCO TO BE- SW'!U67+NPV(Faktory!$D$5,'TCO TO BE- SW'!U68:U76)+'TCO TO BE- SW'!U100+NPV(Faktory!$D$5,'TCO TO BE- SW'!U101:U109)+'TCO TO BE- SW'!U110+NPV(Faktory!$D$5,'TCO TO BE- SW'!U111:U119)+'TCO TO BE- SW'!U130+NPV(Faktory!$D$5,'TCO TO BE- SW'!U131:U139)+'TCO TO BE- SW'!U140+NPV(Faktory!$D$5,'TCO TO BE- SW'!U141:U149))</f>
        <v>0</v>
      </c>
      <c r="AW10" s="471">
        <f>('TCO TO BE- SW'!V47+NPV(Faktory!$D$5,'TCO TO BE- SW'!V48:V56)+'TCO TO BE- SW'!V57+NPV(Faktory!$D$5,'TCO TO BE- SW'!V58:V66)+'TCO TO BE- SW'!V67+NPV(Faktory!$D$5,'TCO TO BE- SW'!V68:V76)+'TCO TO BE- SW'!V100+NPV(Faktory!$D$5,'TCO TO BE- SW'!V101:V109)+'TCO TO BE- SW'!V110+NPV(Faktory!$D$5,'TCO TO BE- SW'!V111:V119)+'TCO TO BE- SW'!V130+NPV(Faktory!$D$5,'TCO TO BE- SW'!V131:V139)+'TCO TO BE- SW'!V140+NPV(Faktory!$D$5,'TCO TO BE- SW'!V141:V149))</f>
        <v>0</v>
      </c>
      <c r="AX10" s="471">
        <f>('TCO TO BE- SW'!W47+NPV(Faktory!$D$5,'TCO TO BE- SW'!W48:W56)+'TCO TO BE- SW'!W57+NPV(Faktory!$D$5,'TCO TO BE- SW'!W58:W66)+'TCO TO BE- SW'!W67+NPV(Faktory!$D$5,'TCO TO BE- SW'!W68:W76)+'TCO TO BE- SW'!W100+NPV(Faktory!$D$5,'TCO TO BE- SW'!W101:W109)+'TCO TO BE- SW'!W110+NPV(Faktory!$D$5,'TCO TO BE- SW'!W111:W119)+'TCO TO BE- SW'!W130+NPV(Faktory!$D$5,'TCO TO BE- SW'!W131:W139)+'TCO TO BE- SW'!W140+NPV(Faktory!$D$5,'TCO TO BE- SW'!W141:W149))</f>
        <v>0</v>
      </c>
      <c r="AY10" s="471">
        <f>('TCO TO BE- SW'!X47+NPV(Faktory!$D$5,'TCO TO BE- SW'!X48:X56)+'TCO TO BE- SW'!X57+NPV(Faktory!$D$5,'TCO TO BE- SW'!X58:X66)+'TCO TO BE- SW'!X67+NPV(Faktory!$D$5,'TCO TO BE- SW'!X68:X76)+'TCO TO BE- SW'!X100+NPV(Faktory!$D$5,'TCO TO BE- SW'!X101:X109)+'TCO TO BE- SW'!X110+NPV(Faktory!$D$5,'TCO TO BE- SW'!X111:X119)+'TCO TO BE- SW'!X130+NPV(Faktory!$D$5,'TCO TO BE- SW'!X131:X139)+'TCO TO BE- SW'!X140+NPV(Faktory!$D$5,'TCO TO BE- SW'!X141:X149))</f>
        <v>0</v>
      </c>
      <c r="AZ10" s="471">
        <f>('TCO TO BE- SW'!Y47+NPV(Faktory!$D$5,'TCO TO BE- SW'!Y48:Y56)+'TCO TO BE- SW'!Y57+NPV(Faktory!$D$5,'TCO TO BE- SW'!Y58:Y66)+'TCO TO BE- SW'!Y67+NPV(Faktory!$D$5,'TCO TO BE- SW'!Y68:Y76)+'TCO TO BE- SW'!Y100+NPV(Faktory!$D$5,'TCO TO BE- SW'!Y101:Y109)+'TCO TO BE- SW'!Y110+NPV(Faktory!$D$5,'TCO TO BE- SW'!Y111:Y119)+'TCO TO BE- SW'!Y130+NPV(Faktory!$D$5,'TCO TO BE- SW'!Y131:Y139)+'TCO TO BE- SW'!Y140+NPV(Faktory!$D$5,'TCO TO BE- SW'!Y141:Y149))</f>
        <v>0</v>
      </c>
      <c r="BA10" s="471">
        <f>('TCO TO BE- SW'!Z47+NPV(Faktory!$D$5,'TCO TO BE- SW'!Z48:Z56)+'TCO TO BE- SW'!Z57+NPV(Faktory!$D$5,'TCO TO BE- SW'!Z58:Z66)+'TCO TO BE- SW'!Z67+NPV(Faktory!$D$5,'TCO TO BE- SW'!Z68:Z76)+'TCO TO BE- SW'!Z100+NPV(Faktory!$D$5,'TCO TO BE- SW'!Z101:Z109)+'TCO TO BE- SW'!Z110+NPV(Faktory!$D$5,'TCO TO BE- SW'!Z111:Z119)+'TCO TO BE- SW'!Z130+NPV(Faktory!$D$5,'TCO TO BE- SW'!Z131:Z139)+'TCO TO BE- SW'!Z140+NPV(Faktory!$D$5,'TCO TO BE- SW'!Z141:Z149))</f>
        <v>0</v>
      </c>
    </row>
    <row r="11" spans="1:53" x14ac:dyDescent="0.2">
      <c r="A11" s="459"/>
      <c r="B11" s="459"/>
      <c r="C11" s="460" t="s">
        <v>65</v>
      </c>
      <c r="D11" s="476">
        <f>SUM(E11:Y11)</f>
        <v>0</v>
      </c>
      <c r="E11" s="471">
        <f>SUM('TCO TO BE- SW'!F16:F35)+SUM('TCO TO BE- SW'!F79:F88)</f>
        <v>0</v>
      </c>
      <c r="F11" s="471">
        <f>SUM('TCO TO BE- SW'!G16:G35)+SUM('TCO TO BE- SW'!G79:G88)</f>
        <v>0</v>
      </c>
      <c r="G11" s="471">
        <f>SUM('TCO TO BE- SW'!H16:H35)+SUM('TCO TO BE- SW'!H79:H88)</f>
        <v>0</v>
      </c>
      <c r="H11" s="471">
        <f>SUM('TCO TO BE- SW'!I16:I35)+SUM('TCO TO BE- SW'!I79:I88)</f>
        <v>0</v>
      </c>
      <c r="I11" s="471">
        <f>SUM('TCO TO BE- SW'!J16:J35)+SUM('TCO TO BE- SW'!J79:J88)</f>
        <v>0</v>
      </c>
      <c r="J11" s="471">
        <f>SUM('TCO TO BE- SW'!K16:K35)+SUM('TCO TO BE- SW'!K79:K88)</f>
        <v>0</v>
      </c>
      <c r="K11" s="471">
        <f>SUM('TCO TO BE- SW'!L16:L35)+SUM('TCO TO BE- SW'!L79:L88)</f>
        <v>0</v>
      </c>
      <c r="L11" s="471">
        <f>SUM('TCO TO BE- SW'!M16:M35)+SUM('TCO TO BE- SW'!M79:M88)</f>
        <v>0</v>
      </c>
      <c r="M11" s="471">
        <f>SUM('TCO TO BE- SW'!N16:N35)+SUM('TCO TO BE- SW'!N79:N88)</f>
        <v>0</v>
      </c>
      <c r="N11" s="471">
        <f>SUM('TCO TO BE- SW'!O16:O35)+SUM('TCO TO BE- SW'!O79:O88)</f>
        <v>0</v>
      </c>
      <c r="O11" s="471">
        <f>SUM('TCO TO BE- SW'!P16:P35)+SUM('TCO TO BE- SW'!P79:P88)</f>
        <v>0</v>
      </c>
      <c r="P11" s="471">
        <f>SUM('TCO TO BE- SW'!Q16:Q35)+SUM('TCO TO BE- SW'!Q79:Q88)</f>
        <v>0</v>
      </c>
      <c r="Q11" s="471">
        <f>SUM('TCO TO BE- SW'!R16:R35)+SUM('TCO TO BE- SW'!R79:R88)</f>
        <v>0</v>
      </c>
      <c r="R11" s="471">
        <f>SUM('TCO TO BE- SW'!S16:S35)+SUM('TCO TO BE- SW'!S79:S88)</f>
        <v>0</v>
      </c>
      <c r="S11" s="471">
        <f>SUM('TCO TO BE- SW'!T16:T35)+SUM('TCO TO BE- SW'!T79:T88)</f>
        <v>0</v>
      </c>
      <c r="T11" s="471">
        <f>SUM('TCO TO BE- SW'!U16:U35)+SUM('TCO TO BE- SW'!U79:U88)</f>
        <v>0</v>
      </c>
      <c r="U11" s="471">
        <f>SUM('TCO TO BE- SW'!V16:V35)+SUM('TCO TO BE- SW'!V79:V88)</f>
        <v>0</v>
      </c>
      <c r="V11" s="471">
        <f>SUM('TCO TO BE- SW'!W16:W35)+SUM('TCO TO BE- SW'!W79:W88)</f>
        <v>0</v>
      </c>
      <c r="W11" s="471">
        <f>SUM('TCO TO BE- SW'!X16:X35)+SUM('TCO TO BE- SW'!X79:X88)</f>
        <v>0</v>
      </c>
      <c r="X11" s="471">
        <f>SUM('TCO TO BE- SW'!Y16:Y35)+SUM('TCO TO BE- SW'!Y79:Y88)</f>
        <v>0</v>
      </c>
      <c r="Y11" s="471">
        <f>SUM('TCO TO BE- SW'!Z16:Z35)+SUM('TCO TO BE- SW'!Z79:Z88)</f>
        <v>0</v>
      </c>
      <c r="AC11" s="459"/>
      <c r="AD11" s="459"/>
      <c r="AE11" s="460" t="s">
        <v>65</v>
      </c>
      <c r="AF11" s="471">
        <f>SUM(AG11:BA11)</f>
        <v>0</v>
      </c>
      <c r="AG11" s="471">
        <f>('TCO TO BE- SW'!F16+NPV(Faktory!$D$5,'TCO TO BE- SW'!F17:F25)+'TCO TO BE- SW'!F26+NPV(Faktory!$D$5,'TCO TO BE- SW'!F27:F35)+'TCO TO BE- SW'!F79+NPV(Faktory!$D$5,'TCO TO BE- SW'!F80:F88))</f>
        <v>0</v>
      </c>
      <c r="AH11" s="471">
        <f>('TCO TO BE- SW'!G16+NPV(Faktory!$D$5,'TCO TO BE- SW'!G17:G25)+'TCO TO BE- SW'!G26+NPV(Faktory!$D$5,'TCO TO BE- SW'!G27:G35)+'TCO TO BE- SW'!G79+NPV(Faktory!$D$5,'TCO TO BE- SW'!G80:G88))</f>
        <v>0</v>
      </c>
      <c r="AI11" s="471">
        <f>('TCO TO BE- SW'!H16+NPV(Faktory!$D$5,'TCO TO BE- SW'!H17:H25)+'TCO TO BE- SW'!H26+NPV(Faktory!$D$5,'TCO TO BE- SW'!H27:H35)+'TCO TO BE- SW'!H79+NPV(Faktory!$D$5,'TCO TO BE- SW'!H80:H88))</f>
        <v>0</v>
      </c>
      <c r="AJ11" s="471">
        <f>('TCO TO BE- SW'!I16+NPV(Faktory!$D$5,'TCO TO BE- SW'!I17:I25)+'TCO TO BE- SW'!I26+NPV(Faktory!$D$5,'TCO TO BE- SW'!I27:I35)+'TCO TO BE- SW'!I79+NPV(Faktory!$D$5,'TCO TO BE- SW'!I80:I88))</f>
        <v>0</v>
      </c>
      <c r="AK11" s="471">
        <f>('TCO TO BE- SW'!J16+NPV(Faktory!$D$5,'TCO TO BE- SW'!J17:J25)+'TCO TO BE- SW'!J26+NPV(Faktory!$D$5,'TCO TO BE- SW'!J27:J35)+'TCO TO BE- SW'!J79+NPV(Faktory!$D$5,'TCO TO BE- SW'!J80:J88))</f>
        <v>0</v>
      </c>
      <c r="AL11" s="471">
        <f>('TCO TO BE- SW'!K16+NPV(Faktory!$D$5,'TCO TO BE- SW'!K17:K25)+'TCO TO BE- SW'!K26+NPV(Faktory!$D$5,'TCO TO BE- SW'!K27:K35)+'TCO TO BE- SW'!K79+NPV(Faktory!$D$5,'TCO TO BE- SW'!K80:K88))</f>
        <v>0</v>
      </c>
      <c r="AM11" s="471">
        <f>('TCO TO BE- SW'!L16+NPV(Faktory!$D$5,'TCO TO BE- SW'!L17:L25)+'TCO TO BE- SW'!L26+NPV(Faktory!$D$5,'TCO TO BE- SW'!L27:L35)+'TCO TO BE- SW'!L79+NPV(Faktory!$D$5,'TCO TO BE- SW'!L80:L88))</f>
        <v>0</v>
      </c>
      <c r="AN11" s="471">
        <f>('TCO TO BE- SW'!M16+NPV(Faktory!$D$5,'TCO TO BE- SW'!M17:M25)+'TCO TO BE- SW'!M26+NPV(Faktory!$D$5,'TCO TO BE- SW'!M27:M35)+'TCO TO BE- SW'!M79+NPV(Faktory!$D$5,'TCO TO BE- SW'!M80:M88))</f>
        <v>0</v>
      </c>
      <c r="AO11" s="471">
        <f>('TCO TO BE- SW'!N16+NPV(Faktory!$D$5,'TCO TO BE- SW'!N17:N25)+'TCO TO BE- SW'!N26+NPV(Faktory!$D$5,'TCO TO BE- SW'!N27:N35)+'TCO TO BE- SW'!N79+NPV(Faktory!$D$5,'TCO TO BE- SW'!N80:N88))</f>
        <v>0</v>
      </c>
      <c r="AP11" s="471">
        <f>('TCO TO BE- SW'!O16+NPV(Faktory!$D$5,'TCO TO BE- SW'!O17:O25)+'TCO TO BE- SW'!O26+NPV(Faktory!$D$5,'TCO TO BE- SW'!O27:O35)+'TCO TO BE- SW'!O79+NPV(Faktory!$D$5,'TCO TO BE- SW'!O80:O88))</f>
        <v>0</v>
      </c>
      <c r="AQ11" s="471">
        <f>('TCO TO BE- SW'!P16+NPV(Faktory!$D$5,'TCO TO BE- SW'!P17:P25)+'TCO TO BE- SW'!P26+NPV(Faktory!$D$5,'TCO TO BE- SW'!P27:P35)+'TCO TO BE- SW'!P79+NPV(Faktory!$D$5,'TCO TO BE- SW'!P80:P88))</f>
        <v>0</v>
      </c>
      <c r="AR11" s="471">
        <f>('TCO TO BE- SW'!Q16+NPV(Faktory!$D$5,'TCO TO BE- SW'!Q17:Q25)+'TCO TO BE- SW'!Q26+NPV(Faktory!$D$5,'TCO TO BE- SW'!Q27:Q35)+'TCO TO BE- SW'!Q79+NPV(Faktory!$D$5,'TCO TO BE- SW'!Q80:Q88))</f>
        <v>0</v>
      </c>
      <c r="AS11" s="471">
        <f>('TCO TO BE- SW'!R16+NPV(Faktory!$D$5,'TCO TO BE- SW'!R17:R25)+'TCO TO BE- SW'!R26+NPV(Faktory!$D$5,'TCO TO BE- SW'!R27:R35)+'TCO TO BE- SW'!R79+NPV(Faktory!$D$5,'TCO TO BE- SW'!R80:R88))</f>
        <v>0</v>
      </c>
      <c r="AT11" s="471">
        <f>('TCO TO BE- SW'!S16+NPV(Faktory!$D$5,'TCO TO BE- SW'!S17:S25)+'TCO TO BE- SW'!S26+NPV(Faktory!$D$5,'TCO TO BE- SW'!S27:S35)+'TCO TO BE- SW'!S79+NPV(Faktory!$D$5,'TCO TO BE- SW'!S80:S88))</f>
        <v>0</v>
      </c>
      <c r="AU11" s="471">
        <f>('TCO TO BE- SW'!T16+NPV(Faktory!$D$5,'TCO TO BE- SW'!T17:T25)+'TCO TO BE- SW'!T26+NPV(Faktory!$D$5,'TCO TO BE- SW'!T27:T35)+'TCO TO BE- SW'!T79+NPV(Faktory!$D$5,'TCO TO BE- SW'!T80:T88))</f>
        <v>0</v>
      </c>
      <c r="AV11" s="471">
        <f>('TCO TO BE- SW'!U16+NPV(Faktory!$D$5,'TCO TO BE- SW'!U17:U25)+'TCO TO BE- SW'!U26+NPV(Faktory!$D$5,'TCO TO BE- SW'!U27:U35)+'TCO TO BE- SW'!U79+NPV(Faktory!$D$5,'TCO TO BE- SW'!U80:U88))</f>
        <v>0</v>
      </c>
      <c r="AW11" s="471">
        <f>('TCO TO BE- SW'!V16+NPV(Faktory!$D$5,'TCO TO BE- SW'!V17:V25)+'TCO TO BE- SW'!V26+NPV(Faktory!$D$5,'TCO TO BE- SW'!V27:V35)+'TCO TO BE- SW'!V79+NPV(Faktory!$D$5,'TCO TO BE- SW'!V80:V88))</f>
        <v>0</v>
      </c>
      <c r="AX11" s="471">
        <f>('TCO TO BE- SW'!W16+NPV(Faktory!$D$5,'TCO TO BE- SW'!W17:W25)+'TCO TO BE- SW'!W26+NPV(Faktory!$D$5,'TCO TO BE- SW'!W27:W35)+'TCO TO BE- SW'!W79+NPV(Faktory!$D$5,'TCO TO BE- SW'!W80:W88))</f>
        <v>0</v>
      </c>
      <c r="AY11" s="471">
        <f>('TCO TO BE- SW'!X16+NPV(Faktory!$D$5,'TCO TO BE- SW'!X17:X25)+'TCO TO BE- SW'!X26+NPV(Faktory!$D$5,'TCO TO BE- SW'!X27:X35)+'TCO TO BE- SW'!X79+NPV(Faktory!$D$5,'TCO TO BE- SW'!X80:X88))</f>
        <v>0</v>
      </c>
      <c r="AZ11" s="471">
        <f>('TCO TO BE- SW'!Y16+NPV(Faktory!$D$5,'TCO TO BE- SW'!Y17:Y25)+'TCO TO BE- SW'!Y26+NPV(Faktory!$D$5,'TCO TO BE- SW'!Y27:Y35)+'TCO TO BE- SW'!Y79+NPV(Faktory!$D$5,'TCO TO BE- SW'!Y80:Y88))</f>
        <v>0</v>
      </c>
      <c r="BA11" s="471">
        <f>('TCO TO BE- SW'!Z16+NPV(Faktory!$D$5,'TCO TO BE- SW'!Z17:Z25)+'TCO TO BE- SW'!Z26+NPV(Faktory!$D$5,'TCO TO BE- SW'!Z27:Z35)+'TCO TO BE- SW'!Z79+NPV(Faktory!$D$5,'TCO TO BE- SW'!Z80:Z88))</f>
        <v>0</v>
      </c>
    </row>
    <row r="12" spans="1:53" x14ac:dyDescent="0.2">
      <c r="A12" s="459"/>
      <c r="B12" s="459"/>
      <c r="C12" s="460" t="s">
        <v>64</v>
      </c>
      <c r="D12" s="476">
        <f>SUM(E12:X12)</f>
        <v>45510</v>
      </c>
      <c r="E12" s="471">
        <f>SUM('TCO TO BE - HW'!F15:F54)+SUM('TCO TO BE - HW'!F56:F65)+SUM('TCO TO BE - HW'!F76:F105)</f>
        <v>0</v>
      </c>
      <c r="F12" s="471">
        <f>SUM('TCO TO BE - HW'!G15:G54)+SUM('TCO TO BE - HW'!G56:G65)+SUM('TCO TO BE - HW'!G76:G105)</f>
        <v>0</v>
      </c>
      <c r="G12" s="471">
        <f>SUM('TCO TO BE - HW'!H15:H54)+SUM('TCO TO BE - HW'!H56:H65)+SUM('TCO TO BE - HW'!H76:H105)</f>
        <v>0</v>
      </c>
      <c r="H12" s="471">
        <f>SUM('TCO TO BE - HW'!I15:I54)+SUM('TCO TO BE - HW'!I56:I65)+SUM('TCO TO BE - HW'!I76:I105)</f>
        <v>0</v>
      </c>
      <c r="I12" s="471">
        <f>SUM('TCO TO BE - HW'!J15:J54)+SUM('TCO TO BE - HW'!J56:J65)+SUM('TCO TO BE - HW'!J76:J105)</f>
        <v>0</v>
      </c>
      <c r="J12" s="471">
        <f>SUM('TCO TO BE - HW'!K15:K54)+SUM('TCO TO BE - HW'!K56:K65)+SUM('TCO TO BE - HW'!K76:K105)</f>
        <v>0</v>
      </c>
      <c r="K12" s="471">
        <f>SUM('TCO TO BE - HW'!L15:L54)+SUM('TCO TO BE - HW'!L56:L65)+SUM('TCO TO BE - HW'!L76:L105)</f>
        <v>0</v>
      </c>
      <c r="L12" s="471">
        <f>SUM('TCO TO BE - HW'!M15:M54)+SUM('TCO TO BE - HW'!M56:M65)+SUM('TCO TO BE - HW'!M76:M105)</f>
        <v>0</v>
      </c>
      <c r="M12" s="471">
        <f>SUM('TCO TO BE - HW'!N15:N54)+SUM('TCO TO BE - HW'!N56:N65)+SUM('TCO TO BE - HW'!N76:N105)</f>
        <v>0</v>
      </c>
      <c r="N12" s="471">
        <f>SUM('TCO TO BE - HW'!O15:O54)+SUM('TCO TO BE - HW'!O56:O65)+SUM('TCO TO BE - HW'!O76:O105)</f>
        <v>0</v>
      </c>
      <c r="O12" s="471">
        <f>SUM('TCO TO BE - HW'!P15:P54)+SUM('TCO TO BE - HW'!P56:P65)+SUM('TCO TO BE - HW'!P76:P105)</f>
        <v>45510</v>
      </c>
      <c r="P12" s="471">
        <f>SUM('TCO TO BE - HW'!Q15:Q54)+SUM('TCO TO BE - HW'!Q56:Q65)+SUM('TCO TO BE - HW'!Q76:Q105)</f>
        <v>0</v>
      </c>
      <c r="Q12" s="471">
        <f>SUM('TCO TO BE - HW'!R15:R54)+SUM('TCO TO BE - HW'!R56:R65)+SUM('TCO TO BE - HW'!R76:R105)</f>
        <v>0</v>
      </c>
      <c r="R12" s="471">
        <f>SUM('TCO TO BE - HW'!S15:S54)+SUM('TCO TO BE - HW'!S56:S65)+SUM('TCO TO BE - HW'!S76:S105)</f>
        <v>0</v>
      </c>
      <c r="S12" s="471">
        <f>SUM('TCO TO BE - HW'!T15:T54)+SUM('TCO TO BE - HW'!T56:T65)+SUM('TCO TO BE - HW'!T76:T105)</f>
        <v>0</v>
      </c>
      <c r="T12" s="471">
        <f>SUM('TCO TO BE - HW'!U15:U54)+SUM('TCO TO BE - HW'!U56:U65)+SUM('TCO TO BE - HW'!U76:U105)</f>
        <v>0</v>
      </c>
      <c r="U12" s="471">
        <f>SUM('TCO TO BE - HW'!V15:V54)+SUM('TCO TO BE - HW'!V56:V65)+SUM('TCO TO BE - HW'!V76:V105)</f>
        <v>0</v>
      </c>
      <c r="V12" s="471">
        <f>SUM('TCO TO BE - HW'!W15:W54)+SUM('TCO TO BE - HW'!W56:W65)+SUM('TCO TO BE - HW'!W76:W105)</f>
        <v>0</v>
      </c>
      <c r="W12" s="471">
        <f>SUM('TCO TO BE - HW'!X15:X54)+SUM('TCO TO BE - HW'!X56:X65)+SUM('TCO TO BE - HW'!X76:X105)</f>
        <v>0</v>
      </c>
      <c r="X12" s="471">
        <f>SUM('TCO TO BE - HW'!Y15:Y54)+SUM('TCO TO BE - HW'!Y56:Y65)+SUM('TCO TO BE - HW'!Y76:Y105)</f>
        <v>0</v>
      </c>
      <c r="Y12" s="471">
        <f>SUM('TCO TO BE - HW'!Z15:Z54)+SUM('TCO TO BE - HW'!Z56:Z65)+SUM('TCO TO BE - HW'!Z76:Z105)</f>
        <v>0</v>
      </c>
      <c r="AC12" s="459"/>
      <c r="AD12" s="459"/>
      <c r="AE12" s="460" t="s">
        <v>64</v>
      </c>
      <c r="AF12" s="471">
        <f>SUM(AG12:AZ12)</f>
        <v>43342.857142857138</v>
      </c>
      <c r="AG12" s="471">
        <f>('TCO TO BE - HW'!F15+NPV(Faktory!$D$5,'TCO TO BE - HW'!F16:F24)+'TCO TO BE - HW'!F56+NPV(Faktory!$D$5,'TCO TO BE - HW'!F57:F65)+'TCO TO BE - HW'!F76+NPV(Faktory!$D$5,'TCO TO BE - HW'!F77:F85)+'TCO TO BE - HW'!F86+NPV(Faktory!$D$5,'TCO TO BE - HW'!F87:F95)+'TCO TO BE - HW'!F96+NPV(Faktory!$D$5,'TCO TO BE - HW'!F97:F105)+('TCO TO BE - HW'!F25+NPV(Faktory!$D$5,'TCO TO BE - HW'!F26:F34)+('TCO TO BE - HW'!F35+NPV(Faktory!$D$5,'TCO TO BE - HW'!F26:F44)+('TCO TO BE - HW'!F45+NPV(Faktory!$D$5,'TCO TO BE - HW'!F46:F54)))))</f>
        <v>0</v>
      </c>
      <c r="AH12" s="471">
        <f>('TCO TO BE - HW'!G15+NPV(Faktory!$D$5,'TCO TO BE - HW'!G16:G24)+'TCO TO BE - HW'!G56+NPV(Faktory!$D$5,'TCO TO BE - HW'!G57:G65)+'TCO TO BE - HW'!G76+NPV(Faktory!$D$5,'TCO TO BE - HW'!G77:G85)+'TCO TO BE - HW'!G86+NPV(Faktory!$D$5,'TCO TO BE - HW'!G87:G95)+'TCO TO BE - HW'!G96+NPV(Faktory!$D$5,'TCO TO BE - HW'!G97:G105)+('TCO TO BE - HW'!G25+NPV(Faktory!$D$5,'TCO TO BE - HW'!G26:G34)+('TCO TO BE - HW'!G35+NPV(Faktory!$D$5,'TCO TO BE - HW'!G26:G44)+('TCO TO BE - HW'!G45+NPV(Faktory!$D$5,'TCO TO BE - HW'!G46:G54)))))</f>
        <v>0</v>
      </c>
      <c r="AI12" s="471">
        <f>('TCO TO BE - HW'!H15+NPV(Faktory!$D$5,'TCO TO BE - HW'!H16:H24)+'TCO TO BE - HW'!H56+NPV(Faktory!$D$5,'TCO TO BE - HW'!H57:H65)+'TCO TO BE - HW'!H76+NPV(Faktory!$D$5,'TCO TO BE - HW'!H77:H85)+'TCO TO BE - HW'!H86+NPV(Faktory!$D$5,'TCO TO BE - HW'!H87:H95)+'TCO TO BE - HW'!H96+NPV(Faktory!$D$5,'TCO TO BE - HW'!H97:H105)+('TCO TO BE - HW'!H25+NPV(Faktory!$D$5,'TCO TO BE - HW'!H26:H34)+('TCO TO BE - HW'!H35+NPV(Faktory!$D$5,'TCO TO BE - HW'!H26:H44)+('TCO TO BE - HW'!H45+NPV(Faktory!$D$5,'TCO TO BE - HW'!H46:H54)))))</f>
        <v>0</v>
      </c>
      <c r="AJ12" s="471">
        <f>('TCO TO BE - HW'!I15+NPV(Faktory!$D$5,'TCO TO BE - HW'!I16:I24)+'TCO TO BE - HW'!I56+NPV(Faktory!$D$5,'TCO TO BE - HW'!I57:I65)+'TCO TO BE - HW'!I76+NPV(Faktory!$D$5,'TCO TO BE - HW'!I77:I85)+'TCO TO BE - HW'!I86+NPV(Faktory!$D$5,'TCO TO BE - HW'!I87:I95)+'TCO TO BE - HW'!I96+NPV(Faktory!$D$5,'TCO TO BE - HW'!I97:I105)+('TCO TO BE - HW'!I25+NPV(Faktory!$D$5,'TCO TO BE - HW'!I26:I34)+('TCO TO BE - HW'!I35+NPV(Faktory!$D$5,'TCO TO BE - HW'!I26:I44)+('TCO TO BE - HW'!I45+NPV(Faktory!$D$5,'TCO TO BE - HW'!I46:I54)))))</f>
        <v>0</v>
      </c>
      <c r="AK12" s="471">
        <f>('TCO TO BE - HW'!J15+NPV(Faktory!$D$5,'TCO TO BE - HW'!J16:J24)+'TCO TO BE - HW'!J56+NPV(Faktory!$D$5,'TCO TO BE - HW'!J57:J65)+'TCO TO BE - HW'!J76+NPV(Faktory!$D$5,'TCO TO BE - HW'!J77:J85)+'TCO TO BE - HW'!J86+NPV(Faktory!$D$5,'TCO TO BE - HW'!J87:J95)+'TCO TO BE - HW'!J96+NPV(Faktory!$D$5,'TCO TO BE - HW'!J97:J105)+('TCO TO BE - HW'!J25+NPV(Faktory!$D$5,'TCO TO BE - HW'!J26:J34)+('TCO TO BE - HW'!J35+NPV(Faktory!$D$5,'TCO TO BE - HW'!J26:J44)+('TCO TO BE - HW'!J45+NPV(Faktory!$D$5,'TCO TO BE - HW'!J46:J54)))))</f>
        <v>0</v>
      </c>
      <c r="AL12" s="471">
        <f>('TCO TO BE - HW'!K15+NPV(Faktory!$D$5,'TCO TO BE - HW'!K16:K24)+'TCO TO BE - HW'!K56+NPV(Faktory!$D$5,'TCO TO BE - HW'!K57:K65)+'TCO TO BE - HW'!K76+NPV(Faktory!$D$5,'TCO TO BE - HW'!K77:K85)+'TCO TO BE - HW'!K86+NPV(Faktory!$D$5,'TCO TO BE - HW'!K87:K95)+'TCO TO BE - HW'!K96+NPV(Faktory!$D$5,'TCO TO BE - HW'!K97:K105)+('TCO TO BE - HW'!K25+NPV(Faktory!$D$5,'TCO TO BE - HW'!K26:K34)+('TCO TO BE - HW'!K35+NPV(Faktory!$D$5,'TCO TO BE - HW'!K26:K44)+('TCO TO BE - HW'!K45+NPV(Faktory!$D$5,'TCO TO BE - HW'!K46:K54)))))</f>
        <v>0</v>
      </c>
      <c r="AM12" s="471">
        <f>('TCO TO BE - HW'!L15+NPV(Faktory!$D$5,'TCO TO BE - HW'!L16:L24)+'TCO TO BE - HW'!L56+NPV(Faktory!$D$5,'TCO TO BE - HW'!L57:L65)+'TCO TO BE - HW'!L76+NPV(Faktory!$D$5,'TCO TO BE - HW'!L77:L85)+'TCO TO BE - HW'!L86+NPV(Faktory!$D$5,'TCO TO BE - HW'!L87:L95)+'TCO TO BE - HW'!L96+NPV(Faktory!$D$5,'TCO TO BE - HW'!L97:L105)+('TCO TO BE - HW'!L25+NPV(Faktory!$D$5,'TCO TO BE - HW'!L26:L34)+('TCO TO BE - HW'!L35+NPV(Faktory!$D$5,'TCO TO BE - HW'!L26:L44)+('TCO TO BE - HW'!L45+NPV(Faktory!$D$5,'TCO TO BE - HW'!L46:L54)))))</f>
        <v>0</v>
      </c>
      <c r="AN12" s="471">
        <f>('TCO TO BE - HW'!M15+NPV(Faktory!$D$5,'TCO TO BE - HW'!M16:M24)+'TCO TO BE - HW'!M56+NPV(Faktory!$D$5,'TCO TO BE - HW'!M57:M65)+'TCO TO BE - HW'!M76+NPV(Faktory!$D$5,'TCO TO BE - HW'!M77:M85)+'TCO TO BE - HW'!M86+NPV(Faktory!$D$5,'TCO TO BE - HW'!M87:M95)+'TCO TO BE - HW'!M96+NPV(Faktory!$D$5,'TCO TO BE - HW'!M97:M105)+('TCO TO BE - HW'!M25+NPV(Faktory!$D$5,'TCO TO BE - HW'!M26:M34)+('TCO TO BE - HW'!M35+NPV(Faktory!$D$5,'TCO TO BE - HW'!M26:M44)+('TCO TO BE - HW'!M45+NPV(Faktory!$D$5,'TCO TO BE - HW'!M46:M54)))))</f>
        <v>0</v>
      </c>
      <c r="AO12" s="471">
        <f>('TCO TO BE - HW'!N15+NPV(Faktory!$D$5,'TCO TO BE - HW'!N16:N24)+'TCO TO BE - HW'!N56+NPV(Faktory!$D$5,'TCO TO BE - HW'!N57:N65)+'TCO TO BE - HW'!N76+NPV(Faktory!$D$5,'TCO TO BE - HW'!N77:N85)+'TCO TO BE - HW'!N86+NPV(Faktory!$D$5,'TCO TO BE - HW'!N87:N95)+'TCO TO BE - HW'!N96+NPV(Faktory!$D$5,'TCO TO BE - HW'!N97:N105)+('TCO TO BE - HW'!N25+NPV(Faktory!$D$5,'TCO TO BE - HW'!N26:N34)+('TCO TO BE - HW'!N35+NPV(Faktory!$D$5,'TCO TO BE - HW'!N26:N44)+('TCO TO BE - HW'!N45+NPV(Faktory!$D$5,'TCO TO BE - HW'!N46:N54)))))</f>
        <v>0</v>
      </c>
      <c r="AP12" s="471">
        <f>('TCO TO BE - HW'!O15+NPV(Faktory!$D$5,'TCO TO BE - HW'!O16:O24)+'TCO TO BE - HW'!O56+NPV(Faktory!$D$5,'TCO TO BE - HW'!O57:O65)+'TCO TO BE - HW'!O76+NPV(Faktory!$D$5,'TCO TO BE - HW'!O77:O85)+'TCO TO BE - HW'!O86+NPV(Faktory!$D$5,'TCO TO BE - HW'!O87:O95)+'TCO TO BE - HW'!O96+NPV(Faktory!$D$5,'TCO TO BE - HW'!O97:O105)+('TCO TO BE - HW'!O25+NPV(Faktory!$D$5,'TCO TO BE - HW'!O26:O34)+('TCO TO BE - HW'!O35+NPV(Faktory!$D$5,'TCO TO BE - HW'!O26:O44)+('TCO TO BE - HW'!O45+NPV(Faktory!$D$5,'TCO TO BE - HW'!O46:O54)))))</f>
        <v>0</v>
      </c>
      <c r="AQ12" s="471">
        <f>('TCO TO BE - HW'!P15+NPV(Faktory!$D$5,'TCO TO BE - HW'!P16:P24)+'TCO TO BE - HW'!P56+NPV(Faktory!$D$5,'TCO TO BE - HW'!P57:P65)+'TCO TO BE - HW'!P76+NPV(Faktory!$D$5,'TCO TO BE - HW'!P77:P85)+'TCO TO BE - HW'!P86+NPV(Faktory!$D$5,'TCO TO BE - HW'!P87:P95)+'TCO TO BE - HW'!P96+NPV(Faktory!$D$5,'TCO TO BE - HW'!P97:P105)+('TCO TO BE - HW'!P25+NPV(Faktory!$D$5,'TCO TO BE - HW'!P26:P34)+('TCO TO BE - HW'!P35+NPV(Faktory!$D$5,'TCO TO BE - HW'!P26:P44)+('TCO TO BE - HW'!P45+NPV(Faktory!$D$5,'TCO TO BE - HW'!P46:P54)))))</f>
        <v>43342.857142857138</v>
      </c>
      <c r="AR12" s="471">
        <f>('TCO TO BE - HW'!Q15+NPV(Faktory!$D$5,'TCO TO BE - HW'!Q16:Q24)+'TCO TO BE - HW'!Q56+NPV(Faktory!$D$5,'TCO TO BE - HW'!Q57:Q65)+'TCO TO BE - HW'!Q76+NPV(Faktory!$D$5,'TCO TO BE - HW'!Q77:Q85)+'TCO TO BE - HW'!Q86+NPV(Faktory!$D$5,'TCO TO BE - HW'!Q87:Q95)+'TCO TO BE - HW'!Q96+NPV(Faktory!$D$5,'TCO TO BE - HW'!Q97:Q105)+('TCO TO BE - HW'!Q25+NPV(Faktory!$D$5,'TCO TO BE - HW'!Q26:Q34)+('TCO TO BE - HW'!Q35+NPV(Faktory!$D$5,'TCO TO BE - HW'!Q26:Q44)+('TCO TO BE - HW'!Q45+NPV(Faktory!$D$5,'TCO TO BE - HW'!Q46:Q54)))))</f>
        <v>0</v>
      </c>
      <c r="AS12" s="471">
        <f>('TCO TO BE - HW'!R15+NPV(Faktory!$D$5,'TCO TO BE - HW'!R16:R24)+'TCO TO BE - HW'!R56+NPV(Faktory!$D$5,'TCO TO BE - HW'!R57:R65)+'TCO TO BE - HW'!R76+NPV(Faktory!$D$5,'TCO TO BE - HW'!R77:R85)+'TCO TO BE - HW'!R86+NPV(Faktory!$D$5,'TCO TO BE - HW'!R87:R95)+'TCO TO BE - HW'!R96+NPV(Faktory!$D$5,'TCO TO BE - HW'!R97:R105)+('TCO TO BE - HW'!R25+NPV(Faktory!$D$5,'TCO TO BE - HW'!R26:R34)+('TCO TO BE - HW'!R35+NPV(Faktory!$D$5,'TCO TO BE - HW'!R26:R44)+('TCO TO BE - HW'!R45+NPV(Faktory!$D$5,'TCO TO BE - HW'!R46:R54)))))</f>
        <v>0</v>
      </c>
      <c r="AT12" s="471">
        <f>('TCO TO BE - HW'!S15+NPV(Faktory!$D$5,'TCO TO BE - HW'!S16:S24)+'TCO TO BE - HW'!S56+NPV(Faktory!$D$5,'TCO TO BE - HW'!S57:S65)+'TCO TO BE - HW'!S76+NPV(Faktory!$D$5,'TCO TO BE - HW'!S77:S85)+'TCO TO BE - HW'!S86+NPV(Faktory!$D$5,'TCO TO BE - HW'!S87:S95)+'TCO TO BE - HW'!S96+NPV(Faktory!$D$5,'TCO TO BE - HW'!S97:S105)+('TCO TO BE - HW'!S25+NPV(Faktory!$D$5,'TCO TO BE - HW'!S26:S34)+('TCO TO BE - HW'!S35+NPV(Faktory!$D$5,'TCO TO BE - HW'!S26:S44)+('TCO TO BE - HW'!S45+NPV(Faktory!$D$5,'TCO TO BE - HW'!S46:S54)))))</f>
        <v>0</v>
      </c>
      <c r="AU12" s="471">
        <f>('TCO TO BE - HW'!T15+NPV(Faktory!$D$5,'TCO TO BE - HW'!T16:T24)+'TCO TO BE - HW'!T56+NPV(Faktory!$D$5,'TCO TO BE - HW'!T57:T65)+'TCO TO BE - HW'!T76+NPV(Faktory!$D$5,'TCO TO BE - HW'!T77:T85)+'TCO TO BE - HW'!T86+NPV(Faktory!$D$5,'TCO TO BE - HW'!T87:T95)+'TCO TO BE - HW'!T96+NPV(Faktory!$D$5,'TCO TO BE - HW'!T97:T105)+('TCO TO BE - HW'!T25+NPV(Faktory!$D$5,'TCO TO BE - HW'!T26:T34)+('TCO TO BE - HW'!T35+NPV(Faktory!$D$5,'TCO TO BE - HW'!T26:T44)+('TCO TO BE - HW'!T45+NPV(Faktory!$D$5,'TCO TO BE - HW'!T46:T54)))))</f>
        <v>0</v>
      </c>
      <c r="AV12" s="471">
        <f>('TCO TO BE - HW'!U15+NPV(Faktory!$D$5,'TCO TO BE - HW'!U16:U24)+'TCO TO BE - HW'!U56+NPV(Faktory!$D$5,'TCO TO BE - HW'!U57:U65)+'TCO TO BE - HW'!U76+NPV(Faktory!$D$5,'TCO TO BE - HW'!U77:U85)+'TCO TO BE - HW'!U86+NPV(Faktory!$D$5,'TCO TO BE - HW'!U87:U95)+'TCO TO BE - HW'!U96+NPV(Faktory!$D$5,'TCO TO BE - HW'!U97:U105)+('TCO TO BE - HW'!U25+NPV(Faktory!$D$5,'TCO TO BE - HW'!U26:U34)+('TCO TO BE - HW'!U35+NPV(Faktory!$D$5,'TCO TO BE - HW'!U26:U44)+('TCO TO BE - HW'!U45+NPV(Faktory!$D$5,'TCO TO BE - HW'!U46:U54)))))</f>
        <v>0</v>
      </c>
      <c r="AW12" s="471">
        <f>('TCO TO BE - HW'!V15+NPV(Faktory!$D$5,'TCO TO BE - HW'!V16:V24)+'TCO TO BE - HW'!V56+NPV(Faktory!$D$5,'TCO TO BE - HW'!V57:V65)+'TCO TO BE - HW'!V76+NPV(Faktory!$D$5,'TCO TO BE - HW'!V77:V85)+'TCO TO BE - HW'!V86+NPV(Faktory!$D$5,'TCO TO BE - HW'!V87:V95)+'TCO TO BE - HW'!V96+NPV(Faktory!$D$5,'TCO TO BE - HW'!V97:V105)+('TCO TO BE - HW'!V25+NPV(Faktory!$D$5,'TCO TO BE - HW'!V26:V34)+('TCO TO BE - HW'!V35+NPV(Faktory!$D$5,'TCO TO BE - HW'!V26:V44)+('TCO TO BE - HW'!V45+NPV(Faktory!$D$5,'TCO TO BE - HW'!V46:V54)))))</f>
        <v>0</v>
      </c>
      <c r="AX12" s="471">
        <f>('TCO TO BE - HW'!W15+NPV(Faktory!$D$5,'TCO TO BE - HW'!W16:W24)+'TCO TO BE - HW'!W56+NPV(Faktory!$D$5,'TCO TO BE - HW'!W57:W65)+'TCO TO BE - HW'!W76+NPV(Faktory!$D$5,'TCO TO BE - HW'!W77:W85)+'TCO TO BE - HW'!W86+NPV(Faktory!$D$5,'TCO TO BE - HW'!W87:W95)+'TCO TO BE - HW'!W96+NPV(Faktory!$D$5,'TCO TO BE - HW'!W97:W105)+('TCO TO BE - HW'!W25+NPV(Faktory!$D$5,'TCO TO BE - HW'!W26:W34)+('TCO TO BE - HW'!W35+NPV(Faktory!$D$5,'TCO TO BE - HW'!W26:W44)+('TCO TO BE - HW'!W45+NPV(Faktory!$D$5,'TCO TO BE - HW'!W46:W54)))))</f>
        <v>0</v>
      </c>
      <c r="AY12" s="471">
        <f>('TCO TO BE - HW'!X15+NPV(Faktory!$D$5,'TCO TO BE - HW'!X16:X24)+'TCO TO BE - HW'!X56+NPV(Faktory!$D$5,'TCO TO BE - HW'!X57:X65)+'TCO TO BE - HW'!X76+NPV(Faktory!$D$5,'TCO TO BE - HW'!X77:X85)+'TCO TO BE - HW'!X86+NPV(Faktory!$D$5,'TCO TO BE - HW'!X87:X95)+'TCO TO BE - HW'!X96+NPV(Faktory!$D$5,'TCO TO BE - HW'!X97:X105)+('TCO TO BE - HW'!X25+NPV(Faktory!$D$5,'TCO TO BE - HW'!X26:X34)+('TCO TO BE - HW'!X35+NPV(Faktory!$D$5,'TCO TO BE - HW'!X26:X44)+('TCO TO BE - HW'!X45+NPV(Faktory!$D$5,'TCO TO BE - HW'!X46:X54)))))</f>
        <v>0</v>
      </c>
      <c r="AZ12" s="471">
        <f>('TCO TO BE - HW'!Y15+NPV(Faktory!$D$5,'TCO TO BE - HW'!Y16:Y24)+'TCO TO BE - HW'!Y56+NPV(Faktory!$D$5,'TCO TO BE - HW'!Y57:Y65)+'TCO TO BE - HW'!Y76+NPV(Faktory!$D$5,'TCO TO BE - HW'!Y77:Y85)+'TCO TO BE - HW'!Y86+NPV(Faktory!$D$5,'TCO TO BE - HW'!Y87:Y95)+'TCO TO BE - HW'!Y96+NPV(Faktory!$D$5,'TCO TO BE - HW'!Y97:Y105)+('TCO TO BE - HW'!Y25+NPV(Faktory!$D$5,'TCO TO BE - HW'!Y26:Y34)+('TCO TO BE - HW'!Y35+NPV(Faktory!$D$5,'TCO TO BE - HW'!Y26:Y44)+('TCO TO BE - HW'!Y45+NPV(Faktory!$D$5,'TCO TO BE - HW'!Y46:Y54)))))</f>
        <v>0</v>
      </c>
      <c r="BA12" s="471">
        <f>('TCO TO BE - HW'!Z15+NPV(Faktory!$D$5,'TCO TO BE - HW'!Z16:Z24)+'TCO TO BE - HW'!Z56+NPV(Faktory!$D$5,'TCO TO BE - HW'!Z57:Z65)+'TCO TO BE - HW'!Z76+NPV(Faktory!$D$5,'TCO TO BE - HW'!Z77:Z85)+'TCO TO BE - HW'!Z86+NPV(Faktory!$D$5,'TCO TO BE - HW'!Z87:Z95)+'TCO TO BE - HW'!Z96+NPV(Faktory!$D$5,'TCO TO BE - HW'!Z97:Z105)+('TCO TO BE - HW'!Z25+NPV(Faktory!$D$5,'TCO TO BE - HW'!Z26:Z34)+('TCO TO BE - HW'!Z35+NPV(Faktory!$D$5,'TCO TO BE - HW'!Z26:Z44)+('TCO TO BE - HW'!Z45+NPV(Faktory!$D$5,'TCO TO BE - HW'!Z46:Z54)))))</f>
        <v>0</v>
      </c>
    </row>
    <row r="13" spans="1:53" x14ac:dyDescent="0.2">
      <c r="A13" s="459"/>
      <c r="B13" s="457" t="s">
        <v>232</v>
      </c>
      <c r="C13" s="457"/>
      <c r="D13" s="458">
        <f>SUM(E13:Y13)</f>
        <v>1864482.9380306648</v>
      </c>
      <c r="E13" s="458">
        <f>'TCO TO BE- SW'!F150</f>
        <v>556200.19519571995</v>
      </c>
      <c r="F13" s="458">
        <f>'TCO TO BE- SW'!G150</f>
        <v>108818.79380182804</v>
      </c>
      <c r="G13" s="458">
        <f>'TCO TO BE- SW'!H150</f>
        <v>27702.740928941977</v>
      </c>
      <c r="H13" s="458">
        <f>'TCO TO BE- SW'!I150</f>
        <v>25830.000000000004</v>
      </c>
      <c r="I13" s="458">
        <f>'TCO TO BE- SW'!J150</f>
        <v>87966.008759999982</v>
      </c>
      <c r="J13" s="458">
        <f>'TCO TO BE- SW'!K150</f>
        <v>448821.32077020005</v>
      </c>
      <c r="K13" s="458">
        <f>'TCO TO BE- SW'!L150</f>
        <v>277005.24489000003</v>
      </c>
      <c r="L13" s="458">
        <f>'TCO TO BE- SW'!M150</f>
        <v>144154.7052</v>
      </c>
      <c r="M13" s="458">
        <f>'TCO TO BE- SW'!N150</f>
        <v>42877.8</v>
      </c>
      <c r="N13" s="458">
        <f>'TCO TO BE- SW'!O150</f>
        <v>22730.356693974998</v>
      </c>
      <c r="O13" s="458">
        <f>'TCO TO BE- SW'!P150</f>
        <v>122375.77178999998</v>
      </c>
      <c r="P13" s="458">
        <f>'TCO TO BE- SW'!Q150</f>
        <v>0</v>
      </c>
      <c r="Q13" s="458">
        <f>'TCO TO BE- SW'!R150</f>
        <v>0</v>
      </c>
      <c r="R13" s="458">
        <f>'TCO TO BE- SW'!S150</f>
        <v>0</v>
      </c>
      <c r="S13" s="458">
        <f>'TCO TO BE- SW'!T150</f>
        <v>0</v>
      </c>
      <c r="T13" s="458">
        <f>'TCO TO BE- SW'!U150</f>
        <v>0</v>
      </c>
      <c r="U13" s="458">
        <f>'TCO TO BE- SW'!V150</f>
        <v>0</v>
      </c>
      <c r="V13" s="458">
        <f>'TCO TO BE- SW'!W150</f>
        <v>0</v>
      </c>
      <c r="W13" s="458">
        <f>'TCO TO BE- SW'!X150</f>
        <v>0</v>
      </c>
      <c r="X13" s="458">
        <f>'TCO TO BE- SW'!Y150</f>
        <v>0</v>
      </c>
      <c r="Y13" s="458">
        <f>'TCO TO BE- SW'!Z150</f>
        <v>0</v>
      </c>
      <c r="AC13" s="459"/>
      <c r="AD13" s="457" t="s">
        <v>232</v>
      </c>
      <c r="AE13" s="457"/>
      <c r="AF13" s="458">
        <f>SUM(AG13:BA13)</f>
        <v>1864482.9380306648</v>
      </c>
      <c r="AG13" s="461">
        <f>'TCO TO BE- SW'!F151+NPV(Faktory!$D$5,'TCO TO BE- SW'!F152:F160)+'TCO TO BE- SW'!F161+NPV(Faktory!$D$5,'TCO TO BE- SW'!F162:F170)</f>
        <v>556200.19519571995</v>
      </c>
      <c r="AH13" s="461">
        <f>'TCO TO BE- SW'!G151+NPV(Faktory!$D$5,'TCO TO BE- SW'!G152:G160)+'TCO TO BE- SW'!G161+NPV(Faktory!$D$5,'TCO TO BE- SW'!G162:G170)</f>
        <v>108818.79380182804</v>
      </c>
      <c r="AI13" s="461">
        <f>'TCO TO BE- SW'!H151+NPV(Faktory!$D$5,'TCO TO BE- SW'!H152:H160)+'TCO TO BE- SW'!H161+NPV(Faktory!$D$5,'TCO TO BE- SW'!H162:H170)</f>
        <v>27702.740928941977</v>
      </c>
      <c r="AJ13" s="461">
        <f>'TCO TO BE- SW'!I151+NPV(Faktory!$D$5,'TCO TO BE- SW'!I152:I160)+'TCO TO BE- SW'!I161+NPV(Faktory!$D$5,'TCO TO BE- SW'!I162:I170)</f>
        <v>25830.000000000004</v>
      </c>
      <c r="AK13" s="461">
        <f>'TCO TO BE- SW'!J151+NPV(Faktory!$D$5,'TCO TO BE- SW'!J152:J160)+'TCO TO BE- SW'!J161+NPV(Faktory!$D$5,'TCO TO BE- SW'!J162:J170)</f>
        <v>87966.008759999982</v>
      </c>
      <c r="AL13" s="461">
        <f>'TCO TO BE- SW'!K151+NPV(Faktory!$D$5,'TCO TO BE- SW'!K152:K160)+'TCO TO BE- SW'!K161+NPV(Faktory!$D$5,'TCO TO BE- SW'!K162:K170)</f>
        <v>448821.32077020005</v>
      </c>
      <c r="AM13" s="461">
        <f>'TCO TO BE- SW'!L151+NPV(Faktory!$D$5,'TCO TO BE- SW'!L152:L160)+'TCO TO BE- SW'!L161+NPV(Faktory!$D$5,'TCO TO BE- SW'!L162:L170)</f>
        <v>277005.24489000003</v>
      </c>
      <c r="AN13" s="461">
        <f>'TCO TO BE- SW'!M151+NPV(Faktory!$D$5,'TCO TO BE- SW'!M152:M160)+'TCO TO BE- SW'!M161+NPV(Faktory!$D$5,'TCO TO BE- SW'!M162:M170)</f>
        <v>144154.7052</v>
      </c>
      <c r="AO13" s="461">
        <f>'TCO TO BE- SW'!N151+NPV(Faktory!$D$5,'TCO TO BE- SW'!N152:N160)+'TCO TO BE- SW'!N161+NPV(Faktory!$D$5,'TCO TO BE- SW'!N162:N170)</f>
        <v>42877.8</v>
      </c>
      <c r="AP13" s="461">
        <f>'TCO TO BE- SW'!O151+NPV(Faktory!$D$5,'TCO TO BE- SW'!O152:O160)+'TCO TO BE- SW'!O161+NPV(Faktory!$D$5,'TCO TO BE- SW'!O162:O170)</f>
        <v>22730.356693974998</v>
      </c>
      <c r="AQ13" s="461">
        <f>'TCO TO BE- SW'!P151+NPV(Faktory!$D$5,'TCO TO BE- SW'!P152:P160)+'TCO TO BE- SW'!P161+NPV(Faktory!$D$5,'TCO TO BE- SW'!P162:P170)</f>
        <v>122375.77178999998</v>
      </c>
      <c r="AR13" s="461">
        <f>'TCO TO BE- SW'!Q151+NPV(Faktory!$D$5,'TCO TO BE- SW'!Q152:Q160)+'TCO TO BE- SW'!Q161+NPV(Faktory!$D$5,'TCO TO BE- SW'!Q162:Q170)</f>
        <v>0</v>
      </c>
      <c r="AS13" s="461">
        <f>'TCO TO BE- SW'!R151+NPV(Faktory!$D$5,'TCO TO BE- SW'!R152:R160)+'TCO TO BE- SW'!R161+NPV(Faktory!$D$5,'TCO TO BE- SW'!R162:R170)</f>
        <v>0</v>
      </c>
      <c r="AT13" s="461">
        <f>'TCO TO BE- SW'!S151+NPV(Faktory!$D$5,'TCO TO BE- SW'!S152:S160)+'TCO TO BE- SW'!S161+NPV(Faktory!$D$5,'TCO TO BE- SW'!S162:S170)</f>
        <v>0</v>
      </c>
      <c r="AU13" s="461">
        <f>'TCO TO BE- SW'!T151+NPV(Faktory!$D$5,'TCO TO BE- SW'!T152:T160)+'TCO TO BE- SW'!T161+NPV(Faktory!$D$5,'TCO TO BE- SW'!T162:T170)</f>
        <v>0</v>
      </c>
      <c r="AV13" s="461">
        <f>'TCO TO BE- SW'!U151+NPV(Faktory!$D$5,'TCO TO BE- SW'!U152:U160)+'TCO TO BE- SW'!U161+NPV(Faktory!$D$5,'TCO TO BE- SW'!U162:U170)</f>
        <v>0</v>
      </c>
      <c r="AW13" s="461">
        <f>'TCO TO BE- SW'!V151+NPV(Faktory!$D$5,'TCO TO BE- SW'!V152:V160)+'TCO TO BE- SW'!V161+NPV(Faktory!$D$5,'TCO TO BE- SW'!V162:V170)</f>
        <v>0</v>
      </c>
      <c r="AX13" s="461">
        <f>'TCO TO BE- SW'!W151+NPV(Faktory!$D$5,'TCO TO BE- SW'!W152:W160)+'TCO TO BE- SW'!W161+NPV(Faktory!$D$5,'TCO TO BE- SW'!W162:W170)</f>
        <v>0</v>
      </c>
      <c r="AY13" s="461">
        <f>'TCO TO BE- SW'!X151+NPV(Faktory!$D$5,'TCO TO BE- SW'!X152:X160)+'TCO TO BE- SW'!X161+NPV(Faktory!$D$5,'TCO TO BE- SW'!X162:X170)</f>
        <v>0</v>
      </c>
      <c r="AZ13" s="461">
        <f>'TCO TO BE- SW'!Y151+NPV(Faktory!$D$5,'TCO TO BE- SW'!Y152:Y160)+'TCO TO BE- SW'!Y161+NPV(Faktory!$D$5,'TCO TO BE- SW'!Y162:Y170)</f>
        <v>0</v>
      </c>
      <c r="BA13" s="461">
        <f>'TCO TO BE- SW'!Z151+NPV(Faktory!$D$5,'TCO TO BE- SW'!Z152:Z160)+'TCO TO BE- SW'!Z161+NPV(Faktory!$D$5,'TCO TO BE- SW'!Z162:Z170)</f>
        <v>0</v>
      </c>
    </row>
    <row r="14" spans="1:53" x14ac:dyDescent="0.2">
      <c r="A14" s="459"/>
      <c r="B14" s="457" t="s">
        <v>245</v>
      </c>
      <c r="C14" s="457"/>
      <c r="D14" s="458">
        <f>SUM(E14:Y14)</f>
        <v>0</v>
      </c>
      <c r="E14" s="458">
        <f>'TCO TO BE- SW'!F171</f>
        <v>0</v>
      </c>
      <c r="F14" s="458">
        <f>'TCO TO BE- SW'!G171</f>
        <v>0</v>
      </c>
      <c r="G14" s="458">
        <f>'TCO TO BE- SW'!H171</f>
        <v>0</v>
      </c>
      <c r="H14" s="458">
        <f>'TCO TO BE- SW'!I171</f>
        <v>0</v>
      </c>
      <c r="I14" s="458">
        <f>'TCO TO BE- SW'!J171</f>
        <v>0</v>
      </c>
      <c r="J14" s="458">
        <f>'TCO TO BE- SW'!K171</f>
        <v>0</v>
      </c>
      <c r="K14" s="458">
        <f>'TCO TO BE- SW'!L171</f>
        <v>0</v>
      </c>
      <c r="L14" s="458">
        <f>'TCO TO BE- SW'!M171</f>
        <v>0</v>
      </c>
      <c r="M14" s="458">
        <f>'TCO TO BE- SW'!N171</f>
        <v>0</v>
      </c>
      <c r="N14" s="458">
        <f>'TCO TO BE- SW'!O171</f>
        <v>0</v>
      </c>
      <c r="O14" s="458">
        <f>'TCO TO BE- SW'!P171</f>
        <v>0</v>
      </c>
      <c r="P14" s="458">
        <f>'TCO TO BE- SW'!Q171</f>
        <v>0</v>
      </c>
      <c r="Q14" s="458">
        <f>'TCO TO BE- SW'!R171</f>
        <v>0</v>
      </c>
      <c r="R14" s="458">
        <f>'TCO TO BE- SW'!S171</f>
        <v>0</v>
      </c>
      <c r="S14" s="458">
        <f>'TCO TO BE- SW'!T171</f>
        <v>0</v>
      </c>
      <c r="T14" s="458">
        <f>'TCO TO BE- SW'!U171</f>
        <v>0</v>
      </c>
      <c r="U14" s="458">
        <f>'TCO TO BE- SW'!V171</f>
        <v>0</v>
      </c>
      <c r="V14" s="458">
        <f>'TCO TO BE- SW'!W171</f>
        <v>0</v>
      </c>
      <c r="W14" s="458">
        <f>'TCO TO BE- SW'!X171</f>
        <v>0</v>
      </c>
      <c r="X14" s="458">
        <f>'TCO TO BE- SW'!Y171</f>
        <v>0</v>
      </c>
      <c r="Y14" s="458">
        <f>'TCO TO BE- SW'!Z171</f>
        <v>0</v>
      </c>
      <c r="AC14" s="459"/>
      <c r="AD14" s="457" t="s">
        <v>245</v>
      </c>
      <c r="AE14" s="457"/>
      <c r="AF14" s="458">
        <f>SUM(AG14:BA14)</f>
        <v>0</v>
      </c>
      <c r="AG14" s="461">
        <f>'TCO TO BE- SW'!F172+NPV(Faktory!$D$5,'TCO TO BE- SW'!F173:F181)+'TCO TO BE- SW'!F182+NPV(Faktory!$D$5,'TCO TO BE- SW'!F183:F191)</f>
        <v>0</v>
      </c>
      <c r="AH14" s="461">
        <f>'TCO TO BE- SW'!G172+NPV(Faktory!$D$5,'TCO TO BE- SW'!G173:G181)+'TCO TO BE- SW'!G182+NPV(Faktory!$D$5,'TCO TO BE- SW'!G183:G191)</f>
        <v>0</v>
      </c>
      <c r="AI14" s="461">
        <f>'TCO TO BE- SW'!H172+NPV(Faktory!$D$5,'TCO TO BE- SW'!H173:H181)+'TCO TO BE- SW'!H182+NPV(Faktory!$D$5,'TCO TO BE- SW'!H183:H191)</f>
        <v>0</v>
      </c>
      <c r="AJ14" s="461">
        <f>'TCO TO BE- SW'!I172+NPV(Faktory!$D$5,'TCO TO BE- SW'!I173:I181)+'TCO TO BE- SW'!I182+NPV(Faktory!$D$5,'TCO TO BE- SW'!I183:I191)</f>
        <v>0</v>
      </c>
      <c r="AK14" s="461">
        <f>'TCO TO BE- SW'!J172+NPV(Faktory!$D$5,'TCO TO BE- SW'!J173:J181)+'TCO TO BE- SW'!J182+NPV(Faktory!$D$5,'TCO TO BE- SW'!J183:J191)</f>
        <v>0</v>
      </c>
      <c r="AL14" s="461">
        <f>'TCO TO BE- SW'!K172+NPV(Faktory!$D$5,'TCO TO BE- SW'!K173:K181)+'TCO TO BE- SW'!K182+NPV(Faktory!$D$5,'TCO TO BE- SW'!K183:K191)</f>
        <v>0</v>
      </c>
      <c r="AM14" s="461">
        <f>'TCO TO BE- SW'!L172+NPV(Faktory!$D$5,'TCO TO BE- SW'!L173:L181)+'TCO TO BE- SW'!L182+NPV(Faktory!$D$5,'TCO TO BE- SW'!L183:L191)</f>
        <v>0</v>
      </c>
      <c r="AN14" s="461">
        <f>'TCO TO BE- SW'!M172+NPV(Faktory!$D$5,'TCO TO BE- SW'!M173:M181)+'TCO TO BE- SW'!M182+NPV(Faktory!$D$5,'TCO TO BE- SW'!M183:M191)</f>
        <v>0</v>
      </c>
      <c r="AO14" s="461">
        <f>'TCO TO BE- SW'!N172+NPV(Faktory!$D$5,'TCO TO BE- SW'!N173:N181)+'TCO TO BE- SW'!N182+NPV(Faktory!$D$5,'TCO TO BE- SW'!N183:N191)</f>
        <v>0</v>
      </c>
      <c r="AP14" s="461">
        <f>'TCO TO BE- SW'!O172+NPV(Faktory!$D$5,'TCO TO BE- SW'!O173:O181)+'TCO TO BE- SW'!O182+NPV(Faktory!$D$5,'TCO TO BE- SW'!O183:O191)</f>
        <v>0</v>
      </c>
      <c r="AQ14" s="461">
        <f>'TCO TO BE- SW'!P172+NPV(Faktory!$D$5,'TCO TO BE- SW'!P173:P181)+'TCO TO BE- SW'!P182+NPV(Faktory!$D$5,'TCO TO BE- SW'!P183:P191)</f>
        <v>0</v>
      </c>
      <c r="AR14" s="461">
        <f>'TCO TO BE- SW'!Q172+NPV(Faktory!$D$5,'TCO TO BE- SW'!Q173:Q181)+'TCO TO BE- SW'!Q182+NPV(Faktory!$D$5,'TCO TO BE- SW'!Q183:Q191)</f>
        <v>0</v>
      </c>
      <c r="AS14" s="461">
        <f>'TCO TO BE- SW'!R172+NPV(Faktory!$D$5,'TCO TO BE- SW'!R173:R181)+'TCO TO BE- SW'!R182+NPV(Faktory!$D$5,'TCO TO BE- SW'!R183:R191)</f>
        <v>0</v>
      </c>
      <c r="AT14" s="461">
        <f>'TCO TO BE- SW'!S172+NPV(Faktory!$D$5,'TCO TO BE- SW'!S173:S181)+'TCO TO BE- SW'!S182+NPV(Faktory!$D$5,'TCO TO BE- SW'!S183:S191)</f>
        <v>0</v>
      </c>
      <c r="AU14" s="461">
        <f>'TCO TO BE- SW'!T172+NPV(Faktory!$D$5,'TCO TO BE- SW'!T173:T181)+'TCO TO BE- SW'!T182+NPV(Faktory!$D$5,'TCO TO BE- SW'!T183:T191)</f>
        <v>0</v>
      </c>
      <c r="AV14" s="461">
        <f>'TCO TO BE- SW'!U172+NPV(Faktory!$D$5,'TCO TO BE- SW'!U173:U181)+'TCO TO BE- SW'!U182+NPV(Faktory!$D$5,'TCO TO BE- SW'!U183:U191)</f>
        <v>0</v>
      </c>
      <c r="AW14" s="461">
        <f>'TCO TO BE- SW'!V172+NPV(Faktory!$D$5,'TCO TO BE- SW'!V173:V181)+'TCO TO BE- SW'!V182+NPV(Faktory!$D$5,'TCO TO BE- SW'!V183:V191)</f>
        <v>0</v>
      </c>
      <c r="AX14" s="461">
        <f>'TCO TO BE- SW'!W172+NPV(Faktory!$D$5,'TCO TO BE- SW'!W173:W181)+'TCO TO BE- SW'!W182+NPV(Faktory!$D$5,'TCO TO BE- SW'!W183:W191)</f>
        <v>0</v>
      </c>
      <c r="AY14" s="461">
        <f>'TCO TO BE- SW'!X172+NPV(Faktory!$D$5,'TCO TO BE- SW'!X173:X181)+'TCO TO BE- SW'!X182+NPV(Faktory!$D$5,'TCO TO BE- SW'!X183:X191)</f>
        <v>0</v>
      </c>
      <c r="AZ14" s="461">
        <f>'TCO TO BE- SW'!Y172+NPV(Faktory!$D$5,'TCO TO BE- SW'!Y173:Y181)+'TCO TO BE- SW'!Y182+NPV(Faktory!$D$5,'TCO TO BE- SW'!Y183:Y191)</f>
        <v>0</v>
      </c>
      <c r="BA14" s="461">
        <f>'TCO TO BE- SW'!Z172+NPV(Faktory!$D$5,'TCO TO BE- SW'!Z173:Z181)+'TCO TO BE- SW'!Z182+NPV(Faktory!$D$5,'TCO TO BE- SW'!Z183:Z191)</f>
        <v>0</v>
      </c>
    </row>
    <row r="15" spans="1:53" x14ac:dyDescent="0.2">
      <c r="A15" s="454" t="s">
        <v>159</v>
      </c>
      <c r="B15" s="454"/>
      <c r="C15" s="454"/>
      <c r="D15" s="462">
        <f>SUM(E15:X15)</f>
        <v>48086418.015964389</v>
      </c>
      <c r="E15" s="455">
        <f>E16+E19</f>
        <v>19107173.3836639</v>
      </c>
      <c r="F15" s="455">
        <f t="shared" ref="F15:Y15" si="3">F16+F19</f>
        <v>3723404.1608481635</v>
      </c>
      <c r="G15" s="455">
        <f t="shared" si="3"/>
        <v>910121.12066790857</v>
      </c>
      <c r="H15" s="455">
        <f t="shared" si="3"/>
        <v>888196.86689540534</v>
      </c>
      <c r="I15" s="455">
        <f t="shared" si="3"/>
        <v>2843852.3975099083</v>
      </c>
      <c r="J15" s="455">
        <f t="shared" si="3"/>
        <v>907840.15600635239</v>
      </c>
      <c r="K15" s="455">
        <f t="shared" si="3"/>
        <v>9495318.208975682</v>
      </c>
      <c r="L15" s="455">
        <f t="shared" si="3"/>
        <v>4723034.551850928</v>
      </c>
      <c r="M15" s="455">
        <f t="shared" si="3"/>
        <v>1474406.799046373</v>
      </c>
      <c r="N15" s="455">
        <f t="shared" si="3"/>
        <v>45977.161984476777</v>
      </c>
      <c r="O15" s="455">
        <f t="shared" si="3"/>
        <v>3967093.2085152958</v>
      </c>
      <c r="P15" s="455">
        <f t="shared" si="3"/>
        <v>0</v>
      </c>
      <c r="Q15" s="455">
        <f t="shared" si="3"/>
        <v>0</v>
      </c>
      <c r="R15" s="455">
        <f t="shared" si="3"/>
        <v>0</v>
      </c>
      <c r="S15" s="455">
        <f t="shared" si="3"/>
        <v>0</v>
      </c>
      <c r="T15" s="455">
        <f t="shared" si="3"/>
        <v>0</v>
      </c>
      <c r="U15" s="455">
        <f t="shared" si="3"/>
        <v>0</v>
      </c>
      <c r="V15" s="455">
        <f t="shared" si="3"/>
        <v>0</v>
      </c>
      <c r="W15" s="455">
        <f t="shared" si="3"/>
        <v>0</v>
      </c>
      <c r="X15" s="455">
        <f t="shared" si="3"/>
        <v>0</v>
      </c>
      <c r="Y15" s="455">
        <f t="shared" si="3"/>
        <v>0</v>
      </c>
      <c r="AC15" s="454" t="s">
        <v>159</v>
      </c>
      <c r="AD15" s="454"/>
      <c r="AE15" s="454"/>
      <c r="AF15" s="462">
        <f>SUM(AG15:AZ15)</f>
        <v>35761865.697502494</v>
      </c>
      <c r="AG15" s="462">
        <f>AG16+AG19</f>
        <v>14210003.501999846</v>
      </c>
      <c r="AH15" s="462">
        <f t="shared" ref="AH15:BA15" si="4">AH16+AH19</f>
        <v>2769095.412629134</v>
      </c>
      <c r="AI15" s="462">
        <f t="shared" si="4"/>
        <v>676857.01344983908</v>
      </c>
      <c r="AJ15" s="462">
        <f t="shared" si="4"/>
        <v>660551.94746072916</v>
      </c>
      <c r="AK15" s="462">
        <f t="shared" si="4"/>
        <v>2114972.828076018</v>
      </c>
      <c r="AL15" s="462">
        <f t="shared" si="4"/>
        <v>675160.66019141499</v>
      </c>
      <c r="AM15" s="462">
        <f t="shared" si="4"/>
        <v>7061667.4843965899</v>
      </c>
      <c r="AN15" s="462">
        <f t="shared" si="4"/>
        <v>3512520.4641335825</v>
      </c>
      <c r="AO15" s="462">
        <f t="shared" si="4"/>
        <v>1096516.2327848105</v>
      </c>
      <c r="AP15" s="462">
        <f t="shared" si="4"/>
        <v>34193.212135187554</v>
      </c>
      <c r="AQ15" s="462">
        <f t="shared" si="4"/>
        <v>2950326.9402453322</v>
      </c>
      <c r="AR15" s="462">
        <f t="shared" si="4"/>
        <v>0</v>
      </c>
      <c r="AS15" s="462">
        <f t="shared" si="4"/>
        <v>0</v>
      </c>
      <c r="AT15" s="462">
        <f t="shared" si="4"/>
        <v>0</v>
      </c>
      <c r="AU15" s="462">
        <f t="shared" si="4"/>
        <v>0</v>
      </c>
      <c r="AV15" s="462">
        <f t="shared" si="4"/>
        <v>0</v>
      </c>
      <c r="AW15" s="462">
        <f t="shared" si="4"/>
        <v>0</v>
      </c>
      <c r="AX15" s="462">
        <f t="shared" si="4"/>
        <v>0</v>
      </c>
      <c r="AY15" s="462">
        <f t="shared" si="4"/>
        <v>0</v>
      </c>
      <c r="AZ15" s="462">
        <f t="shared" si="4"/>
        <v>0</v>
      </c>
      <c r="BA15" s="462">
        <f t="shared" si="4"/>
        <v>0</v>
      </c>
    </row>
    <row r="16" spans="1:53" x14ac:dyDescent="0.2">
      <c r="A16" s="456"/>
      <c r="B16" s="457" t="s">
        <v>17</v>
      </c>
      <c r="C16" s="457"/>
      <c r="D16" s="458">
        <f>SUM(E16:X16)</f>
        <v>0</v>
      </c>
      <c r="E16" s="458">
        <f>E17+E18</f>
        <v>0</v>
      </c>
      <c r="F16" s="458">
        <f t="shared" ref="F16:Y16" si="5">F17+F18</f>
        <v>0</v>
      </c>
      <c r="G16" s="458">
        <f t="shared" si="5"/>
        <v>0</v>
      </c>
      <c r="H16" s="458">
        <f t="shared" si="5"/>
        <v>0</v>
      </c>
      <c r="I16" s="458">
        <f t="shared" si="5"/>
        <v>0</v>
      </c>
      <c r="J16" s="458">
        <f t="shared" si="5"/>
        <v>0</v>
      </c>
      <c r="K16" s="458">
        <f t="shared" si="5"/>
        <v>0</v>
      </c>
      <c r="L16" s="458">
        <f t="shared" si="5"/>
        <v>0</v>
      </c>
      <c r="M16" s="458">
        <f t="shared" si="5"/>
        <v>0</v>
      </c>
      <c r="N16" s="458">
        <f t="shared" si="5"/>
        <v>0</v>
      </c>
      <c r="O16" s="458">
        <f t="shared" si="5"/>
        <v>0</v>
      </c>
      <c r="P16" s="458">
        <f t="shared" si="5"/>
        <v>0</v>
      </c>
      <c r="Q16" s="458">
        <f t="shared" si="5"/>
        <v>0</v>
      </c>
      <c r="R16" s="458">
        <f t="shared" si="5"/>
        <v>0</v>
      </c>
      <c r="S16" s="458">
        <f t="shared" si="5"/>
        <v>0</v>
      </c>
      <c r="T16" s="458">
        <f t="shared" si="5"/>
        <v>0</v>
      </c>
      <c r="U16" s="458">
        <f t="shared" si="5"/>
        <v>0</v>
      </c>
      <c r="V16" s="458">
        <f t="shared" si="5"/>
        <v>0</v>
      </c>
      <c r="W16" s="458">
        <f t="shared" si="5"/>
        <v>0</v>
      </c>
      <c r="X16" s="458">
        <f t="shared" si="5"/>
        <v>0</v>
      </c>
      <c r="Y16" s="458">
        <f t="shared" si="5"/>
        <v>0</v>
      </c>
      <c r="AC16" s="456"/>
      <c r="AD16" s="457" t="s">
        <v>17</v>
      </c>
      <c r="AE16" s="457"/>
      <c r="AF16" s="458">
        <f>SUM(AG16:AZ16)</f>
        <v>0</v>
      </c>
      <c r="AG16" s="458">
        <f>AG17+AG18</f>
        <v>0</v>
      </c>
      <c r="AH16" s="458">
        <f t="shared" ref="AH16:BA16" si="6">AH17+AH18</f>
        <v>0</v>
      </c>
      <c r="AI16" s="458">
        <f t="shared" si="6"/>
        <v>0</v>
      </c>
      <c r="AJ16" s="458">
        <f t="shared" si="6"/>
        <v>0</v>
      </c>
      <c r="AK16" s="458">
        <f t="shared" si="6"/>
        <v>0</v>
      </c>
      <c r="AL16" s="458">
        <f t="shared" si="6"/>
        <v>0</v>
      </c>
      <c r="AM16" s="458">
        <f t="shared" si="6"/>
        <v>0</v>
      </c>
      <c r="AN16" s="458">
        <f t="shared" si="6"/>
        <v>0</v>
      </c>
      <c r="AO16" s="458">
        <f t="shared" si="6"/>
        <v>0</v>
      </c>
      <c r="AP16" s="458">
        <f t="shared" si="6"/>
        <v>0</v>
      </c>
      <c r="AQ16" s="458">
        <f t="shared" si="6"/>
        <v>0</v>
      </c>
      <c r="AR16" s="458">
        <f t="shared" si="6"/>
        <v>0</v>
      </c>
      <c r="AS16" s="458">
        <f t="shared" si="6"/>
        <v>0</v>
      </c>
      <c r="AT16" s="458">
        <f t="shared" si="6"/>
        <v>0</v>
      </c>
      <c r="AU16" s="458">
        <f t="shared" si="6"/>
        <v>0</v>
      </c>
      <c r="AV16" s="458">
        <f t="shared" si="6"/>
        <v>0</v>
      </c>
      <c r="AW16" s="458">
        <f t="shared" si="6"/>
        <v>0</v>
      </c>
      <c r="AX16" s="458">
        <f t="shared" si="6"/>
        <v>0</v>
      </c>
      <c r="AY16" s="458">
        <f t="shared" si="6"/>
        <v>0</v>
      </c>
      <c r="AZ16" s="458">
        <f t="shared" si="6"/>
        <v>0</v>
      </c>
      <c r="BA16" s="458">
        <f t="shared" si="6"/>
        <v>0</v>
      </c>
    </row>
    <row r="17" spans="1:53" x14ac:dyDescent="0.2">
      <c r="A17" s="459"/>
      <c r="B17" s="459"/>
      <c r="C17" s="460" t="s">
        <v>47</v>
      </c>
      <c r="D17" s="476">
        <f>SUM(E17:X17)</f>
        <v>0</v>
      </c>
      <c r="E17" s="476">
        <f>SUM('Parametre - Agendové IS'!I116:I125)</f>
        <v>0</v>
      </c>
      <c r="F17" s="476">
        <f>SUM('Parametre - Agendové IS'!J116:J125)</f>
        <v>0</v>
      </c>
      <c r="G17" s="476">
        <f>SUM('Parametre - Agendové IS'!K116:K125)</f>
        <v>0</v>
      </c>
      <c r="H17" s="476">
        <f>SUM('Parametre - Agendové IS'!L116:L125)</f>
        <v>0</v>
      </c>
      <c r="I17" s="476">
        <f>SUM('Parametre - Agendové IS'!M116:M125)</f>
        <v>0</v>
      </c>
      <c r="J17" s="476">
        <f>SUM('Parametre - Agendové IS'!N116:N125)</f>
        <v>0</v>
      </c>
      <c r="K17" s="476">
        <f>SUM('Parametre - Agendové IS'!O116:O125)</f>
        <v>0</v>
      </c>
      <c r="L17" s="476">
        <f>SUM('Parametre - Agendové IS'!P116:P125)</f>
        <v>0</v>
      </c>
      <c r="M17" s="476">
        <f>SUM('Parametre - Agendové IS'!Q116:Q125)</f>
        <v>0</v>
      </c>
      <c r="N17" s="476">
        <f>SUM('Parametre - Agendové IS'!R116:R125)</f>
        <v>0</v>
      </c>
      <c r="O17" s="476">
        <f>SUM('Parametre - Agendové IS'!S116:S125)</f>
        <v>0</v>
      </c>
      <c r="P17" s="476">
        <f>SUM('Parametre - Agendové IS'!T116:T125)</f>
        <v>0</v>
      </c>
      <c r="Q17" s="476">
        <f>SUM('Parametre - Agendové IS'!U116:U125)</f>
        <v>0</v>
      </c>
      <c r="R17" s="476">
        <f>SUM('Parametre - Agendové IS'!V116:V125)</f>
        <v>0</v>
      </c>
      <c r="S17" s="476">
        <f>SUM('Parametre - Agendové IS'!W116:W125)</f>
        <v>0</v>
      </c>
      <c r="T17" s="476">
        <f>SUM('Parametre - Agendové IS'!X116:X125)</f>
        <v>0</v>
      </c>
      <c r="U17" s="476">
        <f>SUM('Parametre - Agendové IS'!Y116:Y125)</f>
        <v>0</v>
      </c>
      <c r="V17" s="476">
        <f>SUM('Parametre - Agendové IS'!Z116:Z125)</f>
        <v>0</v>
      </c>
      <c r="W17" s="476">
        <f>SUM('Parametre - Agendové IS'!AA116:AA125)</f>
        <v>0</v>
      </c>
      <c r="X17" s="476">
        <f>SUM('Parametre - Agendové IS'!AB116:AB125)</f>
        <v>0</v>
      </c>
      <c r="Y17" s="476">
        <f>SUM('Parametre - Agendové IS'!AC116:AC125)</f>
        <v>0</v>
      </c>
      <c r="AC17" s="459"/>
      <c r="AD17" s="459"/>
      <c r="AE17" s="460" t="s">
        <v>47</v>
      </c>
      <c r="AF17" s="471">
        <f>SUM(AG17:AZ17)</f>
        <v>0</v>
      </c>
      <c r="AG17" s="471">
        <f>'Parametre - Agendové IS'!I116+NPV(Faktory!$D$3,'Parametre - Agendové IS'!I117:I125)</f>
        <v>0</v>
      </c>
      <c r="AH17" s="471">
        <f>'Parametre - Agendové IS'!J116+NPV(Faktory!$D$3,'Parametre - Agendové IS'!J117:J125)</f>
        <v>0</v>
      </c>
      <c r="AI17" s="471">
        <f>'Parametre - Agendové IS'!K116+NPV(Faktory!$D$3,'Parametre - Agendové IS'!K117:K125)</f>
        <v>0</v>
      </c>
      <c r="AJ17" s="471">
        <f>'Parametre - Agendové IS'!L116+NPV(Faktory!$D$3,'Parametre - Agendové IS'!L117:L125)</f>
        <v>0</v>
      </c>
      <c r="AK17" s="471">
        <f>'Parametre - Agendové IS'!M116+NPV(Faktory!$D$3,'Parametre - Agendové IS'!M117:M125)</f>
        <v>0</v>
      </c>
      <c r="AL17" s="471">
        <f>'Parametre - Agendové IS'!N116+NPV(Faktory!$D$3,'Parametre - Agendové IS'!N117:N125)</f>
        <v>0</v>
      </c>
      <c r="AM17" s="471">
        <f>'Parametre - Agendové IS'!O116+NPV(Faktory!$D$3,'Parametre - Agendové IS'!O117:O125)</f>
        <v>0</v>
      </c>
      <c r="AN17" s="471">
        <f>'Parametre - Agendové IS'!P116+NPV(Faktory!$D$3,'Parametre - Agendové IS'!P117:P125)</f>
        <v>0</v>
      </c>
      <c r="AO17" s="471">
        <f>'Parametre - Agendové IS'!Q116+NPV(Faktory!$D$3,'Parametre - Agendové IS'!Q117:Q125)</f>
        <v>0</v>
      </c>
      <c r="AP17" s="471">
        <f>'Parametre - Agendové IS'!R116+NPV(Faktory!$D$3,'Parametre - Agendové IS'!R117:R125)</f>
        <v>0</v>
      </c>
      <c r="AQ17" s="471">
        <f>'Parametre - Agendové IS'!S116+NPV(Faktory!$D$3,'Parametre - Agendové IS'!S117:S125)</f>
        <v>0</v>
      </c>
      <c r="AR17" s="471">
        <f>'Parametre - Agendové IS'!T116+NPV(Faktory!$D$3,'Parametre - Agendové IS'!T117:T125)</f>
        <v>0</v>
      </c>
      <c r="AS17" s="471">
        <f>'Parametre - Agendové IS'!U116+NPV(Faktory!$D$3,'Parametre - Agendové IS'!U117:U125)</f>
        <v>0</v>
      </c>
      <c r="AT17" s="471">
        <f>'Parametre - Agendové IS'!V116+NPV(Faktory!$D$3,'Parametre - Agendové IS'!V117:V125)</f>
        <v>0</v>
      </c>
      <c r="AU17" s="471">
        <f>'Parametre - Agendové IS'!W116+NPV(Faktory!$D$3,'Parametre - Agendové IS'!W117:W125)</f>
        <v>0</v>
      </c>
      <c r="AV17" s="471">
        <f>'Parametre - Agendové IS'!X116+NPV(Faktory!$D$3,'Parametre - Agendové IS'!X117:X125)</f>
        <v>0</v>
      </c>
      <c r="AW17" s="471">
        <f>'Parametre - Agendové IS'!Y116+NPV(Faktory!$D$3,'Parametre - Agendové IS'!Y117:Y125)</f>
        <v>0</v>
      </c>
      <c r="AX17" s="471">
        <f>'Parametre - Agendové IS'!Z116+NPV(Faktory!$D$3,'Parametre - Agendové IS'!Z117:Z125)</f>
        <v>0</v>
      </c>
      <c r="AY17" s="471">
        <f>'Parametre - Agendové IS'!AA116+NPV(Faktory!$D$3,'Parametre - Agendové IS'!AA117:AA125)</f>
        <v>0</v>
      </c>
      <c r="AZ17" s="471">
        <f>'Parametre - Agendové IS'!AB116+NPV(Faktory!$D$3,'Parametre - Agendové IS'!AB117:AB125)</f>
        <v>0</v>
      </c>
      <c r="BA17" s="471">
        <f>'Parametre - Agendové IS'!AC116+NPV(Faktory!$D$3,'Parametre - Agendové IS'!AC117:AC125)</f>
        <v>0</v>
      </c>
    </row>
    <row r="18" spans="1:53" x14ac:dyDescent="0.2">
      <c r="A18" s="459"/>
      <c r="B18" s="459"/>
      <c r="C18" s="460" t="s">
        <v>48</v>
      </c>
      <c r="D18" s="476">
        <f>'Prínosy - Agendové IS'!AN15</f>
        <v>0</v>
      </c>
      <c r="E18" s="473"/>
      <c r="F18" s="473"/>
      <c r="G18" s="473"/>
      <c r="H18" s="473"/>
      <c r="I18" s="473"/>
      <c r="J18" s="474"/>
      <c r="K18" s="473"/>
      <c r="L18" s="473"/>
      <c r="M18" s="473"/>
      <c r="N18" s="474"/>
      <c r="O18" s="473"/>
      <c r="P18" s="473"/>
      <c r="Q18" s="473"/>
      <c r="R18" s="474"/>
      <c r="S18" s="473"/>
      <c r="T18" s="473"/>
      <c r="U18" s="473"/>
      <c r="V18" s="474"/>
      <c r="W18" s="473"/>
      <c r="X18" s="473"/>
      <c r="Y18" s="473"/>
      <c r="Z18" s="332"/>
      <c r="AC18" s="459"/>
      <c r="AD18" s="459"/>
      <c r="AE18" s="460" t="s">
        <v>48</v>
      </c>
      <c r="AF18" s="471">
        <f>'Prínosy - Agendové IS'!L15</f>
        <v>0</v>
      </c>
      <c r="AG18" s="473"/>
      <c r="AH18" s="473"/>
      <c r="AI18" s="473"/>
      <c r="AJ18" s="473"/>
      <c r="AK18" s="474"/>
      <c r="AL18" s="473"/>
      <c r="AM18" s="473"/>
      <c r="AN18" s="473"/>
      <c r="AO18" s="474"/>
      <c r="AP18" s="473"/>
      <c r="AQ18" s="473"/>
      <c r="AR18" s="473"/>
      <c r="AS18" s="474"/>
      <c r="AT18" s="473"/>
      <c r="AU18" s="473"/>
      <c r="AV18" s="473"/>
      <c r="AW18" s="474"/>
      <c r="AX18" s="473"/>
      <c r="AY18" s="473"/>
      <c r="AZ18" s="473"/>
      <c r="BA18" s="474"/>
    </row>
    <row r="19" spans="1:53" x14ac:dyDescent="0.2">
      <c r="A19" s="456"/>
      <c r="B19" s="457" t="s">
        <v>18</v>
      </c>
      <c r="C19" s="457"/>
      <c r="D19" s="458">
        <f>SUM(E19:X19)</f>
        <v>48086418.015964389</v>
      </c>
      <c r="E19" s="458">
        <f>E20+E21+E23</f>
        <v>19107173.3836639</v>
      </c>
      <c r="F19" s="458">
        <f t="shared" ref="F19:Y19" si="7">F20+F21+F23</f>
        <v>3723404.1608481635</v>
      </c>
      <c r="G19" s="458">
        <f t="shared" si="7"/>
        <v>910121.12066790857</v>
      </c>
      <c r="H19" s="458">
        <f t="shared" si="7"/>
        <v>888196.86689540534</v>
      </c>
      <c r="I19" s="458">
        <f t="shared" si="7"/>
        <v>2843852.3975099083</v>
      </c>
      <c r="J19" s="458">
        <f t="shared" si="7"/>
        <v>907840.15600635239</v>
      </c>
      <c r="K19" s="458">
        <f t="shared" si="7"/>
        <v>9495318.208975682</v>
      </c>
      <c r="L19" s="458">
        <f t="shared" si="7"/>
        <v>4723034.551850928</v>
      </c>
      <c r="M19" s="458">
        <f t="shared" si="7"/>
        <v>1474406.799046373</v>
      </c>
      <c r="N19" s="458">
        <f t="shared" si="7"/>
        <v>45977.161984476777</v>
      </c>
      <c r="O19" s="458">
        <f t="shared" si="7"/>
        <v>3967093.2085152958</v>
      </c>
      <c r="P19" s="458">
        <f t="shared" si="7"/>
        <v>0</v>
      </c>
      <c r="Q19" s="458">
        <f t="shared" si="7"/>
        <v>0</v>
      </c>
      <c r="R19" s="458">
        <f t="shared" si="7"/>
        <v>0</v>
      </c>
      <c r="S19" s="458">
        <f t="shared" si="7"/>
        <v>0</v>
      </c>
      <c r="T19" s="458">
        <f t="shared" si="7"/>
        <v>0</v>
      </c>
      <c r="U19" s="458">
        <f t="shared" si="7"/>
        <v>0</v>
      </c>
      <c r="V19" s="458">
        <f t="shared" si="7"/>
        <v>0</v>
      </c>
      <c r="W19" s="458">
        <f t="shared" si="7"/>
        <v>0</v>
      </c>
      <c r="X19" s="458">
        <f t="shared" si="7"/>
        <v>0</v>
      </c>
      <c r="Y19" s="458">
        <f t="shared" si="7"/>
        <v>0</v>
      </c>
      <c r="AC19" s="456"/>
      <c r="AD19" s="457" t="s">
        <v>18</v>
      </c>
      <c r="AE19" s="457"/>
      <c r="AF19" s="458">
        <f>SUM(AG19:AZ19)</f>
        <v>35761865.697502494</v>
      </c>
      <c r="AG19" s="458">
        <f>AG20+AG21+AG23</f>
        <v>14210003.501999846</v>
      </c>
      <c r="AH19" s="458">
        <f t="shared" ref="AH19:BA19" si="8">AH20+AH21+AH23</f>
        <v>2769095.412629134</v>
      </c>
      <c r="AI19" s="458">
        <f t="shared" si="8"/>
        <v>676857.01344983908</v>
      </c>
      <c r="AJ19" s="458">
        <f t="shared" si="8"/>
        <v>660551.94746072916</v>
      </c>
      <c r="AK19" s="458">
        <f t="shared" si="8"/>
        <v>2114972.828076018</v>
      </c>
      <c r="AL19" s="458">
        <f t="shared" si="8"/>
        <v>675160.66019141499</v>
      </c>
      <c r="AM19" s="458">
        <f t="shared" si="8"/>
        <v>7061667.4843965899</v>
      </c>
      <c r="AN19" s="458">
        <f t="shared" si="8"/>
        <v>3512520.4641335825</v>
      </c>
      <c r="AO19" s="458">
        <f t="shared" si="8"/>
        <v>1096516.2327848105</v>
      </c>
      <c r="AP19" s="458">
        <f t="shared" si="8"/>
        <v>34193.212135187554</v>
      </c>
      <c r="AQ19" s="458">
        <f t="shared" si="8"/>
        <v>2950326.9402453322</v>
      </c>
      <c r="AR19" s="458">
        <f t="shared" si="8"/>
        <v>0</v>
      </c>
      <c r="AS19" s="458">
        <f t="shared" si="8"/>
        <v>0</v>
      </c>
      <c r="AT19" s="458">
        <f t="shared" si="8"/>
        <v>0</v>
      </c>
      <c r="AU19" s="458">
        <f t="shared" si="8"/>
        <v>0</v>
      </c>
      <c r="AV19" s="458">
        <f t="shared" si="8"/>
        <v>0</v>
      </c>
      <c r="AW19" s="458">
        <f t="shared" si="8"/>
        <v>0</v>
      </c>
      <c r="AX19" s="458">
        <f t="shared" si="8"/>
        <v>0</v>
      </c>
      <c r="AY19" s="458">
        <f t="shared" si="8"/>
        <v>0</v>
      </c>
      <c r="AZ19" s="458">
        <f t="shared" si="8"/>
        <v>0</v>
      </c>
      <c r="BA19" s="458">
        <f t="shared" si="8"/>
        <v>0</v>
      </c>
    </row>
    <row r="20" spans="1:53" x14ac:dyDescent="0.2">
      <c r="A20" s="459"/>
      <c r="B20" s="459"/>
      <c r="C20" s="460" t="s">
        <v>161</v>
      </c>
      <c r="D20" s="476">
        <f>SUM(E20:X20)</f>
        <v>0</v>
      </c>
      <c r="E20" s="476">
        <f>SUM('Parametre - Agendové IS'!I96:I105)</f>
        <v>0</v>
      </c>
      <c r="F20" s="476">
        <f>SUM('Parametre - Agendové IS'!L96:L105)</f>
        <v>0</v>
      </c>
      <c r="G20" s="476">
        <f>SUM('Parametre - Agendové IS'!O96:O105)</f>
        <v>0</v>
      </c>
      <c r="H20" s="476">
        <f>SUM('Parametre - Agendové IS'!R96:R105)</f>
        <v>0</v>
      </c>
      <c r="I20" s="476">
        <f>SUM('Parametre - Agendové IS'!U96:U105)</f>
        <v>0</v>
      </c>
      <c r="J20" s="476">
        <f>SUM('Parametre - Agendové IS'!X96:X105)</f>
        <v>0</v>
      </c>
      <c r="K20" s="476">
        <f>SUM('Parametre - Agendové IS'!AA96:AA105)</f>
        <v>0</v>
      </c>
      <c r="L20" s="476">
        <f>SUM('Parametre - Agendové IS'!AD96:AD105)</f>
        <v>0</v>
      </c>
      <c r="M20" s="476">
        <f>SUM('Parametre - Agendové IS'!AG96:AG105)</f>
        <v>0</v>
      </c>
      <c r="N20" s="476">
        <f>SUM('Parametre - Agendové IS'!AJ96:AJ105)</f>
        <v>0</v>
      </c>
      <c r="O20" s="476">
        <f>SUM('Parametre - Agendové IS'!AM96:AM105)</f>
        <v>0</v>
      </c>
      <c r="P20" s="476">
        <f>SUM('Parametre - Agendové IS'!AP96:AP105)</f>
        <v>0</v>
      </c>
      <c r="Q20" s="476">
        <f>SUM('Parametre - Agendové IS'!AS96:AS105)</f>
        <v>0</v>
      </c>
      <c r="R20" s="476">
        <f>SUM('Parametre - Agendové IS'!AV96:AV105)</f>
        <v>0</v>
      </c>
      <c r="S20" s="476">
        <f>SUM('Parametre - Agendové IS'!AY96:AY105)</f>
        <v>0</v>
      </c>
      <c r="T20" s="476">
        <f>SUM('Parametre - Agendové IS'!BB96:BB105)</f>
        <v>0</v>
      </c>
      <c r="U20" s="476">
        <f>SUM('Parametre - Agendové IS'!BE96:BE105)</f>
        <v>0</v>
      </c>
      <c r="V20" s="476">
        <f>SUM('Parametre - Agendové IS'!BH96:BH105)</f>
        <v>0</v>
      </c>
      <c r="W20" s="476">
        <f>SUM('Parametre - Agendové IS'!BK96:BK105)</f>
        <v>0</v>
      </c>
      <c r="X20" s="476">
        <f>SUM('Parametre - Agendové IS'!BN96:BN105)</f>
        <v>0</v>
      </c>
      <c r="Y20" s="476">
        <f>SUM('Parametre - Agendové IS'!BQ96:BQ105)</f>
        <v>0</v>
      </c>
      <c r="AC20" s="459"/>
      <c r="AD20" s="459"/>
      <c r="AE20" s="460" t="s">
        <v>161</v>
      </c>
      <c r="AF20" s="471">
        <f>SUM(AG20:AZ20)</f>
        <v>0</v>
      </c>
      <c r="AG20" s="471">
        <f>'Parametre - Agendové IS'!I96+NPV(Faktory!$D$5,'Parametre - Agendové IS'!I97:I105)</f>
        <v>0</v>
      </c>
      <c r="AH20" s="471">
        <f>'Parametre - Agendové IS'!L96+NPV(Faktory!$D$5,'Parametre - Agendové IS'!L97:L105)</f>
        <v>0</v>
      </c>
      <c r="AI20" s="471">
        <f>'Parametre - Agendové IS'!O96+NPV(Faktory!$D$5,'Parametre - Agendové IS'!O97:O105)</f>
        <v>0</v>
      </c>
      <c r="AJ20" s="471">
        <f>'Parametre - Agendové IS'!R96+NPV(Faktory!$D$5,'Parametre - Agendové IS'!R97:R105)</f>
        <v>0</v>
      </c>
      <c r="AK20" s="471">
        <f>'Parametre - Agendové IS'!U96+NPV(Faktory!$D$5,'Parametre - Agendové IS'!U97:U105)</f>
        <v>0</v>
      </c>
      <c r="AL20" s="471">
        <f>'Parametre - Agendové IS'!X96+NPV(Faktory!$D$5,'Parametre - Agendové IS'!X97:X105)</f>
        <v>0</v>
      </c>
      <c r="AM20" s="471">
        <f>'Parametre - Agendové IS'!AA96+NPV(Faktory!$D$5,'Parametre - Agendové IS'!AA97:AA105)</f>
        <v>0</v>
      </c>
      <c r="AN20" s="471">
        <f>'Parametre - Agendové IS'!AD96+NPV(Faktory!$D$5,'Parametre - Agendové IS'!AD97:AD105)</f>
        <v>0</v>
      </c>
      <c r="AO20" s="471">
        <f>'Parametre - Agendové IS'!AG96+NPV(Faktory!$D$5,'Parametre - Agendové IS'!AG97:AG105)</f>
        <v>0</v>
      </c>
      <c r="AP20" s="471">
        <f>'Parametre - Agendové IS'!AJ96+NPV(Faktory!$D$5,'Parametre - Agendové IS'!AJ97:AJ105)</f>
        <v>0</v>
      </c>
      <c r="AQ20" s="471">
        <f>'Parametre - Agendové IS'!AM96+NPV(Faktory!$D$5,'Parametre - Agendové IS'!AM97:AM105)</f>
        <v>0</v>
      </c>
      <c r="AR20" s="471">
        <f>'Parametre - Agendové IS'!AP96+NPV(Faktory!$D$5,'Parametre - Agendové IS'!AP97:AP105)</f>
        <v>0</v>
      </c>
      <c r="AS20" s="471">
        <f>'Parametre - Agendové IS'!AS96+NPV(Faktory!$D$5,'Parametre - Agendové IS'!AS97:AS105)</f>
        <v>0</v>
      </c>
      <c r="AT20" s="471">
        <f>'Parametre - Agendové IS'!AV96+NPV(Faktory!$D$5,'Parametre - Agendové IS'!AV97:AV105)</f>
        <v>0</v>
      </c>
      <c r="AU20" s="471">
        <f>'Parametre - Agendové IS'!AY96+NPV(Faktory!$D$5,'Parametre - Agendové IS'!AY97:AY105)</f>
        <v>0</v>
      </c>
      <c r="AV20" s="471">
        <f>'Parametre - Agendové IS'!BB96+NPV(Faktory!$D$5,'Parametre - Agendové IS'!BB97:BB105)</f>
        <v>0</v>
      </c>
      <c r="AW20" s="471">
        <f>'Parametre - Agendové IS'!BE96+NPV(Faktory!$D$5,'Parametre - Agendové IS'!BE97:BE105)</f>
        <v>0</v>
      </c>
      <c r="AX20" s="471">
        <f>'Parametre - Agendové IS'!BH96+NPV(Faktory!$D$5,'Parametre - Agendové IS'!BH97:BH105)</f>
        <v>0</v>
      </c>
      <c r="AY20" s="471">
        <f>'Parametre - Agendové IS'!BK96+NPV(Faktory!$D$5,'Parametre - Agendové IS'!BK97:BK105)</f>
        <v>0</v>
      </c>
      <c r="AZ20" s="471">
        <f>'Parametre - Agendové IS'!BN96+NPV(Faktory!$D$5,'Parametre - Agendové IS'!BN97:BN105)</f>
        <v>0</v>
      </c>
      <c r="BA20" s="471">
        <f>'Parametre - Agendové IS'!BQ96+NPV(Faktory!$D$5,'Parametre - Agendové IS'!BQ97:BQC105)</f>
        <v>0</v>
      </c>
    </row>
    <row r="21" spans="1:53" x14ac:dyDescent="0.2">
      <c r="A21" s="459"/>
      <c r="B21" s="459"/>
      <c r="C21" s="460" t="s">
        <v>160</v>
      </c>
      <c r="D21" s="476">
        <f>SUM(E21:X21)</f>
        <v>0</v>
      </c>
      <c r="E21" s="476">
        <f>-(SUM('Parametre - Agendové IS'!I76:I85))</f>
        <v>0</v>
      </c>
      <c r="F21" s="476">
        <f>-(SUM('Parametre - Agendové IS'!L76:L85))</f>
        <v>0</v>
      </c>
      <c r="G21" s="476">
        <f>-(SUM('Parametre - Agendové IS'!O76:O85))</f>
        <v>0</v>
      </c>
      <c r="H21" s="476">
        <f>-(SUM('Parametre - Agendové IS'!R76:R85))</f>
        <v>0</v>
      </c>
      <c r="I21" s="476">
        <f>-(SUM('Parametre - Agendové IS'!U76:U85))</f>
        <v>0</v>
      </c>
      <c r="J21" s="476">
        <f>-(SUM('Parametre - Agendové IS'!X76:X85))</f>
        <v>0</v>
      </c>
      <c r="K21" s="476">
        <f>-(SUM('Parametre - Agendové IS'!AA76:AA85))</f>
        <v>0</v>
      </c>
      <c r="L21" s="476">
        <f>-(SUM('Parametre - Agendové IS'!AD76:AD85))</f>
        <v>0</v>
      </c>
      <c r="M21" s="476">
        <f>-(SUM('Parametre - Agendové IS'!AG76:AG85))</f>
        <v>0</v>
      </c>
      <c r="N21" s="476">
        <f>-(SUM('Parametre - Agendové IS'!AJ76:AJ85))</f>
        <v>0</v>
      </c>
      <c r="O21" s="476">
        <f>-(SUM('Parametre - Agendové IS'!AM76:AM85))</f>
        <v>0</v>
      </c>
      <c r="P21" s="476">
        <f>-(SUM('Parametre - Agendové IS'!AP76:AP85))</f>
        <v>0</v>
      </c>
      <c r="Q21" s="476">
        <f>-(SUM('Parametre - Agendové IS'!AS76:AS85))</f>
        <v>0</v>
      </c>
      <c r="R21" s="476">
        <f>-(SUM('Parametre - Agendové IS'!AV76:AV85))</f>
        <v>0</v>
      </c>
      <c r="S21" s="476">
        <f>-(SUM('Parametre - Agendové IS'!AY76:AY85))</f>
        <v>0</v>
      </c>
      <c r="T21" s="476">
        <f>-(SUM('Parametre - Agendové IS'!BB76:BB85))</f>
        <v>0</v>
      </c>
      <c r="U21" s="476">
        <f>-(SUM('Parametre - Agendové IS'!BE76:BE85))</f>
        <v>0</v>
      </c>
      <c r="V21" s="476">
        <f>-(SUM('Parametre - Agendové IS'!BH76:BH85))</f>
        <v>0</v>
      </c>
      <c r="W21" s="476">
        <f>-(SUM('Parametre - Agendové IS'!BK76:BK85))</f>
        <v>0</v>
      </c>
      <c r="X21" s="476">
        <f>-(SUM('Parametre - Agendové IS'!BN76:BN85))</f>
        <v>0</v>
      </c>
      <c r="Y21" s="476">
        <f>-(SUM('Parametre - Agendové IS'!BQ76:BQ85))</f>
        <v>0</v>
      </c>
      <c r="AC21" s="459"/>
      <c r="AD21" s="459"/>
      <c r="AE21" s="460" t="s">
        <v>160</v>
      </c>
      <c r="AF21" s="471">
        <f>SUM(AG21:AZ21)</f>
        <v>0</v>
      </c>
      <c r="AG21" s="471">
        <f>-('Parametre - Agendové IS'!I76+NPV(Faktory!$D$5,'Parametre - Agendové IS'!I77:I85))</f>
        <v>0</v>
      </c>
      <c r="AH21" s="471">
        <f>-('Parametre - Agendové IS'!L76+NPV(Faktory!$D$5,'Parametre - Agendové IS'!L77:L85))</f>
        <v>0</v>
      </c>
      <c r="AI21" s="471">
        <f>-('Parametre - Agendové IS'!O76+NPV(Faktory!$D$5,'Parametre - Agendové IS'!O77:O85))</f>
        <v>0</v>
      </c>
      <c r="AJ21" s="471">
        <f>-('Parametre - Agendové IS'!R76+NPV(Faktory!$D$5,'Parametre - Agendové IS'!R77:R85))</f>
        <v>0</v>
      </c>
      <c r="AK21" s="471">
        <f>-('Parametre - Agendové IS'!U76+NPV(Faktory!$D$5,'Parametre - Agendové IS'!U77:U85))</f>
        <v>0</v>
      </c>
      <c r="AL21" s="471">
        <f>-('Parametre - Agendové IS'!X76+NPV(Faktory!$D$5,'Parametre - Agendové IS'!X77:X85))</f>
        <v>0</v>
      </c>
      <c r="AM21" s="471">
        <f>-('Parametre - Agendové IS'!AA76+NPV(Faktory!$D$5,'Parametre - Agendové IS'!AA77:AA85))</f>
        <v>0</v>
      </c>
      <c r="AN21" s="471">
        <f>-('Parametre - Agendové IS'!AD76+NPV(Faktory!$D$5,'Parametre - Agendové IS'!AD77:AD85))</f>
        <v>0</v>
      </c>
      <c r="AO21" s="471">
        <f>-('Parametre - Agendové IS'!AG76+NPV(Faktory!$D$5,'Parametre - Agendové IS'!AG77:AG85))</f>
        <v>0</v>
      </c>
      <c r="AP21" s="471">
        <f>-('Parametre - Agendové IS'!AJ76+NPV(Faktory!$D$5,'Parametre - Agendové IS'!AJ77:AJ85))</f>
        <v>0</v>
      </c>
      <c r="AQ21" s="471">
        <f>-('Parametre - Agendové IS'!AM76+NPV(Faktory!$D$5,'Parametre - Agendové IS'!AM77:AM85))</f>
        <v>0</v>
      </c>
      <c r="AR21" s="471">
        <f>-('Parametre - Agendové IS'!AP76+NPV(Faktory!$D$5,'Parametre - Agendové IS'!AP77:AP85))</f>
        <v>0</v>
      </c>
      <c r="AS21" s="471">
        <f>-('Parametre - Agendové IS'!AS76+NPV(Faktory!$D$5,'Parametre - Agendové IS'!AS77:AS85))</f>
        <v>0</v>
      </c>
      <c r="AT21" s="471">
        <f>-('Parametre - Agendové IS'!AV76+NPV(Faktory!$D$5,'Parametre - Agendové IS'!AV77:AV85))</f>
        <v>0</v>
      </c>
      <c r="AU21" s="471">
        <f>-('Parametre - Agendové IS'!AY76+NPV(Faktory!$D$5,'Parametre - Agendové IS'!AY77:AY85))</f>
        <v>0</v>
      </c>
      <c r="AV21" s="471">
        <f>-('Parametre - Agendové IS'!BB76+NPV(Faktory!$D$5,'Parametre - Agendové IS'!BB77:BB85))</f>
        <v>0</v>
      </c>
      <c r="AW21" s="471">
        <f>-('Parametre - Agendové IS'!BE76+NPV(Faktory!$D$5,'Parametre - Agendové IS'!BE77:BE85))</f>
        <v>0</v>
      </c>
      <c r="AX21" s="471">
        <f>-('Parametre - Agendové IS'!BH76+NPV(Faktory!$D$5,'Parametre - Agendové IS'!BH77:BH85))</f>
        <v>0</v>
      </c>
      <c r="AY21" s="471">
        <f>-('Parametre - Agendové IS'!BK76+NPV(Faktory!$D$5,'Parametre - Agendové IS'!BK77:BK85))</f>
        <v>0</v>
      </c>
      <c r="AZ21" s="471">
        <f>-('Parametre - Agendové IS'!BN76+NPV(Faktory!$D$5,'Parametre - Agendové IS'!BN77:BN85))</f>
        <v>0</v>
      </c>
      <c r="BA21" s="471">
        <f>-('Parametre - Agendové IS'!BQ76+NPV(Faktory!$D$5,'Parametre - Agendové IS'!BQ77:BQ85))</f>
        <v>0</v>
      </c>
    </row>
    <row r="22" spans="1:53" x14ac:dyDescent="0.2">
      <c r="A22" s="459"/>
      <c r="B22" s="459"/>
      <c r="C22" s="460" t="s">
        <v>162</v>
      </c>
      <c r="D22" s="474" t="s">
        <v>165</v>
      </c>
      <c r="E22" s="474" t="s">
        <v>165</v>
      </c>
      <c r="F22" s="474" t="s">
        <v>165</v>
      </c>
      <c r="G22" s="474" t="s">
        <v>165</v>
      </c>
      <c r="H22" s="474" t="s">
        <v>165</v>
      </c>
      <c r="I22" s="474" t="s">
        <v>165</v>
      </c>
      <c r="J22" s="474" t="s">
        <v>165</v>
      </c>
      <c r="K22" s="474" t="s">
        <v>165</v>
      </c>
      <c r="L22" s="474" t="s">
        <v>165</v>
      </c>
      <c r="M22" s="474" t="s">
        <v>165</v>
      </c>
      <c r="N22" s="474" t="s">
        <v>165</v>
      </c>
      <c r="O22" s="474" t="s">
        <v>165</v>
      </c>
      <c r="P22" s="474" t="s">
        <v>165</v>
      </c>
      <c r="Q22" s="474" t="s">
        <v>165</v>
      </c>
      <c r="R22" s="474" t="s">
        <v>165</v>
      </c>
      <c r="S22" s="474" t="s">
        <v>165</v>
      </c>
      <c r="T22" s="474" t="s">
        <v>165</v>
      </c>
      <c r="U22" s="474" t="s">
        <v>165</v>
      </c>
      <c r="V22" s="474" t="s">
        <v>165</v>
      </c>
      <c r="W22" s="474" t="s">
        <v>165</v>
      </c>
      <c r="X22" s="474" t="s">
        <v>165</v>
      </c>
      <c r="Y22" s="474" t="s">
        <v>165</v>
      </c>
      <c r="AC22" s="459"/>
      <c r="AD22" s="459"/>
      <c r="AE22" s="460" t="s">
        <v>162</v>
      </c>
      <c r="AF22" s="474" t="s">
        <v>165</v>
      </c>
      <c r="AG22" s="474" t="s">
        <v>165</v>
      </c>
      <c r="AH22" s="474" t="s">
        <v>165</v>
      </c>
      <c r="AI22" s="474" t="s">
        <v>165</v>
      </c>
      <c r="AJ22" s="474" t="s">
        <v>165</v>
      </c>
      <c r="AK22" s="474" t="s">
        <v>165</v>
      </c>
      <c r="AL22" s="474" t="s">
        <v>165</v>
      </c>
      <c r="AM22" s="474" t="s">
        <v>165</v>
      </c>
      <c r="AN22" s="474" t="s">
        <v>165</v>
      </c>
      <c r="AO22" s="474" t="s">
        <v>165</v>
      </c>
      <c r="AP22" s="474" t="s">
        <v>165</v>
      </c>
      <c r="AQ22" s="474" t="s">
        <v>165</v>
      </c>
      <c r="AR22" s="474" t="s">
        <v>165</v>
      </c>
      <c r="AS22" s="474" t="s">
        <v>165</v>
      </c>
      <c r="AT22" s="474" t="s">
        <v>165</v>
      </c>
      <c r="AU22" s="474" t="s">
        <v>165</v>
      </c>
      <c r="AV22" s="474" t="s">
        <v>165</v>
      </c>
      <c r="AW22" s="474" t="s">
        <v>165</v>
      </c>
      <c r="AX22" s="474" t="s">
        <v>165</v>
      </c>
      <c r="AY22" s="474" t="s">
        <v>165</v>
      </c>
      <c r="AZ22" s="474" t="s">
        <v>165</v>
      </c>
      <c r="BA22" s="474" t="s">
        <v>165</v>
      </c>
    </row>
    <row r="23" spans="1:53" x14ac:dyDescent="0.2">
      <c r="A23" s="459"/>
      <c r="B23" s="459"/>
      <c r="C23" s="460" t="s">
        <v>39</v>
      </c>
      <c r="D23" s="476">
        <f>SUM(E23:X23)</f>
        <v>48086418.015964389</v>
      </c>
      <c r="E23" s="476">
        <f>SUM('Parametre - Agendové IS'!I126:I135)</f>
        <v>19107173.3836639</v>
      </c>
      <c r="F23" s="476">
        <f>SUM('Parametre - Agendové IS'!L126:L135)</f>
        <v>3723404.1608481635</v>
      </c>
      <c r="G23" s="476">
        <f>SUM('Parametre - Agendové IS'!O126:O135)</f>
        <v>910121.12066790857</v>
      </c>
      <c r="H23" s="476">
        <f>SUM('Parametre - Agendové IS'!R126:R135)</f>
        <v>888196.86689540534</v>
      </c>
      <c r="I23" s="476">
        <f>SUM('Parametre - Agendové IS'!U126:U135)</f>
        <v>2843852.3975099083</v>
      </c>
      <c r="J23" s="476">
        <f>SUM('Parametre - Agendové IS'!X126:X135)</f>
        <v>907840.15600635239</v>
      </c>
      <c r="K23" s="476">
        <f>SUM('Parametre - Agendové IS'!AA126:AA135)</f>
        <v>9495318.208975682</v>
      </c>
      <c r="L23" s="476">
        <f>SUM('Parametre - Agendové IS'!AD126:AD135)</f>
        <v>4723034.551850928</v>
      </c>
      <c r="M23" s="476">
        <f>SUM('Parametre - Agendové IS'!AG126:AG135)</f>
        <v>1474406.799046373</v>
      </c>
      <c r="N23" s="476">
        <f>SUM('Parametre - Agendové IS'!AJ126:AJ135)</f>
        <v>45977.161984476777</v>
      </c>
      <c r="O23" s="476">
        <f>SUM('Parametre - Agendové IS'!AM126:AM135)</f>
        <v>3967093.2085152958</v>
      </c>
      <c r="P23" s="476">
        <f>SUM('Parametre - Agendové IS'!AP126:AP135)</f>
        <v>0</v>
      </c>
      <c r="Q23" s="476">
        <f>SUM('Parametre - Agendové IS'!AS126:AS135)</f>
        <v>0</v>
      </c>
      <c r="R23" s="476">
        <f>SUM('Parametre - Agendové IS'!AV126:AV135)</f>
        <v>0</v>
      </c>
      <c r="S23" s="476">
        <f>SUM('Parametre - Agendové IS'!AY126:AY135)</f>
        <v>0</v>
      </c>
      <c r="T23" s="476">
        <f>SUM('Parametre - Agendové IS'!BB126:BB135)</f>
        <v>0</v>
      </c>
      <c r="U23" s="476">
        <f>SUM('Parametre - Agendové IS'!BE126:BE135)</f>
        <v>0</v>
      </c>
      <c r="V23" s="476">
        <f>SUM('Parametre - Agendové IS'!BH126:BH135)</f>
        <v>0</v>
      </c>
      <c r="W23" s="476">
        <f>SUM('Parametre - Agendové IS'!BK126:BK135)</f>
        <v>0</v>
      </c>
      <c r="X23" s="476">
        <f>SUM('Parametre - Agendové IS'!BN126:BN135)</f>
        <v>0</v>
      </c>
      <c r="Y23" s="476">
        <f>SUM('Parametre - Agendové IS'!BQ126:BQ135)</f>
        <v>0</v>
      </c>
      <c r="AC23" s="459"/>
      <c r="AD23" s="459"/>
      <c r="AE23" s="460" t="s">
        <v>39</v>
      </c>
      <c r="AF23" s="471">
        <f>SUM(AG23:AZ23)</f>
        <v>35761865.697502494</v>
      </c>
      <c r="AG23" s="471">
        <f>'Parametre - Agendové IS'!I126+NPV(Faktory!$D$5,'Parametre - Agendové IS'!I127:I135)</f>
        <v>14210003.501999846</v>
      </c>
      <c r="AH23" s="471">
        <f>'Parametre - Agendové IS'!L126+NPV(Faktory!$D$5,'Parametre - Agendové IS'!L127:L135)</f>
        <v>2769095.412629134</v>
      </c>
      <c r="AI23" s="471">
        <f>'Parametre - Agendové IS'!O126+NPV(Faktory!$D$5,'Parametre - Agendové IS'!O127:O135)</f>
        <v>676857.01344983908</v>
      </c>
      <c r="AJ23" s="471">
        <f>'Parametre - Agendové IS'!R126+NPV(Faktory!$D$5,'Parametre - Agendové IS'!R127:R135)</f>
        <v>660551.94746072916</v>
      </c>
      <c r="AK23" s="471">
        <f>'Parametre - Agendové IS'!U126+NPV(Faktory!$D$5,'Parametre - Agendové IS'!U127:U135)</f>
        <v>2114972.828076018</v>
      </c>
      <c r="AL23" s="471">
        <f>'Parametre - Agendové IS'!X126+NPV(Faktory!$D$5,'Parametre - Agendové IS'!X127:X135)</f>
        <v>675160.66019141499</v>
      </c>
      <c r="AM23" s="471">
        <f>'Parametre - Agendové IS'!AA126+NPV(Faktory!$D$5,'Parametre - Agendové IS'!AA127:AA135)</f>
        <v>7061667.4843965899</v>
      </c>
      <c r="AN23" s="471">
        <f>'Parametre - Agendové IS'!AD126+NPV(Faktory!$D$5,'Parametre - Agendové IS'!AD127:AD135)</f>
        <v>3512520.4641335825</v>
      </c>
      <c r="AO23" s="471">
        <f>'Parametre - Agendové IS'!AG126+NPV(Faktory!$D$5,'Parametre - Agendové IS'!AG127:AG135)</f>
        <v>1096516.2327848105</v>
      </c>
      <c r="AP23" s="471">
        <f>'Parametre - Agendové IS'!AJ126+NPV(Faktory!$D$5,'Parametre - Agendové IS'!AJ127:AJ135)</f>
        <v>34193.212135187554</v>
      </c>
      <c r="AQ23" s="471">
        <f>'Parametre - Agendové IS'!AM126+NPV(Faktory!$D$5,'Parametre - Agendové IS'!AM127:AM135)</f>
        <v>2950326.9402453322</v>
      </c>
      <c r="AR23" s="471">
        <f>'Parametre - Agendové IS'!AP126+NPV(Faktory!$D$5,'Parametre - Agendové IS'!AP127:AP135)</f>
        <v>0</v>
      </c>
      <c r="AS23" s="471">
        <f>'Parametre - Agendové IS'!AS126+NPV(Faktory!$D$5,'Parametre - Agendové IS'!AS127:AS135)</f>
        <v>0</v>
      </c>
      <c r="AT23" s="471">
        <f>'Parametre - Agendové IS'!AV126+NPV(Faktory!$D$5,'Parametre - Agendové IS'!AV127:AV135)</f>
        <v>0</v>
      </c>
      <c r="AU23" s="471">
        <f>'Parametre - Agendové IS'!AY126+NPV(Faktory!$D$5,'Parametre - Agendové IS'!AY127:AY135)</f>
        <v>0</v>
      </c>
      <c r="AV23" s="471">
        <f>'Parametre - Agendové IS'!BB126+NPV(Faktory!$D$5,'Parametre - Agendové IS'!BB127:BB135)</f>
        <v>0</v>
      </c>
      <c r="AW23" s="471">
        <f>'Parametre - Agendové IS'!BE126+NPV(Faktory!$D$5,'Parametre - Agendové IS'!BE127:BE135)</f>
        <v>0</v>
      </c>
      <c r="AX23" s="471">
        <f>'Parametre - Agendové IS'!BH126+NPV(Faktory!$D$5,'Parametre - Agendové IS'!BH127:BH135)</f>
        <v>0</v>
      </c>
      <c r="AY23" s="471">
        <f>'Parametre - Agendové IS'!BK126+NPV(Faktory!$D$5,'Parametre - Agendové IS'!BK127:BK135)</f>
        <v>0</v>
      </c>
      <c r="AZ23" s="471">
        <f>'Parametre - Agendové IS'!BN126+NPV(Faktory!$D$5,'Parametre - Agendové IS'!BN127:BN135)</f>
        <v>0</v>
      </c>
      <c r="BA23" s="471">
        <f>'Parametre - Agendové IS'!BQ126+NPV(Faktory!$D$5,'Parametre - Agendové IS'!BQ127:BQ135)</f>
        <v>0</v>
      </c>
    </row>
    <row r="24" spans="1:53" x14ac:dyDescent="0.2">
      <c r="A24" s="456"/>
      <c r="B24" s="457" t="s">
        <v>166</v>
      </c>
      <c r="C24" s="457"/>
      <c r="D24" s="463"/>
      <c r="E24" s="469"/>
      <c r="F24" s="470"/>
      <c r="G24" s="470"/>
      <c r="H24" s="470"/>
      <c r="I24" s="470"/>
      <c r="J24" s="469"/>
      <c r="K24" s="470"/>
      <c r="L24" s="470"/>
      <c r="M24" s="470"/>
      <c r="N24" s="469"/>
      <c r="O24" s="470"/>
      <c r="P24" s="470"/>
      <c r="Q24" s="470"/>
      <c r="R24" s="469"/>
      <c r="S24" s="470"/>
      <c r="T24" s="470"/>
      <c r="U24" s="470"/>
      <c r="V24" s="469"/>
      <c r="W24" s="470"/>
      <c r="X24" s="470"/>
      <c r="Y24" s="470"/>
      <c r="AC24" s="456"/>
      <c r="AD24" s="457" t="s">
        <v>166</v>
      </c>
      <c r="AE24" s="457"/>
      <c r="AF24" s="463"/>
      <c r="AG24" s="464"/>
      <c r="AH24" s="464"/>
      <c r="AI24" s="464"/>
      <c r="AJ24" s="464"/>
      <c r="AK24" s="463"/>
      <c r="AL24" s="464"/>
      <c r="AM24" s="464"/>
      <c r="AN24" s="464"/>
      <c r="AO24" s="463"/>
      <c r="AP24" s="464"/>
      <c r="AQ24" s="464"/>
      <c r="AR24" s="464"/>
      <c r="AS24" s="463"/>
      <c r="AT24" s="464"/>
      <c r="AU24" s="464"/>
      <c r="AV24" s="464"/>
      <c r="AW24" s="463"/>
      <c r="AX24" s="464"/>
      <c r="AY24" s="464"/>
      <c r="AZ24" s="464"/>
      <c r="BA24" s="463"/>
    </row>
    <row r="25" spans="1:53" x14ac:dyDescent="0.2">
      <c r="A25" s="465"/>
      <c r="B25" s="465"/>
      <c r="C25" s="541" t="s">
        <v>168</v>
      </c>
      <c r="D25" s="466"/>
      <c r="E25" s="465"/>
      <c r="F25" s="465"/>
      <c r="G25" s="465"/>
      <c r="H25" s="465"/>
      <c r="I25" s="465"/>
      <c r="J25" s="465"/>
      <c r="K25" s="465"/>
      <c r="L25" s="465"/>
      <c r="M25" s="465"/>
      <c r="N25" s="465"/>
      <c r="O25" s="465"/>
      <c r="P25" s="465"/>
      <c r="Q25" s="465"/>
      <c r="R25" s="465"/>
      <c r="S25" s="465"/>
      <c r="T25" s="465"/>
      <c r="U25" s="465"/>
      <c r="V25" s="465"/>
      <c r="W25" s="465"/>
      <c r="X25" s="465"/>
      <c r="Y25" s="465"/>
      <c r="AC25" s="465"/>
      <c r="AD25" s="465"/>
      <c r="AE25" s="541" t="s">
        <v>168</v>
      </c>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row>
    <row r="26" spans="1:53" x14ac:dyDescent="0.2">
      <c r="A26" s="465"/>
      <c r="B26" s="465"/>
      <c r="C26" s="541" t="s">
        <v>167</v>
      </c>
      <c r="D26" s="466"/>
      <c r="E26" s="465"/>
      <c r="F26" s="465"/>
      <c r="G26" s="465"/>
      <c r="H26" s="465"/>
      <c r="I26" s="465"/>
      <c r="J26" s="465"/>
      <c r="K26" s="465"/>
      <c r="L26" s="465"/>
      <c r="M26" s="465"/>
      <c r="N26" s="465"/>
      <c r="O26" s="465"/>
      <c r="P26" s="465"/>
      <c r="Q26" s="465"/>
      <c r="R26" s="465"/>
      <c r="S26" s="465"/>
      <c r="T26" s="465"/>
      <c r="U26" s="465"/>
      <c r="V26" s="465"/>
      <c r="W26" s="465"/>
      <c r="X26" s="465"/>
      <c r="Y26" s="465"/>
      <c r="AC26" s="465"/>
      <c r="AD26" s="465"/>
      <c r="AE26" s="541" t="s">
        <v>167</v>
      </c>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row>
    <row r="27" spans="1:53" x14ac:dyDescent="0.2">
      <c r="A27" s="465"/>
      <c r="B27" s="465"/>
      <c r="C27" s="541" t="s">
        <v>167</v>
      </c>
      <c r="D27" s="466"/>
      <c r="E27" s="465"/>
      <c r="F27" s="465"/>
      <c r="G27" s="465"/>
      <c r="H27" s="465"/>
      <c r="I27" s="465"/>
      <c r="J27" s="465"/>
      <c r="K27" s="465"/>
      <c r="L27" s="465"/>
      <c r="M27" s="465"/>
      <c r="N27" s="465"/>
      <c r="O27" s="465"/>
      <c r="P27" s="465"/>
      <c r="Q27" s="465"/>
      <c r="R27" s="465"/>
      <c r="S27" s="465"/>
      <c r="T27" s="465"/>
      <c r="U27" s="465"/>
      <c r="V27" s="465"/>
      <c r="W27" s="465"/>
      <c r="X27" s="465"/>
      <c r="Y27" s="465"/>
      <c r="AC27" s="465"/>
      <c r="AD27" s="465"/>
      <c r="AE27" s="541" t="s">
        <v>167</v>
      </c>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row>
  </sheetData>
  <sheetProtection insertColumns="0" insertRows="0" deleteColumns="0" deleteRows="0"/>
  <mergeCells count="2">
    <mergeCell ref="A2:C2"/>
    <mergeCell ref="AC2:AE2"/>
  </mergeCells>
  <conditionalFormatting sqref="E2:Y2">
    <cfRule type="cellIs" dxfId="32" priority="1" operator="equal">
      <formula>0</formula>
    </cfRule>
  </conditionalFormatting>
  <conditionalFormatting sqref="AG2:BA2">
    <cfRule type="cellIs" dxfId="31" priority="3" operator="equal">
      <formula>0</formula>
    </cfRule>
  </conditionalFormatting>
  <pageMargins left="0.7" right="0.7" top="0.75" bottom="0.75" header="0.3" footer="0.3"/>
  <pageSetup paperSize="9" scale="53"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20"/>
  <dimension ref="A1:AC70"/>
  <sheetViews>
    <sheetView view="pageBreakPreview" zoomScale="60" zoomScaleNormal="80" workbookViewId="0">
      <selection activeCell="C39" sqref="C39"/>
    </sheetView>
  </sheetViews>
  <sheetFormatPr baseColWidth="10" defaultColWidth="8.83203125" defaultRowHeight="15" x14ac:dyDescent="0.2"/>
  <cols>
    <col min="1" max="1" width="21.5" customWidth="1"/>
    <col min="2" max="2" width="14.5" customWidth="1"/>
    <col min="3" max="3" width="14.33203125" style="197" customWidth="1"/>
    <col min="4" max="4" width="14.1640625" style="197" customWidth="1"/>
    <col min="5" max="5" width="14.83203125" style="197" customWidth="1"/>
    <col min="6" max="6" width="11.83203125" style="197" customWidth="1"/>
    <col min="7" max="7" width="15.83203125" style="197" customWidth="1"/>
    <col min="8" max="8" width="13.5" style="197" customWidth="1"/>
    <col min="9" max="9" width="10" style="197" customWidth="1"/>
    <col min="10" max="28" width="8.5" style="197" customWidth="1"/>
  </cols>
  <sheetData>
    <row r="1" spans="1:29" ht="16" thickBot="1" x14ac:dyDescent="0.25"/>
    <row r="2" spans="1:29" ht="48.75" customHeight="1" thickBot="1" x14ac:dyDescent="0.25">
      <c r="A2" s="200" t="s">
        <v>172</v>
      </c>
      <c r="B2" s="217" t="s">
        <v>173</v>
      </c>
      <c r="C2" s="215" t="s">
        <v>174</v>
      </c>
      <c r="D2" s="201" t="s">
        <v>175</v>
      </c>
      <c r="E2" s="201" t="s">
        <v>176</v>
      </c>
      <c r="F2" s="222" t="s">
        <v>167</v>
      </c>
      <c r="G2" s="217" t="s">
        <v>177</v>
      </c>
      <c r="H2" s="226" t="s">
        <v>174</v>
      </c>
      <c r="I2" s="202" t="s">
        <v>167</v>
      </c>
      <c r="O2" s="203"/>
      <c r="P2" s="204"/>
      <c r="Q2" s="204"/>
      <c r="R2" s="97"/>
      <c r="S2" s="97"/>
      <c r="T2" s="97"/>
      <c r="U2" s="97"/>
      <c r="V2" s="97"/>
      <c r="W2" s="97"/>
      <c r="X2" s="97"/>
      <c r="Y2" s="204"/>
      <c r="Z2" s="204"/>
      <c r="AA2" s="97"/>
      <c r="AB2" s="97"/>
      <c r="AC2" s="97"/>
    </row>
    <row r="3" spans="1:29" ht="16" x14ac:dyDescent="0.2">
      <c r="A3" s="205" t="s">
        <v>126</v>
      </c>
      <c r="B3" s="218"/>
      <c r="C3" s="216"/>
      <c r="D3" s="212"/>
      <c r="E3" s="212"/>
      <c r="F3" s="223"/>
      <c r="G3" s="227"/>
      <c r="H3" s="216"/>
      <c r="I3" s="212"/>
      <c r="O3" s="206"/>
      <c r="P3"/>
      <c r="AC3" s="197"/>
    </row>
    <row r="4" spans="1:29" ht="16" x14ac:dyDescent="0.2">
      <c r="A4" s="207" t="s">
        <v>178</v>
      </c>
      <c r="B4" s="219" t="s">
        <v>179</v>
      </c>
      <c r="C4" s="214"/>
      <c r="D4" s="213"/>
      <c r="E4" s="213"/>
      <c r="F4" s="224"/>
      <c r="G4" s="220"/>
      <c r="H4" s="214"/>
      <c r="I4" s="213"/>
      <c r="O4" s="206"/>
      <c r="P4" s="208"/>
      <c r="AC4" s="197"/>
    </row>
    <row r="5" spans="1:29" ht="15.75" customHeight="1" x14ac:dyDescent="0.2">
      <c r="A5" s="209" t="s">
        <v>180</v>
      </c>
      <c r="B5" s="220"/>
      <c r="C5" s="214"/>
      <c r="D5" s="213"/>
      <c r="E5" s="213"/>
      <c r="F5" s="224"/>
      <c r="G5" s="220"/>
      <c r="H5" s="214"/>
      <c r="I5" s="213"/>
      <c r="O5" s="206"/>
      <c r="AC5" s="197"/>
    </row>
    <row r="6" spans="1:29" ht="16" x14ac:dyDescent="0.2">
      <c r="A6" s="209" t="s">
        <v>181</v>
      </c>
      <c r="B6" s="220"/>
      <c r="C6" s="214"/>
      <c r="D6" s="213"/>
      <c r="E6" s="213"/>
      <c r="F6" s="224"/>
      <c r="G6" s="220"/>
      <c r="H6" s="214"/>
      <c r="I6" s="213"/>
      <c r="O6" s="206"/>
      <c r="AC6" s="197"/>
    </row>
    <row r="7" spans="1:29" ht="16" x14ac:dyDescent="0.2">
      <c r="A7" s="209" t="s">
        <v>182</v>
      </c>
      <c r="B7" s="220"/>
      <c r="C7" s="214"/>
      <c r="D7" s="213"/>
      <c r="E7" s="213"/>
      <c r="F7" s="224"/>
      <c r="G7" s="220"/>
      <c r="H7" s="214"/>
      <c r="I7" s="213"/>
      <c r="O7" s="206"/>
      <c r="AC7" s="197"/>
    </row>
    <row r="8" spans="1:29" ht="16" x14ac:dyDescent="0.2">
      <c r="A8" s="209" t="s">
        <v>183</v>
      </c>
      <c r="B8" s="220"/>
      <c r="C8" s="214"/>
      <c r="D8" s="213"/>
      <c r="E8" s="213"/>
      <c r="F8" s="224"/>
      <c r="G8" s="220"/>
      <c r="H8" s="214"/>
      <c r="I8" s="213"/>
      <c r="O8" s="206"/>
      <c r="AC8" s="197"/>
    </row>
    <row r="9" spans="1:29" ht="16" x14ac:dyDescent="0.2">
      <c r="A9" s="209" t="s">
        <v>184</v>
      </c>
      <c r="B9" s="220"/>
      <c r="C9" s="214"/>
      <c r="D9" s="213"/>
      <c r="E9" s="213"/>
      <c r="F9" s="224"/>
      <c r="G9" s="220"/>
      <c r="H9" s="214"/>
      <c r="I9" s="213"/>
      <c r="O9" s="206"/>
      <c r="AC9" s="197"/>
    </row>
    <row r="10" spans="1:29" ht="16" x14ac:dyDescent="0.2">
      <c r="A10" s="209" t="s">
        <v>185</v>
      </c>
      <c r="B10" s="220"/>
      <c r="C10" s="214"/>
      <c r="D10" s="213"/>
      <c r="E10" s="213"/>
      <c r="F10" s="224"/>
      <c r="G10" s="220"/>
      <c r="H10" s="214"/>
      <c r="I10" s="213"/>
      <c r="O10" s="206"/>
      <c r="AC10" s="197"/>
    </row>
    <row r="11" spans="1:29" ht="16" x14ac:dyDescent="0.2">
      <c r="A11" s="209" t="s">
        <v>186</v>
      </c>
      <c r="B11" s="220"/>
      <c r="C11" s="214"/>
      <c r="D11" s="213"/>
      <c r="E11" s="213"/>
      <c r="F11" s="224"/>
      <c r="G11" s="220"/>
      <c r="H11" s="214"/>
      <c r="I11" s="213"/>
      <c r="O11" s="206"/>
      <c r="AC11" s="197"/>
    </row>
    <row r="12" spans="1:29" ht="16" x14ac:dyDescent="0.2">
      <c r="A12" s="209" t="s">
        <v>187</v>
      </c>
      <c r="B12" s="220"/>
      <c r="C12" s="214"/>
      <c r="D12" s="213"/>
      <c r="E12" s="213"/>
      <c r="F12" s="224"/>
      <c r="G12" s="220"/>
      <c r="H12" s="214"/>
      <c r="I12" s="213"/>
      <c r="O12" s="206"/>
      <c r="AC12" s="197"/>
    </row>
    <row r="13" spans="1:29" ht="16" x14ac:dyDescent="0.2">
      <c r="A13" s="209" t="s">
        <v>188</v>
      </c>
      <c r="B13" s="220"/>
      <c r="C13" s="214"/>
      <c r="D13" s="213"/>
      <c r="E13" s="213"/>
      <c r="F13" s="224"/>
      <c r="G13" s="220"/>
      <c r="H13" s="214"/>
      <c r="I13" s="213"/>
      <c r="O13" s="206"/>
      <c r="AC13" s="197"/>
    </row>
    <row r="14" spans="1:29" ht="16" x14ac:dyDescent="0.2">
      <c r="A14" s="209" t="s">
        <v>189</v>
      </c>
      <c r="B14" s="220"/>
      <c r="C14" s="214"/>
      <c r="D14" s="213"/>
      <c r="E14" s="213"/>
      <c r="F14" s="224"/>
      <c r="G14" s="220"/>
      <c r="H14" s="214"/>
      <c r="I14" s="213"/>
      <c r="O14" s="206"/>
      <c r="AC14" s="197"/>
    </row>
    <row r="15" spans="1:29" ht="16" x14ac:dyDescent="0.2">
      <c r="A15" s="209" t="s">
        <v>190</v>
      </c>
      <c r="B15" s="220"/>
      <c r="C15" s="214"/>
      <c r="D15" s="213"/>
      <c r="E15" s="213"/>
      <c r="F15" s="224"/>
      <c r="G15" s="220"/>
      <c r="H15" s="214"/>
      <c r="I15" s="213"/>
      <c r="O15" s="206"/>
      <c r="AC15" s="197"/>
    </row>
    <row r="16" spans="1:29" ht="16" x14ac:dyDescent="0.2">
      <c r="A16" s="209" t="s">
        <v>191</v>
      </c>
      <c r="B16" s="220"/>
      <c r="C16" s="214"/>
      <c r="D16" s="213"/>
      <c r="E16" s="213"/>
      <c r="F16" s="224"/>
      <c r="G16" s="220"/>
      <c r="H16" s="214"/>
      <c r="I16" s="213"/>
      <c r="O16" s="206"/>
      <c r="AC16" s="197"/>
    </row>
    <row r="17" spans="1:29" ht="16" x14ac:dyDescent="0.2">
      <c r="A17" s="209" t="s">
        <v>192</v>
      </c>
      <c r="B17" s="220"/>
      <c r="C17" s="214"/>
      <c r="D17" s="213"/>
      <c r="E17" s="213"/>
      <c r="F17" s="224"/>
      <c r="G17" s="220"/>
      <c r="H17" s="214"/>
      <c r="I17" s="213"/>
      <c r="O17" s="206"/>
      <c r="AC17" s="197"/>
    </row>
    <row r="18" spans="1:29" ht="16" x14ac:dyDescent="0.2">
      <c r="A18" s="209" t="s">
        <v>193</v>
      </c>
      <c r="B18" s="220"/>
      <c r="C18" s="214"/>
      <c r="D18" s="213"/>
      <c r="E18" s="213"/>
      <c r="F18" s="224"/>
      <c r="G18" s="220"/>
      <c r="H18" s="214"/>
      <c r="I18" s="213"/>
      <c r="O18" s="206"/>
      <c r="AC18" s="197"/>
    </row>
    <row r="19" spans="1:29" ht="16" x14ac:dyDescent="0.2">
      <c r="A19" s="209" t="s">
        <v>194</v>
      </c>
      <c r="B19" s="220"/>
      <c r="C19" s="214"/>
      <c r="D19" s="213"/>
      <c r="E19" s="213"/>
      <c r="F19" s="224"/>
      <c r="G19" s="220"/>
      <c r="H19" s="214"/>
      <c r="I19" s="213"/>
      <c r="O19" s="206"/>
      <c r="AC19" s="197"/>
    </row>
    <row r="20" spans="1:29" ht="16" x14ac:dyDescent="0.2">
      <c r="A20" s="209" t="s">
        <v>195</v>
      </c>
      <c r="B20" s="220"/>
      <c r="C20" s="214"/>
      <c r="D20" s="213"/>
      <c r="E20" s="213"/>
      <c r="F20" s="224"/>
      <c r="G20" s="220"/>
      <c r="H20" s="214"/>
      <c r="I20" s="213"/>
      <c r="O20" s="206"/>
      <c r="AC20" s="197"/>
    </row>
    <row r="21" spans="1:29" ht="16" x14ac:dyDescent="0.2">
      <c r="A21" s="209" t="s">
        <v>196</v>
      </c>
      <c r="B21" s="220"/>
      <c r="C21" s="214"/>
      <c r="D21" s="213"/>
      <c r="E21" s="213"/>
      <c r="F21" s="224"/>
      <c r="G21" s="220"/>
      <c r="H21" s="214"/>
      <c r="I21" s="213"/>
      <c r="O21" s="206"/>
      <c r="AC21" s="197"/>
    </row>
    <row r="22" spans="1:29" ht="16" x14ac:dyDescent="0.2">
      <c r="A22" s="209" t="s">
        <v>197</v>
      </c>
      <c r="B22" s="220"/>
      <c r="C22" s="214"/>
      <c r="D22" s="213"/>
      <c r="E22" s="213"/>
      <c r="F22" s="224"/>
      <c r="G22" s="220"/>
      <c r="H22" s="214"/>
      <c r="I22" s="213"/>
      <c r="O22" s="206"/>
      <c r="AC22" s="197"/>
    </row>
    <row r="23" spans="1:29" ht="16" x14ac:dyDescent="0.2">
      <c r="A23" s="209" t="s">
        <v>198</v>
      </c>
      <c r="B23" s="220"/>
      <c r="C23" s="214"/>
      <c r="D23" s="213"/>
      <c r="E23" s="213"/>
      <c r="F23" s="224"/>
      <c r="G23" s="220"/>
      <c r="H23" s="214"/>
      <c r="I23" s="213"/>
      <c r="O23" s="206"/>
      <c r="AC23" s="197"/>
    </row>
    <row r="24" spans="1:29" ht="16" x14ac:dyDescent="0.2">
      <c r="A24" s="209" t="s">
        <v>199</v>
      </c>
      <c r="B24" s="220"/>
      <c r="C24" s="214"/>
      <c r="D24" s="213"/>
      <c r="E24" s="213"/>
      <c r="F24" s="224"/>
      <c r="G24" s="220"/>
      <c r="H24" s="214"/>
      <c r="I24" s="213"/>
      <c r="O24" s="206"/>
      <c r="AC24" s="197"/>
    </row>
    <row r="25" spans="1:29" ht="16" x14ac:dyDescent="0.2">
      <c r="A25" s="209" t="s">
        <v>200</v>
      </c>
      <c r="B25" s="220"/>
      <c r="C25" s="214"/>
      <c r="D25" s="213"/>
      <c r="E25" s="213"/>
      <c r="F25" s="224"/>
      <c r="G25" s="220"/>
      <c r="H25" s="214"/>
      <c r="I25" s="213"/>
      <c r="O25" s="206"/>
      <c r="AC25" s="197"/>
    </row>
    <row r="26" spans="1:29" ht="16" x14ac:dyDescent="0.2">
      <c r="A26" s="209" t="s">
        <v>201</v>
      </c>
      <c r="B26" s="220"/>
      <c r="C26" s="214"/>
      <c r="D26" s="213"/>
      <c r="E26" s="213"/>
      <c r="F26" s="224"/>
      <c r="G26" s="220"/>
      <c r="H26" s="214"/>
      <c r="I26" s="213"/>
      <c r="O26" s="206"/>
      <c r="AC26" s="197"/>
    </row>
    <row r="27" spans="1:29" ht="16" x14ac:dyDescent="0.2">
      <c r="A27" s="209" t="s">
        <v>202</v>
      </c>
      <c r="B27" s="220"/>
      <c r="C27" s="214"/>
      <c r="D27" s="213"/>
      <c r="E27" s="213"/>
      <c r="F27" s="224"/>
      <c r="G27" s="220"/>
      <c r="H27" s="214"/>
      <c r="I27" s="213"/>
      <c r="O27" s="206"/>
      <c r="AC27" s="197"/>
    </row>
    <row r="28" spans="1:29" ht="16" x14ac:dyDescent="0.2">
      <c r="A28" s="209" t="s">
        <v>203</v>
      </c>
      <c r="B28" s="220"/>
      <c r="C28" s="214"/>
      <c r="D28" s="213"/>
      <c r="E28" s="213"/>
      <c r="F28" s="224"/>
      <c r="G28" s="220"/>
      <c r="H28" s="214"/>
      <c r="I28" s="213"/>
      <c r="O28" s="206"/>
      <c r="AC28" s="197"/>
    </row>
    <row r="29" spans="1:29" ht="16" x14ac:dyDescent="0.2">
      <c r="A29" s="209" t="s">
        <v>204</v>
      </c>
      <c r="B29" s="220"/>
      <c r="C29" s="214"/>
      <c r="D29" s="213"/>
      <c r="E29" s="213"/>
      <c r="F29" s="224"/>
      <c r="G29" s="220"/>
      <c r="H29" s="214"/>
      <c r="I29" s="213"/>
      <c r="O29" s="206"/>
      <c r="AC29" s="197"/>
    </row>
    <row r="30" spans="1:29" ht="16" x14ac:dyDescent="0.2">
      <c r="A30" s="209" t="s">
        <v>205</v>
      </c>
      <c r="B30" s="220"/>
      <c r="C30" s="214"/>
      <c r="D30" s="213"/>
      <c r="E30" s="213"/>
      <c r="F30" s="224"/>
      <c r="G30" s="220"/>
      <c r="H30" s="214"/>
      <c r="I30" s="213"/>
      <c r="O30" s="206"/>
      <c r="AC30" s="197"/>
    </row>
    <row r="31" spans="1:29" ht="16" x14ac:dyDescent="0.2">
      <c r="A31" s="209" t="s">
        <v>206</v>
      </c>
      <c r="B31" s="220"/>
      <c r="C31" s="214"/>
      <c r="D31" s="213"/>
      <c r="E31" s="213"/>
      <c r="F31" s="224"/>
      <c r="G31" s="220"/>
      <c r="H31" s="214"/>
      <c r="I31" s="213"/>
      <c r="O31" s="206"/>
      <c r="AC31" s="197"/>
    </row>
    <row r="32" spans="1:29" ht="16" x14ac:dyDescent="0.2">
      <c r="A32" s="209" t="s">
        <v>207</v>
      </c>
      <c r="B32" s="220"/>
      <c r="C32" s="214"/>
      <c r="D32" s="213"/>
      <c r="E32" s="213"/>
      <c r="F32" s="224"/>
      <c r="G32" s="220"/>
      <c r="H32" s="214"/>
      <c r="I32" s="213"/>
      <c r="O32" s="206"/>
      <c r="AC32" s="197"/>
    </row>
    <row r="33" spans="1:29" ht="16" x14ac:dyDescent="0.2">
      <c r="A33" s="209" t="s">
        <v>208</v>
      </c>
      <c r="B33" s="220"/>
      <c r="C33" s="214"/>
      <c r="D33" s="213"/>
      <c r="E33" s="213"/>
      <c r="F33" s="224"/>
      <c r="G33" s="220"/>
      <c r="H33" s="214"/>
      <c r="I33" s="213"/>
      <c r="O33" s="206"/>
      <c r="AC33" s="197"/>
    </row>
    <row r="34" spans="1:29" ht="17" thickBot="1" x14ac:dyDescent="0.25">
      <c r="A34" s="210" t="s">
        <v>209</v>
      </c>
      <c r="B34" s="221"/>
      <c r="C34" s="211"/>
      <c r="D34" s="194"/>
      <c r="E34" s="194"/>
      <c r="F34" s="225"/>
      <c r="G34" s="221"/>
      <c r="H34" s="211"/>
      <c r="I34" s="194"/>
      <c r="O34" s="206"/>
      <c r="P34"/>
      <c r="Q34"/>
      <c r="R34"/>
      <c r="S34"/>
      <c r="T34"/>
      <c r="U34"/>
      <c r="V34"/>
      <c r="W34"/>
      <c r="X34"/>
      <c r="Y34"/>
      <c r="Z34"/>
      <c r="AA34"/>
      <c r="AB34"/>
    </row>
    <row r="37" spans="1:29" ht="16" thickBot="1" x14ac:dyDescent="0.25"/>
    <row r="38" spans="1:29" ht="33" thickBot="1" x14ac:dyDescent="0.25">
      <c r="A38" s="200" t="s">
        <v>210</v>
      </c>
      <c r="B38" s="217" t="s">
        <v>173</v>
      </c>
      <c r="C38" s="215" t="s">
        <v>174</v>
      </c>
      <c r="D38" s="201" t="s">
        <v>175</v>
      </c>
      <c r="E38" s="201" t="s">
        <v>176</v>
      </c>
      <c r="F38" s="222" t="s">
        <v>167</v>
      </c>
      <c r="G38" s="217" t="s">
        <v>177</v>
      </c>
      <c r="H38" s="226" t="s">
        <v>174</v>
      </c>
      <c r="I38" s="202" t="s">
        <v>167</v>
      </c>
    </row>
    <row r="39" spans="1:29" ht="16" x14ac:dyDescent="0.2">
      <c r="A39" s="205" t="s">
        <v>126</v>
      </c>
      <c r="B39" s="218"/>
      <c r="C39" s="216"/>
      <c r="D39" s="212"/>
      <c r="E39" s="212"/>
      <c r="F39" s="223"/>
      <c r="G39" s="227"/>
      <c r="H39" s="216"/>
      <c r="I39" s="212"/>
    </row>
    <row r="40" spans="1:29" ht="16" x14ac:dyDescent="0.2">
      <c r="A40" s="207" t="s">
        <v>178</v>
      </c>
      <c r="B40" s="219" t="s">
        <v>179</v>
      </c>
      <c r="C40" s="214"/>
      <c r="D40" s="213"/>
      <c r="E40" s="213"/>
      <c r="F40" s="224"/>
      <c r="G40" s="220"/>
      <c r="H40" s="214"/>
      <c r="I40" s="213"/>
    </row>
    <row r="41" spans="1:29" ht="16" x14ac:dyDescent="0.2">
      <c r="A41" s="209" t="s">
        <v>180</v>
      </c>
      <c r="B41" s="220"/>
      <c r="C41" s="214"/>
      <c r="D41" s="213"/>
      <c r="E41" s="213"/>
      <c r="F41" s="224"/>
      <c r="G41" s="220"/>
      <c r="H41" s="214"/>
      <c r="I41" s="213"/>
    </row>
    <row r="42" spans="1:29" ht="16" x14ac:dyDescent="0.2">
      <c r="A42" s="209" t="s">
        <v>181</v>
      </c>
      <c r="B42" s="220"/>
      <c r="C42" s="214"/>
      <c r="D42" s="213"/>
      <c r="E42" s="213"/>
      <c r="F42" s="224"/>
      <c r="G42" s="220"/>
      <c r="H42" s="214"/>
      <c r="I42" s="213"/>
    </row>
    <row r="43" spans="1:29" ht="16" x14ac:dyDescent="0.2">
      <c r="A43" s="209" t="s">
        <v>182</v>
      </c>
      <c r="B43" s="220"/>
      <c r="C43" s="214"/>
      <c r="D43" s="213"/>
      <c r="E43" s="213"/>
      <c r="F43" s="224"/>
      <c r="G43" s="220"/>
      <c r="H43" s="214"/>
      <c r="I43" s="213"/>
    </row>
    <row r="44" spans="1:29" ht="16" x14ac:dyDescent="0.2">
      <c r="A44" s="209" t="s">
        <v>183</v>
      </c>
      <c r="B44" s="220"/>
      <c r="C44" s="214"/>
      <c r="D44" s="213"/>
      <c r="E44" s="213"/>
      <c r="F44" s="224"/>
      <c r="G44" s="220"/>
      <c r="H44" s="214"/>
      <c r="I44" s="213"/>
    </row>
    <row r="45" spans="1:29" ht="16" x14ac:dyDescent="0.2">
      <c r="A45" s="209" t="s">
        <v>184</v>
      </c>
      <c r="B45" s="220"/>
      <c r="C45" s="214"/>
      <c r="D45" s="213"/>
      <c r="E45" s="213"/>
      <c r="F45" s="224"/>
      <c r="G45" s="220"/>
      <c r="H45" s="214"/>
      <c r="I45" s="213"/>
    </row>
    <row r="46" spans="1:29" ht="16" x14ac:dyDescent="0.2">
      <c r="A46" s="209" t="s">
        <v>185</v>
      </c>
      <c r="B46" s="220"/>
      <c r="C46" s="214"/>
      <c r="D46" s="213"/>
      <c r="E46" s="213"/>
      <c r="F46" s="224"/>
      <c r="G46" s="220"/>
      <c r="H46" s="214"/>
      <c r="I46" s="213"/>
    </row>
    <row r="47" spans="1:29" ht="16" x14ac:dyDescent="0.2">
      <c r="A47" s="209" t="s">
        <v>186</v>
      </c>
      <c r="B47" s="220"/>
      <c r="C47" s="214"/>
      <c r="D47" s="213"/>
      <c r="E47" s="213"/>
      <c r="F47" s="224"/>
      <c r="G47" s="220"/>
      <c r="H47" s="214"/>
      <c r="I47" s="213"/>
    </row>
    <row r="48" spans="1:29" ht="16" x14ac:dyDescent="0.2">
      <c r="A48" s="209" t="s">
        <v>187</v>
      </c>
      <c r="B48" s="220"/>
      <c r="C48" s="214"/>
      <c r="D48" s="213"/>
      <c r="E48" s="213"/>
      <c r="F48" s="224"/>
      <c r="G48" s="220"/>
      <c r="H48" s="214"/>
      <c r="I48" s="213"/>
    </row>
    <row r="49" spans="1:9" ht="16" x14ac:dyDescent="0.2">
      <c r="A49" s="209" t="s">
        <v>188</v>
      </c>
      <c r="B49" s="220"/>
      <c r="C49" s="214"/>
      <c r="D49" s="213"/>
      <c r="E49" s="213"/>
      <c r="F49" s="224"/>
      <c r="G49" s="220"/>
      <c r="H49" s="214"/>
      <c r="I49" s="213"/>
    </row>
    <row r="50" spans="1:9" ht="16" x14ac:dyDescent="0.2">
      <c r="A50" s="209" t="s">
        <v>189</v>
      </c>
      <c r="B50" s="220"/>
      <c r="C50" s="214"/>
      <c r="D50" s="213"/>
      <c r="E50" s="213"/>
      <c r="F50" s="224"/>
      <c r="G50" s="220"/>
      <c r="H50" s="214"/>
      <c r="I50" s="213"/>
    </row>
    <row r="51" spans="1:9" ht="16" x14ac:dyDescent="0.2">
      <c r="A51" s="209" t="s">
        <v>190</v>
      </c>
      <c r="B51" s="220"/>
      <c r="C51" s="214"/>
      <c r="D51" s="213"/>
      <c r="E51" s="213"/>
      <c r="F51" s="224"/>
      <c r="G51" s="220"/>
      <c r="H51" s="214"/>
      <c r="I51" s="213"/>
    </row>
    <row r="52" spans="1:9" ht="16" x14ac:dyDescent="0.2">
      <c r="A52" s="209" t="s">
        <v>191</v>
      </c>
      <c r="B52" s="220"/>
      <c r="C52" s="214"/>
      <c r="D52" s="213"/>
      <c r="E52" s="213"/>
      <c r="F52" s="224"/>
      <c r="G52" s="220"/>
      <c r="H52" s="214"/>
      <c r="I52" s="213"/>
    </row>
    <row r="53" spans="1:9" ht="16" x14ac:dyDescent="0.2">
      <c r="A53" s="209" t="s">
        <v>192</v>
      </c>
      <c r="B53" s="220"/>
      <c r="C53" s="214"/>
      <c r="D53" s="213"/>
      <c r="E53" s="213"/>
      <c r="F53" s="224"/>
      <c r="G53" s="220"/>
      <c r="H53" s="214"/>
      <c r="I53" s="213"/>
    </row>
    <row r="54" spans="1:9" ht="16" x14ac:dyDescent="0.2">
      <c r="A54" s="209" t="s">
        <v>193</v>
      </c>
      <c r="B54" s="220"/>
      <c r="C54" s="214"/>
      <c r="D54" s="213"/>
      <c r="E54" s="213"/>
      <c r="F54" s="224"/>
      <c r="G54" s="220"/>
      <c r="H54" s="214"/>
      <c r="I54" s="213"/>
    </row>
    <row r="55" spans="1:9" ht="16" x14ac:dyDescent="0.2">
      <c r="A55" s="209" t="s">
        <v>194</v>
      </c>
      <c r="B55" s="220"/>
      <c r="C55" s="214"/>
      <c r="D55" s="213"/>
      <c r="E55" s="213"/>
      <c r="F55" s="224"/>
      <c r="G55" s="220"/>
      <c r="H55" s="214"/>
      <c r="I55" s="213"/>
    </row>
    <row r="56" spans="1:9" ht="16" x14ac:dyDescent="0.2">
      <c r="A56" s="209" t="s">
        <v>195</v>
      </c>
      <c r="B56" s="220"/>
      <c r="C56" s="214"/>
      <c r="D56" s="213"/>
      <c r="E56" s="213"/>
      <c r="F56" s="224"/>
      <c r="G56" s="220"/>
      <c r="H56" s="214"/>
      <c r="I56" s="213"/>
    </row>
    <row r="57" spans="1:9" ht="16" x14ac:dyDescent="0.2">
      <c r="A57" s="209" t="s">
        <v>196</v>
      </c>
      <c r="B57" s="220"/>
      <c r="C57" s="214"/>
      <c r="D57" s="213"/>
      <c r="E57" s="213"/>
      <c r="F57" s="224"/>
      <c r="G57" s="220"/>
      <c r="H57" s="214"/>
      <c r="I57" s="213"/>
    </row>
    <row r="58" spans="1:9" ht="16" x14ac:dyDescent="0.2">
      <c r="A58" s="209" t="s">
        <v>197</v>
      </c>
      <c r="B58" s="220"/>
      <c r="C58" s="214"/>
      <c r="D58" s="213"/>
      <c r="E58" s="213"/>
      <c r="F58" s="224"/>
      <c r="G58" s="220"/>
      <c r="H58" s="214"/>
      <c r="I58" s="213"/>
    </row>
    <row r="59" spans="1:9" ht="16" x14ac:dyDescent="0.2">
      <c r="A59" s="209" t="s">
        <v>198</v>
      </c>
      <c r="B59" s="220"/>
      <c r="C59" s="214"/>
      <c r="D59" s="213"/>
      <c r="E59" s="213"/>
      <c r="F59" s="224"/>
      <c r="G59" s="220"/>
      <c r="H59" s="214"/>
      <c r="I59" s="213"/>
    </row>
    <row r="60" spans="1:9" ht="16" x14ac:dyDescent="0.2">
      <c r="A60" s="209" t="s">
        <v>199</v>
      </c>
      <c r="B60" s="220"/>
      <c r="C60" s="214"/>
      <c r="D60" s="213"/>
      <c r="E60" s="213"/>
      <c r="F60" s="224"/>
      <c r="G60" s="220"/>
      <c r="H60" s="214"/>
      <c r="I60" s="213"/>
    </row>
    <row r="61" spans="1:9" ht="16" x14ac:dyDescent="0.2">
      <c r="A61" s="209" t="s">
        <v>200</v>
      </c>
      <c r="B61" s="220"/>
      <c r="C61" s="214"/>
      <c r="D61" s="213"/>
      <c r="E61" s="213"/>
      <c r="F61" s="224"/>
      <c r="G61" s="220"/>
      <c r="H61" s="214"/>
      <c r="I61" s="213"/>
    </row>
    <row r="62" spans="1:9" ht="16" x14ac:dyDescent="0.2">
      <c r="A62" s="209" t="s">
        <v>201</v>
      </c>
      <c r="B62" s="220"/>
      <c r="C62" s="214"/>
      <c r="D62" s="213"/>
      <c r="E62" s="213"/>
      <c r="F62" s="224"/>
      <c r="G62" s="220"/>
      <c r="H62" s="214"/>
      <c r="I62" s="213"/>
    </row>
    <row r="63" spans="1:9" ht="16" x14ac:dyDescent="0.2">
      <c r="A63" s="209" t="s">
        <v>202</v>
      </c>
      <c r="B63" s="220"/>
      <c r="C63" s="214"/>
      <c r="D63" s="213"/>
      <c r="E63" s="213"/>
      <c r="F63" s="224"/>
      <c r="G63" s="220"/>
      <c r="H63" s="214"/>
      <c r="I63" s="213"/>
    </row>
    <row r="64" spans="1:9" ht="16" x14ac:dyDescent="0.2">
      <c r="A64" s="209" t="s">
        <v>203</v>
      </c>
      <c r="B64" s="220"/>
      <c r="C64" s="214"/>
      <c r="D64" s="213"/>
      <c r="E64" s="213"/>
      <c r="F64" s="224"/>
      <c r="G64" s="220"/>
      <c r="H64" s="214"/>
      <c r="I64" s="213"/>
    </row>
    <row r="65" spans="1:9" ht="16" x14ac:dyDescent="0.2">
      <c r="A65" s="209" t="s">
        <v>204</v>
      </c>
      <c r="B65" s="220"/>
      <c r="C65" s="214"/>
      <c r="D65" s="213"/>
      <c r="E65" s="213"/>
      <c r="F65" s="224"/>
      <c r="G65" s="220"/>
      <c r="H65" s="214"/>
      <c r="I65" s="213"/>
    </row>
    <row r="66" spans="1:9" ht="16" x14ac:dyDescent="0.2">
      <c r="A66" s="209" t="s">
        <v>205</v>
      </c>
      <c r="B66" s="220"/>
      <c r="C66" s="214"/>
      <c r="D66" s="213"/>
      <c r="E66" s="213"/>
      <c r="F66" s="224"/>
      <c r="G66" s="220"/>
      <c r="H66" s="214"/>
      <c r="I66" s="213"/>
    </row>
    <row r="67" spans="1:9" ht="16" x14ac:dyDescent="0.2">
      <c r="A67" s="209" t="s">
        <v>206</v>
      </c>
      <c r="B67" s="220"/>
      <c r="C67" s="214"/>
      <c r="D67" s="213"/>
      <c r="E67" s="213"/>
      <c r="F67" s="224"/>
      <c r="G67" s="220"/>
      <c r="H67" s="214"/>
      <c r="I67" s="213"/>
    </row>
    <row r="68" spans="1:9" ht="16" x14ac:dyDescent="0.2">
      <c r="A68" s="209" t="s">
        <v>207</v>
      </c>
      <c r="B68" s="220"/>
      <c r="C68" s="214"/>
      <c r="D68" s="213"/>
      <c r="E68" s="213"/>
      <c r="F68" s="224"/>
      <c r="G68" s="220"/>
      <c r="H68" s="214"/>
      <c r="I68" s="213"/>
    </row>
    <row r="69" spans="1:9" ht="16" x14ac:dyDescent="0.2">
      <c r="A69" s="209" t="s">
        <v>208</v>
      </c>
      <c r="B69" s="220"/>
      <c r="C69" s="214"/>
      <c r="D69" s="213"/>
      <c r="E69" s="213"/>
      <c r="F69" s="224"/>
      <c r="G69" s="220"/>
      <c r="H69" s="214"/>
      <c r="I69" s="213"/>
    </row>
    <row r="70" spans="1:9" ht="17" thickBot="1" x14ac:dyDescent="0.25">
      <c r="A70" s="210" t="s">
        <v>209</v>
      </c>
      <c r="B70" s="221"/>
      <c r="C70" s="211"/>
      <c r="D70" s="194"/>
      <c r="E70" s="194"/>
      <c r="F70" s="225"/>
      <c r="G70" s="221"/>
      <c r="H70" s="211"/>
      <c r="I70" s="194"/>
    </row>
  </sheetData>
  <pageMargins left="0.7" right="0.7" top="0.75" bottom="0.75" header="0.3" footer="0.3"/>
  <pageSetup paperSize="9" scale="6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1"/>
  <dimension ref="A1:AC70"/>
  <sheetViews>
    <sheetView view="pageBreakPreview" zoomScale="60" zoomScaleNormal="100" workbookViewId="0">
      <selection activeCell="Q35" sqref="Q35"/>
    </sheetView>
  </sheetViews>
  <sheetFormatPr baseColWidth="10" defaultColWidth="8.83203125" defaultRowHeight="15" x14ac:dyDescent="0.2"/>
  <cols>
    <col min="1" max="1" width="21.5" customWidth="1"/>
    <col min="2" max="2" width="14.5" customWidth="1"/>
    <col min="3" max="3" width="14.33203125" style="197" customWidth="1"/>
    <col min="4" max="4" width="14.1640625" style="197" customWidth="1"/>
    <col min="5" max="5" width="14.83203125" style="197" customWidth="1"/>
    <col min="6" max="6" width="11.83203125" style="197" customWidth="1"/>
    <col min="7" max="7" width="15.83203125" style="197" customWidth="1"/>
    <col min="8" max="8" width="13.5" style="197" customWidth="1"/>
    <col min="9" max="28" width="8.5" style="197" customWidth="1"/>
  </cols>
  <sheetData>
    <row r="1" spans="1:29" ht="16" thickBot="1" x14ac:dyDescent="0.25"/>
    <row r="2" spans="1:29" ht="48.75" customHeight="1" thickBot="1" x14ac:dyDescent="0.25">
      <c r="A2" s="200" t="s">
        <v>172</v>
      </c>
      <c r="B2" s="217" t="s">
        <v>173</v>
      </c>
      <c r="C2" s="215" t="s">
        <v>174</v>
      </c>
      <c r="D2" s="201" t="s">
        <v>175</v>
      </c>
      <c r="E2" s="201" t="s">
        <v>176</v>
      </c>
      <c r="F2" s="222" t="s">
        <v>167</v>
      </c>
      <c r="G2" s="217" t="s">
        <v>177</v>
      </c>
      <c r="H2" s="226" t="s">
        <v>174</v>
      </c>
      <c r="I2" s="202" t="s">
        <v>167</v>
      </c>
      <c r="O2" s="203"/>
      <c r="P2" s="204"/>
      <c r="Q2" s="204"/>
      <c r="R2" s="97"/>
      <c r="S2" s="97"/>
      <c r="T2" s="97"/>
      <c r="U2" s="97"/>
      <c r="V2" s="97"/>
      <c r="W2" s="97"/>
      <c r="X2" s="97"/>
      <c r="Y2" s="204"/>
      <c r="Z2" s="204"/>
      <c r="AA2" s="97"/>
      <c r="AB2" s="97"/>
      <c r="AC2" s="97"/>
    </row>
    <row r="3" spans="1:29" ht="16" x14ac:dyDescent="0.2">
      <c r="A3" s="205" t="s">
        <v>126</v>
      </c>
      <c r="B3" s="218"/>
      <c r="C3" s="216"/>
      <c r="D3" s="212"/>
      <c r="E3" s="212"/>
      <c r="F3" s="223"/>
      <c r="G3" s="227"/>
      <c r="H3" s="216"/>
      <c r="I3" s="212"/>
      <c r="O3" s="206"/>
      <c r="P3"/>
      <c r="AC3" s="197"/>
    </row>
    <row r="4" spans="1:29" ht="16" x14ac:dyDescent="0.2">
      <c r="A4" s="207" t="s">
        <v>178</v>
      </c>
      <c r="B4" s="219" t="s">
        <v>179</v>
      </c>
      <c r="C4" s="214"/>
      <c r="D4" s="213"/>
      <c r="E4" s="213"/>
      <c r="F4" s="224"/>
      <c r="G4" s="220"/>
      <c r="H4" s="214"/>
      <c r="I4" s="213"/>
      <c r="O4" s="206"/>
      <c r="P4" s="208"/>
      <c r="AC4" s="197"/>
    </row>
    <row r="5" spans="1:29" ht="15.75" customHeight="1" x14ac:dyDescent="0.2">
      <c r="A5" s="209" t="s">
        <v>180</v>
      </c>
      <c r="B5" s="220"/>
      <c r="C5" s="214"/>
      <c r="D5" s="213"/>
      <c r="E5" s="213"/>
      <c r="F5" s="224"/>
      <c r="G5" s="220"/>
      <c r="H5" s="214"/>
      <c r="I5" s="213"/>
      <c r="O5" s="206"/>
      <c r="AC5" s="197"/>
    </row>
    <row r="6" spans="1:29" ht="16" x14ac:dyDescent="0.2">
      <c r="A6" s="209" t="s">
        <v>181</v>
      </c>
      <c r="B6" s="220"/>
      <c r="C6" s="214"/>
      <c r="D6" s="213"/>
      <c r="E6" s="213"/>
      <c r="F6" s="224"/>
      <c r="G6" s="220"/>
      <c r="H6" s="214"/>
      <c r="I6" s="213"/>
      <c r="O6" s="206"/>
      <c r="AC6" s="197"/>
    </row>
    <row r="7" spans="1:29" ht="16" x14ac:dyDescent="0.2">
      <c r="A7" s="209" t="s">
        <v>182</v>
      </c>
      <c r="B7" s="220"/>
      <c r="C7" s="214"/>
      <c r="D7" s="213"/>
      <c r="E7" s="213"/>
      <c r="F7" s="224"/>
      <c r="G7" s="220"/>
      <c r="H7" s="214"/>
      <c r="I7" s="213"/>
      <c r="O7" s="206"/>
      <c r="AC7" s="197"/>
    </row>
    <row r="8" spans="1:29" ht="16" x14ac:dyDescent="0.2">
      <c r="A8" s="209" t="s">
        <v>183</v>
      </c>
      <c r="B8" s="220"/>
      <c r="C8" s="214"/>
      <c r="D8" s="213"/>
      <c r="E8" s="213"/>
      <c r="F8" s="224"/>
      <c r="G8" s="220"/>
      <c r="H8" s="214"/>
      <c r="I8" s="213"/>
      <c r="O8" s="206"/>
      <c r="AC8" s="197"/>
    </row>
    <row r="9" spans="1:29" ht="16" x14ac:dyDescent="0.2">
      <c r="A9" s="209" t="s">
        <v>184</v>
      </c>
      <c r="B9" s="220"/>
      <c r="C9" s="214"/>
      <c r="D9" s="213"/>
      <c r="E9" s="213"/>
      <c r="F9" s="224"/>
      <c r="G9" s="220"/>
      <c r="H9" s="214"/>
      <c r="I9" s="213"/>
      <c r="O9" s="206"/>
      <c r="AC9" s="197"/>
    </row>
    <row r="10" spans="1:29" ht="16" x14ac:dyDescent="0.2">
      <c r="A10" s="209" t="s">
        <v>185</v>
      </c>
      <c r="B10" s="220"/>
      <c r="C10" s="214"/>
      <c r="D10" s="213"/>
      <c r="E10" s="213"/>
      <c r="F10" s="224"/>
      <c r="G10" s="220"/>
      <c r="H10" s="214"/>
      <c r="I10" s="213"/>
      <c r="O10" s="206"/>
      <c r="AC10" s="197"/>
    </row>
    <row r="11" spans="1:29" ht="16" x14ac:dyDescent="0.2">
      <c r="A11" s="209" t="s">
        <v>186</v>
      </c>
      <c r="B11" s="220"/>
      <c r="C11" s="214"/>
      <c r="D11" s="213"/>
      <c r="E11" s="213"/>
      <c r="F11" s="224"/>
      <c r="G11" s="220"/>
      <c r="H11" s="214"/>
      <c r="I11" s="213"/>
      <c r="O11" s="206"/>
      <c r="AC11" s="197"/>
    </row>
    <row r="12" spans="1:29" ht="16" x14ac:dyDescent="0.2">
      <c r="A12" s="209" t="s">
        <v>187</v>
      </c>
      <c r="B12" s="220"/>
      <c r="C12" s="214"/>
      <c r="D12" s="213"/>
      <c r="E12" s="213"/>
      <c r="F12" s="224"/>
      <c r="G12" s="220"/>
      <c r="H12" s="214"/>
      <c r="I12" s="213"/>
      <c r="O12" s="206"/>
      <c r="AC12" s="197"/>
    </row>
    <row r="13" spans="1:29" ht="16" x14ac:dyDescent="0.2">
      <c r="A13" s="209" t="s">
        <v>188</v>
      </c>
      <c r="B13" s="220"/>
      <c r="C13" s="214"/>
      <c r="D13" s="213"/>
      <c r="E13" s="213"/>
      <c r="F13" s="224"/>
      <c r="G13" s="220"/>
      <c r="H13" s="214"/>
      <c r="I13" s="213"/>
      <c r="O13" s="206"/>
      <c r="AC13" s="197"/>
    </row>
    <row r="14" spans="1:29" ht="16" x14ac:dyDescent="0.2">
      <c r="A14" s="209" t="s">
        <v>189</v>
      </c>
      <c r="B14" s="220"/>
      <c r="C14" s="214"/>
      <c r="D14" s="213"/>
      <c r="E14" s="213"/>
      <c r="F14" s="224"/>
      <c r="G14" s="220"/>
      <c r="H14" s="214"/>
      <c r="I14" s="213"/>
      <c r="O14" s="206"/>
      <c r="AC14" s="197"/>
    </row>
    <row r="15" spans="1:29" ht="16" x14ac:dyDescent="0.2">
      <c r="A15" s="209" t="s">
        <v>190</v>
      </c>
      <c r="B15" s="220"/>
      <c r="C15" s="214"/>
      <c r="D15" s="213"/>
      <c r="E15" s="213"/>
      <c r="F15" s="224"/>
      <c r="G15" s="220"/>
      <c r="H15" s="214"/>
      <c r="I15" s="213"/>
      <c r="O15" s="206"/>
      <c r="AC15" s="197"/>
    </row>
    <row r="16" spans="1:29" ht="16" x14ac:dyDescent="0.2">
      <c r="A16" s="209" t="s">
        <v>191</v>
      </c>
      <c r="B16" s="220"/>
      <c r="C16" s="214"/>
      <c r="D16" s="213"/>
      <c r="E16" s="213"/>
      <c r="F16" s="224"/>
      <c r="G16" s="220"/>
      <c r="H16" s="214"/>
      <c r="I16" s="213"/>
      <c r="O16" s="206"/>
      <c r="AC16" s="197"/>
    </row>
    <row r="17" spans="1:29" ht="16" x14ac:dyDescent="0.2">
      <c r="A17" s="209" t="s">
        <v>192</v>
      </c>
      <c r="B17" s="220"/>
      <c r="C17" s="214"/>
      <c r="D17" s="213"/>
      <c r="E17" s="213"/>
      <c r="F17" s="224"/>
      <c r="G17" s="220"/>
      <c r="H17" s="214"/>
      <c r="I17" s="213"/>
      <c r="O17" s="206"/>
      <c r="AC17" s="197"/>
    </row>
    <row r="18" spans="1:29" ht="16" x14ac:dyDescent="0.2">
      <c r="A18" s="209" t="s">
        <v>193</v>
      </c>
      <c r="B18" s="220"/>
      <c r="C18" s="214"/>
      <c r="D18" s="213"/>
      <c r="E18" s="213"/>
      <c r="F18" s="224"/>
      <c r="G18" s="220"/>
      <c r="H18" s="214"/>
      <c r="I18" s="213"/>
      <c r="O18" s="206"/>
      <c r="AC18" s="197"/>
    </row>
    <row r="19" spans="1:29" ht="16" x14ac:dyDescent="0.2">
      <c r="A19" s="209" t="s">
        <v>194</v>
      </c>
      <c r="B19" s="220"/>
      <c r="C19" s="214"/>
      <c r="D19" s="213"/>
      <c r="E19" s="213"/>
      <c r="F19" s="224"/>
      <c r="G19" s="220"/>
      <c r="H19" s="214"/>
      <c r="I19" s="213"/>
      <c r="O19" s="206"/>
      <c r="AC19" s="197"/>
    </row>
    <row r="20" spans="1:29" ht="16" x14ac:dyDescent="0.2">
      <c r="A20" s="209" t="s">
        <v>195</v>
      </c>
      <c r="B20" s="220"/>
      <c r="C20" s="214"/>
      <c r="D20" s="213"/>
      <c r="E20" s="213"/>
      <c r="F20" s="224"/>
      <c r="G20" s="220"/>
      <c r="H20" s="214"/>
      <c r="I20" s="213"/>
      <c r="O20" s="206"/>
      <c r="AC20" s="197"/>
    </row>
    <row r="21" spans="1:29" ht="16" x14ac:dyDescent="0.2">
      <c r="A21" s="209" t="s">
        <v>196</v>
      </c>
      <c r="B21" s="220"/>
      <c r="C21" s="214"/>
      <c r="D21" s="213"/>
      <c r="E21" s="213"/>
      <c r="F21" s="224"/>
      <c r="G21" s="220"/>
      <c r="H21" s="214"/>
      <c r="I21" s="213"/>
      <c r="O21" s="206"/>
      <c r="AC21" s="197"/>
    </row>
    <row r="22" spans="1:29" ht="16" x14ac:dyDescent="0.2">
      <c r="A22" s="209" t="s">
        <v>197</v>
      </c>
      <c r="B22" s="220"/>
      <c r="C22" s="214"/>
      <c r="D22" s="213"/>
      <c r="E22" s="213"/>
      <c r="F22" s="224"/>
      <c r="G22" s="220"/>
      <c r="H22" s="214"/>
      <c r="I22" s="213"/>
      <c r="O22" s="206"/>
      <c r="AC22" s="197"/>
    </row>
    <row r="23" spans="1:29" ht="16" x14ac:dyDescent="0.2">
      <c r="A23" s="209" t="s">
        <v>198</v>
      </c>
      <c r="B23" s="220"/>
      <c r="C23" s="214"/>
      <c r="D23" s="213"/>
      <c r="E23" s="213"/>
      <c r="F23" s="224"/>
      <c r="G23" s="220"/>
      <c r="H23" s="214"/>
      <c r="I23" s="213"/>
      <c r="O23" s="206"/>
      <c r="AC23" s="197"/>
    </row>
    <row r="24" spans="1:29" ht="16" x14ac:dyDescent="0.2">
      <c r="A24" s="209" t="s">
        <v>199</v>
      </c>
      <c r="B24" s="220"/>
      <c r="C24" s="214"/>
      <c r="D24" s="213"/>
      <c r="E24" s="213"/>
      <c r="F24" s="224"/>
      <c r="G24" s="220"/>
      <c r="H24" s="214"/>
      <c r="I24" s="213"/>
      <c r="O24" s="206"/>
      <c r="AC24" s="197"/>
    </row>
    <row r="25" spans="1:29" ht="16" x14ac:dyDescent="0.2">
      <c r="A25" s="209" t="s">
        <v>200</v>
      </c>
      <c r="B25" s="220"/>
      <c r="C25" s="214"/>
      <c r="D25" s="213"/>
      <c r="E25" s="213"/>
      <c r="F25" s="224"/>
      <c r="G25" s="220"/>
      <c r="H25" s="214"/>
      <c r="I25" s="213"/>
      <c r="O25" s="206"/>
      <c r="AC25" s="197"/>
    </row>
    <row r="26" spans="1:29" ht="16" x14ac:dyDescent="0.2">
      <c r="A26" s="209" t="s">
        <v>201</v>
      </c>
      <c r="B26" s="220"/>
      <c r="C26" s="214"/>
      <c r="D26" s="213"/>
      <c r="E26" s="213"/>
      <c r="F26" s="224"/>
      <c r="G26" s="220"/>
      <c r="H26" s="214"/>
      <c r="I26" s="213"/>
      <c r="O26" s="206"/>
      <c r="AC26" s="197"/>
    </row>
    <row r="27" spans="1:29" ht="16" x14ac:dyDescent="0.2">
      <c r="A27" s="209" t="s">
        <v>202</v>
      </c>
      <c r="B27" s="220"/>
      <c r="C27" s="214"/>
      <c r="D27" s="213"/>
      <c r="E27" s="213"/>
      <c r="F27" s="224"/>
      <c r="G27" s="220"/>
      <c r="H27" s="214"/>
      <c r="I27" s="213"/>
      <c r="O27" s="206"/>
      <c r="AC27" s="197"/>
    </row>
    <row r="28" spans="1:29" ht="16" x14ac:dyDescent="0.2">
      <c r="A28" s="209" t="s">
        <v>203</v>
      </c>
      <c r="B28" s="220"/>
      <c r="C28" s="214"/>
      <c r="D28" s="213"/>
      <c r="E28" s="213"/>
      <c r="F28" s="224"/>
      <c r="G28" s="220"/>
      <c r="H28" s="214"/>
      <c r="I28" s="213"/>
      <c r="O28" s="206"/>
      <c r="AC28" s="197"/>
    </row>
    <row r="29" spans="1:29" ht="16" x14ac:dyDescent="0.2">
      <c r="A29" s="209" t="s">
        <v>204</v>
      </c>
      <c r="B29" s="220"/>
      <c r="C29" s="214"/>
      <c r="D29" s="213"/>
      <c r="E29" s="213"/>
      <c r="F29" s="224"/>
      <c r="G29" s="220"/>
      <c r="H29" s="214"/>
      <c r="I29" s="213"/>
      <c r="O29" s="206"/>
      <c r="AC29" s="197"/>
    </row>
    <row r="30" spans="1:29" ht="16" x14ac:dyDescent="0.2">
      <c r="A30" s="209" t="s">
        <v>205</v>
      </c>
      <c r="B30" s="220"/>
      <c r="C30" s="214"/>
      <c r="D30" s="213"/>
      <c r="E30" s="213"/>
      <c r="F30" s="224"/>
      <c r="G30" s="220"/>
      <c r="H30" s="214"/>
      <c r="I30" s="213"/>
      <c r="O30" s="206"/>
      <c r="AC30" s="197"/>
    </row>
    <row r="31" spans="1:29" ht="16" x14ac:dyDescent="0.2">
      <c r="A31" s="209" t="s">
        <v>206</v>
      </c>
      <c r="B31" s="220"/>
      <c r="C31" s="214"/>
      <c r="D31" s="213"/>
      <c r="E31" s="213"/>
      <c r="F31" s="224"/>
      <c r="G31" s="220"/>
      <c r="H31" s="214"/>
      <c r="I31" s="213"/>
      <c r="O31" s="206"/>
      <c r="AC31" s="197"/>
    </row>
    <row r="32" spans="1:29" ht="16" x14ac:dyDescent="0.2">
      <c r="A32" s="209" t="s">
        <v>207</v>
      </c>
      <c r="B32" s="220"/>
      <c r="C32" s="214"/>
      <c r="D32" s="213"/>
      <c r="E32" s="213"/>
      <c r="F32" s="224"/>
      <c r="G32" s="220"/>
      <c r="H32" s="214"/>
      <c r="I32" s="213"/>
      <c r="O32" s="206"/>
      <c r="AC32" s="197"/>
    </row>
    <row r="33" spans="1:29" ht="16" x14ac:dyDescent="0.2">
      <c r="A33" s="209" t="s">
        <v>208</v>
      </c>
      <c r="B33" s="220"/>
      <c r="C33" s="214"/>
      <c r="D33" s="213"/>
      <c r="E33" s="213"/>
      <c r="F33" s="224"/>
      <c r="G33" s="220"/>
      <c r="H33" s="214"/>
      <c r="I33" s="213"/>
      <c r="O33" s="206"/>
      <c r="AC33" s="197"/>
    </row>
    <row r="34" spans="1:29" ht="17" thickBot="1" x14ac:dyDescent="0.25">
      <c r="A34" s="210" t="s">
        <v>209</v>
      </c>
      <c r="B34" s="221"/>
      <c r="C34" s="211"/>
      <c r="D34" s="194"/>
      <c r="E34" s="194"/>
      <c r="F34" s="225"/>
      <c r="G34" s="221"/>
      <c r="H34" s="211"/>
      <c r="I34" s="194"/>
      <c r="O34" s="206"/>
      <c r="P34"/>
      <c r="Q34"/>
      <c r="R34"/>
      <c r="S34"/>
      <c r="T34"/>
      <c r="U34"/>
      <c r="V34"/>
      <c r="W34"/>
      <c r="X34"/>
      <c r="Y34"/>
      <c r="Z34"/>
      <c r="AA34"/>
      <c r="AB34"/>
    </row>
    <row r="37" spans="1:29" ht="16" thickBot="1" x14ac:dyDescent="0.25"/>
    <row r="38" spans="1:29" ht="33" thickBot="1" x14ac:dyDescent="0.25">
      <c r="A38" s="200" t="s">
        <v>210</v>
      </c>
      <c r="B38" s="217" t="s">
        <v>173</v>
      </c>
      <c r="C38" s="215" t="s">
        <v>174</v>
      </c>
      <c r="D38" s="201" t="s">
        <v>175</v>
      </c>
      <c r="E38" s="201" t="s">
        <v>176</v>
      </c>
      <c r="F38" s="222" t="s">
        <v>167</v>
      </c>
      <c r="G38" s="217" t="s">
        <v>177</v>
      </c>
      <c r="H38" s="226" t="s">
        <v>174</v>
      </c>
      <c r="I38" s="202" t="s">
        <v>167</v>
      </c>
    </row>
    <row r="39" spans="1:29" ht="16" x14ac:dyDescent="0.2">
      <c r="A39" s="205" t="s">
        <v>126</v>
      </c>
      <c r="B39" s="218"/>
      <c r="C39" s="216"/>
      <c r="D39" s="212"/>
      <c r="E39" s="212"/>
      <c r="F39" s="223"/>
      <c r="G39" s="227"/>
      <c r="H39" s="216"/>
      <c r="I39" s="212"/>
    </row>
    <row r="40" spans="1:29" ht="16" x14ac:dyDescent="0.2">
      <c r="A40" s="207" t="s">
        <v>178</v>
      </c>
      <c r="B40" s="219" t="s">
        <v>179</v>
      </c>
      <c r="C40" s="214"/>
      <c r="D40" s="213"/>
      <c r="E40" s="213"/>
      <c r="F40" s="224"/>
      <c r="G40" s="220"/>
      <c r="H40" s="214"/>
      <c r="I40" s="213"/>
    </row>
    <row r="41" spans="1:29" ht="16" x14ac:dyDescent="0.2">
      <c r="A41" s="209" t="s">
        <v>180</v>
      </c>
      <c r="B41" s="220"/>
      <c r="C41" s="214"/>
      <c r="D41" s="213"/>
      <c r="E41" s="213"/>
      <c r="F41" s="224"/>
      <c r="G41" s="220"/>
      <c r="H41" s="214"/>
      <c r="I41" s="213"/>
    </row>
    <row r="42" spans="1:29" ht="16" x14ac:dyDescent="0.2">
      <c r="A42" s="209" t="s">
        <v>181</v>
      </c>
      <c r="B42" s="220"/>
      <c r="C42" s="214"/>
      <c r="D42" s="213"/>
      <c r="E42" s="213"/>
      <c r="F42" s="224"/>
      <c r="G42" s="220"/>
      <c r="H42" s="214"/>
      <c r="I42" s="213"/>
    </row>
    <row r="43" spans="1:29" ht="16" x14ac:dyDescent="0.2">
      <c r="A43" s="209" t="s">
        <v>182</v>
      </c>
      <c r="B43" s="220"/>
      <c r="C43" s="214"/>
      <c r="D43" s="213"/>
      <c r="E43" s="213"/>
      <c r="F43" s="224"/>
      <c r="G43" s="220"/>
      <c r="H43" s="214"/>
      <c r="I43" s="213"/>
    </row>
    <row r="44" spans="1:29" ht="16" x14ac:dyDescent="0.2">
      <c r="A44" s="209" t="s">
        <v>183</v>
      </c>
      <c r="B44" s="220"/>
      <c r="C44" s="214"/>
      <c r="D44" s="213"/>
      <c r="E44" s="213"/>
      <c r="F44" s="224"/>
      <c r="G44" s="220"/>
      <c r="H44" s="214"/>
      <c r="I44" s="213"/>
    </row>
    <row r="45" spans="1:29" ht="16" x14ac:dyDescent="0.2">
      <c r="A45" s="209" t="s">
        <v>184</v>
      </c>
      <c r="B45" s="220"/>
      <c r="C45" s="214"/>
      <c r="D45" s="213"/>
      <c r="E45" s="213"/>
      <c r="F45" s="224"/>
      <c r="G45" s="220"/>
      <c r="H45" s="214"/>
      <c r="I45" s="213"/>
    </row>
    <row r="46" spans="1:29" ht="16" x14ac:dyDescent="0.2">
      <c r="A46" s="209" t="s">
        <v>185</v>
      </c>
      <c r="B46" s="220"/>
      <c r="C46" s="214"/>
      <c r="D46" s="213"/>
      <c r="E46" s="213"/>
      <c r="F46" s="224"/>
      <c r="G46" s="220"/>
      <c r="H46" s="214"/>
      <c r="I46" s="213"/>
    </row>
    <row r="47" spans="1:29" ht="16" x14ac:dyDescent="0.2">
      <c r="A47" s="209" t="s">
        <v>186</v>
      </c>
      <c r="B47" s="220"/>
      <c r="C47" s="214"/>
      <c r="D47" s="213"/>
      <c r="E47" s="213"/>
      <c r="F47" s="224"/>
      <c r="G47" s="220"/>
      <c r="H47" s="214"/>
      <c r="I47" s="213"/>
    </row>
    <row r="48" spans="1:29" ht="16" x14ac:dyDescent="0.2">
      <c r="A48" s="209" t="s">
        <v>187</v>
      </c>
      <c r="B48" s="220"/>
      <c r="C48" s="214"/>
      <c r="D48" s="213"/>
      <c r="E48" s="213"/>
      <c r="F48" s="224"/>
      <c r="G48" s="220"/>
      <c r="H48" s="214"/>
      <c r="I48" s="213"/>
    </row>
    <row r="49" spans="1:9" ht="16" x14ac:dyDescent="0.2">
      <c r="A49" s="209" t="s">
        <v>188</v>
      </c>
      <c r="B49" s="220"/>
      <c r="C49" s="214"/>
      <c r="D49" s="213"/>
      <c r="E49" s="213"/>
      <c r="F49" s="224"/>
      <c r="G49" s="220"/>
      <c r="H49" s="214"/>
      <c r="I49" s="213"/>
    </row>
    <row r="50" spans="1:9" ht="16" x14ac:dyDescent="0.2">
      <c r="A50" s="209" t="s">
        <v>189</v>
      </c>
      <c r="B50" s="220"/>
      <c r="C50" s="214"/>
      <c r="D50" s="213"/>
      <c r="E50" s="213"/>
      <c r="F50" s="224"/>
      <c r="G50" s="220"/>
      <c r="H50" s="214"/>
      <c r="I50" s="213"/>
    </row>
    <row r="51" spans="1:9" ht="16" x14ac:dyDescent="0.2">
      <c r="A51" s="209" t="s">
        <v>190</v>
      </c>
      <c r="B51" s="220"/>
      <c r="C51" s="214"/>
      <c r="D51" s="213"/>
      <c r="E51" s="213"/>
      <c r="F51" s="224"/>
      <c r="G51" s="220"/>
      <c r="H51" s="214"/>
      <c r="I51" s="213"/>
    </row>
    <row r="52" spans="1:9" ht="16" x14ac:dyDescent="0.2">
      <c r="A52" s="209" t="s">
        <v>191</v>
      </c>
      <c r="B52" s="220"/>
      <c r="C52" s="214"/>
      <c r="D52" s="213"/>
      <c r="E52" s="213"/>
      <c r="F52" s="224"/>
      <c r="G52" s="220"/>
      <c r="H52" s="214"/>
      <c r="I52" s="213"/>
    </row>
    <row r="53" spans="1:9" ht="16" x14ac:dyDescent="0.2">
      <c r="A53" s="209" t="s">
        <v>192</v>
      </c>
      <c r="B53" s="220"/>
      <c r="C53" s="214"/>
      <c r="D53" s="213"/>
      <c r="E53" s="213"/>
      <c r="F53" s="224"/>
      <c r="G53" s="220"/>
      <c r="H53" s="214"/>
      <c r="I53" s="213"/>
    </row>
    <row r="54" spans="1:9" ht="16" x14ac:dyDescent="0.2">
      <c r="A54" s="209" t="s">
        <v>193</v>
      </c>
      <c r="B54" s="220"/>
      <c r="C54" s="214"/>
      <c r="D54" s="213"/>
      <c r="E54" s="213"/>
      <c r="F54" s="224"/>
      <c r="G54" s="220"/>
      <c r="H54" s="214"/>
      <c r="I54" s="213"/>
    </row>
    <row r="55" spans="1:9" ht="16" x14ac:dyDescent="0.2">
      <c r="A55" s="209" t="s">
        <v>194</v>
      </c>
      <c r="B55" s="220"/>
      <c r="C55" s="214"/>
      <c r="D55" s="213"/>
      <c r="E55" s="213"/>
      <c r="F55" s="224"/>
      <c r="G55" s="220"/>
      <c r="H55" s="214"/>
      <c r="I55" s="213"/>
    </row>
    <row r="56" spans="1:9" ht="16" x14ac:dyDescent="0.2">
      <c r="A56" s="209" t="s">
        <v>195</v>
      </c>
      <c r="B56" s="220"/>
      <c r="C56" s="214"/>
      <c r="D56" s="213"/>
      <c r="E56" s="213"/>
      <c r="F56" s="224"/>
      <c r="G56" s="220"/>
      <c r="H56" s="214"/>
      <c r="I56" s="213"/>
    </row>
    <row r="57" spans="1:9" ht="16" x14ac:dyDescent="0.2">
      <c r="A57" s="209" t="s">
        <v>196</v>
      </c>
      <c r="B57" s="220"/>
      <c r="C57" s="214"/>
      <c r="D57" s="213"/>
      <c r="E57" s="213"/>
      <c r="F57" s="224"/>
      <c r="G57" s="220"/>
      <c r="H57" s="214"/>
      <c r="I57" s="213"/>
    </row>
    <row r="58" spans="1:9" ht="16" x14ac:dyDescent="0.2">
      <c r="A58" s="209" t="s">
        <v>197</v>
      </c>
      <c r="B58" s="220"/>
      <c r="C58" s="214"/>
      <c r="D58" s="213"/>
      <c r="E58" s="213"/>
      <c r="F58" s="224"/>
      <c r="G58" s="220"/>
      <c r="H58" s="214"/>
      <c r="I58" s="213"/>
    </row>
    <row r="59" spans="1:9" ht="16" x14ac:dyDescent="0.2">
      <c r="A59" s="209" t="s">
        <v>198</v>
      </c>
      <c r="B59" s="220"/>
      <c r="C59" s="214"/>
      <c r="D59" s="213"/>
      <c r="E59" s="213"/>
      <c r="F59" s="224"/>
      <c r="G59" s="220"/>
      <c r="H59" s="214"/>
      <c r="I59" s="213"/>
    </row>
    <row r="60" spans="1:9" ht="16" x14ac:dyDescent="0.2">
      <c r="A60" s="209" t="s">
        <v>199</v>
      </c>
      <c r="B60" s="220"/>
      <c r="C60" s="214"/>
      <c r="D60" s="213"/>
      <c r="E60" s="213"/>
      <c r="F60" s="224"/>
      <c r="G60" s="220"/>
      <c r="H60" s="214"/>
      <c r="I60" s="213"/>
    </row>
    <row r="61" spans="1:9" ht="16" x14ac:dyDescent="0.2">
      <c r="A61" s="209" t="s">
        <v>200</v>
      </c>
      <c r="B61" s="220"/>
      <c r="C61" s="214"/>
      <c r="D61" s="213"/>
      <c r="E61" s="213"/>
      <c r="F61" s="224"/>
      <c r="G61" s="220"/>
      <c r="H61" s="214"/>
      <c r="I61" s="213"/>
    </row>
    <row r="62" spans="1:9" ht="16" x14ac:dyDescent="0.2">
      <c r="A62" s="209" t="s">
        <v>201</v>
      </c>
      <c r="B62" s="220"/>
      <c r="C62" s="214"/>
      <c r="D62" s="213"/>
      <c r="E62" s="213"/>
      <c r="F62" s="224"/>
      <c r="G62" s="220"/>
      <c r="H62" s="214"/>
      <c r="I62" s="213"/>
    </row>
    <row r="63" spans="1:9" ht="16" x14ac:dyDescent="0.2">
      <c r="A63" s="209" t="s">
        <v>202</v>
      </c>
      <c r="B63" s="220"/>
      <c r="C63" s="214"/>
      <c r="D63" s="213"/>
      <c r="E63" s="213"/>
      <c r="F63" s="224"/>
      <c r="G63" s="220"/>
      <c r="H63" s="214"/>
      <c r="I63" s="213"/>
    </row>
    <row r="64" spans="1:9" ht="16" x14ac:dyDescent="0.2">
      <c r="A64" s="209" t="s">
        <v>203</v>
      </c>
      <c r="B64" s="220"/>
      <c r="C64" s="214"/>
      <c r="D64" s="213"/>
      <c r="E64" s="213"/>
      <c r="F64" s="224"/>
      <c r="G64" s="220"/>
      <c r="H64" s="214"/>
      <c r="I64" s="213"/>
    </row>
    <row r="65" spans="1:9" ht="16" x14ac:dyDescent="0.2">
      <c r="A65" s="209" t="s">
        <v>204</v>
      </c>
      <c r="B65" s="220"/>
      <c r="C65" s="214"/>
      <c r="D65" s="213"/>
      <c r="E65" s="213"/>
      <c r="F65" s="224"/>
      <c r="G65" s="220"/>
      <c r="H65" s="214"/>
      <c r="I65" s="213"/>
    </row>
    <row r="66" spans="1:9" ht="16" x14ac:dyDescent="0.2">
      <c r="A66" s="209" t="s">
        <v>205</v>
      </c>
      <c r="B66" s="220"/>
      <c r="C66" s="214"/>
      <c r="D66" s="213"/>
      <c r="E66" s="213"/>
      <c r="F66" s="224"/>
      <c r="G66" s="220"/>
      <c r="H66" s="214"/>
      <c r="I66" s="213"/>
    </row>
    <row r="67" spans="1:9" ht="16" x14ac:dyDescent="0.2">
      <c r="A67" s="209" t="s">
        <v>206</v>
      </c>
      <c r="B67" s="220"/>
      <c r="C67" s="214"/>
      <c r="D67" s="213"/>
      <c r="E67" s="213"/>
      <c r="F67" s="224"/>
      <c r="G67" s="220"/>
      <c r="H67" s="214"/>
      <c r="I67" s="213"/>
    </row>
    <row r="68" spans="1:9" ht="16" x14ac:dyDescent="0.2">
      <c r="A68" s="209" t="s">
        <v>207</v>
      </c>
      <c r="B68" s="220"/>
      <c r="C68" s="214"/>
      <c r="D68" s="213"/>
      <c r="E68" s="213"/>
      <c r="F68" s="224"/>
      <c r="G68" s="220"/>
      <c r="H68" s="214"/>
      <c r="I68" s="213"/>
    </row>
    <row r="69" spans="1:9" ht="16" x14ac:dyDescent="0.2">
      <c r="A69" s="209" t="s">
        <v>208</v>
      </c>
      <c r="B69" s="220"/>
      <c r="C69" s="214"/>
      <c r="D69" s="213"/>
      <c r="E69" s="213"/>
      <c r="F69" s="224"/>
      <c r="G69" s="220"/>
      <c r="H69" s="214"/>
      <c r="I69" s="213"/>
    </row>
    <row r="70" spans="1:9" ht="17" thickBot="1" x14ac:dyDescent="0.25">
      <c r="A70" s="210" t="s">
        <v>209</v>
      </c>
      <c r="B70" s="221"/>
      <c r="C70" s="211"/>
      <c r="D70" s="194"/>
      <c r="E70" s="194"/>
      <c r="F70" s="225"/>
      <c r="G70" s="221"/>
      <c r="H70" s="211"/>
      <c r="I70" s="194"/>
    </row>
  </sheetData>
  <pageMargins left="0.7" right="0.7" top="0.75" bottom="0.75" header="0.3" footer="0.3"/>
  <pageSetup paperSize="9"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5"/>
  <dimension ref="A2:R53"/>
  <sheetViews>
    <sheetView view="pageBreakPreview" zoomScale="60" zoomScaleNormal="80" workbookViewId="0">
      <selection activeCell="O10" sqref="O10"/>
    </sheetView>
  </sheetViews>
  <sheetFormatPr baseColWidth="10" defaultColWidth="8.83203125" defaultRowHeight="15" x14ac:dyDescent="0.2"/>
  <cols>
    <col min="1" max="1" width="7.83203125" style="57" customWidth="1"/>
    <col min="2" max="2" width="12.6640625" style="57" customWidth="1"/>
    <col min="3" max="3" width="14" style="57" customWidth="1"/>
    <col min="4" max="4" width="9.5" style="57" customWidth="1"/>
    <col min="5" max="5" width="11.83203125" style="57" customWidth="1"/>
    <col min="6" max="6" width="11.6640625" style="57" customWidth="1"/>
    <col min="7" max="7" width="9.6640625" customWidth="1"/>
    <col min="8" max="8" width="11.5" customWidth="1"/>
    <col min="9" max="9" width="10.83203125" customWidth="1"/>
    <col min="10" max="10" width="9.5" customWidth="1"/>
    <col min="11" max="11" width="12.6640625" customWidth="1"/>
    <col min="12" max="12" width="11.5" customWidth="1"/>
    <col min="13" max="13" width="10.5" customWidth="1"/>
    <col min="14" max="14" width="13.33203125" customWidth="1"/>
    <col min="15" max="15" width="11.33203125" customWidth="1"/>
    <col min="16" max="16" width="9.6640625" customWidth="1"/>
    <col min="17" max="17" width="14.6640625" customWidth="1"/>
    <col min="18" max="18" width="15.6640625" customWidth="1"/>
  </cols>
  <sheetData>
    <row r="2" spans="1:18" ht="16" x14ac:dyDescent="0.2">
      <c r="A2" s="174" t="s">
        <v>114</v>
      </c>
      <c r="B2" s="175">
        <f>'CBA - Agendové IS'!J17</f>
        <v>1.2251850706628962</v>
      </c>
    </row>
    <row r="5" spans="1:18" ht="30" customHeight="1" x14ac:dyDescent="0.2">
      <c r="B5" s="1436" t="s">
        <v>156</v>
      </c>
      <c r="C5" s="1437"/>
      <c r="D5" s="182"/>
      <c r="E5" s="1436" t="s">
        <v>157</v>
      </c>
      <c r="F5" s="1437"/>
      <c r="H5" s="1434" t="s">
        <v>152</v>
      </c>
      <c r="I5" s="1435"/>
      <c r="J5" s="57"/>
      <c r="K5" s="1436" t="s">
        <v>155</v>
      </c>
      <c r="L5" s="1437"/>
      <c r="N5" s="1434" t="s">
        <v>153</v>
      </c>
      <c r="O5" s="1435"/>
      <c r="Q5" s="1434" t="s">
        <v>154</v>
      </c>
      <c r="R5" s="1435"/>
    </row>
    <row r="6" spans="1:18" ht="16" x14ac:dyDescent="0.2">
      <c r="B6" s="177" t="s">
        <v>12</v>
      </c>
      <c r="C6" s="176" t="s">
        <v>114</v>
      </c>
      <c r="D6" s="183"/>
      <c r="E6" s="177" t="s">
        <v>12</v>
      </c>
      <c r="F6" s="176" t="s">
        <v>114</v>
      </c>
      <c r="H6" s="177" t="s">
        <v>12</v>
      </c>
      <c r="I6" s="176" t="s">
        <v>114</v>
      </c>
      <c r="J6" s="57"/>
      <c r="K6" s="177" t="s">
        <v>12</v>
      </c>
      <c r="L6" s="176" t="s">
        <v>114</v>
      </c>
      <c r="N6" s="178" t="s">
        <v>12</v>
      </c>
      <c r="O6" s="179" t="s">
        <v>114</v>
      </c>
      <c r="Q6" s="178" t="s">
        <v>12</v>
      </c>
      <c r="R6" s="179" t="s">
        <v>114</v>
      </c>
    </row>
    <row r="7" spans="1:18" ht="15" customHeight="1" x14ac:dyDescent="0.2">
      <c r="B7" s="170">
        <v>0</v>
      </c>
      <c r="C7" s="162">
        <f>B2</f>
        <v>1.2251850706628962</v>
      </c>
      <c r="D7" s="180"/>
      <c r="E7" s="170">
        <v>0</v>
      </c>
      <c r="F7" s="162">
        <f>B2</f>
        <v>1.2251850706628962</v>
      </c>
      <c r="H7" s="170">
        <v>0</v>
      </c>
      <c r="I7" s="162">
        <f>B2</f>
        <v>1.2251850706628962</v>
      </c>
      <c r="J7" s="57"/>
      <c r="K7" s="170">
        <v>0</v>
      </c>
      <c r="L7" s="162">
        <f>B2</f>
        <v>1.2251850706628962</v>
      </c>
      <c r="N7" s="172">
        <v>0</v>
      </c>
      <c r="O7" s="164">
        <f>B2</f>
        <v>1.2251850706628962</v>
      </c>
      <c r="Q7" s="172">
        <v>0</v>
      </c>
      <c r="R7" s="164">
        <f>B2</f>
        <v>1.2251850706628962</v>
      </c>
    </row>
    <row r="8" spans="1:18" x14ac:dyDescent="0.2">
      <c r="B8" s="170">
        <v>0.1</v>
      </c>
      <c r="C8" s="166">
        <f t="dataTable" ref="C8:C17" dt2D="0" dtr="0" r1="B7" ca="1"/>
        <v>1.1138046096935417</v>
      </c>
      <c r="D8" s="181"/>
      <c r="E8" s="170">
        <v>0.1</v>
      </c>
      <c r="F8" s="166">
        <f t="dataTable" ref="F8:F17" dt2D="0" dtr="0" r1="E7"/>
        <v>1.1272220686353083</v>
      </c>
      <c r="H8" s="170">
        <v>-0.1</v>
      </c>
      <c r="I8" s="166">
        <f t="dataTable" ref="I8:I17" dt2D="0" dtr="0" r1="H7" ca="1"/>
        <v>1.1026665635966066</v>
      </c>
      <c r="J8" s="57"/>
      <c r="K8" s="170">
        <v>-0.1</v>
      </c>
      <c r="L8" s="166">
        <f t="dataTable" ref="L8:L17" dt2D="0" dtr="0" r1="K7" ca="1"/>
        <v>1.2251850706628962</v>
      </c>
      <c r="N8" s="172">
        <v>-0.1</v>
      </c>
      <c r="O8" s="168">
        <f t="dataTable" ref="O8:O17" dt2D="0" dtr="0" r1="N7" ca="1"/>
        <v>1.2251850706628962</v>
      </c>
      <c r="Q8" s="172">
        <v>-0.1</v>
      </c>
      <c r="R8" s="168">
        <f t="dataTable" ref="R8:R17" dt2D="0" dtr="0" r1="Q7" ca="1"/>
        <v>1.2251850706628962</v>
      </c>
    </row>
    <row r="9" spans="1:18" x14ac:dyDescent="0.2">
      <c r="A9" s="165"/>
      <c r="B9" s="170">
        <v>0.2</v>
      </c>
      <c r="C9" s="166">
        <v>1.0209875588857469</v>
      </c>
      <c r="D9" s="181"/>
      <c r="E9" s="170">
        <v>0.2</v>
      </c>
      <c r="F9" s="166">
        <v>1.043765001301399</v>
      </c>
      <c r="H9" s="170">
        <v>-0.2</v>
      </c>
      <c r="I9" s="166">
        <v>0.98014805653031689</v>
      </c>
      <c r="J9" s="57"/>
      <c r="K9" s="170">
        <v>-0.2</v>
      </c>
      <c r="L9" s="166">
        <v>1.2251850706628962</v>
      </c>
      <c r="N9" s="172">
        <v>-0.2</v>
      </c>
      <c r="O9" s="168">
        <v>1.2251850706628962</v>
      </c>
      <c r="Q9" s="172">
        <v>-0.2</v>
      </c>
      <c r="R9" s="168">
        <v>1.2251850706628962</v>
      </c>
    </row>
    <row r="10" spans="1:18" x14ac:dyDescent="0.2">
      <c r="A10" s="165"/>
      <c r="B10" s="170">
        <v>0.3</v>
      </c>
      <c r="C10" s="166">
        <v>0.94245005435607387</v>
      </c>
      <c r="D10" s="181"/>
      <c r="E10" s="170">
        <v>0.3</v>
      </c>
      <c r="F10" s="166">
        <v>0.97181400833689813</v>
      </c>
      <c r="H10" s="170">
        <v>-0.3</v>
      </c>
      <c r="I10" s="166">
        <v>0.85762954946402714</v>
      </c>
      <c r="J10" s="57"/>
      <c r="K10" s="170">
        <v>-0.3</v>
      </c>
      <c r="L10" s="166">
        <v>1.2251850706628962</v>
      </c>
      <c r="N10" s="172">
        <v>-0.3</v>
      </c>
      <c r="O10" s="168">
        <v>1.2251850706628962</v>
      </c>
      <c r="Q10" s="172">
        <v>-0.3</v>
      </c>
      <c r="R10" s="168">
        <v>1.2251850706628962</v>
      </c>
    </row>
    <row r="11" spans="1:18" x14ac:dyDescent="0.2">
      <c r="A11" s="165"/>
      <c r="B11" s="170">
        <v>0.4</v>
      </c>
      <c r="C11" s="166">
        <v>0.87513219333063996</v>
      </c>
      <c r="D11" s="181"/>
      <c r="E11" s="170">
        <v>0.4</v>
      </c>
      <c r="F11" s="166">
        <v>0.90914305691555708</v>
      </c>
      <c r="H11" s="170">
        <v>-0.4</v>
      </c>
      <c r="I11" s="166">
        <v>0.73511104239773772</v>
      </c>
      <c r="J11" s="57"/>
      <c r="K11" s="170">
        <v>-0.4</v>
      </c>
      <c r="L11" s="166">
        <v>1.2251850706628962</v>
      </c>
      <c r="N11" s="172">
        <v>-0.4</v>
      </c>
      <c r="O11" s="168">
        <v>1.2251850706628962</v>
      </c>
      <c r="Q11" s="172">
        <v>-0.4</v>
      </c>
      <c r="R11" s="168">
        <v>1.2251850706628962</v>
      </c>
    </row>
    <row r="12" spans="1:18" x14ac:dyDescent="0.2">
      <c r="A12" s="165"/>
      <c r="B12" s="170">
        <v>0.5</v>
      </c>
      <c r="C12" s="166">
        <v>0.81679004710859737</v>
      </c>
      <c r="D12" s="181"/>
      <c r="E12" s="170">
        <v>0.5</v>
      </c>
      <c r="F12" s="166">
        <v>0.85406554243113209</v>
      </c>
      <c r="H12" s="170">
        <v>-0.5</v>
      </c>
      <c r="I12" s="166">
        <v>0.61259253533144808</v>
      </c>
      <c r="J12" s="57"/>
      <c r="K12" s="170">
        <v>-0.5</v>
      </c>
      <c r="L12" s="166">
        <v>1.2251850706628962</v>
      </c>
      <c r="N12" s="172">
        <v>-0.5</v>
      </c>
      <c r="O12" s="168">
        <v>1.2251850706628962</v>
      </c>
      <c r="Q12" s="172">
        <v>-0.5</v>
      </c>
      <c r="R12" s="168">
        <v>1.2251850706628962</v>
      </c>
    </row>
    <row r="13" spans="1:18" x14ac:dyDescent="0.2">
      <c r="A13" s="165"/>
      <c r="B13" s="170">
        <v>0.6</v>
      </c>
      <c r="C13" s="166">
        <v>0.76574066916431005</v>
      </c>
      <c r="D13" s="181"/>
      <c r="E13" s="170">
        <v>0.6</v>
      </c>
      <c r="F13" s="166">
        <v>0.80528022434193114</v>
      </c>
      <c r="H13" s="170">
        <v>-0.6</v>
      </c>
      <c r="I13" s="166">
        <v>0.49007402826515845</v>
      </c>
      <c r="J13" s="57"/>
      <c r="K13" s="170">
        <v>-0.6</v>
      </c>
      <c r="L13" s="166">
        <v>1.2251850706628962</v>
      </c>
      <c r="N13" s="172">
        <v>-0.6</v>
      </c>
      <c r="O13" s="168">
        <v>1.2251850706628962</v>
      </c>
      <c r="Q13" s="172">
        <v>-0.6</v>
      </c>
      <c r="R13" s="168">
        <v>1.2251850706628962</v>
      </c>
    </row>
    <row r="14" spans="1:18" x14ac:dyDescent="0.2">
      <c r="A14" s="161"/>
      <c r="B14" s="170">
        <v>0.7</v>
      </c>
      <c r="C14" s="166">
        <v>0.72069710038993895</v>
      </c>
      <c r="D14" s="181"/>
      <c r="E14" s="170">
        <v>0.7</v>
      </c>
      <c r="F14" s="166">
        <v>0.76176711092160077</v>
      </c>
      <c r="H14" s="170">
        <v>-0.7</v>
      </c>
      <c r="I14" s="166">
        <v>0.36755552119886892</v>
      </c>
      <c r="J14" s="57"/>
      <c r="K14" s="170">
        <v>-0.7</v>
      </c>
      <c r="L14" s="166">
        <v>1.2251850706628962</v>
      </c>
      <c r="N14" s="172">
        <v>-0.7</v>
      </c>
      <c r="O14" s="168">
        <v>1.2251850706628962</v>
      </c>
      <c r="Q14" s="172">
        <v>-0.7</v>
      </c>
      <c r="R14" s="168">
        <v>1.2251850706628962</v>
      </c>
    </row>
    <row r="15" spans="1:18" x14ac:dyDescent="0.2">
      <c r="A15" s="161"/>
      <c r="B15" s="170">
        <v>0.8</v>
      </c>
      <c r="C15" s="166">
        <v>0.68065837259049777</v>
      </c>
      <c r="D15" s="181"/>
      <c r="E15" s="170">
        <v>0.8</v>
      </c>
      <c r="F15" s="166">
        <v>0.72271536861552121</v>
      </c>
      <c r="H15" s="170">
        <v>-0.8</v>
      </c>
      <c r="I15" s="166">
        <v>0.2450370141325792</v>
      </c>
      <c r="J15" s="57"/>
      <c r="K15" s="170">
        <v>-0.8</v>
      </c>
      <c r="L15" s="166">
        <v>1.2251850706628962</v>
      </c>
      <c r="N15" s="172">
        <v>-0.8</v>
      </c>
      <c r="O15" s="168">
        <v>1.2251850706628962</v>
      </c>
      <c r="Q15" s="172">
        <v>-0.8</v>
      </c>
      <c r="R15" s="168">
        <v>1.2251850706628962</v>
      </c>
    </row>
    <row r="16" spans="1:18" x14ac:dyDescent="0.2">
      <c r="A16" s="161"/>
      <c r="B16" s="170">
        <v>0.9</v>
      </c>
      <c r="C16" s="166">
        <v>0.64483424771731379</v>
      </c>
      <c r="D16" s="181"/>
      <c r="E16" s="170">
        <v>0.9</v>
      </c>
      <c r="F16" s="166">
        <v>0.68747232429649296</v>
      </c>
      <c r="H16" s="170">
        <v>-0.9</v>
      </c>
      <c r="I16" s="166">
        <v>0.1225185070662896</v>
      </c>
      <c r="J16" s="57"/>
      <c r="K16" s="170">
        <v>-0.9</v>
      </c>
      <c r="L16" s="166">
        <v>1.2251850706628962</v>
      </c>
      <c r="N16" s="172">
        <v>-0.9</v>
      </c>
      <c r="O16" s="168">
        <v>1.2251850706628962</v>
      </c>
      <c r="Q16" s="172">
        <v>-0.9</v>
      </c>
      <c r="R16" s="168">
        <v>1.2251850706628962</v>
      </c>
    </row>
    <row r="17" spans="1:18" x14ac:dyDescent="0.2">
      <c r="A17" s="161"/>
      <c r="B17" s="171">
        <v>1</v>
      </c>
      <c r="C17" s="167">
        <v>0.61259253533144808</v>
      </c>
      <c r="D17" s="181"/>
      <c r="E17" s="171">
        <v>1</v>
      </c>
      <c r="F17" s="167">
        <v>0.65550669507485515</v>
      </c>
      <c r="H17" s="171">
        <v>-1</v>
      </c>
      <c r="I17" s="167">
        <v>0</v>
      </c>
      <c r="J17" s="57"/>
      <c r="K17" s="171">
        <v>-1</v>
      </c>
      <c r="L17" s="167">
        <v>1.2251850706628962</v>
      </c>
      <c r="N17" s="173">
        <v>-1</v>
      </c>
      <c r="O17" s="169">
        <v>1.2251850706628962</v>
      </c>
      <c r="Q17" s="173">
        <v>-1</v>
      </c>
      <c r="R17" s="169">
        <v>1.2251850706628962</v>
      </c>
    </row>
    <row r="18" spans="1:18" x14ac:dyDescent="0.2">
      <c r="A18" s="165"/>
      <c r="N18" s="97"/>
    </row>
    <row r="19" spans="1:18" x14ac:dyDescent="0.2">
      <c r="A19" s="165"/>
    </row>
    <row r="25" spans="1:18" ht="18.75" customHeight="1" x14ac:dyDescent="0.2">
      <c r="D25" s="1428" t="s">
        <v>154</v>
      </c>
      <c r="E25" s="1429"/>
      <c r="F25" s="1429"/>
      <c r="G25" s="1429"/>
      <c r="H25" s="1429"/>
      <c r="I25" s="1429"/>
      <c r="J25" s="1429"/>
      <c r="K25" s="1429"/>
      <c r="L25" s="1429"/>
      <c r="M25" s="1429"/>
      <c r="N25" s="1430"/>
    </row>
    <row r="26" spans="1:18" x14ac:dyDescent="0.2">
      <c r="C26" s="184">
        <f>B2</f>
        <v>1.2251850706628962</v>
      </c>
      <c r="D26" s="190">
        <v>0</v>
      </c>
      <c r="E26" s="187">
        <v>-0.1</v>
      </c>
      <c r="F26" s="187">
        <v>-0.2</v>
      </c>
      <c r="G26" s="187">
        <v>-0.3</v>
      </c>
      <c r="H26" s="187">
        <v>-0.4</v>
      </c>
      <c r="I26" s="187">
        <v>-0.5</v>
      </c>
      <c r="J26" s="187">
        <v>-0.6</v>
      </c>
      <c r="K26" s="187">
        <v>-0.7</v>
      </c>
      <c r="L26" s="187">
        <v>-0.8</v>
      </c>
      <c r="M26" s="187">
        <v>-0.9</v>
      </c>
      <c r="N26" s="191">
        <v>-1</v>
      </c>
    </row>
    <row r="27" spans="1:18" ht="14.25" customHeight="1" x14ac:dyDescent="0.2">
      <c r="B27" s="1431" t="s">
        <v>153</v>
      </c>
      <c r="C27" s="192">
        <v>0</v>
      </c>
      <c r="D27" s="181">
        <f t="dataTable" ref="D27:N37" dt2D="1" dtr="1" r1="Q7" r2="N7" ca="1"/>
        <v>1.2251850706628962</v>
      </c>
      <c r="E27" s="181">
        <v>1.2251850706628962</v>
      </c>
      <c r="F27" s="181">
        <v>1.2251850706628962</v>
      </c>
      <c r="G27" s="186">
        <v>1.2251850706628962</v>
      </c>
      <c r="H27" s="186">
        <v>1.2251850706628962</v>
      </c>
      <c r="I27" s="186">
        <v>1.2251850706628962</v>
      </c>
      <c r="J27" s="186">
        <v>1.2251850706628962</v>
      </c>
      <c r="K27" s="186">
        <v>1.2251850706628962</v>
      </c>
      <c r="L27" s="186">
        <v>1.2251850706628962</v>
      </c>
      <c r="M27" s="186">
        <v>1.2251850706628962</v>
      </c>
      <c r="N27" s="168">
        <v>1.2251850706628962</v>
      </c>
    </row>
    <row r="28" spans="1:18" x14ac:dyDescent="0.2">
      <c r="B28" s="1432"/>
      <c r="C28" s="185">
        <v>-0.1</v>
      </c>
      <c r="D28" s="181">
        <v>1.2251850706628962</v>
      </c>
      <c r="E28" s="181">
        <v>1.2251850706628962</v>
      </c>
      <c r="F28" s="181">
        <v>1.2251850706628962</v>
      </c>
      <c r="G28" s="186">
        <v>1.2251850706628962</v>
      </c>
      <c r="H28" s="186">
        <v>1.2251850706628962</v>
      </c>
      <c r="I28" s="186">
        <v>1.2251850706628962</v>
      </c>
      <c r="J28" s="186">
        <v>1.2251850706628962</v>
      </c>
      <c r="K28" s="186">
        <v>1.2251850706628962</v>
      </c>
      <c r="L28" s="186">
        <v>1.2251850706628962</v>
      </c>
      <c r="M28" s="186">
        <v>1.2251850706628962</v>
      </c>
      <c r="N28" s="168">
        <v>1.2251850706628962</v>
      </c>
    </row>
    <row r="29" spans="1:18" x14ac:dyDescent="0.2">
      <c r="B29" s="1432"/>
      <c r="C29" s="185">
        <v>-0.2</v>
      </c>
      <c r="D29" s="181">
        <v>1.2251850706628962</v>
      </c>
      <c r="E29" s="181">
        <v>1.2251850706628962</v>
      </c>
      <c r="F29" s="181">
        <v>1.2251850706628962</v>
      </c>
      <c r="G29" s="186">
        <v>1.2251850706628962</v>
      </c>
      <c r="H29" s="186">
        <v>1.2251850706628962</v>
      </c>
      <c r="I29" s="186">
        <v>1.2251850706628962</v>
      </c>
      <c r="J29" s="186">
        <v>1.2251850706628962</v>
      </c>
      <c r="K29" s="186">
        <v>1.2251850706628962</v>
      </c>
      <c r="L29" s="186">
        <v>1.2251850706628962</v>
      </c>
      <c r="M29" s="186">
        <v>1.2251850706628962</v>
      </c>
      <c r="N29" s="168">
        <v>1.2251850706628962</v>
      </c>
    </row>
    <row r="30" spans="1:18" x14ac:dyDescent="0.2">
      <c r="B30" s="1432"/>
      <c r="C30" s="185">
        <v>-0.3</v>
      </c>
      <c r="D30" s="181">
        <v>1.2251850706628962</v>
      </c>
      <c r="E30" s="181">
        <v>1.2251850706628962</v>
      </c>
      <c r="F30" s="181">
        <v>1.2251850706628962</v>
      </c>
      <c r="G30" s="186">
        <v>1.2251850706628962</v>
      </c>
      <c r="H30" s="186">
        <v>1.2251850706628962</v>
      </c>
      <c r="I30" s="186">
        <v>1.2251850706628962</v>
      </c>
      <c r="J30" s="186">
        <v>1.2251850706628962</v>
      </c>
      <c r="K30" s="186">
        <v>1.2251850706628962</v>
      </c>
      <c r="L30" s="186">
        <v>1.2251850706628962</v>
      </c>
      <c r="M30" s="186">
        <v>1.2251850706628962</v>
      </c>
      <c r="N30" s="168">
        <v>1.2251850706628962</v>
      </c>
    </row>
    <row r="31" spans="1:18" x14ac:dyDescent="0.2">
      <c r="B31" s="1432"/>
      <c r="C31" s="185">
        <v>-0.4</v>
      </c>
      <c r="D31" s="181">
        <v>1.2251850706628962</v>
      </c>
      <c r="E31" s="181">
        <v>1.2251850706628962</v>
      </c>
      <c r="F31" s="181">
        <v>1.2251850706628962</v>
      </c>
      <c r="G31" s="186">
        <v>1.2251850706628962</v>
      </c>
      <c r="H31" s="186">
        <v>1.2251850706628962</v>
      </c>
      <c r="I31" s="186">
        <v>1.2251850706628962</v>
      </c>
      <c r="J31" s="186">
        <v>1.2251850706628962</v>
      </c>
      <c r="K31" s="186">
        <v>1.2251850706628962</v>
      </c>
      <c r="L31" s="186">
        <v>1.2251850706628962</v>
      </c>
      <c r="M31" s="186">
        <v>1.2251850706628962</v>
      </c>
      <c r="N31" s="168">
        <v>1.2251850706628962</v>
      </c>
    </row>
    <row r="32" spans="1:18" x14ac:dyDescent="0.2">
      <c r="B32" s="1432"/>
      <c r="C32" s="185">
        <v>-0.5</v>
      </c>
      <c r="D32" s="181">
        <v>1.2251850706628962</v>
      </c>
      <c r="E32" s="181">
        <v>1.2251850706628962</v>
      </c>
      <c r="F32" s="181">
        <v>1.2251850706628962</v>
      </c>
      <c r="G32" s="186">
        <v>1.2251850706628962</v>
      </c>
      <c r="H32" s="186">
        <v>1.2251850706628962</v>
      </c>
      <c r="I32" s="186">
        <v>1.2251850706628962</v>
      </c>
      <c r="J32" s="186">
        <v>1.2251850706628962</v>
      </c>
      <c r="K32" s="186">
        <v>1.2251850706628962</v>
      </c>
      <c r="L32" s="186">
        <v>1.2251850706628962</v>
      </c>
      <c r="M32" s="186">
        <v>1.2251850706628962</v>
      </c>
      <c r="N32" s="168">
        <v>1.2251850706628962</v>
      </c>
    </row>
    <row r="33" spans="2:14" x14ac:dyDescent="0.2">
      <c r="B33" s="1432"/>
      <c r="C33" s="185">
        <v>-0.6</v>
      </c>
      <c r="D33" s="181">
        <v>1.2251850706628962</v>
      </c>
      <c r="E33" s="181">
        <v>1.2251850706628962</v>
      </c>
      <c r="F33" s="181">
        <v>1.2251850706628962</v>
      </c>
      <c r="G33" s="186">
        <v>1.2251850706628962</v>
      </c>
      <c r="H33" s="186">
        <v>1.2251850706628962</v>
      </c>
      <c r="I33" s="186">
        <v>1.2251850706628962</v>
      </c>
      <c r="J33" s="186">
        <v>1.2251850706628962</v>
      </c>
      <c r="K33" s="186">
        <v>1.2251850706628962</v>
      </c>
      <c r="L33" s="186">
        <v>1.2251850706628962</v>
      </c>
      <c r="M33" s="186">
        <v>1.2251850706628962</v>
      </c>
      <c r="N33" s="168">
        <v>1.2251850706628962</v>
      </c>
    </row>
    <row r="34" spans="2:14" x14ac:dyDescent="0.2">
      <c r="B34" s="1432"/>
      <c r="C34" s="185">
        <v>-0.7</v>
      </c>
      <c r="D34" s="181">
        <v>1.2251850706628962</v>
      </c>
      <c r="E34" s="181">
        <v>1.2251850706628962</v>
      </c>
      <c r="F34" s="181">
        <v>1.2251850706628962</v>
      </c>
      <c r="G34" s="186">
        <v>1.2251850706628962</v>
      </c>
      <c r="H34" s="186">
        <v>1.2251850706628962</v>
      </c>
      <c r="I34" s="186">
        <v>1.2251850706628962</v>
      </c>
      <c r="J34" s="186">
        <v>1.2251850706628962</v>
      </c>
      <c r="K34" s="186">
        <v>1.2251850706628962</v>
      </c>
      <c r="L34" s="186">
        <v>1.2251850706628962</v>
      </c>
      <c r="M34" s="186">
        <v>1.2251850706628962</v>
      </c>
      <c r="N34" s="168">
        <v>1.2251850706628962</v>
      </c>
    </row>
    <row r="35" spans="2:14" x14ac:dyDescent="0.2">
      <c r="B35" s="1432"/>
      <c r="C35" s="185">
        <v>-0.8</v>
      </c>
      <c r="D35" s="181">
        <v>1.2251850706628962</v>
      </c>
      <c r="E35" s="181">
        <v>1.2251850706628962</v>
      </c>
      <c r="F35" s="181">
        <v>1.2251850706628962</v>
      </c>
      <c r="G35" s="186">
        <v>1.2251850706628962</v>
      </c>
      <c r="H35" s="186">
        <v>1.2251850706628962</v>
      </c>
      <c r="I35" s="186">
        <v>1.2251850706628962</v>
      </c>
      <c r="J35" s="186">
        <v>1.2251850706628962</v>
      </c>
      <c r="K35" s="186">
        <v>1.2251850706628962</v>
      </c>
      <c r="L35" s="186">
        <v>1.2251850706628962</v>
      </c>
      <c r="M35" s="186">
        <v>1.2251850706628962</v>
      </c>
      <c r="N35" s="168">
        <v>1.2251850706628962</v>
      </c>
    </row>
    <row r="36" spans="2:14" x14ac:dyDescent="0.2">
      <c r="B36" s="1432"/>
      <c r="C36" s="185">
        <v>-0.9</v>
      </c>
      <c r="D36" s="181">
        <v>1.2251850706628962</v>
      </c>
      <c r="E36" s="181">
        <v>1.2251850706628962</v>
      </c>
      <c r="F36" s="181">
        <v>1.2251850706628962</v>
      </c>
      <c r="G36" s="186">
        <v>1.2251850706628962</v>
      </c>
      <c r="H36" s="186">
        <v>1.2251850706628962</v>
      </c>
      <c r="I36" s="186">
        <v>1.2251850706628962</v>
      </c>
      <c r="J36" s="186">
        <v>1.2251850706628962</v>
      </c>
      <c r="K36" s="186">
        <v>1.2251850706628962</v>
      </c>
      <c r="L36" s="186">
        <v>1.2251850706628962</v>
      </c>
      <c r="M36" s="186">
        <v>1.2251850706628962</v>
      </c>
      <c r="N36" s="168">
        <v>1.2251850706628962</v>
      </c>
    </row>
    <row r="37" spans="2:14" x14ac:dyDescent="0.2">
      <c r="B37" s="1433"/>
      <c r="C37" s="191">
        <v>-1</v>
      </c>
      <c r="D37" s="188">
        <v>1.2251850706628962</v>
      </c>
      <c r="E37" s="188">
        <v>1.2251850706628962</v>
      </c>
      <c r="F37" s="188">
        <v>1.2251850706628962</v>
      </c>
      <c r="G37" s="189">
        <v>1.2251850706628962</v>
      </c>
      <c r="H37" s="189">
        <v>1.2251850706628962</v>
      </c>
      <c r="I37" s="189">
        <v>1.2251850706628962</v>
      </c>
      <c r="J37" s="189">
        <v>1.2251850706628962</v>
      </c>
      <c r="K37" s="189">
        <v>1.2251850706628962</v>
      </c>
      <c r="L37" s="189">
        <v>1.2251850706628962</v>
      </c>
      <c r="M37" s="189">
        <v>1.2251850706628962</v>
      </c>
      <c r="N37" s="169">
        <v>1.2251850706628962</v>
      </c>
    </row>
    <row r="41" spans="2:14" x14ac:dyDescent="0.2">
      <c r="D41" s="1428" t="s">
        <v>155</v>
      </c>
      <c r="E41" s="1429"/>
      <c r="F41" s="1429"/>
      <c r="G41" s="1429"/>
      <c r="H41" s="1429"/>
      <c r="I41" s="1429"/>
      <c r="J41" s="1429"/>
      <c r="K41" s="1429"/>
      <c r="L41" s="1429"/>
      <c r="M41" s="1429"/>
      <c r="N41" s="1430"/>
    </row>
    <row r="42" spans="2:14" x14ac:dyDescent="0.2">
      <c r="C42" s="184">
        <f>B2</f>
        <v>1.2251850706628962</v>
      </c>
      <c r="D42" s="190">
        <v>0</v>
      </c>
      <c r="E42" s="187">
        <v>-0.1</v>
      </c>
      <c r="F42" s="187">
        <v>-0.2</v>
      </c>
      <c r="G42" s="187">
        <v>-0.3</v>
      </c>
      <c r="H42" s="187">
        <v>-0.4</v>
      </c>
      <c r="I42" s="187">
        <v>-0.5</v>
      </c>
      <c r="J42" s="187">
        <v>-0.6</v>
      </c>
      <c r="K42" s="187">
        <v>-0.7</v>
      </c>
      <c r="L42" s="187">
        <v>-0.8</v>
      </c>
      <c r="M42" s="187">
        <v>-0.9</v>
      </c>
      <c r="N42" s="191">
        <v>-1</v>
      </c>
    </row>
    <row r="43" spans="2:14" x14ac:dyDescent="0.2">
      <c r="B43" s="1431" t="s">
        <v>157</v>
      </c>
      <c r="C43" s="192">
        <v>0</v>
      </c>
      <c r="D43" s="181">
        <f t="dataTable" ref="D43:N53" dt2D="1" dtr="1" r1="K7" r2="E7" ca="1"/>
        <v>1.2251850706628962</v>
      </c>
      <c r="E43" s="181">
        <v>1.2251850706628962</v>
      </c>
      <c r="F43" s="181">
        <v>1.2251850706628962</v>
      </c>
      <c r="G43" s="186">
        <v>1.2251850706628962</v>
      </c>
      <c r="H43" s="186">
        <v>1.2251850706628962</v>
      </c>
      <c r="I43" s="186">
        <v>1.2251850706628962</v>
      </c>
      <c r="J43" s="186">
        <v>1.2251850706628962</v>
      </c>
      <c r="K43" s="186">
        <v>1.2251850706628962</v>
      </c>
      <c r="L43" s="186">
        <v>1.2251850706628962</v>
      </c>
      <c r="M43" s="186">
        <v>1.2251850706628962</v>
      </c>
      <c r="N43" s="168">
        <v>1.2251850706628962</v>
      </c>
    </row>
    <row r="44" spans="2:14" x14ac:dyDescent="0.2">
      <c r="B44" s="1432"/>
      <c r="C44" s="185">
        <v>0.1</v>
      </c>
      <c r="D44" s="181">
        <v>1.1272220686353083</v>
      </c>
      <c r="E44" s="181">
        <v>1.1272220686353083</v>
      </c>
      <c r="F44" s="181">
        <v>1.1272220686353083</v>
      </c>
      <c r="G44" s="186">
        <v>1.1272220686353083</v>
      </c>
      <c r="H44" s="186">
        <v>1.1272220686353083</v>
      </c>
      <c r="I44" s="186">
        <v>1.1272220686353083</v>
      </c>
      <c r="J44" s="186">
        <v>1.1272220686353083</v>
      </c>
      <c r="K44" s="186">
        <v>1.1272220686353083</v>
      </c>
      <c r="L44" s="186">
        <v>1.1272220686353083</v>
      </c>
      <c r="M44" s="186">
        <v>1.1272220686353083</v>
      </c>
      <c r="N44" s="168">
        <v>1.1272220686353083</v>
      </c>
    </row>
    <row r="45" spans="2:14" x14ac:dyDescent="0.2">
      <c r="B45" s="1432"/>
      <c r="C45" s="185">
        <v>0.2</v>
      </c>
      <c r="D45" s="181">
        <v>1.043765001301399</v>
      </c>
      <c r="E45" s="181">
        <v>1.043765001301399</v>
      </c>
      <c r="F45" s="181">
        <v>1.043765001301399</v>
      </c>
      <c r="G45" s="186">
        <v>1.043765001301399</v>
      </c>
      <c r="H45" s="186">
        <v>1.043765001301399</v>
      </c>
      <c r="I45" s="186">
        <v>1.043765001301399</v>
      </c>
      <c r="J45" s="186">
        <v>1.043765001301399</v>
      </c>
      <c r="K45" s="186">
        <v>1.043765001301399</v>
      </c>
      <c r="L45" s="186">
        <v>1.043765001301399</v>
      </c>
      <c r="M45" s="186">
        <v>1.043765001301399</v>
      </c>
      <c r="N45" s="168">
        <v>1.043765001301399</v>
      </c>
    </row>
    <row r="46" spans="2:14" x14ac:dyDescent="0.2">
      <c r="B46" s="1432"/>
      <c r="C46" s="185">
        <v>0.3</v>
      </c>
      <c r="D46" s="181">
        <v>0.97181400833689813</v>
      </c>
      <c r="E46" s="181">
        <v>0.97181400833689813</v>
      </c>
      <c r="F46" s="181">
        <v>0.97181400833689813</v>
      </c>
      <c r="G46" s="186">
        <v>0.97181400833689813</v>
      </c>
      <c r="H46" s="186">
        <v>0.97181400833689813</v>
      </c>
      <c r="I46" s="186">
        <v>0.97181400833689813</v>
      </c>
      <c r="J46" s="186">
        <v>0.97181400833689813</v>
      </c>
      <c r="K46" s="186">
        <v>0.97181400833689813</v>
      </c>
      <c r="L46" s="186">
        <v>0.97181400833689813</v>
      </c>
      <c r="M46" s="186">
        <v>0.97181400833689813</v>
      </c>
      <c r="N46" s="168">
        <v>0.97181400833689813</v>
      </c>
    </row>
    <row r="47" spans="2:14" x14ac:dyDescent="0.2">
      <c r="B47" s="1432"/>
      <c r="C47" s="185">
        <v>0.4</v>
      </c>
      <c r="D47" s="181">
        <v>0.90914305691555708</v>
      </c>
      <c r="E47" s="181">
        <v>0.90914305691555708</v>
      </c>
      <c r="F47" s="181">
        <v>0.90914305691555708</v>
      </c>
      <c r="G47" s="186">
        <v>0.90914305691555708</v>
      </c>
      <c r="H47" s="186">
        <v>0.90914305691555708</v>
      </c>
      <c r="I47" s="186">
        <v>0.90914305691555708</v>
      </c>
      <c r="J47" s="186">
        <v>0.90914305691555708</v>
      </c>
      <c r="K47" s="186">
        <v>0.90914305691555708</v>
      </c>
      <c r="L47" s="186">
        <v>0.90914305691555708</v>
      </c>
      <c r="M47" s="186">
        <v>0.90914305691555708</v>
      </c>
      <c r="N47" s="168">
        <v>0.90914305691555708</v>
      </c>
    </row>
    <row r="48" spans="2:14" x14ac:dyDescent="0.2">
      <c r="B48" s="1432"/>
      <c r="C48" s="185">
        <v>0.5</v>
      </c>
      <c r="D48" s="181">
        <v>0.85406554243113209</v>
      </c>
      <c r="E48" s="181">
        <v>0.85406554243113209</v>
      </c>
      <c r="F48" s="181">
        <v>0.85406554243113209</v>
      </c>
      <c r="G48" s="186">
        <v>0.85406554243113209</v>
      </c>
      <c r="H48" s="186">
        <v>0.85406554243113209</v>
      </c>
      <c r="I48" s="186">
        <v>0.85406554243113209</v>
      </c>
      <c r="J48" s="186">
        <v>0.85406554243113209</v>
      </c>
      <c r="K48" s="186">
        <v>0.85406554243113209</v>
      </c>
      <c r="L48" s="186">
        <v>0.85406554243113209</v>
      </c>
      <c r="M48" s="186">
        <v>0.85406554243113209</v>
      </c>
      <c r="N48" s="168">
        <v>0.85406554243113209</v>
      </c>
    </row>
    <row r="49" spans="2:14" x14ac:dyDescent="0.2">
      <c r="B49" s="1432"/>
      <c r="C49" s="185">
        <v>0.6</v>
      </c>
      <c r="D49" s="181">
        <v>0.80528022434193114</v>
      </c>
      <c r="E49" s="181">
        <v>0.80528022434193114</v>
      </c>
      <c r="F49" s="181">
        <v>0.80528022434193114</v>
      </c>
      <c r="G49" s="186">
        <v>0.80528022434193114</v>
      </c>
      <c r="H49" s="186">
        <v>0.80528022434193114</v>
      </c>
      <c r="I49" s="186">
        <v>0.80528022434193114</v>
      </c>
      <c r="J49" s="186">
        <v>0.80528022434193114</v>
      </c>
      <c r="K49" s="186">
        <v>0.80528022434193114</v>
      </c>
      <c r="L49" s="186">
        <v>0.80528022434193114</v>
      </c>
      <c r="M49" s="186">
        <v>0.80528022434193114</v>
      </c>
      <c r="N49" s="168">
        <v>0.80528022434193114</v>
      </c>
    </row>
    <row r="50" spans="2:14" x14ac:dyDescent="0.2">
      <c r="B50" s="1432"/>
      <c r="C50" s="185">
        <v>0.7</v>
      </c>
      <c r="D50" s="181">
        <v>0.76176711092160077</v>
      </c>
      <c r="E50" s="181">
        <v>0.76176711092160077</v>
      </c>
      <c r="F50" s="181">
        <v>0.76176711092160077</v>
      </c>
      <c r="G50" s="186">
        <v>0.76176711092160077</v>
      </c>
      <c r="H50" s="186">
        <v>0.76176711092160077</v>
      </c>
      <c r="I50" s="186">
        <v>0.76176711092160077</v>
      </c>
      <c r="J50" s="186">
        <v>0.76176711092160077</v>
      </c>
      <c r="K50" s="186">
        <v>0.76176711092160077</v>
      </c>
      <c r="L50" s="186">
        <v>0.76176711092160077</v>
      </c>
      <c r="M50" s="186">
        <v>0.76176711092160077</v>
      </c>
      <c r="N50" s="168">
        <v>0.76176711092160077</v>
      </c>
    </row>
    <row r="51" spans="2:14" x14ac:dyDescent="0.2">
      <c r="B51" s="1432"/>
      <c r="C51" s="185">
        <v>0.8</v>
      </c>
      <c r="D51" s="181">
        <v>0.72271536861552121</v>
      </c>
      <c r="E51" s="181">
        <v>0.72271536861552121</v>
      </c>
      <c r="F51" s="181">
        <v>0.72271536861552121</v>
      </c>
      <c r="G51" s="186">
        <v>0.72271536861552121</v>
      </c>
      <c r="H51" s="186">
        <v>0.72271536861552121</v>
      </c>
      <c r="I51" s="186">
        <v>0.72271536861552121</v>
      </c>
      <c r="J51" s="186">
        <v>0.72271536861552121</v>
      </c>
      <c r="K51" s="186">
        <v>0.72271536861552121</v>
      </c>
      <c r="L51" s="186">
        <v>0.72271536861552121</v>
      </c>
      <c r="M51" s="186">
        <v>0.72271536861552121</v>
      </c>
      <c r="N51" s="168">
        <v>0.72271536861552121</v>
      </c>
    </row>
    <row r="52" spans="2:14" x14ac:dyDescent="0.2">
      <c r="B52" s="1432"/>
      <c r="C52" s="185">
        <v>0.9</v>
      </c>
      <c r="D52" s="181">
        <v>0.68747232429649296</v>
      </c>
      <c r="E52" s="181">
        <v>0.68747232429649296</v>
      </c>
      <c r="F52" s="181">
        <v>0.68747232429649296</v>
      </c>
      <c r="G52" s="186">
        <v>0.68747232429649296</v>
      </c>
      <c r="H52" s="186">
        <v>0.68747232429649296</v>
      </c>
      <c r="I52" s="186">
        <v>0.68747232429649296</v>
      </c>
      <c r="J52" s="186">
        <v>0.68747232429649296</v>
      </c>
      <c r="K52" s="186">
        <v>0.68747232429649296</v>
      </c>
      <c r="L52" s="186">
        <v>0.68747232429649296</v>
      </c>
      <c r="M52" s="186">
        <v>0.68747232429649296</v>
      </c>
      <c r="N52" s="168">
        <v>0.68747232429649296</v>
      </c>
    </row>
    <row r="53" spans="2:14" x14ac:dyDescent="0.2">
      <c r="B53" s="1433"/>
      <c r="C53" s="191">
        <v>1</v>
      </c>
      <c r="D53" s="188">
        <v>0.65550669507485515</v>
      </c>
      <c r="E53" s="188">
        <v>0.65550669507485515</v>
      </c>
      <c r="F53" s="188">
        <v>0.65550669507485515</v>
      </c>
      <c r="G53" s="189">
        <v>0.65550669507485515</v>
      </c>
      <c r="H53" s="189">
        <v>0.65550669507485515</v>
      </c>
      <c r="I53" s="189">
        <v>0.65550669507485515</v>
      </c>
      <c r="J53" s="189">
        <v>0.65550669507485515</v>
      </c>
      <c r="K53" s="189">
        <v>0.65550669507485515</v>
      </c>
      <c r="L53" s="189">
        <v>0.65550669507485515</v>
      </c>
      <c r="M53" s="189">
        <v>0.65550669507485515</v>
      </c>
      <c r="N53" s="169">
        <v>0.65550669507485515</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9BB5-36CC-D14C-B051-41457B69EBCF}">
  <sheetPr>
    <tabColor rgb="FFFFFF00"/>
  </sheetPr>
  <dimension ref="A1:W82"/>
  <sheetViews>
    <sheetView workbookViewId="0">
      <selection activeCell="E87" sqref="E87"/>
    </sheetView>
  </sheetViews>
  <sheetFormatPr baseColWidth="10" defaultColWidth="8.83203125" defaultRowHeight="15" x14ac:dyDescent="0.2"/>
  <cols>
    <col min="1" max="1" width="13" style="777" customWidth="1"/>
    <col min="2" max="4" width="8.83203125" style="777"/>
    <col min="5" max="5" width="29" style="777" customWidth="1"/>
    <col min="6" max="6" width="10.1640625" style="777" customWidth="1"/>
    <col min="7" max="7" width="8.83203125" style="777"/>
    <col min="8" max="8" width="10.33203125" style="816" bestFit="1" customWidth="1"/>
    <col min="9" max="9" width="8.83203125" style="777"/>
    <col min="10" max="12" width="10.33203125" style="777" bestFit="1" customWidth="1"/>
    <col min="13" max="20" width="11.33203125" style="777" bestFit="1" customWidth="1"/>
    <col min="21" max="16384" width="8.83203125" style="777"/>
  </cols>
  <sheetData>
    <row r="1" spans="1:18" x14ac:dyDescent="0.2">
      <c r="A1" s="814" t="s">
        <v>3782</v>
      </c>
      <c r="B1" s="815"/>
      <c r="C1" s="815"/>
      <c r="D1" s="815"/>
      <c r="E1" s="815"/>
    </row>
    <row r="3" spans="1:18" x14ac:dyDescent="0.2">
      <c r="A3" s="817" t="s">
        <v>3783</v>
      </c>
      <c r="B3" s="782" t="s">
        <v>3784</v>
      </c>
    </row>
    <row r="4" spans="1:18" x14ac:dyDescent="0.2">
      <c r="B4" s="782" t="s">
        <v>3785</v>
      </c>
    </row>
    <row r="5" spans="1:18" x14ac:dyDescent="0.2">
      <c r="B5" s="782" t="s">
        <v>3786</v>
      </c>
    </row>
    <row r="6" spans="1:18" x14ac:dyDescent="0.2">
      <c r="C6" s="818" t="s">
        <v>3787</v>
      </c>
      <c r="D6" s="818"/>
      <c r="E6" s="818"/>
      <c r="F6" s="818"/>
      <c r="G6" s="818"/>
      <c r="H6" s="819"/>
      <c r="I6" s="818"/>
      <c r="J6" s="818"/>
      <c r="K6" s="818"/>
      <c r="L6" s="818"/>
      <c r="M6" s="818"/>
      <c r="N6" s="818"/>
      <c r="O6" s="818"/>
      <c r="P6" s="818"/>
      <c r="Q6" s="818"/>
    </row>
    <row r="7" spans="1:18" x14ac:dyDescent="0.2">
      <c r="C7" s="818" t="s">
        <v>3788</v>
      </c>
      <c r="D7" s="818"/>
      <c r="E7" s="818"/>
      <c r="F7" s="818"/>
      <c r="G7" s="818"/>
      <c r="H7" s="819"/>
      <c r="I7" s="818"/>
      <c r="J7" s="818"/>
      <c r="K7" s="818"/>
      <c r="L7" s="818"/>
      <c r="M7" s="818"/>
      <c r="N7" s="818"/>
      <c r="O7" s="818"/>
      <c r="P7" s="818"/>
      <c r="Q7" s="818"/>
    </row>
    <row r="8" spans="1:18" x14ac:dyDescent="0.2">
      <c r="C8" s="782" t="s">
        <v>3789</v>
      </c>
    </row>
    <row r="9" spans="1:18" x14ac:dyDescent="0.2">
      <c r="C9" s="782" t="s">
        <v>3790</v>
      </c>
    </row>
    <row r="10" spans="1:18" x14ac:dyDescent="0.2">
      <c r="C10" s="782" t="s">
        <v>3791</v>
      </c>
    </row>
    <row r="11" spans="1:18" x14ac:dyDescent="0.2">
      <c r="C11" s="818" t="s">
        <v>3792</v>
      </c>
      <c r="D11" s="818"/>
      <c r="E11" s="818"/>
      <c r="F11" s="818"/>
      <c r="G11" s="818"/>
      <c r="H11" s="819"/>
      <c r="I11" s="818"/>
      <c r="J11" s="818"/>
      <c r="K11" s="818"/>
      <c r="L11" s="818"/>
      <c r="M11" s="818"/>
      <c r="N11" s="818"/>
      <c r="O11" s="818"/>
      <c r="P11" s="818"/>
      <c r="Q11" s="818"/>
      <c r="R11" s="818"/>
    </row>
    <row r="12" spans="1:18" x14ac:dyDescent="0.2">
      <c r="C12" s="818" t="s">
        <v>3793</v>
      </c>
      <c r="D12" s="818"/>
      <c r="E12" s="818"/>
      <c r="F12" s="818"/>
      <c r="G12" s="818"/>
      <c r="H12" s="819"/>
      <c r="I12" s="818"/>
      <c r="J12" s="818"/>
      <c r="K12" s="818"/>
      <c r="L12" s="818"/>
      <c r="M12" s="818"/>
      <c r="N12" s="818"/>
      <c r="O12" s="818"/>
      <c r="P12" s="818"/>
      <c r="Q12" s="818"/>
      <c r="R12" s="818"/>
    </row>
    <row r="13" spans="1:18" x14ac:dyDescent="0.2">
      <c r="C13" s="818" t="s">
        <v>3794</v>
      </c>
      <c r="D13" s="818"/>
      <c r="E13" s="818"/>
      <c r="F13" s="818"/>
      <c r="G13" s="818"/>
      <c r="H13" s="819"/>
      <c r="I13" s="818"/>
      <c r="J13" s="818"/>
      <c r="K13" s="818"/>
      <c r="L13" s="818"/>
      <c r="M13" s="818"/>
      <c r="N13" s="818"/>
      <c r="O13" s="818"/>
      <c r="P13" s="818"/>
      <c r="Q13" s="818"/>
      <c r="R13" s="818"/>
    </row>
    <row r="14" spans="1:18" x14ac:dyDescent="0.2">
      <c r="C14" s="818" t="s">
        <v>3795</v>
      </c>
      <c r="D14" s="818"/>
      <c r="E14" s="818"/>
      <c r="F14" s="818"/>
      <c r="G14" s="818"/>
      <c r="H14" s="819"/>
      <c r="I14" s="818"/>
      <c r="J14" s="818"/>
      <c r="K14" s="818"/>
      <c r="L14" s="818"/>
      <c r="M14" s="818"/>
      <c r="N14" s="818"/>
      <c r="O14" s="818"/>
      <c r="P14" s="818"/>
      <c r="Q14" s="818"/>
      <c r="R14" s="818"/>
    </row>
    <row r="16" spans="1:18" x14ac:dyDescent="0.2">
      <c r="A16" s="820" t="s">
        <v>3796</v>
      </c>
      <c r="B16" s="777" t="s">
        <v>3797</v>
      </c>
    </row>
    <row r="17" spans="1:3" x14ac:dyDescent="0.2">
      <c r="B17" s="777" t="s">
        <v>3798</v>
      </c>
    </row>
    <row r="18" spans="1:3" x14ac:dyDescent="0.2">
      <c r="B18" s="777" t="s">
        <v>3799</v>
      </c>
    </row>
    <row r="19" spans="1:3" x14ac:dyDescent="0.2">
      <c r="B19" s="777" t="s">
        <v>3800</v>
      </c>
    </row>
    <row r="20" spans="1:3" x14ac:dyDescent="0.2">
      <c r="B20" s="777" t="s">
        <v>3801</v>
      </c>
    </row>
    <row r="21" spans="1:3" x14ac:dyDescent="0.2">
      <c r="B21" s="777" t="s">
        <v>3802</v>
      </c>
    </row>
    <row r="22" spans="1:3" x14ac:dyDescent="0.2">
      <c r="B22" s="777" t="s">
        <v>3803</v>
      </c>
    </row>
    <row r="23" spans="1:3" x14ac:dyDescent="0.2">
      <c r="B23" s="777" t="s">
        <v>3804</v>
      </c>
    </row>
    <row r="24" spans="1:3" x14ac:dyDescent="0.2">
      <c r="B24" s="777" t="s">
        <v>3805</v>
      </c>
    </row>
    <row r="25" spans="1:3" x14ac:dyDescent="0.2">
      <c r="B25" s="777" t="s">
        <v>3806</v>
      </c>
    </row>
    <row r="27" spans="1:3" x14ac:dyDescent="0.2">
      <c r="A27" s="820" t="s">
        <v>3807</v>
      </c>
      <c r="B27" s="782" t="s">
        <v>3808</v>
      </c>
    </row>
    <row r="28" spans="1:3" x14ac:dyDescent="0.2">
      <c r="C28" s="782" t="s">
        <v>3809</v>
      </c>
    </row>
    <row r="29" spans="1:3" x14ac:dyDescent="0.2">
      <c r="C29" s="782" t="s">
        <v>3810</v>
      </c>
    </row>
    <row r="30" spans="1:3" x14ac:dyDescent="0.2">
      <c r="C30" s="782" t="s">
        <v>3811</v>
      </c>
    </row>
    <row r="31" spans="1:3" x14ac:dyDescent="0.2">
      <c r="C31" s="782" t="s">
        <v>3812</v>
      </c>
    </row>
    <row r="32" spans="1:3" x14ac:dyDescent="0.2">
      <c r="C32" s="782" t="s">
        <v>3813</v>
      </c>
    </row>
    <row r="33" spans="1:4" x14ac:dyDescent="0.2">
      <c r="D33" s="777" t="s">
        <v>3814</v>
      </c>
    </row>
    <row r="34" spans="1:4" x14ac:dyDescent="0.2">
      <c r="D34" s="782" t="s">
        <v>3815</v>
      </c>
    </row>
    <row r="35" spans="1:4" x14ac:dyDescent="0.2">
      <c r="C35" s="782"/>
      <c r="D35" s="777" t="s">
        <v>3816</v>
      </c>
    </row>
    <row r="36" spans="1:4" x14ac:dyDescent="0.2">
      <c r="C36" s="782"/>
      <c r="D36" s="782" t="s">
        <v>3817</v>
      </c>
    </row>
    <row r="37" spans="1:4" x14ac:dyDescent="0.2">
      <c r="C37" s="782"/>
      <c r="D37" s="782" t="s">
        <v>3818</v>
      </c>
    </row>
    <row r="38" spans="1:4" x14ac:dyDescent="0.2">
      <c r="C38" s="782"/>
      <c r="D38" s="777" t="s">
        <v>3819</v>
      </c>
    </row>
    <row r="39" spans="1:4" x14ac:dyDescent="0.2">
      <c r="C39" s="782"/>
      <c r="D39" s="782" t="s">
        <v>3820</v>
      </c>
    </row>
    <row r="40" spans="1:4" x14ac:dyDescent="0.2">
      <c r="B40" s="777" t="s">
        <v>3821</v>
      </c>
    </row>
    <row r="41" spans="1:4" x14ac:dyDescent="0.2">
      <c r="B41" s="782" t="s">
        <v>3822</v>
      </c>
    </row>
    <row r="42" spans="1:4" x14ac:dyDescent="0.2">
      <c r="A42" s="782"/>
      <c r="B42" s="777" t="s">
        <v>3823</v>
      </c>
    </row>
    <row r="43" spans="1:4" x14ac:dyDescent="0.2">
      <c r="A43" s="782"/>
      <c r="B43" s="777" t="s">
        <v>3824</v>
      </c>
    </row>
    <row r="44" spans="1:4" x14ac:dyDescent="0.2">
      <c r="A44" s="782"/>
      <c r="B44" s="777" t="s">
        <v>3825</v>
      </c>
    </row>
    <row r="68" spans="1:23" x14ac:dyDescent="0.2">
      <c r="A68" s="814" t="s">
        <v>3826</v>
      </c>
      <c r="B68" s="815"/>
      <c r="C68" s="815"/>
      <c r="J68" s="814" t="s">
        <v>3827</v>
      </c>
      <c r="K68" s="815"/>
      <c r="L68" s="815"/>
      <c r="M68" s="815"/>
      <c r="N68" s="815"/>
      <c r="O68" s="815"/>
      <c r="P68" s="815"/>
      <c r="Q68" s="815"/>
      <c r="R68" s="815"/>
      <c r="S68" s="815"/>
      <c r="T68" s="815"/>
    </row>
    <row r="69" spans="1:23" ht="16" thickBot="1" x14ac:dyDescent="0.25">
      <c r="H69" s="819" t="s">
        <v>3828</v>
      </c>
      <c r="I69" s="819" t="s">
        <v>12</v>
      </c>
      <c r="J69" s="821" t="s">
        <v>3829</v>
      </c>
      <c r="K69" s="821" t="s">
        <v>3830</v>
      </c>
      <c r="L69" s="821" t="s">
        <v>3831</v>
      </c>
      <c r="M69" s="821" t="s">
        <v>3832</v>
      </c>
      <c r="N69" s="821" t="s">
        <v>3833</v>
      </c>
      <c r="O69" s="821" t="s">
        <v>3834</v>
      </c>
      <c r="P69" s="821" t="s">
        <v>3835</v>
      </c>
      <c r="Q69" s="821" t="s">
        <v>3836</v>
      </c>
      <c r="R69" s="821" t="s">
        <v>3837</v>
      </c>
      <c r="S69" s="821" t="s">
        <v>3838</v>
      </c>
      <c r="T69" s="821" t="s">
        <v>35</v>
      </c>
    </row>
    <row r="70" spans="1:23" x14ac:dyDescent="0.2">
      <c r="B70" s="822" t="s">
        <v>3839</v>
      </c>
      <c r="C70" s="823"/>
      <c r="D70" s="823"/>
      <c r="E70" s="824"/>
      <c r="F70" s="825" t="s">
        <v>3840</v>
      </c>
      <c r="H70" s="826">
        <f>'Sub-analyza2 - nacenenie kurzov'!$D$59</f>
        <v>6839</v>
      </c>
      <c r="I70" s="827">
        <f>'Sub-analyza1 - pocty studentov'!$X$1082</f>
        <v>0.26729053955256615</v>
      </c>
      <c r="J70" s="828">
        <f>H70*I70</f>
        <v>1828</v>
      </c>
      <c r="K70" s="828">
        <f>J70</f>
        <v>1828</v>
      </c>
      <c r="L70" s="828">
        <f t="shared" ref="L70:S75" si="0">K70</f>
        <v>1828</v>
      </c>
      <c r="M70" s="828">
        <f t="shared" si="0"/>
        <v>1828</v>
      </c>
      <c r="N70" s="828">
        <f t="shared" si="0"/>
        <v>1828</v>
      </c>
      <c r="O70" s="828">
        <f t="shared" si="0"/>
        <v>1828</v>
      </c>
      <c r="P70" s="828">
        <f t="shared" si="0"/>
        <v>1828</v>
      </c>
      <c r="Q70" s="828">
        <f t="shared" si="0"/>
        <v>1828</v>
      </c>
      <c r="R70" s="828">
        <f t="shared" si="0"/>
        <v>1828</v>
      </c>
      <c r="S70" s="828">
        <f t="shared" si="0"/>
        <v>1828</v>
      </c>
      <c r="T70" s="829">
        <f t="shared" ref="T70:T77" si="1">SUM(J70:S70)</f>
        <v>18280</v>
      </c>
      <c r="V70" s="782" t="s">
        <v>3841</v>
      </c>
    </row>
    <row r="71" spans="1:23" x14ac:dyDescent="0.2">
      <c r="B71" s="830"/>
      <c r="C71" s="831"/>
      <c r="D71" s="831"/>
      <c r="E71" s="832"/>
      <c r="F71" s="825" t="s">
        <v>3842</v>
      </c>
      <c r="H71" s="833">
        <f>'Sub-analyza2 - nacenenie kurzov'!$J$59</f>
        <v>2348871.6979268286</v>
      </c>
      <c r="I71" s="827">
        <f>'Sub-analyza1 - pocty studentov'!$X$1082</f>
        <v>0.26729053955256615</v>
      </c>
      <c r="J71" s="834">
        <f>H71*0.267</f>
        <v>627148.74334646331</v>
      </c>
      <c r="K71" s="834">
        <f>J71</f>
        <v>627148.74334646331</v>
      </c>
      <c r="L71" s="834">
        <f t="shared" si="0"/>
        <v>627148.74334646331</v>
      </c>
      <c r="M71" s="834">
        <f t="shared" si="0"/>
        <v>627148.74334646331</v>
      </c>
      <c r="N71" s="834">
        <f t="shared" si="0"/>
        <v>627148.74334646331</v>
      </c>
      <c r="O71" s="834">
        <f t="shared" si="0"/>
        <v>627148.74334646331</v>
      </c>
      <c r="P71" s="834">
        <f t="shared" si="0"/>
        <v>627148.74334646331</v>
      </c>
      <c r="Q71" s="834">
        <f t="shared" si="0"/>
        <v>627148.74334646331</v>
      </c>
      <c r="R71" s="834">
        <f t="shared" si="0"/>
        <v>627148.74334646331</v>
      </c>
      <c r="S71" s="834">
        <f t="shared" si="0"/>
        <v>627148.74334646331</v>
      </c>
      <c r="T71" s="835">
        <f t="shared" si="1"/>
        <v>6271487.4334646324</v>
      </c>
    </row>
    <row r="72" spans="1:23" x14ac:dyDescent="0.2">
      <c r="B72" s="822" t="s">
        <v>3843</v>
      </c>
      <c r="C72" s="823"/>
      <c r="D72" s="823"/>
      <c r="E72" s="824"/>
      <c r="F72" s="825" t="s">
        <v>3840</v>
      </c>
      <c r="H72" s="826">
        <f>('Sub-analyza2 - nacenenie kurzov'!$C$59-H70)</f>
        <v>6067</v>
      </c>
      <c r="I72" s="827">
        <v>0.9</v>
      </c>
      <c r="J72" s="836">
        <f>H72*I72</f>
        <v>5460.3</v>
      </c>
      <c r="K72" s="836">
        <f>J72</f>
        <v>5460.3</v>
      </c>
      <c r="L72" s="836">
        <f t="shared" si="0"/>
        <v>5460.3</v>
      </c>
      <c r="M72" s="836">
        <f t="shared" si="0"/>
        <v>5460.3</v>
      </c>
      <c r="N72" s="836">
        <f t="shared" si="0"/>
        <v>5460.3</v>
      </c>
      <c r="O72" s="836">
        <f t="shared" si="0"/>
        <v>5460.3</v>
      </c>
      <c r="P72" s="836">
        <f t="shared" si="0"/>
        <v>5460.3</v>
      </c>
      <c r="Q72" s="836">
        <f t="shared" si="0"/>
        <v>5460.3</v>
      </c>
      <c r="R72" s="836">
        <f t="shared" si="0"/>
        <v>5460.3</v>
      </c>
      <c r="S72" s="836">
        <f t="shared" si="0"/>
        <v>5460.3</v>
      </c>
      <c r="T72" s="837">
        <f t="shared" si="1"/>
        <v>54603.000000000007</v>
      </c>
      <c r="V72" s="782" t="s">
        <v>3844</v>
      </c>
      <c r="W72" s="782"/>
    </row>
    <row r="73" spans="1:23" x14ac:dyDescent="0.2">
      <c r="B73" s="830"/>
      <c r="C73" s="831"/>
      <c r="D73" s="831"/>
      <c r="E73" s="832"/>
      <c r="F73" s="825" t="s">
        <v>3842</v>
      </c>
      <c r="H73" s="833">
        <f>('Sub-analyza2 - nacenenie kurzov'!$I$59-H71)</f>
        <v>2697523.4945121966</v>
      </c>
      <c r="I73" s="827">
        <v>0.9</v>
      </c>
      <c r="J73" s="834">
        <f>H73*I73</f>
        <v>2427771.145060977</v>
      </c>
      <c r="K73" s="834">
        <f>J73</f>
        <v>2427771.145060977</v>
      </c>
      <c r="L73" s="834">
        <f t="shared" si="0"/>
        <v>2427771.145060977</v>
      </c>
      <c r="M73" s="834">
        <f t="shared" si="0"/>
        <v>2427771.145060977</v>
      </c>
      <c r="N73" s="834">
        <f t="shared" si="0"/>
        <v>2427771.145060977</v>
      </c>
      <c r="O73" s="834">
        <f t="shared" si="0"/>
        <v>2427771.145060977</v>
      </c>
      <c r="P73" s="834">
        <f t="shared" si="0"/>
        <v>2427771.145060977</v>
      </c>
      <c r="Q73" s="834">
        <f t="shared" si="0"/>
        <v>2427771.145060977</v>
      </c>
      <c r="R73" s="834">
        <f t="shared" si="0"/>
        <v>2427771.145060977</v>
      </c>
      <c r="S73" s="834">
        <f t="shared" si="0"/>
        <v>2427771.145060977</v>
      </c>
      <c r="T73" s="835">
        <f t="shared" si="1"/>
        <v>24277711.450609773</v>
      </c>
    </row>
    <row r="74" spans="1:23" x14ac:dyDescent="0.2">
      <c r="B74" s="822" t="s">
        <v>3845</v>
      </c>
      <c r="C74" s="823"/>
      <c r="D74" s="823"/>
      <c r="E74" s="824"/>
      <c r="F74" s="825" t="s">
        <v>3840</v>
      </c>
      <c r="H74" s="826">
        <f>('Sub-analyza3 - zadania kvality'!$Q$56)</f>
        <v>7041</v>
      </c>
      <c r="I74" s="827">
        <v>0.9</v>
      </c>
      <c r="J74" s="836"/>
      <c r="K74" s="836"/>
      <c r="L74" s="836"/>
      <c r="M74" s="836">
        <f>H74*I74</f>
        <v>6336.9000000000005</v>
      </c>
      <c r="N74" s="836">
        <f>M74</f>
        <v>6336.9000000000005</v>
      </c>
      <c r="O74" s="836">
        <f t="shared" si="0"/>
        <v>6336.9000000000005</v>
      </c>
      <c r="P74" s="836">
        <f t="shared" si="0"/>
        <v>6336.9000000000005</v>
      </c>
      <c r="Q74" s="836">
        <f t="shared" si="0"/>
        <v>6336.9000000000005</v>
      </c>
      <c r="R74" s="836">
        <f t="shared" si="0"/>
        <v>6336.9000000000005</v>
      </c>
      <c r="S74" s="836">
        <f t="shared" si="0"/>
        <v>6336.9000000000005</v>
      </c>
      <c r="T74" s="837">
        <f t="shared" si="1"/>
        <v>44358.3</v>
      </c>
      <c r="V74" s="782" t="s">
        <v>3846</v>
      </c>
    </row>
    <row r="75" spans="1:23" x14ac:dyDescent="0.2">
      <c r="B75" s="830"/>
      <c r="C75" s="831"/>
      <c r="D75" s="831"/>
      <c r="E75" s="832"/>
      <c r="F75" s="825" t="s">
        <v>3842</v>
      </c>
      <c r="H75" s="833">
        <f>('Sub-analyza3 - zadania kvality'!$S$56)</f>
        <v>3902187.8587560975</v>
      </c>
      <c r="I75" s="827">
        <v>0.9</v>
      </c>
      <c r="J75" s="834"/>
      <c r="K75" s="834"/>
      <c r="L75" s="834"/>
      <c r="M75" s="834">
        <f>H75*I75</f>
        <v>3511969.0728804879</v>
      </c>
      <c r="N75" s="834">
        <f>M75</f>
        <v>3511969.0728804879</v>
      </c>
      <c r="O75" s="834">
        <f t="shared" si="0"/>
        <v>3511969.0728804879</v>
      </c>
      <c r="P75" s="834">
        <f t="shared" si="0"/>
        <v>3511969.0728804879</v>
      </c>
      <c r="Q75" s="834">
        <f t="shared" si="0"/>
        <v>3511969.0728804879</v>
      </c>
      <c r="R75" s="834">
        <f t="shared" si="0"/>
        <v>3511969.0728804879</v>
      </c>
      <c r="S75" s="834">
        <f t="shared" si="0"/>
        <v>3511969.0728804879</v>
      </c>
      <c r="T75" s="835">
        <f t="shared" si="1"/>
        <v>24583783.510163415</v>
      </c>
    </row>
    <row r="76" spans="1:23" x14ac:dyDescent="0.2">
      <c r="B76" s="822" t="s">
        <v>3847</v>
      </c>
      <c r="C76" s="823"/>
      <c r="D76" s="823"/>
      <c r="E76" s="824"/>
      <c r="F76" s="825" t="s">
        <v>3840</v>
      </c>
      <c r="H76" s="826">
        <f>('Sub-analyza3 - zadania kvality'!$Q$80)</f>
        <v>2034</v>
      </c>
      <c r="I76" s="827">
        <v>0.9</v>
      </c>
      <c r="J76" s="836"/>
      <c r="K76" s="836"/>
      <c r="L76" s="836">
        <f>H76*I76</f>
        <v>1830.6000000000001</v>
      </c>
      <c r="M76" s="836">
        <f>L76</f>
        <v>1830.6000000000001</v>
      </c>
      <c r="N76" s="836">
        <f t="shared" ref="N76:S77" si="2">M76</f>
        <v>1830.6000000000001</v>
      </c>
      <c r="O76" s="836">
        <f t="shared" si="2"/>
        <v>1830.6000000000001</v>
      </c>
      <c r="P76" s="836">
        <f t="shared" si="2"/>
        <v>1830.6000000000001</v>
      </c>
      <c r="Q76" s="836">
        <f t="shared" si="2"/>
        <v>1830.6000000000001</v>
      </c>
      <c r="R76" s="836">
        <f t="shared" si="2"/>
        <v>1830.6000000000001</v>
      </c>
      <c r="S76" s="836">
        <f t="shared" si="2"/>
        <v>1830.6000000000001</v>
      </c>
      <c r="T76" s="837">
        <f t="shared" si="1"/>
        <v>14644.800000000001</v>
      </c>
      <c r="V76" s="782" t="s">
        <v>3848</v>
      </c>
    </row>
    <row r="77" spans="1:23" ht="16" thickBot="1" x14ac:dyDescent="0.25">
      <c r="B77" s="838"/>
      <c r="C77" s="839"/>
      <c r="D77" s="839"/>
      <c r="E77" s="840"/>
      <c r="F77" s="841" t="s">
        <v>3842</v>
      </c>
      <c r="H77" s="833">
        <f>('Sub-analyza3 - zadania kvality'!$S$80)</f>
        <v>1127261.7674634147</v>
      </c>
      <c r="I77" s="827">
        <v>0.9</v>
      </c>
      <c r="J77" s="842"/>
      <c r="K77" s="842"/>
      <c r="L77" s="842">
        <f>H77*I77</f>
        <v>1014535.5907170733</v>
      </c>
      <c r="M77" s="842">
        <f>L77</f>
        <v>1014535.5907170733</v>
      </c>
      <c r="N77" s="842">
        <f t="shared" si="2"/>
        <v>1014535.5907170733</v>
      </c>
      <c r="O77" s="842">
        <f t="shared" si="2"/>
        <v>1014535.5907170733</v>
      </c>
      <c r="P77" s="842">
        <f t="shared" si="2"/>
        <v>1014535.5907170733</v>
      </c>
      <c r="Q77" s="842">
        <f t="shared" si="2"/>
        <v>1014535.5907170733</v>
      </c>
      <c r="R77" s="842">
        <f t="shared" si="2"/>
        <v>1014535.5907170733</v>
      </c>
      <c r="S77" s="842">
        <f t="shared" si="2"/>
        <v>1014535.5907170733</v>
      </c>
      <c r="T77" s="843">
        <f t="shared" si="1"/>
        <v>8116284.7257365873</v>
      </c>
    </row>
    <row r="78" spans="1:23" x14ac:dyDescent="0.2">
      <c r="B78" s="844"/>
      <c r="C78" s="845"/>
      <c r="D78" s="845"/>
      <c r="E78" s="846" t="s">
        <v>35</v>
      </c>
      <c r="F78" s="847" t="s">
        <v>3840</v>
      </c>
      <c r="H78" s="848">
        <f>H70</f>
        <v>6839</v>
      </c>
      <c r="I78" s="827"/>
      <c r="J78" s="849">
        <f>J70+J72+J74+J76</f>
        <v>7288.3</v>
      </c>
      <c r="K78" s="849">
        <f t="shared" ref="K78:T79" si="3">K70+K72+K74+K76</f>
        <v>7288.3</v>
      </c>
      <c r="L78" s="849">
        <f t="shared" si="3"/>
        <v>9118.9</v>
      </c>
      <c r="M78" s="849">
        <f t="shared" si="3"/>
        <v>15455.800000000001</v>
      </c>
      <c r="N78" s="849">
        <f t="shared" si="3"/>
        <v>15455.800000000001</v>
      </c>
      <c r="O78" s="849">
        <f t="shared" si="3"/>
        <v>15455.800000000001</v>
      </c>
      <c r="P78" s="849">
        <f t="shared" si="3"/>
        <v>15455.800000000001</v>
      </c>
      <c r="Q78" s="849">
        <f t="shared" si="3"/>
        <v>15455.800000000001</v>
      </c>
      <c r="R78" s="849">
        <f t="shared" si="3"/>
        <v>15455.800000000001</v>
      </c>
      <c r="S78" s="849">
        <f t="shared" si="3"/>
        <v>15455.800000000001</v>
      </c>
      <c r="T78" s="850">
        <f t="shared" si="3"/>
        <v>131886.1</v>
      </c>
    </row>
    <row r="79" spans="1:23" x14ac:dyDescent="0.2">
      <c r="B79" s="830"/>
      <c r="C79" s="831"/>
      <c r="D79" s="831"/>
      <c r="E79" s="832"/>
      <c r="F79" s="851" t="s">
        <v>3842</v>
      </c>
      <c r="H79" s="852">
        <f>H71</f>
        <v>2348871.6979268286</v>
      </c>
      <c r="I79" s="827"/>
      <c r="J79" s="853">
        <f>J71+J73+J75+J77</f>
        <v>3054919.8884074404</v>
      </c>
      <c r="K79" s="853">
        <f t="shared" si="3"/>
        <v>3054919.8884074404</v>
      </c>
      <c r="L79" s="853">
        <f t="shared" si="3"/>
        <v>4069455.4791245135</v>
      </c>
      <c r="M79" s="853">
        <f t="shared" si="3"/>
        <v>7581424.5520050023</v>
      </c>
      <c r="N79" s="853">
        <f t="shared" si="3"/>
        <v>7581424.5520050023</v>
      </c>
      <c r="O79" s="853">
        <f t="shared" si="3"/>
        <v>7581424.5520050023</v>
      </c>
      <c r="P79" s="853">
        <f t="shared" si="3"/>
        <v>7581424.5520050023</v>
      </c>
      <c r="Q79" s="853">
        <f t="shared" si="3"/>
        <v>7581424.5520050023</v>
      </c>
      <c r="R79" s="853">
        <f t="shared" si="3"/>
        <v>7581424.5520050023</v>
      </c>
      <c r="S79" s="853">
        <f t="shared" si="3"/>
        <v>7581424.5520050023</v>
      </c>
      <c r="T79" s="854">
        <f t="shared" si="3"/>
        <v>63249267.119974405</v>
      </c>
    </row>
    <row r="81" spans="2:19" x14ac:dyDescent="0.2">
      <c r="B81" s="814" t="s">
        <v>3849</v>
      </c>
      <c r="C81" s="855" t="s">
        <v>5181</v>
      </c>
      <c r="D81" s="815"/>
      <c r="E81" s="815"/>
      <c r="F81" s="815"/>
      <c r="G81" s="815"/>
      <c r="H81" s="856"/>
      <c r="I81" s="815"/>
      <c r="J81" s="815"/>
      <c r="K81" s="815"/>
      <c r="L81" s="815"/>
      <c r="M81" s="815"/>
      <c r="N81" s="815"/>
      <c r="O81" s="815"/>
      <c r="P81" s="815"/>
      <c r="Q81" s="815"/>
      <c r="R81" s="815"/>
      <c r="S81" s="815"/>
    </row>
    <row r="82" spans="2:19" x14ac:dyDescent="0.2">
      <c r="C82" s="782" t="s">
        <v>3850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4154-7A94-C344-A4FF-6317F7D7B10A}">
  <dimension ref="A1:X1084"/>
  <sheetViews>
    <sheetView zoomScale="85" zoomScaleNormal="85" workbookViewId="0">
      <pane xSplit="1" ySplit="2" topLeftCell="B1061" activePane="bottomRight" state="frozen"/>
      <selection activeCell="H75" sqref="H75"/>
      <selection pane="topRight" activeCell="H75" sqref="H75"/>
      <selection pane="bottomLeft" activeCell="H75" sqref="H75"/>
      <selection pane="bottomRight" activeCell="H75" sqref="H75"/>
    </sheetView>
  </sheetViews>
  <sheetFormatPr baseColWidth="10" defaultColWidth="8.83203125" defaultRowHeight="15" x14ac:dyDescent="0.2"/>
  <cols>
    <col min="1" max="1" width="14.6640625" style="777" customWidth="1"/>
    <col min="2" max="3" width="14.6640625" style="880" customWidth="1"/>
    <col min="4" max="4" width="30.33203125" style="777" customWidth="1"/>
    <col min="5" max="6" width="8.83203125" style="777"/>
    <col min="7" max="7" width="11.5" style="777" customWidth="1"/>
    <col min="8" max="8" width="10.5" style="777" customWidth="1"/>
    <col min="9" max="9" width="12.33203125" style="777" customWidth="1"/>
    <col min="10" max="10" width="31.5" style="777" customWidth="1"/>
    <col min="11" max="11" width="8" style="777" customWidth="1"/>
    <col min="12" max="12" width="9.6640625" style="777" customWidth="1"/>
    <col min="13" max="13" width="29.6640625" style="777" customWidth="1"/>
    <col min="14" max="14" width="11.33203125" style="777" customWidth="1"/>
    <col min="15" max="15" width="12.6640625" style="777" customWidth="1"/>
    <col min="16" max="16" width="9" style="777" customWidth="1"/>
    <col min="17" max="17" width="9.33203125" style="777" customWidth="1"/>
    <col min="18" max="18" width="9.6640625" style="777" customWidth="1"/>
    <col min="19" max="19" width="9" style="880" customWidth="1"/>
    <col min="20" max="20" width="9.33203125" style="880" customWidth="1"/>
    <col min="21" max="21" width="9.6640625" style="880" customWidth="1"/>
    <col min="22" max="22" width="2.6640625" style="818" customWidth="1"/>
    <col min="23" max="23" width="9.6640625" style="880" customWidth="1"/>
    <col min="24" max="24" width="12" style="777" customWidth="1"/>
    <col min="25" max="16384" width="8.83203125" style="777"/>
  </cols>
  <sheetData>
    <row r="1" spans="1:23" x14ac:dyDescent="0.2">
      <c r="A1" s="1444" t="s">
        <v>3851</v>
      </c>
      <c r="B1" s="1444"/>
      <c r="C1" s="1445"/>
      <c r="D1" s="1445"/>
      <c r="E1" s="1445"/>
      <c r="F1" s="1445"/>
      <c r="G1" s="1445"/>
      <c r="H1" s="1445"/>
      <c r="I1" s="1445"/>
      <c r="J1" s="1445"/>
      <c r="K1" s="1445"/>
      <c r="L1" s="1445"/>
      <c r="M1" s="1445"/>
      <c r="N1" s="1445"/>
      <c r="O1" s="1445"/>
      <c r="P1" s="1445"/>
      <c r="Q1" s="1445"/>
      <c r="R1" s="1445"/>
      <c r="S1" s="857" t="s">
        <v>3852</v>
      </c>
      <c r="T1" s="857"/>
      <c r="U1" s="857"/>
      <c r="W1" s="857"/>
    </row>
    <row r="2" spans="1:23" ht="36" x14ac:dyDescent="0.2">
      <c r="A2" s="858" t="s">
        <v>1790</v>
      </c>
      <c r="B2" s="859" t="s">
        <v>55</v>
      </c>
      <c r="C2" s="859" t="s">
        <v>3853</v>
      </c>
      <c r="D2" s="858" t="s">
        <v>1791</v>
      </c>
      <c r="E2" s="858" t="s">
        <v>1792</v>
      </c>
      <c r="F2" s="858" t="s">
        <v>1793</v>
      </c>
      <c r="G2" s="858" t="s">
        <v>1794</v>
      </c>
      <c r="H2" s="858" t="s">
        <v>1795</v>
      </c>
      <c r="I2" s="860" t="s">
        <v>1796</v>
      </c>
      <c r="J2" s="858" t="s">
        <v>1797</v>
      </c>
      <c r="K2" s="858" t="s">
        <v>1798</v>
      </c>
      <c r="L2" s="858" t="s">
        <v>1799</v>
      </c>
      <c r="M2" s="858" t="s">
        <v>1800</v>
      </c>
      <c r="N2" s="858" t="s">
        <v>3854</v>
      </c>
      <c r="O2" s="858" t="s">
        <v>3855</v>
      </c>
      <c r="P2" s="861" t="s">
        <v>1801</v>
      </c>
      <c r="Q2" s="861" t="s">
        <v>3856</v>
      </c>
      <c r="R2" s="862" t="s">
        <v>3857</v>
      </c>
      <c r="S2" s="863" t="s">
        <v>1801</v>
      </c>
      <c r="T2" s="863" t="s">
        <v>3856</v>
      </c>
      <c r="U2" s="864" t="s">
        <v>3857</v>
      </c>
      <c r="W2" s="864" t="s">
        <v>3858</v>
      </c>
    </row>
    <row r="3" spans="1:23" ht="36" x14ac:dyDescent="0.2">
      <c r="A3" s="865" t="s">
        <v>1802</v>
      </c>
      <c r="B3" s="866" t="s">
        <v>3859</v>
      </c>
      <c r="C3" s="866" t="s">
        <v>3860</v>
      </c>
      <c r="D3" s="867" t="s">
        <v>1803</v>
      </c>
      <c r="E3" s="868">
        <v>45625.298252314817</v>
      </c>
      <c r="F3" s="868">
        <v>45830.916655092595</v>
      </c>
      <c r="G3" s="867" t="s">
        <v>1772</v>
      </c>
      <c r="H3" s="867" t="s">
        <v>1765</v>
      </c>
      <c r="I3" s="867" t="s">
        <v>1773</v>
      </c>
      <c r="J3" s="867" t="s">
        <v>1773</v>
      </c>
      <c r="K3" s="867" t="s">
        <v>1804</v>
      </c>
      <c r="L3" s="867" t="s">
        <v>1805</v>
      </c>
      <c r="M3" s="867" t="s">
        <v>1806</v>
      </c>
      <c r="N3" s="867" t="s">
        <v>3861</v>
      </c>
      <c r="O3" s="867" t="s">
        <v>3862</v>
      </c>
      <c r="P3" s="869">
        <v>1</v>
      </c>
      <c r="Q3" s="869">
        <v>1</v>
      </c>
      <c r="R3" s="870">
        <v>0</v>
      </c>
      <c r="S3" s="871">
        <v>1</v>
      </c>
      <c r="T3" s="871">
        <v>1</v>
      </c>
      <c r="U3" s="872">
        <v>0</v>
      </c>
      <c r="W3" s="872"/>
    </row>
    <row r="4" spans="1:23" ht="36" x14ac:dyDescent="0.2">
      <c r="A4" s="865" t="s">
        <v>1802</v>
      </c>
      <c r="B4" s="866" t="s">
        <v>3859</v>
      </c>
      <c r="C4" s="866" t="s">
        <v>3860</v>
      </c>
      <c r="D4" s="1438" t="s">
        <v>1807</v>
      </c>
      <c r="E4" s="1441">
        <v>45454.916666666664</v>
      </c>
      <c r="F4" s="1441">
        <v>45710.958333333336</v>
      </c>
      <c r="G4" s="1438" t="s">
        <v>1777</v>
      </c>
      <c r="H4" s="1438" t="s">
        <v>1770</v>
      </c>
      <c r="I4" s="1438" t="s">
        <v>1808</v>
      </c>
      <c r="J4" s="1438" t="s">
        <v>1809</v>
      </c>
      <c r="K4" s="1438" t="s">
        <v>1804</v>
      </c>
      <c r="L4" s="1438" t="s">
        <v>1810</v>
      </c>
      <c r="M4" s="867" t="s">
        <v>1806</v>
      </c>
      <c r="N4" s="867" t="s">
        <v>3861</v>
      </c>
      <c r="O4" s="873" t="s">
        <v>3862</v>
      </c>
      <c r="P4" s="874">
        <v>2</v>
      </c>
      <c r="Q4" s="874">
        <v>0</v>
      </c>
      <c r="R4" s="875">
        <v>0</v>
      </c>
      <c r="S4" s="876">
        <v>2</v>
      </c>
      <c r="T4" s="876">
        <v>0</v>
      </c>
      <c r="U4" s="877">
        <v>0</v>
      </c>
      <c r="W4" s="877"/>
    </row>
    <row r="5" spans="1:23" ht="36" x14ac:dyDescent="0.2">
      <c r="A5" s="865" t="s">
        <v>1802</v>
      </c>
      <c r="B5" s="866" t="s">
        <v>3859</v>
      </c>
      <c r="C5" s="866" t="s">
        <v>3860</v>
      </c>
      <c r="D5" s="1440"/>
      <c r="E5" s="1443"/>
      <c r="F5" s="1443"/>
      <c r="G5" s="1440"/>
      <c r="H5" s="1440"/>
      <c r="I5" s="1440"/>
      <c r="J5" s="1440"/>
      <c r="K5" s="1440"/>
      <c r="L5" s="1440"/>
      <c r="M5" s="867" t="s">
        <v>1811</v>
      </c>
      <c r="N5" s="867" t="s">
        <v>3863</v>
      </c>
      <c r="O5" s="867" t="s">
        <v>3864</v>
      </c>
      <c r="P5" s="869">
        <v>2</v>
      </c>
      <c r="Q5" s="869">
        <v>0</v>
      </c>
      <c r="R5" s="870">
        <v>0</v>
      </c>
      <c r="S5" s="871">
        <v>2</v>
      </c>
      <c r="T5" s="871">
        <v>0</v>
      </c>
      <c r="U5" s="872">
        <v>0</v>
      </c>
      <c r="W5" s="872"/>
    </row>
    <row r="6" spans="1:23" ht="36" x14ac:dyDescent="0.2">
      <c r="A6" s="865" t="s">
        <v>1802</v>
      </c>
      <c r="B6" s="866" t="s">
        <v>3859</v>
      </c>
      <c r="C6" s="866" t="s">
        <v>3860</v>
      </c>
      <c r="D6" s="1438" t="s">
        <v>1812</v>
      </c>
      <c r="E6" s="1441">
        <v>45454.916666666664</v>
      </c>
      <c r="F6" s="1441">
        <v>45710.958333333336</v>
      </c>
      <c r="G6" s="1438" t="s">
        <v>1741</v>
      </c>
      <c r="H6" s="1438" t="s">
        <v>1749</v>
      </c>
      <c r="I6" s="1438" t="s">
        <v>1813</v>
      </c>
      <c r="J6" s="1438" t="s">
        <v>1814</v>
      </c>
      <c r="K6" s="1438" t="s">
        <v>1804</v>
      </c>
      <c r="L6" s="1438" t="s">
        <v>1815</v>
      </c>
      <c r="M6" s="867" t="s">
        <v>1806</v>
      </c>
      <c r="N6" s="867" t="s">
        <v>3861</v>
      </c>
      <c r="O6" s="873" t="s">
        <v>3862</v>
      </c>
      <c r="P6" s="874">
        <v>2</v>
      </c>
      <c r="Q6" s="874">
        <v>1</v>
      </c>
      <c r="R6" s="875">
        <v>0</v>
      </c>
      <c r="S6" s="876">
        <v>2</v>
      </c>
      <c r="T6" s="876">
        <v>1</v>
      </c>
      <c r="U6" s="877">
        <v>0</v>
      </c>
      <c r="W6" s="877"/>
    </row>
    <row r="7" spans="1:23" ht="36" x14ac:dyDescent="0.2">
      <c r="A7" s="865" t="s">
        <v>1802</v>
      </c>
      <c r="B7" s="866" t="s">
        <v>3859</v>
      </c>
      <c r="C7" s="866" t="s">
        <v>3860</v>
      </c>
      <c r="D7" s="1440"/>
      <c r="E7" s="1443"/>
      <c r="F7" s="1443"/>
      <c r="G7" s="1440"/>
      <c r="H7" s="1440"/>
      <c r="I7" s="1440"/>
      <c r="J7" s="1440"/>
      <c r="K7" s="1440"/>
      <c r="L7" s="1440"/>
      <c r="M7" s="867" t="s">
        <v>1811</v>
      </c>
      <c r="N7" s="867" t="s">
        <v>3863</v>
      </c>
      <c r="O7" s="867" t="s">
        <v>3864</v>
      </c>
      <c r="P7" s="869">
        <v>2</v>
      </c>
      <c r="Q7" s="869">
        <v>1</v>
      </c>
      <c r="R7" s="870">
        <v>0</v>
      </c>
      <c r="S7" s="871">
        <v>2</v>
      </c>
      <c r="T7" s="871">
        <v>1</v>
      </c>
      <c r="U7" s="872">
        <v>0</v>
      </c>
      <c r="W7" s="872"/>
    </row>
    <row r="8" spans="1:23" ht="36" x14ac:dyDescent="0.2">
      <c r="A8" s="865" t="s">
        <v>1802</v>
      </c>
      <c r="B8" s="866" t="s">
        <v>3859</v>
      </c>
      <c r="C8" s="866" t="s">
        <v>3860</v>
      </c>
      <c r="D8" s="867" t="s">
        <v>1816</v>
      </c>
      <c r="E8" s="868">
        <v>45454.916666666664</v>
      </c>
      <c r="F8" s="868">
        <v>45710.958333333336</v>
      </c>
      <c r="G8" s="867" t="s">
        <v>1758</v>
      </c>
      <c r="H8" s="867" t="s">
        <v>1759</v>
      </c>
      <c r="I8" s="867" t="s">
        <v>1817</v>
      </c>
      <c r="J8" s="867" t="s">
        <v>1818</v>
      </c>
      <c r="K8" s="867" t="s">
        <v>1804</v>
      </c>
      <c r="L8" s="867" t="s">
        <v>1819</v>
      </c>
      <c r="M8" s="867" t="s">
        <v>1811</v>
      </c>
      <c r="N8" s="867" t="s">
        <v>3863</v>
      </c>
      <c r="O8" s="873" t="s">
        <v>3864</v>
      </c>
      <c r="P8" s="874">
        <v>2</v>
      </c>
      <c r="Q8" s="874">
        <v>1</v>
      </c>
      <c r="R8" s="875">
        <v>0</v>
      </c>
      <c r="S8" s="876">
        <v>2</v>
      </c>
      <c r="T8" s="876">
        <v>1</v>
      </c>
      <c r="U8" s="877">
        <v>0</v>
      </c>
      <c r="W8" s="877"/>
    </row>
    <row r="9" spans="1:23" ht="36" x14ac:dyDescent="0.2">
      <c r="A9" s="865" t="s">
        <v>1802</v>
      </c>
      <c r="B9" s="866" t="s">
        <v>3859</v>
      </c>
      <c r="C9" s="866" t="s">
        <v>3860</v>
      </c>
      <c r="D9" s="867" t="s">
        <v>1820</v>
      </c>
      <c r="E9" s="868">
        <v>45455.916666666664</v>
      </c>
      <c r="F9" s="868">
        <v>45710.958333333336</v>
      </c>
      <c r="G9" s="867" t="s">
        <v>1758</v>
      </c>
      <c r="H9" s="867" t="s">
        <v>1759</v>
      </c>
      <c r="I9" s="867" t="s">
        <v>1817</v>
      </c>
      <c r="J9" s="867" t="s">
        <v>1821</v>
      </c>
      <c r="K9" s="867" t="s">
        <v>1804</v>
      </c>
      <c r="L9" s="867" t="s">
        <v>1819</v>
      </c>
      <c r="M9" s="867" t="s">
        <v>1811</v>
      </c>
      <c r="N9" s="867" t="s">
        <v>3863</v>
      </c>
      <c r="O9" s="867" t="s">
        <v>3864</v>
      </c>
      <c r="P9" s="869">
        <v>1</v>
      </c>
      <c r="Q9" s="869">
        <v>1</v>
      </c>
      <c r="R9" s="870">
        <v>1</v>
      </c>
      <c r="S9" s="871">
        <v>1</v>
      </c>
      <c r="T9" s="871">
        <v>1</v>
      </c>
      <c r="U9" s="872">
        <v>1</v>
      </c>
      <c r="W9" s="872"/>
    </row>
    <row r="10" spans="1:23" ht="36" x14ac:dyDescent="0.2">
      <c r="A10" s="865" t="s">
        <v>1802</v>
      </c>
      <c r="B10" s="866" t="s">
        <v>3859</v>
      </c>
      <c r="C10" s="866" t="s">
        <v>3860</v>
      </c>
      <c r="D10" s="1438" t="s">
        <v>1822</v>
      </c>
      <c r="E10" s="1441">
        <v>45454.916666666664</v>
      </c>
      <c r="F10" s="1441">
        <v>45710.958333333336</v>
      </c>
      <c r="G10" s="1438" t="s">
        <v>1758</v>
      </c>
      <c r="H10" s="1438" t="s">
        <v>1759</v>
      </c>
      <c r="I10" s="1438" t="s">
        <v>1823</v>
      </c>
      <c r="J10" s="1438" t="s">
        <v>1824</v>
      </c>
      <c r="K10" s="1438" t="s">
        <v>1804</v>
      </c>
      <c r="L10" s="1438" t="s">
        <v>1819</v>
      </c>
      <c r="M10" s="867" t="s">
        <v>1806</v>
      </c>
      <c r="N10" s="867" t="s">
        <v>3861</v>
      </c>
      <c r="O10" s="873" t="s">
        <v>3862</v>
      </c>
      <c r="P10" s="874">
        <v>2</v>
      </c>
      <c r="Q10" s="874">
        <v>1</v>
      </c>
      <c r="R10" s="875">
        <v>0</v>
      </c>
      <c r="S10" s="876">
        <v>2</v>
      </c>
      <c r="T10" s="876">
        <v>1</v>
      </c>
      <c r="U10" s="877">
        <v>0</v>
      </c>
      <c r="W10" s="877"/>
    </row>
    <row r="11" spans="1:23" ht="36" x14ac:dyDescent="0.2">
      <c r="A11" s="865" t="s">
        <v>1802</v>
      </c>
      <c r="B11" s="866" t="s">
        <v>3859</v>
      </c>
      <c r="C11" s="866" t="s">
        <v>3860</v>
      </c>
      <c r="D11" s="1440"/>
      <c r="E11" s="1443"/>
      <c r="F11" s="1443"/>
      <c r="G11" s="1440"/>
      <c r="H11" s="1440"/>
      <c r="I11" s="1440"/>
      <c r="J11" s="1440"/>
      <c r="K11" s="1440"/>
      <c r="L11" s="1440"/>
      <c r="M11" s="867" t="s">
        <v>1811</v>
      </c>
      <c r="N11" s="867" t="s">
        <v>3863</v>
      </c>
      <c r="O11" s="867" t="s">
        <v>3864</v>
      </c>
      <c r="P11" s="869">
        <v>2</v>
      </c>
      <c r="Q11" s="869">
        <v>1</v>
      </c>
      <c r="R11" s="870">
        <v>0</v>
      </c>
      <c r="S11" s="871">
        <v>2</v>
      </c>
      <c r="T11" s="871">
        <v>1</v>
      </c>
      <c r="U11" s="872">
        <v>0</v>
      </c>
      <c r="W11" s="872"/>
    </row>
    <row r="12" spans="1:23" ht="36" x14ac:dyDescent="0.2">
      <c r="A12" s="865" t="s">
        <v>1802</v>
      </c>
      <c r="B12" s="866" t="s">
        <v>3859</v>
      </c>
      <c r="C12" s="866" t="s">
        <v>3860</v>
      </c>
      <c r="D12" s="867" t="s">
        <v>1825</v>
      </c>
      <c r="E12" s="868">
        <v>45609.381539351853</v>
      </c>
      <c r="F12" s="868">
        <v>45834.916655092595</v>
      </c>
      <c r="G12" s="867" t="s">
        <v>1767</v>
      </c>
      <c r="H12" s="867" t="s">
        <v>1770</v>
      </c>
      <c r="I12" s="867" t="s">
        <v>1771</v>
      </c>
      <c r="J12" s="867" t="s">
        <v>1771</v>
      </c>
      <c r="K12" s="867" t="s">
        <v>1804</v>
      </c>
      <c r="L12" s="867" t="s">
        <v>1805</v>
      </c>
      <c r="M12" s="867" t="s">
        <v>1806</v>
      </c>
      <c r="N12" s="867" t="s">
        <v>3861</v>
      </c>
      <c r="O12" s="873" t="s">
        <v>3862</v>
      </c>
      <c r="P12" s="874">
        <v>20</v>
      </c>
      <c r="Q12" s="874">
        <v>20</v>
      </c>
      <c r="R12" s="875">
        <v>0</v>
      </c>
      <c r="S12" s="876">
        <v>20</v>
      </c>
      <c r="T12" s="876">
        <v>20</v>
      </c>
      <c r="U12" s="877">
        <v>0</v>
      </c>
      <c r="W12" s="877"/>
    </row>
    <row r="13" spans="1:23" ht="36" x14ac:dyDescent="0.2">
      <c r="A13" s="865" t="s">
        <v>1802</v>
      </c>
      <c r="B13" s="866" t="s">
        <v>3859</v>
      </c>
      <c r="C13" s="866" t="s">
        <v>3860</v>
      </c>
      <c r="D13" s="867" t="s">
        <v>1826</v>
      </c>
      <c r="E13" s="868">
        <v>45617.448101851849</v>
      </c>
      <c r="F13" s="868">
        <v>45838.916655092595</v>
      </c>
      <c r="G13" s="867" t="s">
        <v>1777</v>
      </c>
      <c r="H13" s="867" t="s">
        <v>1784</v>
      </c>
      <c r="I13" s="867" t="s">
        <v>1786</v>
      </c>
      <c r="J13" s="867" t="s">
        <v>1786</v>
      </c>
      <c r="K13" s="867" t="s">
        <v>1804</v>
      </c>
      <c r="L13" s="867" t="s">
        <v>1805</v>
      </c>
      <c r="M13" s="867" t="s">
        <v>1811</v>
      </c>
      <c r="N13" s="867" t="s">
        <v>3863</v>
      </c>
      <c r="O13" s="867" t="s">
        <v>3864</v>
      </c>
      <c r="P13" s="869">
        <v>4</v>
      </c>
      <c r="Q13" s="869">
        <v>0</v>
      </c>
      <c r="R13" s="870">
        <v>0</v>
      </c>
      <c r="S13" s="871">
        <v>4</v>
      </c>
      <c r="T13" s="871">
        <v>0</v>
      </c>
      <c r="U13" s="872">
        <v>0</v>
      </c>
      <c r="W13" s="872"/>
    </row>
    <row r="14" spans="1:23" ht="36" x14ac:dyDescent="0.2">
      <c r="A14" s="812" t="s">
        <v>3865</v>
      </c>
      <c r="B14" s="866" t="s">
        <v>3866</v>
      </c>
      <c r="C14" s="866" t="s">
        <v>3867</v>
      </c>
      <c r="D14" s="867" t="s">
        <v>1827</v>
      </c>
      <c r="E14" s="868">
        <v>45539.340937499997</v>
      </c>
      <c r="F14" s="868">
        <v>45688.958321759259</v>
      </c>
      <c r="G14" s="867" t="s">
        <v>1758</v>
      </c>
      <c r="H14" s="867" t="s">
        <v>1759</v>
      </c>
      <c r="I14" s="867" t="s">
        <v>1762</v>
      </c>
      <c r="J14" s="867" t="s">
        <v>1762</v>
      </c>
      <c r="K14" s="867" t="s">
        <v>1804</v>
      </c>
      <c r="L14" s="867" t="s">
        <v>1828</v>
      </c>
      <c r="M14" s="867" t="s">
        <v>1829</v>
      </c>
      <c r="N14" s="867" t="s">
        <v>3868</v>
      </c>
      <c r="O14" s="873" t="s">
        <v>3869</v>
      </c>
      <c r="P14" s="874">
        <v>1</v>
      </c>
      <c r="Q14" s="874">
        <v>0</v>
      </c>
      <c r="R14" s="875">
        <v>0</v>
      </c>
      <c r="S14" s="876">
        <v>1</v>
      </c>
      <c r="T14" s="876">
        <v>0</v>
      </c>
      <c r="U14" s="877">
        <v>0</v>
      </c>
      <c r="W14" s="877"/>
    </row>
    <row r="15" spans="1:23" ht="24" x14ac:dyDescent="0.2">
      <c r="A15" s="812" t="s">
        <v>3865</v>
      </c>
      <c r="B15" s="866" t="s">
        <v>3866</v>
      </c>
      <c r="C15" s="866" t="s">
        <v>3867</v>
      </c>
      <c r="D15" s="867" t="s">
        <v>1830</v>
      </c>
      <c r="E15" s="868">
        <v>45547.300127314818</v>
      </c>
      <c r="F15" s="868">
        <v>45838.916655092595</v>
      </c>
      <c r="G15" s="867" t="s">
        <v>1758</v>
      </c>
      <c r="H15" s="867" t="s">
        <v>1759</v>
      </c>
      <c r="I15" s="867" t="s">
        <v>1761</v>
      </c>
      <c r="J15" s="867" t="s">
        <v>1761</v>
      </c>
      <c r="K15" s="867" t="s">
        <v>1804</v>
      </c>
      <c r="L15" s="867" t="s">
        <v>1828</v>
      </c>
      <c r="M15" s="867" t="s">
        <v>1829</v>
      </c>
      <c r="N15" s="867" t="s">
        <v>3868</v>
      </c>
      <c r="O15" s="867" t="s">
        <v>3869</v>
      </c>
      <c r="P15" s="869">
        <v>9</v>
      </c>
      <c r="Q15" s="869">
        <v>8</v>
      </c>
      <c r="R15" s="870">
        <v>8</v>
      </c>
      <c r="S15" s="871">
        <v>9</v>
      </c>
      <c r="T15" s="871">
        <v>8</v>
      </c>
      <c r="U15" s="872">
        <v>8</v>
      </c>
      <c r="W15" s="872"/>
    </row>
    <row r="16" spans="1:23" ht="36" x14ac:dyDescent="0.2">
      <c r="A16" s="812" t="s">
        <v>3865</v>
      </c>
      <c r="B16" s="866" t="s">
        <v>3866</v>
      </c>
      <c r="C16" s="866" t="s">
        <v>3867</v>
      </c>
      <c r="D16" s="867" t="s">
        <v>1831</v>
      </c>
      <c r="E16" s="868">
        <v>45535.916666666664</v>
      </c>
      <c r="F16" s="868">
        <v>45711.958333333336</v>
      </c>
      <c r="G16" s="867" t="s">
        <v>1758</v>
      </c>
      <c r="H16" s="867" t="s">
        <v>1759</v>
      </c>
      <c r="I16" s="867" t="s">
        <v>1817</v>
      </c>
      <c r="J16" s="867" t="s">
        <v>1832</v>
      </c>
      <c r="K16" s="867" t="s">
        <v>1804</v>
      </c>
      <c r="L16" s="867" t="s">
        <v>1819</v>
      </c>
      <c r="M16" s="867" t="s">
        <v>1829</v>
      </c>
      <c r="N16" s="867" t="s">
        <v>3868</v>
      </c>
      <c r="O16" s="873" t="s">
        <v>3869</v>
      </c>
      <c r="P16" s="874">
        <v>10</v>
      </c>
      <c r="Q16" s="874">
        <v>9</v>
      </c>
      <c r="R16" s="875">
        <v>0</v>
      </c>
      <c r="S16" s="876">
        <v>10</v>
      </c>
      <c r="T16" s="876">
        <v>9</v>
      </c>
      <c r="U16" s="877">
        <v>0</v>
      </c>
      <c r="W16" s="877"/>
    </row>
    <row r="17" spans="1:23" ht="24" x14ac:dyDescent="0.2">
      <c r="A17" s="812" t="s">
        <v>3865</v>
      </c>
      <c r="B17" s="866" t="s">
        <v>3866</v>
      </c>
      <c r="C17" s="866" t="s">
        <v>3867</v>
      </c>
      <c r="D17" s="867" t="s">
        <v>1833</v>
      </c>
      <c r="E17" s="868">
        <v>45546.215439814812</v>
      </c>
      <c r="F17" s="868">
        <v>45697.958321759259</v>
      </c>
      <c r="G17" s="867" t="s">
        <v>1758</v>
      </c>
      <c r="H17" s="867" t="s">
        <v>1759</v>
      </c>
      <c r="I17" s="867" t="s">
        <v>1761</v>
      </c>
      <c r="J17" s="867" t="s">
        <v>1761</v>
      </c>
      <c r="K17" s="867" t="s">
        <v>1804</v>
      </c>
      <c r="L17" s="867" t="s">
        <v>1828</v>
      </c>
      <c r="M17" s="867" t="s">
        <v>1834</v>
      </c>
      <c r="N17" s="867" t="s">
        <v>3870</v>
      </c>
      <c r="O17" s="867" t="s">
        <v>3871</v>
      </c>
      <c r="P17" s="869">
        <v>8</v>
      </c>
      <c r="Q17" s="869">
        <v>8</v>
      </c>
      <c r="R17" s="870">
        <v>8</v>
      </c>
      <c r="S17" s="871">
        <v>8</v>
      </c>
      <c r="T17" s="871">
        <v>8</v>
      </c>
      <c r="U17" s="872">
        <v>8</v>
      </c>
      <c r="W17" s="872"/>
    </row>
    <row r="18" spans="1:23" ht="36" x14ac:dyDescent="0.2">
      <c r="A18" s="812" t="s">
        <v>3865</v>
      </c>
      <c r="B18" s="866" t="s">
        <v>3866</v>
      </c>
      <c r="C18" s="866" t="s">
        <v>3867</v>
      </c>
      <c r="D18" s="867" t="s">
        <v>1835</v>
      </c>
      <c r="E18" s="868">
        <v>45546.217418981483</v>
      </c>
      <c r="F18" s="868">
        <v>45694.958321759259</v>
      </c>
      <c r="G18" s="867" t="s">
        <v>1758</v>
      </c>
      <c r="H18" s="867" t="s">
        <v>1759</v>
      </c>
      <c r="I18" s="867" t="s">
        <v>1762</v>
      </c>
      <c r="J18" s="867" t="s">
        <v>1762</v>
      </c>
      <c r="K18" s="867" t="s">
        <v>1804</v>
      </c>
      <c r="L18" s="867" t="s">
        <v>1828</v>
      </c>
      <c r="M18" s="867" t="s">
        <v>1834</v>
      </c>
      <c r="N18" s="867" t="s">
        <v>3870</v>
      </c>
      <c r="O18" s="873" t="s">
        <v>3871</v>
      </c>
      <c r="P18" s="874">
        <v>9</v>
      </c>
      <c r="Q18" s="874">
        <v>9</v>
      </c>
      <c r="R18" s="875">
        <v>9</v>
      </c>
      <c r="S18" s="876">
        <v>9</v>
      </c>
      <c r="T18" s="876">
        <v>9</v>
      </c>
      <c r="U18" s="877">
        <v>9</v>
      </c>
      <c r="W18" s="877"/>
    </row>
    <row r="19" spans="1:23" ht="36" x14ac:dyDescent="0.2">
      <c r="A19" s="812" t="s">
        <v>3865</v>
      </c>
      <c r="B19" s="866" t="s">
        <v>3866</v>
      </c>
      <c r="C19" s="866" t="s">
        <v>3867</v>
      </c>
      <c r="D19" s="867" t="s">
        <v>1836</v>
      </c>
      <c r="E19" s="868">
        <v>45546.34002314815</v>
      </c>
      <c r="F19" s="868">
        <v>45688.958321759259</v>
      </c>
      <c r="G19" s="867" t="s">
        <v>1758</v>
      </c>
      <c r="H19" s="867" t="s">
        <v>1759</v>
      </c>
      <c r="I19" s="867" t="s">
        <v>1762</v>
      </c>
      <c r="J19" s="867" t="s">
        <v>1762</v>
      </c>
      <c r="K19" s="867" t="s">
        <v>1804</v>
      </c>
      <c r="L19" s="867" t="s">
        <v>1828</v>
      </c>
      <c r="M19" s="867" t="s">
        <v>1829</v>
      </c>
      <c r="N19" s="867" t="s">
        <v>3868</v>
      </c>
      <c r="O19" s="867" t="s">
        <v>3869</v>
      </c>
      <c r="P19" s="869">
        <v>10</v>
      </c>
      <c r="Q19" s="869">
        <v>10</v>
      </c>
      <c r="R19" s="870">
        <v>10</v>
      </c>
      <c r="S19" s="871">
        <v>10</v>
      </c>
      <c r="T19" s="871">
        <v>10</v>
      </c>
      <c r="U19" s="872">
        <v>10</v>
      </c>
      <c r="W19" s="872"/>
    </row>
    <row r="20" spans="1:23" ht="24" x14ac:dyDescent="0.2">
      <c r="A20" s="812" t="s">
        <v>3872</v>
      </c>
      <c r="B20" s="866" t="s">
        <v>3873</v>
      </c>
      <c r="C20" s="866" t="s">
        <v>3860</v>
      </c>
      <c r="D20" s="867" t="s">
        <v>1837</v>
      </c>
      <c r="E20" s="868">
        <v>45546.340208333335</v>
      </c>
      <c r="F20" s="868">
        <v>45838.916655092595</v>
      </c>
      <c r="G20" s="867" t="s">
        <v>1758</v>
      </c>
      <c r="H20" s="867" t="s">
        <v>1759</v>
      </c>
      <c r="I20" s="867" t="s">
        <v>1761</v>
      </c>
      <c r="J20" s="867" t="s">
        <v>1761</v>
      </c>
      <c r="K20" s="867" t="s">
        <v>1804</v>
      </c>
      <c r="L20" s="867" t="s">
        <v>1828</v>
      </c>
      <c r="M20" s="867" t="s">
        <v>1838</v>
      </c>
      <c r="N20" s="867" t="s">
        <v>3874</v>
      </c>
      <c r="O20" s="873" t="s">
        <v>3875</v>
      </c>
      <c r="P20" s="874">
        <v>9</v>
      </c>
      <c r="Q20" s="874">
        <v>9</v>
      </c>
      <c r="R20" s="875">
        <v>9</v>
      </c>
      <c r="S20" s="876">
        <v>9</v>
      </c>
      <c r="T20" s="876">
        <v>9</v>
      </c>
      <c r="U20" s="877">
        <v>9</v>
      </c>
      <c r="W20" s="877"/>
    </row>
    <row r="21" spans="1:23" ht="24" x14ac:dyDescent="0.2">
      <c r="A21" s="812" t="s">
        <v>3872</v>
      </c>
      <c r="B21" s="866" t="s">
        <v>3873</v>
      </c>
      <c r="C21" s="866" t="s">
        <v>3860</v>
      </c>
      <c r="D21" s="867" t="s">
        <v>1839</v>
      </c>
      <c r="E21" s="868">
        <v>45547.262916666667</v>
      </c>
      <c r="F21" s="868">
        <v>45838.916655092595</v>
      </c>
      <c r="G21" s="867" t="s">
        <v>1758</v>
      </c>
      <c r="H21" s="867" t="s">
        <v>1759</v>
      </c>
      <c r="I21" s="867" t="s">
        <v>1761</v>
      </c>
      <c r="J21" s="867" t="s">
        <v>1840</v>
      </c>
      <c r="K21" s="867" t="s">
        <v>1804</v>
      </c>
      <c r="L21" s="867" t="s">
        <v>1828</v>
      </c>
      <c r="M21" s="867" t="s">
        <v>1838</v>
      </c>
      <c r="N21" s="867" t="s">
        <v>3874</v>
      </c>
      <c r="O21" s="867" t="s">
        <v>3875</v>
      </c>
      <c r="P21" s="869">
        <v>17</v>
      </c>
      <c r="Q21" s="869">
        <v>13</v>
      </c>
      <c r="R21" s="870">
        <v>9</v>
      </c>
      <c r="S21" s="871">
        <v>17</v>
      </c>
      <c r="T21" s="871">
        <v>13</v>
      </c>
      <c r="U21" s="872">
        <v>9</v>
      </c>
      <c r="W21" s="872"/>
    </row>
    <row r="22" spans="1:23" ht="36" x14ac:dyDescent="0.2">
      <c r="A22" s="865" t="s">
        <v>1841</v>
      </c>
      <c r="B22" s="866">
        <v>51906201</v>
      </c>
      <c r="C22" s="866" t="s">
        <v>3876</v>
      </c>
      <c r="D22" s="867" t="s">
        <v>1842</v>
      </c>
      <c r="E22" s="868">
        <v>45536.886678240742</v>
      </c>
      <c r="F22" s="868">
        <v>45838.916655092595</v>
      </c>
      <c r="G22" s="867" t="s">
        <v>1758</v>
      </c>
      <c r="H22" s="867" t="s">
        <v>1759</v>
      </c>
      <c r="I22" s="867" t="s">
        <v>1762</v>
      </c>
      <c r="J22" s="867" t="s">
        <v>1843</v>
      </c>
      <c r="K22" s="867" t="s">
        <v>1804</v>
      </c>
      <c r="L22" s="867" t="s">
        <v>1828</v>
      </c>
      <c r="M22" s="867" t="s">
        <v>1844</v>
      </c>
      <c r="N22" s="867" t="s">
        <v>3877</v>
      </c>
      <c r="O22" s="873" t="s">
        <v>3878</v>
      </c>
      <c r="P22" s="874">
        <v>13</v>
      </c>
      <c r="Q22" s="874">
        <v>13</v>
      </c>
      <c r="R22" s="875">
        <v>0</v>
      </c>
      <c r="S22" s="876">
        <v>13</v>
      </c>
      <c r="T22" s="876">
        <v>13</v>
      </c>
      <c r="U22" s="877">
        <v>0</v>
      </c>
      <c r="W22" s="877">
        <v>0</v>
      </c>
    </row>
    <row r="23" spans="1:23" ht="48" x14ac:dyDescent="0.2">
      <c r="A23" s="865" t="s">
        <v>1841</v>
      </c>
      <c r="B23" s="866">
        <v>51906201</v>
      </c>
      <c r="C23" s="866" t="s">
        <v>3876</v>
      </c>
      <c r="D23" s="867" t="s">
        <v>1845</v>
      </c>
      <c r="E23" s="868">
        <v>45636.425706018519</v>
      </c>
      <c r="F23" s="868">
        <v>45991.958321759259</v>
      </c>
      <c r="G23" s="867" t="s">
        <v>1758</v>
      </c>
      <c r="H23" s="867" t="s">
        <v>1759</v>
      </c>
      <c r="I23" s="867" t="s">
        <v>1760</v>
      </c>
      <c r="J23" s="867" t="s">
        <v>1846</v>
      </c>
      <c r="K23" s="867" t="s">
        <v>1804</v>
      </c>
      <c r="L23" s="867" t="s">
        <v>1805</v>
      </c>
      <c r="M23" s="867" t="s">
        <v>1847</v>
      </c>
      <c r="N23" s="867" t="s">
        <v>3879</v>
      </c>
      <c r="O23" s="867" t="s">
        <v>3880</v>
      </c>
      <c r="P23" s="869">
        <v>17</v>
      </c>
      <c r="Q23" s="869">
        <v>17</v>
      </c>
      <c r="R23" s="870">
        <v>17</v>
      </c>
      <c r="S23" s="871">
        <v>17</v>
      </c>
      <c r="T23" s="871">
        <v>17</v>
      </c>
      <c r="U23" s="872">
        <v>17</v>
      </c>
      <c r="W23" s="872">
        <v>17</v>
      </c>
    </row>
    <row r="24" spans="1:23" ht="36" x14ac:dyDescent="0.2">
      <c r="A24" s="865" t="s">
        <v>1841</v>
      </c>
      <c r="B24" s="866">
        <v>51906201</v>
      </c>
      <c r="C24" s="866" t="s">
        <v>3876</v>
      </c>
      <c r="D24" s="867" t="s">
        <v>1848</v>
      </c>
      <c r="E24" s="868">
        <v>45636.422546296293</v>
      </c>
      <c r="F24" s="868">
        <v>45991.958321759259</v>
      </c>
      <c r="G24" s="867" t="s">
        <v>1758</v>
      </c>
      <c r="H24" s="867" t="s">
        <v>1759</v>
      </c>
      <c r="I24" s="867" t="s">
        <v>1762</v>
      </c>
      <c r="J24" s="867" t="s">
        <v>1849</v>
      </c>
      <c r="K24" s="867" t="s">
        <v>1804</v>
      </c>
      <c r="L24" s="867" t="s">
        <v>1828</v>
      </c>
      <c r="M24" s="867" t="s">
        <v>1847</v>
      </c>
      <c r="N24" s="867" t="s">
        <v>3879</v>
      </c>
      <c r="O24" s="873" t="s">
        <v>3880</v>
      </c>
      <c r="P24" s="874">
        <v>12</v>
      </c>
      <c r="Q24" s="874">
        <v>12</v>
      </c>
      <c r="R24" s="875">
        <v>11</v>
      </c>
      <c r="S24" s="876">
        <v>12</v>
      </c>
      <c r="T24" s="876">
        <v>12</v>
      </c>
      <c r="U24" s="877">
        <v>11</v>
      </c>
      <c r="W24" s="877">
        <v>11</v>
      </c>
    </row>
    <row r="25" spans="1:23" ht="24" x14ac:dyDescent="0.2">
      <c r="A25" s="865" t="s">
        <v>1841</v>
      </c>
      <c r="B25" s="866">
        <v>51906201</v>
      </c>
      <c r="C25" s="866" t="s">
        <v>3876</v>
      </c>
      <c r="D25" s="867" t="s">
        <v>1850</v>
      </c>
      <c r="E25" s="868">
        <v>45636.423796296294</v>
      </c>
      <c r="F25" s="868">
        <v>45991.958321759259</v>
      </c>
      <c r="G25" s="867" t="s">
        <v>1758</v>
      </c>
      <c r="H25" s="867" t="s">
        <v>1759</v>
      </c>
      <c r="I25" s="867" t="s">
        <v>1761</v>
      </c>
      <c r="J25" s="867" t="s">
        <v>1851</v>
      </c>
      <c r="K25" s="867" t="s">
        <v>1804</v>
      </c>
      <c r="L25" s="867" t="s">
        <v>1828</v>
      </c>
      <c r="M25" s="867" t="s">
        <v>1847</v>
      </c>
      <c r="N25" s="867" t="s">
        <v>3879</v>
      </c>
      <c r="O25" s="867" t="s">
        <v>3880</v>
      </c>
      <c r="P25" s="869">
        <v>15</v>
      </c>
      <c r="Q25" s="869">
        <v>15</v>
      </c>
      <c r="R25" s="870">
        <v>15</v>
      </c>
      <c r="S25" s="871">
        <v>15</v>
      </c>
      <c r="T25" s="871">
        <v>15</v>
      </c>
      <c r="U25" s="872">
        <v>15</v>
      </c>
      <c r="W25" s="872">
        <v>15</v>
      </c>
    </row>
    <row r="26" spans="1:23" ht="24" x14ac:dyDescent="0.2">
      <c r="A26" s="865" t="s">
        <v>1841</v>
      </c>
      <c r="B26" s="866">
        <v>51906201</v>
      </c>
      <c r="C26" s="866" t="s">
        <v>3876</v>
      </c>
      <c r="D26" s="867" t="s">
        <v>1852</v>
      </c>
      <c r="E26" s="868">
        <v>45540.380243055559</v>
      </c>
      <c r="F26" s="868">
        <v>45838.916655092595</v>
      </c>
      <c r="G26" s="867" t="s">
        <v>1758</v>
      </c>
      <c r="H26" s="867" t="s">
        <v>1759</v>
      </c>
      <c r="I26" s="867" t="s">
        <v>1761</v>
      </c>
      <c r="J26" s="867" t="s">
        <v>1853</v>
      </c>
      <c r="K26" s="867" t="s">
        <v>1804</v>
      </c>
      <c r="L26" s="867" t="s">
        <v>1828</v>
      </c>
      <c r="M26" s="867" t="s">
        <v>1854</v>
      </c>
      <c r="N26" s="867" t="s">
        <v>3868</v>
      </c>
      <c r="O26" s="873" t="s">
        <v>3881</v>
      </c>
      <c r="P26" s="874">
        <v>10</v>
      </c>
      <c r="Q26" s="874">
        <v>10</v>
      </c>
      <c r="R26" s="875">
        <v>10</v>
      </c>
      <c r="S26" s="876">
        <v>10</v>
      </c>
      <c r="T26" s="876">
        <v>10</v>
      </c>
      <c r="U26" s="877">
        <v>10</v>
      </c>
      <c r="W26" s="877">
        <v>10</v>
      </c>
    </row>
    <row r="27" spans="1:23" ht="36" x14ac:dyDescent="0.2">
      <c r="A27" s="865" t="s">
        <v>1841</v>
      </c>
      <c r="B27" s="866">
        <v>51906201</v>
      </c>
      <c r="C27" s="866" t="s">
        <v>3876</v>
      </c>
      <c r="D27" s="867" t="s">
        <v>1855</v>
      </c>
      <c r="E27" s="868">
        <v>45314.958333333336</v>
      </c>
      <c r="F27" s="868">
        <v>45656.958333333336</v>
      </c>
      <c r="G27" s="867" t="s">
        <v>1758</v>
      </c>
      <c r="H27" s="867" t="s">
        <v>1759</v>
      </c>
      <c r="I27" s="867" t="s">
        <v>1823</v>
      </c>
      <c r="J27" s="867" t="s">
        <v>1856</v>
      </c>
      <c r="K27" s="867" t="s">
        <v>1804</v>
      </c>
      <c r="L27" s="867" t="s">
        <v>1819</v>
      </c>
      <c r="M27" s="867" t="s">
        <v>1847</v>
      </c>
      <c r="N27" s="867" t="s">
        <v>3879</v>
      </c>
      <c r="O27" s="867" t="s">
        <v>3880</v>
      </c>
      <c r="P27" s="869">
        <v>14</v>
      </c>
      <c r="Q27" s="869">
        <v>14</v>
      </c>
      <c r="R27" s="870">
        <v>14</v>
      </c>
      <c r="S27" s="871">
        <v>14</v>
      </c>
      <c r="T27" s="871">
        <v>14</v>
      </c>
      <c r="U27" s="872">
        <v>14</v>
      </c>
      <c r="W27" s="872">
        <v>14</v>
      </c>
    </row>
    <row r="28" spans="1:23" ht="48" x14ac:dyDescent="0.2">
      <c r="A28" s="865" t="s">
        <v>1841</v>
      </c>
      <c r="B28" s="866">
        <v>51906201</v>
      </c>
      <c r="C28" s="866" t="s">
        <v>3876</v>
      </c>
      <c r="D28" s="867" t="s">
        <v>1857</v>
      </c>
      <c r="E28" s="868">
        <v>45356.958333333336</v>
      </c>
      <c r="F28" s="868">
        <v>45656.958333333336</v>
      </c>
      <c r="G28" s="867" t="s">
        <v>1758</v>
      </c>
      <c r="H28" s="867" t="s">
        <v>1759</v>
      </c>
      <c r="I28" s="867" t="s">
        <v>1858</v>
      </c>
      <c r="J28" s="867" t="s">
        <v>1859</v>
      </c>
      <c r="K28" s="867" t="s">
        <v>1804</v>
      </c>
      <c r="L28" s="867" t="s">
        <v>1819</v>
      </c>
      <c r="M28" s="867" t="s">
        <v>1847</v>
      </c>
      <c r="N28" s="867" t="s">
        <v>3879</v>
      </c>
      <c r="O28" s="873" t="s">
        <v>3880</v>
      </c>
      <c r="P28" s="874">
        <v>14</v>
      </c>
      <c r="Q28" s="874">
        <v>14</v>
      </c>
      <c r="R28" s="875">
        <v>14</v>
      </c>
      <c r="S28" s="876">
        <v>14</v>
      </c>
      <c r="T28" s="876">
        <v>14</v>
      </c>
      <c r="U28" s="877">
        <v>14</v>
      </c>
      <c r="W28" s="877">
        <v>14</v>
      </c>
    </row>
    <row r="29" spans="1:23" ht="36" x14ac:dyDescent="0.2">
      <c r="A29" s="865" t="s">
        <v>1841</v>
      </c>
      <c r="B29" s="866">
        <v>51906201</v>
      </c>
      <c r="C29" s="866" t="s">
        <v>3876</v>
      </c>
      <c r="D29" s="867" t="s">
        <v>1860</v>
      </c>
      <c r="E29" s="868">
        <v>45456.916666666664</v>
      </c>
      <c r="F29" s="868">
        <v>45548.916666666664</v>
      </c>
      <c r="G29" s="867" t="s">
        <v>1741</v>
      </c>
      <c r="H29" s="867" t="s">
        <v>1755</v>
      </c>
      <c r="I29" s="867" t="s">
        <v>1861</v>
      </c>
      <c r="J29" s="867" t="s">
        <v>1862</v>
      </c>
      <c r="K29" s="867" t="s">
        <v>1804</v>
      </c>
      <c r="L29" s="867" t="s">
        <v>1863</v>
      </c>
      <c r="M29" s="867" t="s">
        <v>1864</v>
      </c>
      <c r="N29" s="867" t="s">
        <v>3882</v>
      </c>
      <c r="O29" s="867" t="s">
        <v>3883</v>
      </c>
      <c r="P29" s="869">
        <v>2</v>
      </c>
      <c r="Q29" s="869">
        <v>1</v>
      </c>
      <c r="R29" s="870">
        <v>0</v>
      </c>
      <c r="S29" s="871">
        <v>2</v>
      </c>
      <c r="T29" s="871">
        <v>1</v>
      </c>
      <c r="U29" s="872">
        <v>0</v>
      </c>
      <c r="W29" s="872">
        <v>0</v>
      </c>
    </row>
    <row r="30" spans="1:23" ht="24" x14ac:dyDescent="0.2">
      <c r="A30" s="865" t="s">
        <v>1841</v>
      </c>
      <c r="B30" s="866">
        <v>51906201</v>
      </c>
      <c r="C30" s="866" t="s">
        <v>3876</v>
      </c>
      <c r="D30" s="867" t="s">
        <v>1865</v>
      </c>
      <c r="E30" s="868">
        <v>45638.33798611111</v>
      </c>
      <c r="F30" s="868">
        <v>45991.958321759259</v>
      </c>
      <c r="G30" s="867" t="s">
        <v>1758</v>
      </c>
      <c r="H30" s="867" t="s">
        <v>1759</v>
      </c>
      <c r="I30" s="867" t="s">
        <v>1761</v>
      </c>
      <c r="J30" s="867" t="s">
        <v>1866</v>
      </c>
      <c r="K30" s="867" t="s">
        <v>1804</v>
      </c>
      <c r="L30" s="867" t="s">
        <v>1828</v>
      </c>
      <c r="M30" s="867" t="s">
        <v>1847</v>
      </c>
      <c r="N30" s="867" t="s">
        <v>3879</v>
      </c>
      <c r="O30" s="873" t="s">
        <v>3880</v>
      </c>
      <c r="P30" s="874">
        <v>15</v>
      </c>
      <c r="Q30" s="874">
        <v>15</v>
      </c>
      <c r="R30" s="875">
        <v>13</v>
      </c>
      <c r="S30" s="876">
        <v>15</v>
      </c>
      <c r="T30" s="876">
        <v>15</v>
      </c>
      <c r="U30" s="877">
        <v>13</v>
      </c>
      <c r="W30" s="877">
        <v>13</v>
      </c>
    </row>
    <row r="31" spans="1:23" ht="24" x14ac:dyDescent="0.2">
      <c r="A31" s="865" t="s">
        <v>1841</v>
      </c>
      <c r="B31" s="866">
        <v>51906201</v>
      </c>
      <c r="C31" s="866" t="s">
        <v>3876</v>
      </c>
      <c r="D31" s="1438" t="s">
        <v>1867</v>
      </c>
      <c r="E31" s="1441">
        <v>45548.398622685185</v>
      </c>
      <c r="F31" s="1441">
        <v>45838.916655092595</v>
      </c>
      <c r="G31" s="1438" t="s">
        <v>1741</v>
      </c>
      <c r="H31" s="1438" t="s">
        <v>1749</v>
      </c>
      <c r="I31" s="1438" t="s">
        <v>1749</v>
      </c>
      <c r="J31" s="1438" t="s">
        <v>1868</v>
      </c>
      <c r="K31" s="1438" t="s">
        <v>1804</v>
      </c>
      <c r="L31" s="1438" t="s">
        <v>1869</v>
      </c>
      <c r="M31" s="867" t="s">
        <v>1870</v>
      </c>
      <c r="N31" s="867" t="s">
        <v>3884</v>
      </c>
      <c r="O31" s="867" t="s">
        <v>3885</v>
      </c>
      <c r="P31" s="869">
        <v>14</v>
      </c>
      <c r="Q31" s="869">
        <v>13</v>
      </c>
      <c r="R31" s="870">
        <v>13</v>
      </c>
      <c r="S31" s="871">
        <v>14</v>
      </c>
      <c r="T31" s="871">
        <v>13</v>
      </c>
      <c r="U31" s="872">
        <v>13</v>
      </c>
      <c r="W31" s="872">
        <v>13</v>
      </c>
    </row>
    <row r="32" spans="1:23" ht="24" x14ac:dyDescent="0.2">
      <c r="A32" s="865" t="s">
        <v>1841</v>
      </c>
      <c r="B32" s="866">
        <v>51906201</v>
      </c>
      <c r="C32" s="866" t="s">
        <v>3876</v>
      </c>
      <c r="D32" s="1439"/>
      <c r="E32" s="1442"/>
      <c r="F32" s="1442"/>
      <c r="G32" s="1439"/>
      <c r="H32" s="1439"/>
      <c r="I32" s="1439"/>
      <c r="J32" s="1439"/>
      <c r="K32" s="1439"/>
      <c r="L32" s="1439"/>
      <c r="M32" s="867" t="s">
        <v>1871</v>
      </c>
      <c r="N32" s="867" t="s">
        <v>3886</v>
      </c>
      <c r="O32" s="873" t="s">
        <v>3887</v>
      </c>
      <c r="P32" s="874">
        <v>14</v>
      </c>
      <c r="Q32" s="874">
        <v>13</v>
      </c>
      <c r="R32" s="875">
        <v>13</v>
      </c>
      <c r="S32" s="876">
        <v>14</v>
      </c>
      <c r="T32" s="876">
        <v>13</v>
      </c>
      <c r="U32" s="877">
        <v>13</v>
      </c>
      <c r="W32" s="877">
        <v>13</v>
      </c>
    </row>
    <row r="33" spans="1:23" ht="24" x14ac:dyDescent="0.2">
      <c r="A33" s="865" t="s">
        <v>1841</v>
      </c>
      <c r="B33" s="866">
        <v>51906201</v>
      </c>
      <c r="C33" s="866" t="s">
        <v>3876</v>
      </c>
      <c r="D33" s="1440"/>
      <c r="E33" s="1443"/>
      <c r="F33" s="1443"/>
      <c r="G33" s="1440"/>
      <c r="H33" s="1440"/>
      <c r="I33" s="1440"/>
      <c r="J33" s="1440"/>
      <c r="K33" s="1440"/>
      <c r="L33" s="1440"/>
      <c r="M33" s="867" t="s">
        <v>1854</v>
      </c>
      <c r="N33" s="867" t="s">
        <v>3868</v>
      </c>
      <c r="O33" s="867" t="s">
        <v>3881</v>
      </c>
      <c r="P33" s="869">
        <v>14</v>
      </c>
      <c r="Q33" s="869">
        <v>13</v>
      </c>
      <c r="R33" s="870">
        <v>13</v>
      </c>
      <c r="S33" s="871">
        <v>14</v>
      </c>
      <c r="T33" s="871">
        <v>13</v>
      </c>
      <c r="U33" s="872">
        <v>13</v>
      </c>
      <c r="W33" s="872">
        <v>13</v>
      </c>
    </row>
    <row r="34" spans="1:23" ht="48" x14ac:dyDescent="0.2">
      <c r="A34" s="865" t="s">
        <v>1841</v>
      </c>
      <c r="B34" s="866">
        <v>51906201</v>
      </c>
      <c r="C34" s="866" t="s">
        <v>3876</v>
      </c>
      <c r="D34" s="867" t="s">
        <v>1872</v>
      </c>
      <c r="E34" s="868">
        <v>45531.273425925923</v>
      </c>
      <c r="F34" s="868">
        <v>45900.916655092595</v>
      </c>
      <c r="G34" s="867" t="s">
        <v>1758</v>
      </c>
      <c r="H34" s="867" t="s">
        <v>1759</v>
      </c>
      <c r="I34" s="867" t="s">
        <v>1760</v>
      </c>
      <c r="J34" s="867" t="s">
        <v>1873</v>
      </c>
      <c r="K34" s="867" t="s">
        <v>1804</v>
      </c>
      <c r="L34" s="867" t="s">
        <v>1805</v>
      </c>
      <c r="M34" s="867" t="s">
        <v>1871</v>
      </c>
      <c r="N34" s="867" t="s">
        <v>3886</v>
      </c>
      <c r="O34" s="873" t="s">
        <v>3887</v>
      </c>
      <c r="P34" s="874">
        <v>12</v>
      </c>
      <c r="Q34" s="874">
        <v>12</v>
      </c>
      <c r="R34" s="875">
        <v>11</v>
      </c>
      <c r="S34" s="876">
        <v>12</v>
      </c>
      <c r="T34" s="876">
        <v>12</v>
      </c>
      <c r="U34" s="877">
        <v>11</v>
      </c>
      <c r="W34" s="877">
        <v>11</v>
      </c>
    </row>
    <row r="35" spans="1:23" ht="36" x14ac:dyDescent="0.2">
      <c r="A35" s="865" t="s">
        <v>1841</v>
      </c>
      <c r="B35" s="866">
        <v>51906201</v>
      </c>
      <c r="C35" s="866" t="s">
        <v>3876</v>
      </c>
      <c r="D35" s="867" t="s">
        <v>1874</v>
      </c>
      <c r="E35" s="868">
        <v>45547.249224537038</v>
      </c>
      <c r="F35" s="868">
        <v>45869.916655092595</v>
      </c>
      <c r="G35" s="867" t="s">
        <v>1741</v>
      </c>
      <c r="H35" s="867" t="s">
        <v>1749</v>
      </c>
      <c r="I35" s="867" t="s">
        <v>1749</v>
      </c>
      <c r="J35" s="867" t="s">
        <v>1875</v>
      </c>
      <c r="K35" s="867" t="s">
        <v>1804</v>
      </c>
      <c r="L35" s="867" t="s">
        <v>1869</v>
      </c>
      <c r="M35" s="867" t="s">
        <v>1876</v>
      </c>
      <c r="N35" s="867" t="s">
        <v>3877</v>
      </c>
      <c r="O35" s="867" t="s">
        <v>3888</v>
      </c>
      <c r="P35" s="869">
        <v>15</v>
      </c>
      <c r="Q35" s="869">
        <v>15</v>
      </c>
      <c r="R35" s="870">
        <v>2</v>
      </c>
      <c r="S35" s="871">
        <v>15</v>
      </c>
      <c r="T35" s="871">
        <v>15</v>
      </c>
      <c r="U35" s="872">
        <v>2</v>
      </c>
      <c r="W35" s="872">
        <v>2</v>
      </c>
    </row>
    <row r="36" spans="1:23" ht="36" x14ac:dyDescent="0.2">
      <c r="A36" s="865" t="s">
        <v>1841</v>
      </c>
      <c r="B36" s="866">
        <v>51906201</v>
      </c>
      <c r="C36" s="866" t="s">
        <v>3876</v>
      </c>
      <c r="D36" s="867" t="s">
        <v>1877</v>
      </c>
      <c r="E36" s="868">
        <v>45544.215150462966</v>
      </c>
      <c r="F36" s="868">
        <v>45869.916655092595</v>
      </c>
      <c r="G36" s="867" t="s">
        <v>1741</v>
      </c>
      <c r="H36" s="867" t="s">
        <v>1749</v>
      </c>
      <c r="I36" s="867" t="s">
        <v>1749</v>
      </c>
      <c r="J36" s="867" t="s">
        <v>1878</v>
      </c>
      <c r="K36" s="867" t="s">
        <v>1804</v>
      </c>
      <c r="L36" s="867" t="s">
        <v>1869</v>
      </c>
      <c r="M36" s="867" t="s">
        <v>1854</v>
      </c>
      <c r="N36" s="867" t="s">
        <v>3868</v>
      </c>
      <c r="O36" s="873" t="s">
        <v>3881</v>
      </c>
      <c r="P36" s="874">
        <v>14</v>
      </c>
      <c r="Q36" s="874">
        <v>14</v>
      </c>
      <c r="R36" s="875">
        <v>14</v>
      </c>
      <c r="S36" s="876">
        <v>14</v>
      </c>
      <c r="T36" s="876">
        <v>14</v>
      </c>
      <c r="U36" s="877">
        <v>14</v>
      </c>
      <c r="W36" s="877">
        <v>14</v>
      </c>
    </row>
    <row r="37" spans="1:23" ht="48" x14ac:dyDescent="0.2">
      <c r="A37" s="865" t="s">
        <v>1841</v>
      </c>
      <c r="B37" s="866">
        <v>51906201</v>
      </c>
      <c r="C37" s="866" t="s">
        <v>3876</v>
      </c>
      <c r="D37" s="867" t="s">
        <v>1879</v>
      </c>
      <c r="E37" s="868">
        <v>45636.42460648148</v>
      </c>
      <c r="F37" s="868">
        <v>45991.958321759259</v>
      </c>
      <c r="G37" s="867" t="s">
        <v>1758</v>
      </c>
      <c r="H37" s="867" t="s">
        <v>1759</v>
      </c>
      <c r="I37" s="867" t="s">
        <v>1760</v>
      </c>
      <c r="J37" s="867" t="s">
        <v>1880</v>
      </c>
      <c r="K37" s="867" t="s">
        <v>1804</v>
      </c>
      <c r="L37" s="867" t="s">
        <v>1805</v>
      </c>
      <c r="M37" s="867" t="s">
        <v>1847</v>
      </c>
      <c r="N37" s="867" t="s">
        <v>3879</v>
      </c>
      <c r="O37" s="867" t="s">
        <v>3880</v>
      </c>
      <c r="P37" s="869">
        <v>15</v>
      </c>
      <c r="Q37" s="869">
        <v>13</v>
      </c>
      <c r="R37" s="870">
        <v>13</v>
      </c>
      <c r="S37" s="871">
        <v>15</v>
      </c>
      <c r="T37" s="871">
        <v>13</v>
      </c>
      <c r="U37" s="872">
        <v>13</v>
      </c>
      <c r="W37" s="872">
        <v>13</v>
      </c>
    </row>
    <row r="38" spans="1:23" ht="36" x14ac:dyDescent="0.2">
      <c r="A38" s="865" t="s">
        <v>1841</v>
      </c>
      <c r="B38" s="866">
        <v>51906201</v>
      </c>
      <c r="C38" s="866" t="s">
        <v>3876</v>
      </c>
      <c r="D38" s="867" t="s">
        <v>1881</v>
      </c>
      <c r="E38" s="868">
        <v>45553.29241898148</v>
      </c>
      <c r="F38" s="868">
        <v>45900.916655092595</v>
      </c>
      <c r="G38" s="867" t="s">
        <v>1741</v>
      </c>
      <c r="H38" s="867" t="s">
        <v>1749</v>
      </c>
      <c r="I38" s="867" t="s">
        <v>1749</v>
      </c>
      <c r="J38" s="867" t="s">
        <v>1882</v>
      </c>
      <c r="K38" s="867" t="s">
        <v>1804</v>
      </c>
      <c r="L38" s="867" t="s">
        <v>1869</v>
      </c>
      <c r="M38" s="867" t="s">
        <v>1871</v>
      </c>
      <c r="N38" s="867" t="s">
        <v>3886</v>
      </c>
      <c r="O38" s="873" t="s">
        <v>3887</v>
      </c>
      <c r="P38" s="874">
        <v>14</v>
      </c>
      <c r="Q38" s="874">
        <v>14</v>
      </c>
      <c r="R38" s="875">
        <v>9</v>
      </c>
      <c r="S38" s="876">
        <v>14</v>
      </c>
      <c r="T38" s="876">
        <v>14</v>
      </c>
      <c r="U38" s="877">
        <v>9</v>
      </c>
      <c r="W38" s="877">
        <v>9</v>
      </c>
    </row>
    <row r="39" spans="1:23" ht="24" x14ac:dyDescent="0.2">
      <c r="A39" s="865" t="s">
        <v>1841</v>
      </c>
      <c r="B39" s="866">
        <v>51906201</v>
      </c>
      <c r="C39" s="866" t="s">
        <v>3876</v>
      </c>
      <c r="D39" s="867" t="s">
        <v>1883</v>
      </c>
      <c r="E39" s="868">
        <v>45536.877766203703</v>
      </c>
      <c r="F39" s="868">
        <v>45838.916655092595</v>
      </c>
      <c r="G39" s="867" t="s">
        <v>1772</v>
      </c>
      <c r="H39" s="867" t="s">
        <v>1765</v>
      </c>
      <c r="I39" s="867" t="s">
        <v>1774</v>
      </c>
      <c r="J39" s="867" t="s">
        <v>1884</v>
      </c>
      <c r="K39" s="867" t="s">
        <v>1804</v>
      </c>
      <c r="L39" s="867" t="s">
        <v>1805</v>
      </c>
      <c r="M39" s="867" t="s">
        <v>1844</v>
      </c>
      <c r="N39" s="867" t="s">
        <v>3877</v>
      </c>
      <c r="O39" s="867" t="s">
        <v>3878</v>
      </c>
      <c r="P39" s="869">
        <v>14</v>
      </c>
      <c r="Q39" s="869">
        <v>14</v>
      </c>
      <c r="R39" s="870">
        <v>0</v>
      </c>
      <c r="S39" s="871">
        <v>14</v>
      </c>
      <c r="T39" s="871">
        <v>14</v>
      </c>
      <c r="U39" s="872">
        <v>0</v>
      </c>
      <c r="W39" s="872">
        <v>0</v>
      </c>
    </row>
    <row r="40" spans="1:23" ht="36" x14ac:dyDescent="0.2">
      <c r="A40" s="865" t="s">
        <v>1841</v>
      </c>
      <c r="B40" s="866">
        <v>51906201</v>
      </c>
      <c r="C40" s="866" t="s">
        <v>3876</v>
      </c>
      <c r="D40" s="867" t="s">
        <v>1885</v>
      </c>
      <c r="E40" s="868">
        <v>45603.323703703703</v>
      </c>
      <c r="F40" s="868">
        <v>45838.916655092595</v>
      </c>
      <c r="G40" s="867" t="s">
        <v>1758</v>
      </c>
      <c r="H40" s="867" t="s">
        <v>1759</v>
      </c>
      <c r="I40" s="867" t="s">
        <v>1762</v>
      </c>
      <c r="J40" s="867" t="s">
        <v>1886</v>
      </c>
      <c r="K40" s="867" t="s">
        <v>1804</v>
      </c>
      <c r="L40" s="867" t="s">
        <v>1828</v>
      </c>
      <c r="M40" s="867" t="s">
        <v>1854</v>
      </c>
      <c r="N40" s="867" t="s">
        <v>3868</v>
      </c>
      <c r="O40" s="873" t="s">
        <v>3881</v>
      </c>
      <c r="P40" s="874">
        <v>18</v>
      </c>
      <c r="Q40" s="874">
        <v>15</v>
      </c>
      <c r="R40" s="875">
        <v>15</v>
      </c>
      <c r="S40" s="876">
        <v>18</v>
      </c>
      <c r="T40" s="876">
        <v>15</v>
      </c>
      <c r="U40" s="877">
        <v>15</v>
      </c>
      <c r="W40" s="877">
        <v>15</v>
      </c>
    </row>
    <row r="41" spans="1:23" ht="36" x14ac:dyDescent="0.2">
      <c r="A41" s="865" t="s">
        <v>1841</v>
      </c>
      <c r="B41" s="866">
        <v>51906201</v>
      </c>
      <c r="C41" s="866" t="s">
        <v>3876</v>
      </c>
      <c r="D41" s="867" t="s">
        <v>1887</v>
      </c>
      <c r="E41" s="868">
        <v>45593.388148148151</v>
      </c>
      <c r="F41" s="868">
        <v>45657.958321759259</v>
      </c>
      <c r="G41" s="867" t="s">
        <v>1777</v>
      </c>
      <c r="H41" s="867" t="s">
        <v>1888</v>
      </c>
      <c r="I41" s="867" t="s">
        <v>1889</v>
      </c>
      <c r="J41" s="867" t="s">
        <v>1890</v>
      </c>
      <c r="K41" s="867" t="s">
        <v>1804</v>
      </c>
      <c r="L41" s="867" t="s">
        <v>1805</v>
      </c>
      <c r="M41" s="867" t="s">
        <v>1864</v>
      </c>
      <c r="N41" s="867" t="s">
        <v>3882</v>
      </c>
      <c r="O41" s="867" t="s">
        <v>3883</v>
      </c>
      <c r="P41" s="869">
        <v>3</v>
      </c>
      <c r="Q41" s="869">
        <v>3</v>
      </c>
      <c r="R41" s="870">
        <v>3</v>
      </c>
      <c r="S41" s="871">
        <v>3</v>
      </c>
      <c r="T41" s="871">
        <v>3</v>
      </c>
      <c r="U41" s="872">
        <v>3</v>
      </c>
      <c r="W41" s="872">
        <v>3</v>
      </c>
    </row>
    <row r="42" spans="1:23" ht="24" x14ac:dyDescent="0.2">
      <c r="A42" s="865" t="s">
        <v>1841</v>
      </c>
      <c r="B42" s="866">
        <v>51906201</v>
      </c>
      <c r="C42" s="866" t="s">
        <v>3876</v>
      </c>
      <c r="D42" s="867" t="s">
        <v>1891</v>
      </c>
      <c r="E42" s="868">
        <v>45545.252916666665</v>
      </c>
      <c r="F42" s="868">
        <v>45838.916655092595</v>
      </c>
      <c r="G42" s="867" t="s">
        <v>1772</v>
      </c>
      <c r="H42" s="867" t="s">
        <v>1765</v>
      </c>
      <c r="I42" s="867" t="s">
        <v>1774</v>
      </c>
      <c r="J42" s="867" t="s">
        <v>1774</v>
      </c>
      <c r="K42" s="867" t="s">
        <v>1804</v>
      </c>
      <c r="L42" s="867" t="s">
        <v>1805</v>
      </c>
      <c r="M42" s="867" t="s">
        <v>1892</v>
      </c>
      <c r="N42" s="867" t="s">
        <v>3870</v>
      </c>
      <c r="O42" s="873" t="s">
        <v>3889</v>
      </c>
      <c r="P42" s="874">
        <v>14</v>
      </c>
      <c r="Q42" s="874">
        <v>14</v>
      </c>
      <c r="R42" s="875">
        <v>0</v>
      </c>
      <c r="S42" s="876">
        <v>14</v>
      </c>
      <c r="T42" s="876">
        <v>14</v>
      </c>
      <c r="U42" s="877">
        <v>0</v>
      </c>
      <c r="W42" s="877">
        <v>0</v>
      </c>
    </row>
    <row r="43" spans="1:23" ht="36" x14ac:dyDescent="0.2">
      <c r="A43" s="865" t="s">
        <v>1841</v>
      </c>
      <c r="B43" s="866">
        <v>51906201</v>
      </c>
      <c r="C43" s="866" t="s">
        <v>3876</v>
      </c>
      <c r="D43" s="867" t="s">
        <v>1893</v>
      </c>
      <c r="E43" s="868">
        <v>45544.916666666664</v>
      </c>
      <c r="F43" s="868">
        <v>45869.916655092595</v>
      </c>
      <c r="G43" s="867" t="s">
        <v>1741</v>
      </c>
      <c r="H43" s="867" t="s">
        <v>1749</v>
      </c>
      <c r="I43" s="867" t="s">
        <v>1749</v>
      </c>
      <c r="J43" s="867" t="s">
        <v>1894</v>
      </c>
      <c r="K43" s="867" t="s">
        <v>1804</v>
      </c>
      <c r="L43" s="867" t="s">
        <v>1869</v>
      </c>
      <c r="M43" s="867" t="s">
        <v>1854</v>
      </c>
      <c r="N43" s="867" t="s">
        <v>3868</v>
      </c>
      <c r="O43" s="867" t="s">
        <v>3881</v>
      </c>
      <c r="P43" s="869">
        <v>15</v>
      </c>
      <c r="Q43" s="869">
        <v>15</v>
      </c>
      <c r="R43" s="870">
        <v>15</v>
      </c>
      <c r="S43" s="871">
        <v>15</v>
      </c>
      <c r="T43" s="871">
        <v>15</v>
      </c>
      <c r="U43" s="872">
        <v>15</v>
      </c>
      <c r="W43" s="872">
        <v>15</v>
      </c>
    </row>
    <row r="44" spans="1:23" ht="36" x14ac:dyDescent="0.2">
      <c r="A44" s="865" t="s">
        <v>1841</v>
      </c>
      <c r="B44" s="866">
        <v>51906201</v>
      </c>
      <c r="C44" s="866" t="s">
        <v>3876</v>
      </c>
      <c r="D44" s="867" t="s">
        <v>1895</v>
      </c>
      <c r="E44" s="868">
        <v>45573.385555555556</v>
      </c>
      <c r="F44" s="868">
        <v>45937.916655092595</v>
      </c>
      <c r="G44" s="867" t="s">
        <v>1758</v>
      </c>
      <c r="H44" s="867" t="s">
        <v>1759</v>
      </c>
      <c r="I44" s="867" t="s">
        <v>1762</v>
      </c>
      <c r="J44" s="867" t="s">
        <v>1896</v>
      </c>
      <c r="K44" s="867" t="s">
        <v>1804</v>
      </c>
      <c r="L44" s="867" t="s">
        <v>1828</v>
      </c>
      <c r="M44" s="867" t="s">
        <v>1847</v>
      </c>
      <c r="N44" s="867" t="s">
        <v>3879</v>
      </c>
      <c r="O44" s="873" t="s">
        <v>3880</v>
      </c>
      <c r="P44" s="874">
        <v>18</v>
      </c>
      <c r="Q44" s="874">
        <v>16</v>
      </c>
      <c r="R44" s="875">
        <v>16</v>
      </c>
      <c r="S44" s="876">
        <v>18</v>
      </c>
      <c r="T44" s="876">
        <v>16</v>
      </c>
      <c r="U44" s="877">
        <v>16</v>
      </c>
      <c r="W44" s="877">
        <v>16</v>
      </c>
    </row>
    <row r="45" spans="1:23" ht="24" x14ac:dyDescent="0.2">
      <c r="A45" s="865" t="s">
        <v>1841</v>
      </c>
      <c r="B45" s="866">
        <v>51906201</v>
      </c>
      <c r="C45" s="866" t="s">
        <v>3876</v>
      </c>
      <c r="D45" s="867" t="s">
        <v>1897</v>
      </c>
      <c r="E45" s="868">
        <v>45551.283958333333</v>
      </c>
      <c r="F45" s="868">
        <v>45838.916655092595</v>
      </c>
      <c r="G45" s="867" t="s">
        <v>1758</v>
      </c>
      <c r="H45" s="867" t="s">
        <v>1759</v>
      </c>
      <c r="I45" s="867" t="s">
        <v>1761</v>
      </c>
      <c r="J45" s="867" t="s">
        <v>1898</v>
      </c>
      <c r="K45" s="867" t="s">
        <v>1804</v>
      </c>
      <c r="L45" s="867" t="s">
        <v>1828</v>
      </c>
      <c r="M45" s="867" t="s">
        <v>1844</v>
      </c>
      <c r="N45" s="867" t="s">
        <v>3877</v>
      </c>
      <c r="O45" s="867" t="s">
        <v>3878</v>
      </c>
      <c r="P45" s="869">
        <v>14</v>
      </c>
      <c r="Q45" s="869">
        <v>14</v>
      </c>
      <c r="R45" s="870">
        <v>0</v>
      </c>
      <c r="S45" s="871">
        <v>14</v>
      </c>
      <c r="T45" s="871">
        <v>14</v>
      </c>
      <c r="U45" s="872">
        <v>0</v>
      </c>
      <c r="W45" s="872">
        <v>0</v>
      </c>
    </row>
    <row r="46" spans="1:23" ht="36" x14ac:dyDescent="0.2">
      <c r="A46" s="865" t="s">
        <v>1841</v>
      </c>
      <c r="B46" s="866">
        <v>51906201</v>
      </c>
      <c r="C46" s="866" t="s">
        <v>3876</v>
      </c>
      <c r="D46" s="867" t="s">
        <v>1899</v>
      </c>
      <c r="E46" s="868">
        <v>45544.916666666664</v>
      </c>
      <c r="F46" s="868">
        <v>45869.916655092595</v>
      </c>
      <c r="G46" s="867" t="s">
        <v>1741</v>
      </c>
      <c r="H46" s="867" t="s">
        <v>1749</v>
      </c>
      <c r="I46" s="867" t="s">
        <v>1749</v>
      </c>
      <c r="J46" s="867" t="s">
        <v>1900</v>
      </c>
      <c r="K46" s="867" t="s">
        <v>1804</v>
      </c>
      <c r="L46" s="867" t="s">
        <v>1869</v>
      </c>
      <c r="M46" s="867" t="s">
        <v>1854</v>
      </c>
      <c r="N46" s="867" t="s">
        <v>3868</v>
      </c>
      <c r="O46" s="873" t="s">
        <v>3881</v>
      </c>
      <c r="P46" s="874">
        <v>13</v>
      </c>
      <c r="Q46" s="874">
        <v>13</v>
      </c>
      <c r="R46" s="875">
        <v>13</v>
      </c>
      <c r="S46" s="876">
        <v>13</v>
      </c>
      <c r="T46" s="876">
        <v>13</v>
      </c>
      <c r="U46" s="877">
        <v>13</v>
      </c>
      <c r="W46" s="877">
        <v>13</v>
      </c>
    </row>
    <row r="47" spans="1:23" ht="36" x14ac:dyDescent="0.2">
      <c r="A47" s="865" t="s">
        <v>1841</v>
      </c>
      <c r="B47" s="866">
        <v>51906201</v>
      </c>
      <c r="C47" s="866" t="s">
        <v>3876</v>
      </c>
      <c r="D47" s="867" t="s">
        <v>1901</v>
      </c>
      <c r="E47" s="868">
        <v>45536.884976851848</v>
      </c>
      <c r="F47" s="868">
        <v>45838.916655092595</v>
      </c>
      <c r="G47" s="867" t="s">
        <v>1741</v>
      </c>
      <c r="H47" s="867" t="s">
        <v>1749</v>
      </c>
      <c r="I47" s="867" t="s">
        <v>1749</v>
      </c>
      <c r="J47" s="867" t="s">
        <v>1902</v>
      </c>
      <c r="K47" s="867" t="s">
        <v>1804</v>
      </c>
      <c r="L47" s="867" t="s">
        <v>1869</v>
      </c>
      <c r="M47" s="867" t="s">
        <v>1844</v>
      </c>
      <c r="N47" s="867" t="s">
        <v>3877</v>
      </c>
      <c r="O47" s="867" t="s">
        <v>3878</v>
      </c>
      <c r="P47" s="869">
        <v>16</v>
      </c>
      <c r="Q47" s="869">
        <v>15</v>
      </c>
      <c r="R47" s="870">
        <v>0</v>
      </c>
      <c r="S47" s="871">
        <v>16</v>
      </c>
      <c r="T47" s="871">
        <v>15</v>
      </c>
      <c r="U47" s="872">
        <v>0</v>
      </c>
      <c r="W47" s="872">
        <v>0</v>
      </c>
    </row>
    <row r="48" spans="1:23" ht="24" x14ac:dyDescent="0.2">
      <c r="A48" s="865" t="s">
        <v>1841</v>
      </c>
      <c r="B48" s="866">
        <v>51906201</v>
      </c>
      <c r="C48" s="866" t="s">
        <v>3876</v>
      </c>
      <c r="D48" s="1438" t="s">
        <v>1903</v>
      </c>
      <c r="E48" s="1441">
        <v>45536.887824074074</v>
      </c>
      <c r="F48" s="1441">
        <v>45838.916655092595</v>
      </c>
      <c r="G48" s="1438" t="s">
        <v>1758</v>
      </c>
      <c r="H48" s="1438" t="s">
        <v>1759</v>
      </c>
      <c r="I48" s="1438" t="s">
        <v>1761</v>
      </c>
      <c r="J48" s="1438" t="s">
        <v>1904</v>
      </c>
      <c r="K48" s="1438" t="s">
        <v>1804</v>
      </c>
      <c r="L48" s="1438" t="s">
        <v>1828</v>
      </c>
      <c r="M48" s="867" t="s">
        <v>1844</v>
      </c>
      <c r="N48" s="867" t="s">
        <v>3877</v>
      </c>
      <c r="O48" s="873" t="s">
        <v>3878</v>
      </c>
      <c r="P48" s="874">
        <v>30</v>
      </c>
      <c r="Q48" s="874">
        <v>30</v>
      </c>
      <c r="R48" s="875">
        <v>0</v>
      </c>
      <c r="S48" s="876">
        <v>30</v>
      </c>
      <c r="T48" s="876">
        <v>30</v>
      </c>
      <c r="U48" s="877">
        <v>0</v>
      </c>
      <c r="W48" s="877">
        <v>0</v>
      </c>
    </row>
    <row r="49" spans="1:23" ht="24" x14ac:dyDescent="0.2">
      <c r="A49" s="865" t="s">
        <v>1841</v>
      </c>
      <c r="B49" s="866">
        <v>51906201</v>
      </c>
      <c r="C49" s="866" t="s">
        <v>3876</v>
      </c>
      <c r="D49" s="1440"/>
      <c r="E49" s="1443"/>
      <c r="F49" s="1443"/>
      <c r="G49" s="1440"/>
      <c r="H49" s="1440"/>
      <c r="I49" s="1440"/>
      <c r="J49" s="1440"/>
      <c r="K49" s="1440"/>
      <c r="L49" s="1440"/>
      <c r="M49" s="867" t="s">
        <v>1854</v>
      </c>
      <c r="N49" s="867" t="s">
        <v>3868</v>
      </c>
      <c r="O49" s="867" t="s">
        <v>3881</v>
      </c>
      <c r="P49" s="869">
        <v>30</v>
      </c>
      <c r="Q49" s="869">
        <v>30</v>
      </c>
      <c r="R49" s="870">
        <v>0</v>
      </c>
      <c r="S49" s="871">
        <v>30</v>
      </c>
      <c r="T49" s="871">
        <v>30</v>
      </c>
      <c r="U49" s="872">
        <v>0</v>
      </c>
      <c r="W49" s="872">
        <v>0</v>
      </c>
    </row>
    <row r="50" spans="1:23" ht="24" x14ac:dyDescent="0.2">
      <c r="A50" s="865" t="s">
        <v>1841</v>
      </c>
      <c r="B50" s="866">
        <v>51906201</v>
      </c>
      <c r="C50" s="866" t="s">
        <v>3876</v>
      </c>
      <c r="D50" s="867" t="s">
        <v>1905</v>
      </c>
      <c r="E50" s="868">
        <v>45614.292326388888</v>
      </c>
      <c r="F50" s="868">
        <v>45900.916655092595</v>
      </c>
      <c r="G50" s="867" t="s">
        <v>1758</v>
      </c>
      <c r="H50" s="867" t="s">
        <v>1759</v>
      </c>
      <c r="I50" s="867" t="s">
        <v>1761</v>
      </c>
      <c r="J50" s="867" t="s">
        <v>1906</v>
      </c>
      <c r="K50" s="867" t="s">
        <v>1804</v>
      </c>
      <c r="L50" s="867" t="s">
        <v>1828</v>
      </c>
      <c r="M50" s="867" t="s">
        <v>1871</v>
      </c>
      <c r="N50" s="867" t="s">
        <v>3886</v>
      </c>
      <c r="O50" s="873" t="s">
        <v>3887</v>
      </c>
      <c r="P50" s="874">
        <v>16</v>
      </c>
      <c r="Q50" s="874">
        <v>16</v>
      </c>
      <c r="R50" s="875">
        <v>14</v>
      </c>
      <c r="S50" s="876">
        <v>16</v>
      </c>
      <c r="T50" s="876">
        <v>16</v>
      </c>
      <c r="U50" s="877">
        <v>14</v>
      </c>
      <c r="W50" s="877">
        <v>14</v>
      </c>
    </row>
    <row r="51" spans="1:23" ht="36" x14ac:dyDescent="0.2">
      <c r="A51" s="865" t="s">
        <v>1841</v>
      </c>
      <c r="B51" s="866">
        <v>51906201</v>
      </c>
      <c r="C51" s="866" t="s">
        <v>3876</v>
      </c>
      <c r="D51" s="867" t="s">
        <v>1907</v>
      </c>
      <c r="E51" s="868">
        <v>45636.4216087963</v>
      </c>
      <c r="F51" s="868">
        <v>45991.958321759259</v>
      </c>
      <c r="G51" s="867" t="s">
        <v>1758</v>
      </c>
      <c r="H51" s="867" t="s">
        <v>1759</v>
      </c>
      <c r="I51" s="867" t="s">
        <v>1762</v>
      </c>
      <c r="J51" s="867" t="s">
        <v>1908</v>
      </c>
      <c r="K51" s="867" t="s">
        <v>1804</v>
      </c>
      <c r="L51" s="867" t="s">
        <v>1828</v>
      </c>
      <c r="M51" s="867" t="s">
        <v>1847</v>
      </c>
      <c r="N51" s="867" t="s">
        <v>3879</v>
      </c>
      <c r="O51" s="867" t="s">
        <v>3880</v>
      </c>
      <c r="P51" s="869">
        <v>14</v>
      </c>
      <c r="Q51" s="869">
        <v>14</v>
      </c>
      <c r="R51" s="870">
        <v>14</v>
      </c>
      <c r="S51" s="871">
        <v>14</v>
      </c>
      <c r="T51" s="871">
        <v>14</v>
      </c>
      <c r="U51" s="872">
        <v>14</v>
      </c>
      <c r="W51" s="872">
        <v>14</v>
      </c>
    </row>
    <row r="52" spans="1:23" ht="24" x14ac:dyDescent="0.2">
      <c r="A52" s="865" t="s">
        <v>1841</v>
      </c>
      <c r="B52" s="866">
        <v>51906201</v>
      </c>
      <c r="C52" s="866" t="s">
        <v>3876</v>
      </c>
      <c r="D52" s="867" t="s">
        <v>1909</v>
      </c>
      <c r="E52" s="868">
        <v>45618.363888888889</v>
      </c>
      <c r="F52" s="868">
        <v>45838.916655092595</v>
      </c>
      <c r="G52" s="867" t="s">
        <v>1758</v>
      </c>
      <c r="H52" s="867" t="s">
        <v>1759</v>
      </c>
      <c r="I52" s="867" t="s">
        <v>1761</v>
      </c>
      <c r="J52" s="867" t="s">
        <v>1910</v>
      </c>
      <c r="K52" s="867" t="s">
        <v>1804</v>
      </c>
      <c r="L52" s="867" t="s">
        <v>1828</v>
      </c>
      <c r="M52" s="867" t="s">
        <v>1854</v>
      </c>
      <c r="N52" s="867" t="s">
        <v>3868</v>
      </c>
      <c r="O52" s="873" t="s">
        <v>3881</v>
      </c>
      <c r="P52" s="874">
        <v>12</v>
      </c>
      <c r="Q52" s="874">
        <v>12</v>
      </c>
      <c r="R52" s="875">
        <v>0</v>
      </c>
      <c r="S52" s="876">
        <v>12</v>
      </c>
      <c r="T52" s="876">
        <v>12</v>
      </c>
      <c r="U52" s="877">
        <v>0</v>
      </c>
      <c r="W52" s="877">
        <v>0</v>
      </c>
    </row>
    <row r="53" spans="1:23" ht="24" x14ac:dyDescent="0.2">
      <c r="A53" s="865" t="s">
        <v>1841</v>
      </c>
      <c r="B53" s="866">
        <v>51906201</v>
      </c>
      <c r="C53" s="866" t="s">
        <v>3876</v>
      </c>
      <c r="D53" s="867" t="s">
        <v>1911</v>
      </c>
      <c r="E53" s="868">
        <v>45618.362164351849</v>
      </c>
      <c r="F53" s="868">
        <v>45838.916655092595</v>
      </c>
      <c r="G53" s="867" t="s">
        <v>1758</v>
      </c>
      <c r="H53" s="867" t="s">
        <v>1759</v>
      </c>
      <c r="I53" s="867" t="s">
        <v>1761</v>
      </c>
      <c r="J53" s="867" t="s">
        <v>1912</v>
      </c>
      <c r="K53" s="867" t="s">
        <v>1804</v>
      </c>
      <c r="L53" s="867" t="s">
        <v>1828</v>
      </c>
      <c r="M53" s="867" t="s">
        <v>1854</v>
      </c>
      <c r="N53" s="867" t="s">
        <v>3868</v>
      </c>
      <c r="O53" s="867" t="s">
        <v>3881</v>
      </c>
      <c r="P53" s="869">
        <v>13</v>
      </c>
      <c r="Q53" s="869">
        <v>13</v>
      </c>
      <c r="R53" s="870">
        <v>0</v>
      </c>
      <c r="S53" s="871">
        <v>13</v>
      </c>
      <c r="T53" s="871">
        <v>13</v>
      </c>
      <c r="U53" s="872">
        <v>0</v>
      </c>
      <c r="W53" s="872">
        <v>0</v>
      </c>
    </row>
    <row r="54" spans="1:23" ht="36" x14ac:dyDescent="0.2">
      <c r="A54" s="865" t="s">
        <v>1841</v>
      </c>
      <c r="B54" s="866">
        <v>51906201</v>
      </c>
      <c r="C54" s="866" t="s">
        <v>3876</v>
      </c>
      <c r="D54" s="867" t="s">
        <v>1913</v>
      </c>
      <c r="E54" s="868">
        <v>45593.386064814818</v>
      </c>
      <c r="F54" s="868">
        <v>45657.958321759259</v>
      </c>
      <c r="G54" s="867" t="s">
        <v>1777</v>
      </c>
      <c r="H54" s="867" t="s">
        <v>1888</v>
      </c>
      <c r="I54" s="867" t="s">
        <v>1889</v>
      </c>
      <c r="J54" s="867" t="s">
        <v>1914</v>
      </c>
      <c r="K54" s="867" t="s">
        <v>1804</v>
      </c>
      <c r="L54" s="867" t="s">
        <v>1805</v>
      </c>
      <c r="M54" s="867" t="s">
        <v>1864</v>
      </c>
      <c r="N54" s="867" t="s">
        <v>3882</v>
      </c>
      <c r="O54" s="873" t="s">
        <v>3883</v>
      </c>
      <c r="P54" s="874">
        <v>8</v>
      </c>
      <c r="Q54" s="874">
        <v>8</v>
      </c>
      <c r="R54" s="875">
        <v>8</v>
      </c>
      <c r="S54" s="876">
        <v>8</v>
      </c>
      <c r="T54" s="876">
        <v>8</v>
      </c>
      <c r="U54" s="877">
        <v>8</v>
      </c>
      <c r="W54" s="877">
        <v>8</v>
      </c>
    </row>
    <row r="55" spans="1:23" ht="24" x14ac:dyDescent="0.2">
      <c r="A55" s="865" t="s">
        <v>1841</v>
      </c>
      <c r="B55" s="866">
        <v>51906201</v>
      </c>
      <c r="C55" s="866" t="s">
        <v>3876</v>
      </c>
      <c r="D55" s="867" t="s">
        <v>1915</v>
      </c>
      <c r="E55" s="868">
        <v>45618.359201388892</v>
      </c>
      <c r="F55" s="868">
        <v>45838.916655092595</v>
      </c>
      <c r="G55" s="867" t="s">
        <v>1758</v>
      </c>
      <c r="H55" s="867" t="s">
        <v>1759</v>
      </c>
      <c r="I55" s="867" t="s">
        <v>1761</v>
      </c>
      <c r="J55" s="867" t="s">
        <v>1916</v>
      </c>
      <c r="K55" s="867" t="s">
        <v>1804</v>
      </c>
      <c r="L55" s="867" t="s">
        <v>1828</v>
      </c>
      <c r="M55" s="867" t="s">
        <v>1854</v>
      </c>
      <c r="N55" s="867" t="s">
        <v>3868</v>
      </c>
      <c r="O55" s="867" t="s">
        <v>3881</v>
      </c>
      <c r="P55" s="869">
        <v>14</v>
      </c>
      <c r="Q55" s="869">
        <v>14</v>
      </c>
      <c r="R55" s="870">
        <v>0</v>
      </c>
      <c r="S55" s="871">
        <v>14</v>
      </c>
      <c r="T55" s="871">
        <v>14</v>
      </c>
      <c r="U55" s="872">
        <v>0</v>
      </c>
      <c r="W55" s="872">
        <v>0</v>
      </c>
    </row>
    <row r="56" spans="1:23" ht="48" x14ac:dyDescent="0.2">
      <c r="A56" s="865" t="s">
        <v>1841</v>
      </c>
      <c r="B56" s="866">
        <v>51906201</v>
      </c>
      <c r="C56" s="866" t="s">
        <v>3876</v>
      </c>
      <c r="D56" s="867" t="s">
        <v>1917</v>
      </c>
      <c r="E56" s="868">
        <v>45636.425162037034</v>
      </c>
      <c r="F56" s="868">
        <v>45991.958321759259</v>
      </c>
      <c r="G56" s="867" t="s">
        <v>1758</v>
      </c>
      <c r="H56" s="867" t="s">
        <v>1759</v>
      </c>
      <c r="I56" s="867" t="s">
        <v>1760</v>
      </c>
      <c r="J56" s="867" t="s">
        <v>1918</v>
      </c>
      <c r="K56" s="867" t="s">
        <v>1804</v>
      </c>
      <c r="L56" s="867" t="s">
        <v>1805</v>
      </c>
      <c r="M56" s="867" t="s">
        <v>1847</v>
      </c>
      <c r="N56" s="867" t="s">
        <v>3879</v>
      </c>
      <c r="O56" s="873" t="s">
        <v>3880</v>
      </c>
      <c r="P56" s="874">
        <v>14</v>
      </c>
      <c r="Q56" s="874">
        <v>14</v>
      </c>
      <c r="R56" s="875">
        <v>14</v>
      </c>
      <c r="S56" s="876">
        <v>14</v>
      </c>
      <c r="T56" s="876">
        <v>14</v>
      </c>
      <c r="U56" s="877">
        <v>14</v>
      </c>
      <c r="W56" s="877">
        <v>14</v>
      </c>
    </row>
    <row r="57" spans="1:23" ht="36" x14ac:dyDescent="0.2">
      <c r="A57" s="865" t="s">
        <v>1841</v>
      </c>
      <c r="B57" s="866">
        <v>51906201</v>
      </c>
      <c r="C57" s="866" t="s">
        <v>3876</v>
      </c>
      <c r="D57" s="867" t="s">
        <v>1919</v>
      </c>
      <c r="E57" s="868">
        <v>45603.366018518522</v>
      </c>
      <c r="F57" s="868">
        <v>45838.916655092595</v>
      </c>
      <c r="G57" s="867" t="s">
        <v>1758</v>
      </c>
      <c r="H57" s="867" t="s">
        <v>1759</v>
      </c>
      <c r="I57" s="867" t="s">
        <v>1762</v>
      </c>
      <c r="J57" s="867" t="s">
        <v>1920</v>
      </c>
      <c r="K57" s="867" t="s">
        <v>1804</v>
      </c>
      <c r="L57" s="867" t="s">
        <v>1828</v>
      </c>
      <c r="M57" s="867" t="s">
        <v>1854</v>
      </c>
      <c r="N57" s="867" t="s">
        <v>3868</v>
      </c>
      <c r="O57" s="867" t="s">
        <v>3881</v>
      </c>
      <c r="P57" s="869">
        <v>13</v>
      </c>
      <c r="Q57" s="869">
        <v>13</v>
      </c>
      <c r="R57" s="870">
        <v>12</v>
      </c>
      <c r="S57" s="871">
        <v>13</v>
      </c>
      <c r="T57" s="871">
        <v>13</v>
      </c>
      <c r="U57" s="872">
        <v>12</v>
      </c>
      <c r="W57" s="872">
        <v>12</v>
      </c>
    </row>
    <row r="58" spans="1:23" ht="36" x14ac:dyDescent="0.2">
      <c r="A58" s="865" t="s">
        <v>1841</v>
      </c>
      <c r="B58" s="866">
        <v>51906201</v>
      </c>
      <c r="C58" s="866" t="s">
        <v>3876</v>
      </c>
      <c r="D58" s="867" t="s">
        <v>1921</v>
      </c>
      <c r="E58" s="868">
        <v>45646.370266203703</v>
      </c>
      <c r="F58" s="868">
        <v>45991.958321759259</v>
      </c>
      <c r="G58" s="867" t="s">
        <v>1741</v>
      </c>
      <c r="H58" s="867" t="s">
        <v>1755</v>
      </c>
      <c r="I58" s="867" t="s">
        <v>1756</v>
      </c>
      <c r="J58" s="867" t="s">
        <v>1922</v>
      </c>
      <c r="K58" s="867" t="s">
        <v>1804</v>
      </c>
      <c r="L58" s="867" t="s">
        <v>1805</v>
      </c>
      <c r="M58" s="867" t="s">
        <v>1847</v>
      </c>
      <c r="N58" s="867" t="s">
        <v>3879</v>
      </c>
      <c r="O58" s="873" t="s">
        <v>3880</v>
      </c>
      <c r="P58" s="874">
        <v>2</v>
      </c>
      <c r="Q58" s="874">
        <v>2</v>
      </c>
      <c r="R58" s="875">
        <v>2</v>
      </c>
      <c r="S58" s="876">
        <v>2</v>
      </c>
      <c r="T58" s="876">
        <v>2</v>
      </c>
      <c r="U58" s="877">
        <v>2</v>
      </c>
      <c r="W58" s="877">
        <v>2</v>
      </c>
    </row>
    <row r="59" spans="1:23" ht="36" x14ac:dyDescent="0.2">
      <c r="A59" s="865" t="s">
        <v>1841</v>
      </c>
      <c r="B59" s="866">
        <v>51906201</v>
      </c>
      <c r="C59" s="866" t="s">
        <v>3876</v>
      </c>
      <c r="D59" s="867" t="s">
        <v>1923</v>
      </c>
      <c r="E59" s="868">
        <v>45544.916666666664</v>
      </c>
      <c r="F59" s="868">
        <v>45869.916655092595</v>
      </c>
      <c r="G59" s="867" t="s">
        <v>1741</v>
      </c>
      <c r="H59" s="867" t="s">
        <v>1749</v>
      </c>
      <c r="I59" s="867" t="s">
        <v>1749</v>
      </c>
      <c r="J59" s="867" t="s">
        <v>1924</v>
      </c>
      <c r="K59" s="867" t="s">
        <v>1804</v>
      </c>
      <c r="L59" s="867" t="s">
        <v>1869</v>
      </c>
      <c r="M59" s="867" t="s">
        <v>1854</v>
      </c>
      <c r="N59" s="867" t="s">
        <v>3868</v>
      </c>
      <c r="O59" s="867" t="s">
        <v>3881</v>
      </c>
      <c r="P59" s="869">
        <v>12</v>
      </c>
      <c r="Q59" s="869">
        <v>12</v>
      </c>
      <c r="R59" s="870">
        <v>12</v>
      </c>
      <c r="S59" s="871">
        <v>12</v>
      </c>
      <c r="T59" s="871">
        <v>12</v>
      </c>
      <c r="U59" s="872">
        <v>12</v>
      </c>
      <c r="W59" s="872">
        <v>12</v>
      </c>
    </row>
    <row r="60" spans="1:23" ht="24" x14ac:dyDescent="0.2">
      <c r="A60" s="865" t="s">
        <v>1841</v>
      </c>
      <c r="B60" s="866">
        <v>51906201</v>
      </c>
      <c r="C60" s="866" t="s">
        <v>3876</v>
      </c>
      <c r="D60" s="867" t="s">
        <v>1925</v>
      </c>
      <c r="E60" s="868">
        <v>45544.916666666664</v>
      </c>
      <c r="F60" s="868">
        <v>45869.916655092595</v>
      </c>
      <c r="G60" s="867" t="s">
        <v>1758</v>
      </c>
      <c r="H60" s="867" t="s">
        <v>1759</v>
      </c>
      <c r="I60" s="867" t="s">
        <v>1761</v>
      </c>
      <c r="J60" s="867" t="s">
        <v>1926</v>
      </c>
      <c r="K60" s="867" t="s">
        <v>1804</v>
      </c>
      <c r="L60" s="867" t="s">
        <v>1828</v>
      </c>
      <c r="M60" s="867" t="s">
        <v>1854</v>
      </c>
      <c r="N60" s="867" t="s">
        <v>3868</v>
      </c>
      <c r="O60" s="873" t="s">
        <v>3881</v>
      </c>
      <c r="P60" s="874">
        <v>13</v>
      </c>
      <c r="Q60" s="874">
        <v>13</v>
      </c>
      <c r="R60" s="875">
        <v>10</v>
      </c>
      <c r="S60" s="876">
        <v>13</v>
      </c>
      <c r="T60" s="876">
        <v>13</v>
      </c>
      <c r="U60" s="877">
        <v>10</v>
      </c>
      <c r="W60" s="877">
        <v>10</v>
      </c>
    </row>
    <row r="61" spans="1:23" ht="36" x14ac:dyDescent="0.2">
      <c r="A61" s="865" t="s">
        <v>1927</v>
      </c>
      <c r="B61" s="866" t="s">
        <v>3890</v>
      </c>
      <c r="C61" s="866" t="s">
        <v>3890</v>
      </c>
      <c r="D61" s="867" t="s">
        <v>1928</v>
      </c>
      <c r="E61" s="868">
        <v>45621.506192129629</v>
      </c>
      <c r="F61" s="868">
        <v>45716.916655092595</v>
      </c>
      <c r="G61" s="867" t="s">
        <v>1741</v>
      </c>
      <c r="H61" s="867" t="s">
        <v>1752</v>
      </c>
      <c r="I61" s="867" t="s">
        <v>1754</v>
      </c>
      <c r="J61" s="867" t="s">
        <v>1929</v>
      </c>
      <c r="K61" s="867" t="s">
        <v>1804</v>
      </c>
      <c r="L61" s="867" t="s">
        <v>1930</v>
      </c>
      <c r="M61" s="867" t="s">
        <v>1931</v>
      </c>
      <c r="N61" s="867" t="s">
        <v>3891</v>
      </c>
      <c r="O61" s="867" t="s">
        <v>3892</v>
      </c>
      <c r="P61" s="869">
        <v>1</v>
      </c>
      <c r="Q61" s="869">
        <v>0</v>
      </c>
      <c r="R61" s="870">
        <v>0</v>
      </c>
      <c r="S61" s="871"/>
      <c r="T61" s="871"/>
      <c r="U61" s="872"/>
      <c r="W61" s="872"/>
    </row>
    <row r="62" spans="1:23" ht="48" x14ac:dyDescent="0.2">
      <c r="A62" s="865" t="s">
        <v>1927</v>
      </c>
      <c r="B62" s="866" t="s">
        <v>3890</v>
      </c>
      <c r="C62" s="866" t="s">
        <v>3890</v>
      </c>
      <c r="D62" s="867" t="s">
        <v>1932</v>
      </c>
      <c r="E62" s="868">
        <v>45545.366597222222</v>
      </c>
      <c r="F62" s="868">
        <v>45657.916655092595</v>
      </c>
      <c r="G62" s="867" t="s">
        <v>1758</v>
      </c>
      <c r="H62" s="867" t="s">
        <v>1759</v>
      </c>
      <c r="I62" s="867" t="s">
        <v>1760</v>
      </c>
      <c r="J62" s="867" t="s">
        <v>1933</v>
      </c>
      <c r="K62" s="867" t="s">
        <v>1804</v>
      </c>
      <c r="L62" s="867" t="s">
        <v>1805</v>
      </c>
      <c r="M62" s="867" t="s">
        <v>1931</v>
      </c>
      <c r="N62" s="867" t="s">
        <v>3891</v>
      </c>
      <c r="O62" s="873" t="s">
        <v>3892</v>
      </c>
      <c r="P62" s="874">
        <v>1</v>
      </c>
      <c r="Q62" s="874">
        <v>1</v>
      </c>
      <c r="R62" s="875">
        <v>0</v>
      </c>
      <c r="S62" s="876"/>
      <c r="T62" s="876"/>
      <c r="U62" s="877"/>
      <c r="W62" s="877"/>
    </row>
    <row r="63" spans="1:23" x14ac:dyDescent="0.2">
      <c r="A63" s="865" t="s">
        <v>1927</v>
      </c>
      <c r="B63" s="866" t="s">
        <v>3890</v>
      </c>
      <c r="C63" s="866" t="s">
        <v>3890</v>
      </c>
      <c r="D63" s="1438" t="s">
        <v>1934</v>
      </c>
      <c r="E63" s="1441">
        <v>45568.467627314814</v>
      </c>
      <c r="F63" s="1441">
        <v>45753.874988425923</v>
      </c>
      <c r="G63" s="1438" t="s">
        <v>1741</v>
      </c>
      <c r="H63" s="1438" t="s">
        <v>1752</v>
      </c>
      <c r="I63" s="1438" t="s">
        <v>1754</v>
      </c>
      <c r="J63" s="1438" t="s">
        <v>1935</v>
      </c>
      <c r="K63" s="1438" t="s">
        <v>1804</v>
      </c>
      <c r="L63" s="1438" t="s">
        <v>1930</v>
      </c>
      <c r="M63" s="867" t="s">
        <v>1936</v>
      </c>
      <c r="N63" s="867" t="s">
        <v>3891</v>
      </c>
      <c r="O63" s="867" t="s">
        <v>3892</v>
      </c>
      <c r="P63" s="869">
        <v>13</v>
      </c>
      <c r="Q63" s="869">
        <v>13</v>
      </c>
      <c r="R63" s="870">
        <v>12</v>
      </c>
      <c r="S63" s="871"/>
      <c r="T63" s="871"/>
      <c r="U63" s="872"/>
      <c r="W63" s="872"/>
    </row>
    <row r="64" spans="1:23" x14ac:dyDescent="0.2">
      <c r="A64" s="865" t="s">
        <v>1927</v>
      </c>
      <c r="B64" s="866" t="s">
        <v>3890</v>
      </c>
      <c r="C64" s="866" t="s">
        <v>3890</v>
      </c>
      <c r="D64" s="1440"/>
      <c r="E64" s="1443"/>
      <c r="F64" s="1443"/>
      <c r="G64" s="1440"/>
      <c r="H64" s="1440"/>
      <c r="I64" s="1440"/>
      <c r="J64" s="1440"/>
      <c r="K64" s="1440"/>
      <c r="L64" s="1440"/>
      <c r="M64" s="867" t="s">
        <v>1937</v>
      </c>
      <c r="N64" s="867" t="s">
        <v>3893</v>
      </c>
      <c r="O64" s="873" t="s">
        <v>3894</v>
      </c>
      <c r="P64" s="874">
        <v>13</v>
      </c>
      <c r="Q64" s="874">
        <v>13</v>
      </c>
      <c r="R64" s="875">
        <v>12</v>
      </c>
      <c r="S64" s="876"/>
      <c r="T64" s="876"/>
      <c r="U64" s="877"/>
      <c r="W64" s="877"/>
    </row>
    <row r="65" spans="1:23" ht="36" x14ac:dyDescent="0.2">
      <c r="A65" s="865" t="s">
        <v>1927</v>
      </c>
      <c r="B65" s="866" t="s">
        <v>3890</v>
      </c>
      <c r="C65" s="866" t="s">
        <v>3890</v>
      </c>
      <c r="D65" s="867" t="s">
        <v>1938</v>
      </c>
      <c r="E65" s="868">
        <v>45609.735671296294</v>
      </c>
      <c r="F65" s="868">
        <v>45716.916655092595</v>
      </c>
      <c r="G65" s="867" t="s">
        <v>1741</v>
      </c>
      <c r="H65" s="867" t="s">
        <v>1745</v>
      </c>
      <c r="I65" s="867" t="s">
        <v>1748</v>
      </c>
      <c r="J65" s="867" t="s">
        <v>1939</v>
      </c>
      <c r="K65" s="867" t="s">
        <v>1804</v>
      </c>
      <c r="L65" s="867" t="s">
        <v>1805</v>
      </c>
      <c r="M65" s="867" t="s">
        <v>1931</v>
      </c>
      <c r="N65" s="867" t="s">
        <v>3891</v>
      </c>
      <c r="O65" s="867" t="s">
        <v>3892</v>
      </c>
      <c r="P65" s="869">
        <v>1</v>
      </c>
      <c r="Q65" s="869">
        <v>0</v>
      </c>
      <c r="R65" s="870">
        <v>0</v>
      </c>
      <c r="S65" s="871"/>
      <c r="T65" s="871"/>
      <c r="U65" s="872"/>
      <c r="W65" s="872"/>
    </row>
    <row r="66" spans="1:23" x14ac:dyDescent="0.2">
      <c r="A66" s="865" t="s">
        <v>1927</v>
      </c>
      <c r="B66" s="866" t="s">
        <v>3890</v>
      </c>
      <c r="C66" s="866" t="s">
        <v>3890</v>
      </c>
      <c r="D66" s="1438" t="s">
        <v>1940</v>
      </c>
      <c r="E66" s="1441">
        <v>45538.643159722225</v>
      </c>
      <c r="F66" s="1441">
        <v>45746.874988425923</v>
      </c>
      <c r="G66" s="1438" t="s">
        <v>1758</v>
      </c>
      <c r="H66" s="1438" t="s">
        <v>1759</v>
      </c>
      <c r="I66" s="1438" t="s">
        <v>1762</v>
      </c>
      <c r="J66" s="1438" t="s">
        <v>1941</v>
      </c>
      <c r="K66" s="1438" t="s">
        <v>1804</v>
      </c>
      <c r="L66" s="1438" t="s">
        <v>1828</v>
      </c>
      <c r="M66" s="867" t="s">
        <v>1937</v>
      </c>
      <c r="N66" s="867" t="s">
        <v>3893</v>
      </c>
      <c r="O66" s="873" t="s">
        <v>3894</v>
      </c>
      <c r="P66" s="874">
        <v>23</v>
      </c>
      <c r="Q66" s="874">
        <v>21</v>
      </c>
      <c r="R66" s="875">
        <v>15</v>
      </c>
      <c r="S66" s="876"/>
      <c r="T66" s="876"/>
      <c r="U66" s="877"/>
      <c r="W66" s="877"/>
    </row>
    <row r="67" spans="1:23" x14ac:dyDescent="0.2">
      <c r="A67" s="865" t="s">
        <v>1927</v>
      </c>
      <c r="B67" s="866" t="s">
        <v>3890</v>
      </c>
      <c r="C67" s="866" t="s">
        <v>3890</v>
      </c>
      <c r="D67" s="1440"/>
      <c r="E67" s="1443"/>
      <c r="F67" s="1443"/>
      <c r="G67" s="1440"/>
      <c r="H67" s="1440"/>
      <c r="I67" s="1440"/>
      <c r="J67" s="1440"/>
      <c r="K67" s="1440"/>
      <c r="L67" s="1440"/>
      <c r="M67" s="867" t="s">
        <v>1931</v>
      </c>
      <c r="N67" s="867" t="s">
        <v>3891</v>
      </c>
      <c r="O67" s="867" t="s">
        <v>3892</v>
      </c>
      <c r="P67" s="869">
        <v>23</v>
      </c>
      <c r="Q67" s="869">
        <v>21</v>
      </c>
      <c r="R67" s="870">
        <v>15</v>
      </c>
      <c r="S67" s="871"/>
      <c r="T67" s="871"/>
      <c r="U67" s="872"/>
      <c r="W67" s="872"/>
    </row>
    <row r="68" spans="1:23" x14ac:dyDescent="0.2">
      <c r="A68" s="865" t="s">
        <v>1927</v>
      </c>
      <c r="B68" s="866" t="s">
        <v>3890</v>
      </c>
      <c r="C68" s="866" t="s">
        <v>3890</v>
      </c>
      <c r="D68" s="1438" t="s">
        <v>1942</v>
      </c>
      <c r="E68" s="1441">
        <v>45617.913657407407</v>
      </c>
      <c r="F68" s="1441">
        <v>45982.916655092595</v>
      </c>
      <c r="G68" s="1438" t="s">
        <v>1758</v>
      </c>
      <c r="H68" s="1438" t="s">
        <v>1759</v>
      </c>
      <c r="I68" s="1438" t="s">
        <v>1760</v>
      </c>
      <c r="J68" s="1438" t="s">
        <v>1943</v>
      </c>
      <c r="K68" s="1438" t="s">
        <v>1804</v>
      </c>
      <c r="L68" s="1438" t="s">
        <v>1805</v>
      </c>
      <c r="M68" s="867" t="s">
        <v>1937</v>
      </c>
      <c r="N68" s="867" t="s">
        <v>3893</v>
      </c>
      <c r="O68" s="873" t="s">
        <v>3894</v>
      </c>
      <c r="P68" s="874">
        <v>16</v>
      </c>
      <c r="Q68" s="874">
        <v>15</v>
      </c>
      <c r="R68" s="875">
        <v>12</v>
      </c>
      <c r="S68" s="876"/>
      <c r="T68" s="876"/>
      <c r="U68" s="877"/>
      <c r="W68" s="877"/>
    </row>
    <row r="69" spans="1:23" x14ac:dyDescent="0.2">
      <c r="A69" s="865" t="s">
        <v>1927</v>
      </c>
      <c r="B69" s="866" t="s">
        <v>3890</v>
      </c>
      <c r="C69" s="866" t="s">
        <v>3890</v>
      </c>
      <c r="D69" s="1440"/>
      <c r="E69" s="1443"/>
      <c r="F69" s="1443"/>
      <c r="G69" s="1440"/>
      <c r="H69" s="1440"/>
      <c r="I69" s="1440"/>
      <c r="J69" s="1440"/>
      <c r="K69" s="1440"/>
      <c r="L69" s="1440"/>
      <c r="M69" s="867" t="s">
        <v>1931</v>
      </c>
      <c r="N69" s="867" t="s">
        <v>3891</v>
      </c>
      <c r="O69" s="867" t="s">
        <v>3892</v>
      </c>
      <c r="P69" s="869">
        <v>16</v>
      </c>
      <c r="Q69" s="869">
        <v>15</v>
      </c>
      <c r="R69" s="870">
        <v>12</v>
      </c>
      <c r="S69" s="871"/>
      <c r="T69" s="871"/>
      <c r="U69" s="872"/>
      <c r="W69" s="872"/>
    </row>
    <row r="70" spans="1:23" x14ac:dyDescent="0.2">
      <c r="A70" s="865" t="s">
        <v>1927</v>
      </c>
      <c r="B70" s="866" t="s">
        <v>3890</v>
      </c>
      <c r="C70" s="866" t="s">
        <v>3890</v>
      </c>
      <c r="D70" s="1438" t="s">
        <v>1944</v>
      </c>
      <c r="E70" s="1441">
        <v>45334.916666666664</v>
      </c>
      <c r="F70" s="1441">
        <v>45511.875</v>
      </c>
      <c r="G70" s="1438" t="s">
        <v>1758</v>
      </c>
      <c r="H70" s="1438" t="s">
        <v>1759</v>
      </c>
      <c r="I70" s="1438" t="s">
        <v>1823</v>
      </c>
      <c r="J70" s="1438" t="s">
        <v>1945</v>
      </c>
      <c r="K70" s="1438" t="s">
        <v>1804</v>
      </c>
      <c r="L70" s="1438" t="s">
        <v>1819</v>
      </c>
      <c r="M70" s="867" t="s">
        <v>1937</v>
      </c>
      <c r="N70" s="867" t="s">
        <v>3893</v>
      </c>
      <c r="O70" s="873" t="s">
        <v>3894</v>
      </c>
      <c r="P70" s="874">
        <v>23</v>
      </c>
      <c r="Q70" s="874">
        <v>23</v>
      </c>
      <c r="R70" s="875">
        <v>13</v>
      </c>
      <c r="S70" s="876"/>
      <c r="T70" s="876"/>
      <c r="U70" s="877"/>
      <c r="W70" s="877"/>
    </row>
    <row r="71" spans="1:23" x14ac:dyDescent="0.2">
      <c r="A71" s="865" t="s">
        <v>1927</v>
      </c>
      <c r="B71" s="866" t="s">
        <v>3890</v>
      </c>
      <c r="C71" s="866" t="s">
        <v>3890</v>
      </c>
      <c r="D71" s="1440"/>
      <c r="E71" s="1443"/>
      <c r="F71" s="1443"/>
      <c r="G71" s="1440"/>
      <c r="H71" s="1440"/>
      <c r="I71" s="1440"/>
      <c r="J71" s="1440"/>
      <c r="K71" s="1440"/>
      <c r="L71" s="1440"/>
      <c r="M71" s="867" t="s">
        <v>1931</v>
      </c>
      <c r="N71" s="867" t="s">
        <v>3891</v>
      </c>
      <c r="O71" s="867" t="s">
        <v>3892</v>
      </c>
      <c r="P71" s="869">
        <v>23</v>
      </c>
      <c r="Q71" s="869">
        <v>23</v>
      </c>
      <c r="R71" s="870">
        <v>13</v>
      </c>
      <c r="S71" s="871"/>
      <c r="T71" s="871"/>
      <c r="U71" s="872"/>
      <c r="W71" s="872"/>
    </row>
    <row r="72" spans="1:23" x14ac:dyDescent="0.2">
      <c r="A72" s="865" t="s">
        <v>1927</v>
      </c>
      <c r="B72" s="866" t="s">
        <v>3890</v>
      </c>
      <c r="C72" s="866" t="s">
        <v>3890</v>
      </c>
      <c r="D72" s="1438" t="s">
        <v>1946</v>
      </c>
      <c r="E72" s="1441">
        <v>45342.916666666664</v>
      </c>
      <c r="F72" s="1441">
        <v>45519.875</v>
      </c>
      <c r="G72" s="1438" t="s">
        <v>1758</v>
      </c>
      <c r="H72" s="1438" t="s">
        <v>1759</v>
      </c>
      <c r="I72" s="1438" t="s">
        <v>1817</v>
      </c>
      <c r="J72" s="1438" t="s">
        <v>1947</v>
      </c>
      <c r="K72" s="1438" t="s">
        <v>1804</v>
      </c>
      <c r="L72" s="1438" t="s">
        <v>1819</v>
      </c>
      <c r="M72" s="867" t="s">
        <v>1937</v>
      </c>
      <c r="N72" s="867" t="s">
        <v>3893</v>
      </c>
      <c r="O72" s="873" t="s">
        <v>3894</v>
      </c>
      <c r="P72" s="874">
        <v>22</v>
      </c>
      <c r="Q72" s="874">
        <v>20</v>
      </c>
      <c r="R72" s="875">
        <v>13</v>
      </c>
      <c r="S72" s="876"/>
      <c r="T72" s="876"/>
      <c r="U72" s="877"/>
      <c r="W72" s="877"/>
    </row>
    <row r="73" spans="1:23" x14ac:dyDescent="0.2">
      <c r="A73" s="865" t="s">
        <v>1927</v>
      </c>
      <c r="B73" s="866" t="s">
        <v>3890</v>
      </c>
      <c r="C73" s="866" t="s">
        <v>3890</v>
      </c>
      <c r="D73" s="1440"/>
      <c r="E73" s="1443"/>
      <c r="F73" s="1443"/>
      <c r="G73" s="1440"/>
      <c r="H73" s="1440"/>
      <c r="I73" s="1440"/>
      <c r="J73" s="1440"/>
      <c r="K73" s="1440"/>
      <c r="L73" s="1440"/>
      <c r="M73" s="867" t="s">
        <v>1931</v>
      </c>
      <c r="N73" s="867" t="s">
        <v>3891</v>
      </c>
      <c r="O73" s="867" t="s">
        <v>3892</v>
      </c>
      <c r="P73" s="869">
        <v>22</v>
      </c>
      <c r="Q73" s="869">
        <v>20</v>
      </c>
      <c r="R73" s="870">
        <v>13</v>
      </c>
      <c r="S73" s="871"/>
      <c r="T73" s="871"/>
      <c r="U73" s="872"/>
      <c r="W73" s="872"/>
    </row>
    <row r="74" spans="1:23" ht="48" x14ac:dyDescent="0.2">
      <c r="A74" s="865" t="s">
        <v>1927</v>
      </c>
      <c r="B74" s="866" t="s">
        <v>3890</v>
      </c>
      <c r="C74" s="866" t="s">
        <v>3890</v>
      </c>
      <c r="D74" s="867" t="s">
        <v>1948</v>
      </c>
      <c r="E74" s="868">
        <v>45363.916666666664</v>
      </c>
      <c r="F74" s="868">
        <v>45538.875</v>
      </c>
      <c r="G74" s="867" t="s">
        <v>1758</v>
      </c>
      <c r="H74" s="867" t="s">
        <v>1759</v>
      </c>
      <c r="I74" s="867" t="s">
        <v>1858</v>
      </c>
      <c r="J74" s="867" t="s">
        <v>1949</v>
      </c>
      <c r="K74" s="867" t="s">
        <v>1804</v>
      </c>
      <c r="L74" s="867" t="s">
        <v>1819</v>
      </c>
      <c r="M74" s="867" t="s">
        <v>1931</v>
      </c>
      <c r="N74" s="867" t="s">
        <v>3891</v>
      </c>
      <c r="O74" s="873" t="s">
        <v>3892</v>
      </c>
      <c r="P74" s="874">
        <v>11</v>
      </c>
      <c r="Q74" s="874">
        <v>9</v>
      </c>
      <c r="R74" s="875">
        <v>4</v>
      </c>
      <c r="S74" s="876"/>
      <c r="T74" s="876"/>
      <c r="U74" s="877"/>
      <c r="W74" s="877"/>
    </row>
    <row r="75" spans="1:23" x14ac:dyDescent="0.2">
      <c r="A75" s="865" t="s">
        <v>1927</v>
      </c>
      <c r="B75" s="866" t="s">
        <v>3890</v>
      </c>
      <c r="C75" s="866" t="s">
        <v>3890</v>
      </c>
      <c r="D75" s="1438" t="s">
        <v>1950</v>
      </c>
      <c r="E75" s="1441">
        <v>45375.916666666664</v>
      </c>
      <c r="F75" s="1441">
        <v>45712</v>
      </c>
      <c r="G75" s="1438" t="s">
        <v>1777</v>
      </c>
      <c r="H75" s="1438" t="s">
        <v>1752</v>
      </c>
      <c r="I75" s="1438" t="s">
        <v>1951</v>
      </c>
      <c r="J75" s="1438" t="s">
        <v>1952</v>
      </c>
      <c r="K75" s="1438" t="s">
        <v>1804</v>
      </c>
      <c r="L75" s="1438" t="s">
        <v>1953</v>
      </c>
      <c r="M75" s="867" t="s">
        <v>1937</v>
      </c>
      <c r="N75" s="867" t="s">
        <v>3893</v>
      </c>
      <c r="O75" s="867" t="s">
        <v>3894</v>
      </c>
      <c r="P75" s="869">
        <v>1</v>
      </c>
      <c r="Q75" s="869">
        <v>0</v>
      </c>
      <c r="R75" s="870">
        <v>0</v>
      </c>
      <c r="S75" s="871"/>
      <c r="T75" s="871"/>
      <c r="U75" s="872"/>
      <c r="W75" s="872"/>
    </row>
    <row r="76" spans="1:23" x14ac:dyDescent="0.2">
      <c r="A76" s="865" t="s">
        <v>1927</v>
      </c>
      <c r="B76" s="866" t="s">
        <v>3890</v>
      </c>
      <c r="C76" s="866" t="s">
        <v>3890</v>
      </c>
      <c r="D76" s="1440"/>
      <c r="E76" s="1443"/>
      <c r="F76" s="1443"/>
      <c r="G76" s="1440"/>
      <c r="H76" s="1440"/>
      <c r="I76" s="1440"/>
      <c r="J76" s="1440"/>
      <c r="K76" s="1440"/>
      <c r="L76" s="1440"/>
      <c r="M76" s="867" t="s">
        <v>1931</v>
      </c>
      <c r="N76" s="867" t="s">
        <v>3891</v>
      </c>
      <c r="O76" s="873" t="s">
        <v>3892</v>
      </c>
      <c r="P76" s="874">
        <v>1</v>
      </c>
      <c r="Q76" s="874">
        <v>0</v>
      </c>
      <c r="R76" s="875">
        <v>0</v>
      </c>
      <c r="S76" s="876"/>
      <c r="T76" s="876"/>
      <c r="U76" s="877"/>
      <c r="W76" s="877"/>
    </row>
    <row r="77" spans="1:23" x14ac:dyDescent="0.2">
      <c r="A77" s="865" t="s">
        <v>1927</v>
      </c>
      <c r="B77" s="866" t="s">
        <v>3890</v>
      </c>
      <c r="C77" s="866" t="s">
        <v>3890</v>
      </c>
      <c r="D77" s="1438" t="s">
        <v>1954</v>
      </c>
      <c r="E77" s="1441">
        <v>45435.875</v>
      </c>
      <c r="F77" s="1441">
        <v>45527.875</v>
      </c>
      <c r="G77" s="1438" t="s">
        <v>1741</v>
      </c>
      <c r="H77" s="1438" t="s">
        <v>1745</v>
      </c>
      <c r="I77" s="1438" t="s">
        <v>1955</v>
      </c>
      <c r="J77" s="1438" t="s">
        <v>1956</v>
      </c>
      <c r="K77" s="1438" t="s">
        <v>1804</v>
      </c>
      <c r="L77" s="1438" t="s">
        <v>1957</v>
      </c>
      <c r="M77" s="867" t="s">
        <v>1958</v>
      </c>
      <c r="N77" s="867" t="s">
        <v>3895</v>
      </c>
      <c r="O77" s="867" t="s">
        <v>3896</v>
      </c>
      <c r="P77" s="869">
        <v>1</v>
      </c>
      <c r="Q77" s="869">
        <v>1</v>
      </c>
      <c r="R77" s="870">
        <v>0</v>
      </c>
      <c r="S77" s="871"/>
      <c r="T77" s="871"/>
      <c r="U77" s="872"/>
      <c r="W77" s="872"/>
    </row>
    <row r="78" spans="1:23" x14ac:dyDescent="0.2">
      <c r="A78" s="865" t="s">
        <v>1927</v>
      </c>
      <c r="B78" s="866" t="s">
        <v>3890</v>
      </c>
      <c r="C78" s="866" t="s">
        <v>3890</v>
      </c>
      <c r="D78" s="1440"/>
      <c r="E78" s="1443"/>
      <c r="F78" s="1443"/>
      <c r="G78" s="1440"/>
      <c r="H78" s="1440"/>
      <c r="I78" s="1440"/>
      <c r="J78" s="1440"/>
      <c r="K78" s="1440"/>
      <c r="L78" s="1440"/>
      <c r="M78" s="867" t="s">
        <v>1931</v>
      </c>
      <c r="N78" s="867" t="s">
        <v>3891</v>
      </c>
      <c r="O78" s="873" t="s">
        <v>3892</v>
      </c>
      <c r="P78" s="874">
        <v>1</v>
      </c>
      <c r="Q78" s="874">
        <v>1</v>
      </c>
      <c r="R78" s="875">
        <v>0</v>
      </c>
      <c r="S78" s="876"/>
      <c r="T78" s="876"/>
      <c r="U78" s="877"/>
      <c r="W78" s="877"/>
    </row>
    <row r="79" spans="1:23" ht="36" x14ac:dyDescent="0.2">
      <c r="A79" s="865" t="s">
        <v>1927</v>
      </c>
      <c r="B79" s="866" t="s">
        <v>3890</v>
      </c>
      <c r="C79" s="866" t="s">
        <v>3890</v>
      </c>
      <c r="D79" s="867" t="s">
        <v>1959</v>
      </c>
      <c r="E79" s="868">
        <v>45384.875</v>
      </c>
      <c r="F79" s="868">
        <v>45579.875</v>
      </c>
      <c r="G79" s="867" t="s">
        <v>1758</v>
      </c>
      <c r="H79" s="867" t="s">
        <v>1759</v>
      </c>
      <c r="I79" s="867" t="s">
        <v>1823</v>
      </c>
      <c r="J79" s="867" t="s">
        <v>1960</v>
      </c>
      <c r="K79" s="867" t="s">
        <v>1804</v>
      </c>
      <c r="L79" s="867" t="s">
        <v>1819</v>
      </c>
      <c r="M79" s="867" t="s">
        <v>1931</v>
      </c>
      <c r="N79" s="867" t="s">
        <v>3891</v>
      </c>
      <c r="O79" s="867" t="s">
        <v>3892</v>
      </c>
      <c r="P79" s="869">
        <v>8</v>
      </c>
      <c r="Q79" s="869">
        <v>8</v>
      </c>
      <c r="R79" s="870">
        <v>2</v>
      </c>
      <c r="S79" s="871"/>
      <c r="T79" s="871"/>
      <c r="U79" s="872"/>
      <c r="W79" s="872"/>
    </row>
    <row r="80" spans="1:23" x14ac:dyDescent="0.2">
      <c r="A80" s="865" t="s">
        <v>1927</v>
      </c>
      <c r="B80" s="866" t="s">
        <v>3890</v>
      </c>
      <c r="C80" s="866" t="s">
        <v>3890</v>
      </c>
      <c r="D80" s="1438" t="s">
        <v>1961</v>
      </c>
      <c r="E80" s="1441">
        <v>45447.875</v>
      </c>
      <c r="F80" s="1441">
        <v>45539.875</v>
      </c>
      <c r="G80" s="1438" t="s">
        <v>1741</v>
      </c>
      <c r="H80" s="1438" t="s">
        <v>1745</v>
      </c>
      <c r="I80" s="1438" t="s">
        <v>1955</v>
      </c>
      <c r="J80" s="1438" t="s">
        <v>1962</v>
      </c>
      <c r="K80" s="1438" t="s">
        <v>1804</v>
      </c>
      <c r="L80" s="1438" t="s">
        <v>1957</v>
      </c>
      <c r="M80" s="867" t="s">
        <v>1958</v>
      </c>
      <c r="N80" s="867" t="s">
        <v>3895</v>
      </c>
      <c r="O80" s="873" t="s">
        <v>3896</v>
      </c>
      <c r="P80" s="874">
        <v>2</v>
      </c>
      <c r="Q80" s="874">
        <v>0</v>
      </c>
      <c r="R80" s="875">
        <v>0</v>
      </c>
      <c r="S80" s="876"/>
      <c r="T80" s="876"/>
      <c r="U80" s="877"/>
      <c r="W80" s="877"/>
    </row>
    <row r="81" spans="1:23" x14ac:dyDescent="0.2">
      <c r="A81" s="865" t="s">
        <v>1927</v>
      </c>
      <c r="B81" s="866" t="s">
        <v>3890</v>
      </c>
      <c r="C81" s="866" t="s">
        <v>3890</v>
      </c>
      <c r="D81" s="1440"/>
      <c r="E81" s="1443"/>
      <c r="F81" s="1443"/>
      <c r="G81" s="1440"/>
      <c r="H81" s="1440"/>
      <c r="I81" s="1440"/>
      <c r="J81" s="1440"/>
      <c r="K81" s="1440"/>
      <c r="L81" s="1440"/>
      <c r="M81" s="867" t="s">
        <v>1931</v>
      </c>
      <c r="N81" s="867" t="s">
        <v>3891</v>
      </c>
      <c r="O81" s="867" t="s">
        <v>3892</v>
      </c>
      <c r="P81" s="869">
        <v>2</v>
      </c>
      <c r="Q81" s="869">
        <v>0</v>
      </c>
      <c r="R81" s="870">
        <v>0</v>
      </c>
      <c r="S81" s="871"/>
      <c r="T81" s="871"/>
      <c r="U81" s="872"/>
      <c r="W81" s="872"/>
    </row>
    <row r="82" spans="1:23" x14ac:dyDescent="0.2">
      <c r="A82" s="865" t="s">
        <v>1927</v>
      </c>
      <c r="B82" s="866" t="s">
        <v>3890</v>
      </c>
      <c r="C82" s="866" t="s">
        <v>3890</v>
      </c>
      <c r="D82" s="1438" t="s">
        <v>1963</v>
      </c>
      <c r="E82" s="1441">
        <v>45421.875</v>
      </c>
      <c r="F82" s="1441">
        <v>45513.875</v>
      </c>
      <c r="G82" s="1438" t="s">
        <v>1741</v>
      </c>
      <c r="H82" s="1438" t="s">
        <v>1752</v>
      </c>
      <c r="I82" s="1438" t="s">
        <v>1964</v>
      </c>
      <c r="J82" s="1438" t="s">
        <v>1965</v>
      </c>
      <c r="K82" s="1438" t="s">
        <v>1804</v>
      </c>
      <c r="L82" s="1438" t="s">
        <v>1966</v>
      </c>
      <c r="M82" s="867" t="s">
        <v>1958</v>
      </c>
      <c r="N82" s="867" t="s">
        <v>3895</v>
      </c>
      <c r="O82" s="873" t="s">
        <v>3896</v>
      </c>
      <c r="P82" s="874">
        <v>2</v>
      </c>
      <c r="Q82" s="874">
        <v>2</v>
      </c>
      <c r="R82" s="875">
        <v>0</v>
      </c>
      <c r="S82" s="876"/>
      <c r="T82" s="876"/>
      <c r="U82" s="877"/>
      <c r="W82" s="877"/>
    </row>
    <row r="83" spans="1:23" x14ac:dyDescent="0.2">
      <c r="A83" s="865" t="s">
        <v>1927</v>
      </c>
      <c r="B83" s="866" t="s">
        <v>3890</v>
      </c>
      <c r="C83" s="866" t="s">
        <v>3890</v>
      </c>
      <c r="D83" s="1440"/>
      <c r="E83" s="1443"/>
      <c r="F83" s="1443"/>
      <c r="G83" s="1440"/>
      <c r="H83" s="1440"/>
      <c r="I83" s="1440"/>
      <c r="J83" s="1440"/>
      <c r="K83" s="1440"/>
      <c r="L83" s="1440"/>
      <c r="M83" s="867" t="s">
        <v>1931</v>
      </c>
      <c r="N83" s="867" t="s">
        <v>3891</v>
      </c>
      <c r="O83" s="867" t="s">
        <v>3892</v>
      </c>
      <c r="P83" s="869">
        <v>2</v>
      </c>
      <c r="Q83" s="869">
        <v>2</v>
      </c>
      <c r="R83" s="870">
        <v>0</v>
      </c>
      <c r="S83" s="871"/>
      <c r="T83" s="871"/>
      <c r="U83" s="872"/>
      <c r="W83" s="872"/>
    </row>
    <row r="84" spans="1:23" x14ac:dyDescent="0.2">
      <c r="A84" s="865" t="s">
        <v>1927</v>
      </c>
      <c r="B84" s="866" t="s">
        <v>3890</v>
      </c>
      <c r="C84" s="866" t="s">
        <v>3890</v>
      </c>
      <c r="D84" s="1438" t="s">
        <v>1967</v>
      </c>
      <c r="E84" s="1441">
        <v>45417.875</v>
      </c>
      <c r="F84" s="1441">
        <v>45561.875</v>
      </c>
      <c r="G84" s="1438" t="s">
        <v>1758</v>
      </c>
      <c r="H84" s="1438" t="s">
        <v>1759</v>
      </c>
      <c r="I84" s="1438" t="s">
        <v>1823</v>
      </c>
      <c r="J84" s="1438" t="s">
        <v>1968</v>
      </c>
      <c r="K84" s="1438" t="s">
        <v>1804</v>
      </c>
      <c r="L84" s="1438" t="s">
        <v>1819</v>
      </c>
      <c r="M84" s="867" t="s">
        <v>1937</v>
      </c>
      <c r="N84" s="867" t="s">
        <v>3893</v>
      </c>
      <c r="O84" s="873" t="s">
        <v>3894</v>
      </c>
      <c r="P84" s="874">
        <v>20</v>
      </c>
      <c r="Q84" s="874">
        <v>19</v>
      </c>
      <c r="R84" s="875">
        <v>13</v>
      </c>
      <c r="S84" s="876"/>
      <c r="T84" s="876"/>
      <c r="U84" s="877"/>
      <c r="W84" s="877"/>
    </row>
    <row r="85" spans="1:23" x14ac:dyDescent="0.2">
      <c r="A85" s="865" t="s">
        <v>1927</v>
      </c>
      <c r="B85" s="866" t="s">
        <v>3890</v>
      </c>
      <c r="C85" s="866" t="s">
        <v>3890</v>
      </c>
      <c r="D85" s="1440"/>
      <c r="E85" s="1443"/>
      <c r="F85" s="1443"/>
      <c r="G85" s="1440"/>
      <c r="H85" s="1440"/>
      <c r="I85" s="1440"/>
      <c r="J85" s="1440"/>
      <c r="K85" s="1440"/>
      <c r="L85" s="1440"/>
      <c r="M85" s="867" t="s">
        <v>1931</v>
      </c>
      <c r="N85" s="867" t="s">
        <v>3891</v>
      </c>
      <c r="O85" s="867" t="s">
        <v>3892</v>
      </c>
      <c r="P85" s="869">
        <v>20</v>
      </c>
      <c r="Q85" s="869">
        <v>19</v>
      </c>
      <c r="R85" s="870">
        <v>13</v>
      </c>
      <c r="S85" s="871"/>
      <c r="T85" s="871"/>
      <c r="U85" s="872"/>
      <c r="W85" s="872"/>
    </row>
    <row r="86" spans="1:23" ht="24" x14ac:dyDescent="0.2">
      <c r="A86" s="865" t="s">
        <v>1927</v>
      </c>
      <c r="B86" s="866" t="s">
        <v>3890</v>
      </c>
      <c r="C86" s="866" t="s">
        <v>3890</v>
      </c>
      <c r="D86" s="867" t="s">
        <v>1969</v>
      </c>
      <c r="E86" s="868">
        <v>45427.875</v>
      </c>
      <c r="F86" s="868">
        <v>45524.875</v>
      </c>
      <c r="G86" s="867" t="s">
        <v>1772</v>
      </c>
      <c r="H86" s="867" t="s">
        <v>1765</v>
      </c>
      <c r="I86" s="867" t="s">
        <v>1774</v>
      </c>
      <c r="J86" s="867" t="s">
        <v>1970</v>
      </c>
      <c r="K86" s="867" t="s">
        <v>1804</v>
      </c>
      <c r="L86" s="867" t="s">
        <v>1805</v>
      </c>
      <c r="M86" s="867" t="s">
        <v>1931</v>
      </c>
      <c r="N86" s="867" t="s">
        <v>3891</v>
      </c>
      <c r="O86" s="873" t="s">
        <v>3892</v>
      </c>
      <c r="P86" s="874">
        <v>1</v>
      </c>
      <c r="Q86" s="874">
        <v>1</v>
      </c>
      <c r="R86" s="875">
        <v>1</v>
      </c>
      <c r="S86" s="876"/>
      <c r="T86" s="876"/>
      <c r="U86" s="877"/>
      <c r="W86" s="877"/>
    </row>
    <row r="87" spans="1:23" x14ac:dyDescent="0.2">
      <c r="A87" s="865" t="s">
        <v>1927</v>
      </c>
      <c r="B87" s="866" t="s">
        <v>3890</v>
      </c>
      <c r="C87" s="866" t="s">
        <v>3890</v>
      </c>
      <c r="D87" s="1438" t="s">
        <v>1971</v>
      </c>
      <c r="E87" s="1441">
        <v>45445.416666666664</v>
      </c>
      <c r="F87" s="1441">
        <v>45552.416666666664</v>
      </c>
      <c r="G87" s="1438" t="s">
        <v>1741</v>
      </c>
      <c r="H87" s="1438" t="s">
        <v>1752</v>
      </c>
      <c r="I87" s="1438" t="s">
        <v>1972</v>
      </c>
      <c r="J87" s="1438" t="s">
        <v>1973</v>
      </c>
      <c r="K87" s="1438" t="s">
        <v>1804</v>
      </c>
      <c r="L87" s="1438" t="s">
        <v>1966</v>
      </c>
      <c r="M87" s="867" t="s">
        <v>1958</v>
      </c>
      <c r="N87" s="867" t="s">
        <v>3895</v>
      </c>
      <c r="O87" s="867" t="s">
        <v>3896</v>
      </c>
      <c r="P87" s="869">
        <v>2</v>
      </c>
      <c r="Q87" s="869">
        <v>2</v>
      </c>
      <c r="R87" s="870">
        <v>2</v>
      </c>
      <c r="S87" s="871"/>
      <c r="T87" s="871"/>
      <c r="U87" s="872"/>
      <c r="W87" s="872"/>
    </row>
    <row r="88" spans="1:23" x14ac:dyDescent="0.2">
      <c r="A88" s="865" t="s">
        <v>1927</v>
      </c>
      <c r="B88" s="866" t="s">
        <v>3890</v>
      </c>
      <c r="C88" s="866" t="s">
        <v>3890</v>
      </c>
      <c r="D88" s="1440"/>
      <c r="E88" s="1443"/>
      <c r="F88" s="1443"/>
      <c r="G88" s="1440"/>
      <c r="H88" s="1440"/>
      <c r="I88" s="1440"/>
      <c r="J88" s="1440"/>
      <c r="K88" s="1440"/>
      <c r="L88" s="1440"/>
      <c r="M88" s="867" t="s">
        <v>1931</v>
      </c>
      <c r="N88" s="867" t="s">
        <v>3891</v>
      </c>
      <c r="O88" s="873" t="s">
        <v>3892</v>
      </c>
      <c r="P88" s="874">
        <v>2</v>
      </c>
      <c r="Q88" s="874">
        <v>2</v>
      </c>
      <c r="R88" s="875">
        <v>2</v>
      </c>
      <c r="S88" s="876"/>
      <c r="T88" s="876"/>
      <c r="U88" s="877"/>
      <c r="W88" s="877"/>
    </row>
    <row r="89" spans="1:23" ht="36" x14ac:dyDescent="0.2">
      <c r="A89" s="865" t="s">
        <v>1927</v>
      </c>
      <c r="B89" s="866" t="s">
        <v>3890</v>
      </c>
      <c r="C89" s="866" t="s">
        <v>3890</v>
      </c>
      <c r="D89" s="867" t="s">
        <v>1974</v>
      </c>
      <c r="E89" s="868">
        <v>45424.875</v>
      </c>
      <c r="F89" s="868">
        <v>45533.875</v>
      </c>
      <c r="G89" s="867" t="s">
        <v>1758</v>
      </c>
      <c r="H89" s="867" t="s">
        <v>1759</v>
      </c>
      <c r="I89" s="867" t="s">
        <v>1823</v>
      </c>
      <c r="J89" s="867" t="s">
        <v>1975</v>
      </c>
      <c r="K89" s="867" t="s">
        <v>1804</v>
      </c>
      <c r="L89" s="867" t="s">
        <v>1819</v>
      </c>
      <c r="M89" s="867" t="s">
        <v>1931</v>
      </c>
      <c r="N89" s="867" t="s">
        <v>3891</v>
      </c>
      <c r="O89" s="867" t="s">
        <v>3892</v>
      </c>
      <c r="P89" s="869">
        <v>5</v>
      </c>
      <c r="Q89" s="869">
        <v>5</v>
      </c>
      <c r="R89" s="870">
        <v>2</v>
      </c>
      <c r="S89" s="871"/>
      <c r="T89" s="871"/>
      <c r="U89" s="872"/>
      <c r="W89" s="872"/>
    </row>
    <row r="90" spans="1:23" ht="36" x14ac:dyDescent="0.2">
      <c r="A90" s="865" t="s">
        <v>1927</v>
      </c>
      <c r="B90" s="866" t="s">
        <v>3890</v>
      </c>
      <c r="C90" s="866" t="s">
        <v>3890</v>
      </c>
      <c r="D90" s="867" t="s">
        <v>1976</v>
      </c>
      <c r="E90" s="868">
        <v>45426.875</v>
      </c>
      <c r="F90" s="868">
        <v>45534.875</v>
      </c>
      <c r="G90" s="867" t="s">
        <v>1758</v>
      </c>
      <c r="H90" s="867" t="s">
        <v>1759</v>
      </c>
      <c r="I90" s="867" t="s">
        <v>1817</v>
      </c>
      <c r="J90" s="867" t="s">
        <v>1977</v>
      </c>
      <c r="K90" s="867" t="s">
        <v>1804</v>
      </c>
      <c r="L90" s="867" t="s">
        <v>1819</v>
      </c>
      <c r="M90" s="867" t="s">
        <v>1931</v>
      </c>
      <c r="N90" s="867" t="s">
        <v>3891</v>
      </c>
      <c r="O90" s="873" t="s">
        <v>3892</v>
      </c>
      <c r="P90" s="874">
        <v>3</v>
      </c>
      <c r="Q90" s="874">
        <v>3</v>
      </c>
      <c r="R90" s="875">
        <v>1</v>
      </c>
      <c r="S90" s="876"/>
      <c r="T90" s="876"/>
      <c r="U90" s="877"/>
      <c r="W90" s="877"/>
    </row>
    <row r="91" spans="1:23" ht="48" x14ac:dyDescent="0.2">
      <c r="A91" s="865" t="s">
        <v>1927</v>
      </c>
      <c r="B91" s="866" t="s">
        <v>3890</v>
      </c>
      <c r="C91" s="866" t="s">
        <v>3890</v>
      </c>
      <c r="D91" s="867" t="s">
        <v>1978</v>
      </c>
      <c r="E91" s="868">
        <v>45426.875</v>
      </c>
      <c r="F91" s="868">
        <v>45518.875</v>
      </c>
      <c r="G91" s="867" t="s">
        <v>1758</v>
      </c>
      <c r="H91" s="867" t="s">
        <v>1759</v>
      </c>
      <c r="I91" s="867" t="s">
        <v>1858</v>
      </c>
      <c r="J91" s="867" t="s">
        <v>1979</v>
      </c>
      <c r="K91" s="867" t="s">
        <v>1804</v>
      </c>
      <c r="L91" s="867" t="s">
        <v>1819</v>
      </c>
      <c r="M91" s="867" t="s">
        <v>1931</v>
      </c>
      <c r="N91" s="867" t="s">
        <v>3891</v>
      </c>
      <c r="O91" s="867" t="s">
        <v>3892</v>
      </c>
      <c r="P91" s="869">
        <v>3</v>
      </c>
      <c r="Q91" s="869">
        <v>3</v>
      </c>
      <c r="R91" s="870">
        <v>1</v>
      </c>
      <c r="S91" s="871"/>
      <c r="T91" s="871"/>
      <c r="U91" s="872"/>
      <c r="W91" s="872"/>
    </row>
    <row r="92" spans="1:23" x14ac:dyDescent="0.2">
      <c r="A92" s="865" t="s">
        <v>1927</v>
      </c>
      <c r="B92" s="866" t="s">
        <v>3890</v>
      </c>
      <c r="C92" s="866" t="s">
        <v>3890</v>
      </c>
      <c r="D92" s="1438" t="s">
        <v>1980</v>
      </c>
      <c r="E92" s="1441">
        <v>45449.875</v>
      </c>
      <c r="F92" s="1441">
        <v>45541.875</v>
      </c>
      <c r="G92" s="1438" t="s">
        <v>1741</v>
      </c>
      <c r="H92" s="1438" t="s">
        <v>1755</v>
      </c>
      <c r="I92" s="1438" t="s">
        <v>1861</v>
      </c>
      <c r="J92" s="1438" t="s">
        <v>1981</v>
      </c>
      <c r="K92" s="1438" t="s">
        <v>1804</v>
      </c>
      <c r="L92" s="1438" t="s">
        <v>1953</v>
      </c>
      <c r="M92" s="867" t="s">
        <v>1958</v>
      </c>
      <c r="N92" s="867" t="s">
        <v>3895</v>
      </c>
      <c r="O92" s="873" t="s">
        <v>3896</v>
      </c>
      <c r="P92" s="874">
        <v>6</v>
      </c>
      <c r="Q92" s="874">
        <v>6</v>
      </c>
      <c r="R92" s="875">
        <v>0</v>
      </c>
      <c r="S92" s="876"/>
      <c r="T92" s="876"/>
      <c r="U92" s="877"/>
      <c r="W92" s="877"/>
    </row>
    <row r="93" spans="1:23" x14ac:dyDescent="0.2">
      <c r="A93" s="865" t="s">
        <v>1927</v>
      </c>
      <c r="B93" s="866" t="s">
        <v>3890</v>
      </c>
      <c r="C93" s="866" t="s">
        <v>3890</v>
      </c>
      <c r="D93" s="1440"/>
      <c r="E93" s="1443"/>
      <c r="F93" s="1443"/>
      <c r="G93" s="1440"/>
      <c r="H93" s="1440"/>
      <c r="I93" s="1440"/>
      <c r="J93" s="1440"/>
      <c r="K93" s="1440"/>
      <c r="L93" s="1440"/>
      <c r="M93" s="867" t="s">
        <v>1931</v>
      </c>
      <c r="N93" s="867" t="s">
        <v>3891</v>
      </c>
      <c r="O93" s="867" t="s">
        <v>3892</v>
      </c>
      <c r="P93" s="869">
        <v>6</v>
      </c>
      <c r="Q93" s="869">
        <v>6</v>
      </c>
      <c r="R93" s="870">
        <v>0</v>
      </c>
      <c r="S93" s="871"/>
      <c r="T93" s="871"/>
      <c r="U93" s="872"/>
      <c r="W93" s="872"/>
    </row>
    <row r="94" spans="1:23" ht="24" x14ac:dyDescent="0.2">
      <c r="A94" s="865" t="s">
        <v>1927</v>
      </c>
      <c r="B94" s="866" t="s">
        <v>3890</v>
      </c>
      <c r="C94" s="866" t="s">
        <v>3890</v>
      </c>
      <c r="D94" s="867" t="s">
        <v>1982</v>
      </c>
      <c r="E94" s="868">
        <v>45449.875</v>
      </c>
      <c r="F94" s="868">
        <v>45541.875</v>
      </c>
      <c r="G94" s="867" t="s">
        <v>1772</v>
      </c>
      <c r="H94" s="867" t="s">
        <v>1765</v>
      </c>
      <c r="I94" s="867" t="s">
        <v>1774</v>
      </c>
      <c r="J94" s="867" t="s">
        <v>1983</v>
      </c>
      <c r="K94" s="867" t="s">
        <v>1804</v>
      </c>
      <c r="L94" s="867" t="s">
        <v>1805</v>
      </c>
      <c r="M94" s="867" t="s">
        <v>1931</v>
      </c>
      <c r="N94" s="867" t="s">
        <v>3891</v>
      </c>
      <c r="O94" s="873" t="s">
        <v>3892</v>
      </c>
      <c r="P94" s="874">
        <v>1</v>
      </c>
      <c r="Q94" s="874">
        <v>1</v>
      </c>
      <c r="R94" s="875">
        <v>1</v>
      </c>
      <c r="S94" s="876"/>
      <c r="T94" s="876"/>
      <c r="U94" s="877"/>
      <c r="W94" s="877"/>
    </row>
    <row r="95" spans="1:23" ht="48" x14ac:dyDescent="0.2">
      <c r="A95" s="865" t="s">
        <v>1927</v>
      </c>
      <c r="B95" s="866" t="s">
        <v>3890</v>
      </c>
      <c r="C95" s="866" t="s">
        <v>3890</v>
      </c>
      <c r="D95" s="867" t="s">
        <v>1984</v>
      </c>
      <c r="E95" s="868">
        <v>45445.875</v>
      </c>
      <c r="F95" s="868">
        <v>45537.875</v>
      </c>
      <c r="G95" s="867" t="s">
        <v>1758</v>
      </c>
      <c r="H95" s="867" t="s">
        <v>1759</v>
      </c>
      <c r="I95" s="867" t="s">
        <v>1858</v>
      </c>
      <c r="J95" s="867" t="s">
        <v>1985</v>
      </c>
      <c r="K95" s="867" t="s">
        <v>1804</v>
      </c>
      <c r="L95" s="867" t="s">
        <v>1819</v>
      </c>
      <c r="M95" s="867" t="s">
        <v>1931</v>
      </c>
      <c r="N95" s="867" t="s">
        <v>3891</v>
      </c>
      <c r="O95" s="867" t="s">
        <v>3892</v>
      </c>
      <c r="P95" s="869">
        <v>1</v>
      </c>
      <c r="Q95" s="869">
        <v>1</v>
      </c>
      <c r="R95" s="870">
        <v>0</v>
      </c>
      <c r="S95" s="871"/>
      <c r="T95" s="871"/>
      <c r="U95" s="872"/>
      <c r="W95" s="872"/>
    </row>
    <row r="96" spans="1:23" ht="36" x14ac:dyDescent="0.2">
      <c r="A96" s="865" t="s">
        <v>1927</v>
      </c>
      <c r="B96" s="866" t="s">
        <v>3890</v>
      </c>
      <c r="C96" s="866" t="s">
        <v>3890</v>
      </c>
      <c r="D96" s="867" t="s">
        <v>1986</v>
      </c>
      <c r="E96" s="868">
        <v>45445.416666666664</v>
      </c>
      <c r="F96" s="868">
        <v>45568.416666666664</v>
      </c>
      <c r="G96" s="867" t="s">
        <v>1758</v>
      </c>
      <c r="H96" s="867" t="s">
        <v>1759</v>
      </c>
      <c r="I96" s="867" t="s">
        <v>1823</v>
      </c>
      <c r="J96" s="867" t="s">
        <v>1987</v>
      </c>
      <c r="K96" s="867" t="s">
        <v>1804</v>
      </c>
      <c r="L96" s="867" t="s">
        <v>1819</v>
      </c>
      <c r="M96" s="867" t="s">
        <v>1931</v>
      </c>
      <c r="N96" s="867" t="s">
        <v>3891</v>
      </c>
      <c r="O96" s="873" t="s">
        <v>3892</v>
      </c>
      <c r="P96" s="874">
        <v>9</v>
      </c>
      <c r="Q96" s="874">
        <v>9</v>
      </c>
      <c r="R96" s="875">
        <v>2</v>
      </c>
      <c r="S96" s="876"/>
      <c r="T96" s="876"/>
      <c r="U96" s="877"/>
      <c r="W96" s="877"/>
    </row>
    <row r="97" spans="1:23" ht="36" x14ac:dyDescent="0.2">
      <c r="A97" s="865" t="s">
        <v>1927</v>
      </c>
      <c r="B97" s="866" t="s">
        <v>3890</v>
      </c>
      <c r="C97" s="866" t="s">
        <v>3890</v>
      </c>
      <c r="D97" s="867" t="s">
        <v>1988</v>
      </c>
      <c r="E97" s="868">
        <v>45445.875</v>
      </c>
      <c r="F97" s="868">
        <v>45552.875</v>
      </c>
      <c r="G97" s="867" t="s">
        <v>1758</v>
      </c>
      <c r="H97" s="867" t="s">
        <v>1759</v>
      </c>
      <c r="I97" s="867" t="s">
        <v>1817</v>
      </c>
      <c r="J97" s="867" t="s">
        <v>1989</v>
      </c>
      <c r="K97" s="867" t="s">
        <v>1804</v>
      </c>
      <c r="L97" s="867" t="s">
        <v>1819</v>
      </c>
      <c r="M97" s="867" t="s">
        <v>1931</v>
      </c>
      <c r="N97" s="867" t="s">
        <v>3891</v>
      </c>
      <c r="O97" s="867" t="s">
        <v>3892</v>
      </c>
      <c r="P97" s="869">
        <v>2</v>
      </c>
      <c r="Q97" s="869">
        <v>2</v>
      </c>
      <c r="R97" s="870">
        <v>0</v>
      </c>
      <c r="S97" s="871"/>
      <c r="T97" s="871"/>
      <c r="U97" s="872"/>
      <c r="W97" s="872"/>
    </row>
    <row r="98" spans="1:23" x14ac:dyDescent="0.2">
      <c r="A98" s="865" t="s">
        <v>1927</v>
      </c>
      <c r="B98" s="866" t="s">
        <v>3890</v>
      </c>
      <c r="C98" s="866" t="s">
        <v>3890</v>
      </c>
      <c r="D98" s="1438" t="s">
        <v>1990</v>
      </c>
      <c r="E98" s="1441">
        <v>45462.875</v>
      </c>
      <c r="F98" s="1441">
        <v>45554.875</v>
      </c>
      <c r="G98" s="1438" t="s">
        <v>1741</v>
      </c>
      <c r="H98" s="1438" t="s">
        <v>1752</v>
      </c>
      <c r="I98" s="1438" t="s">
        <v>1991</v>
      </c>
      <c r="J98" s="1438" t="s">
        <v>1992</v>
      </c>
      <c r="K98" s="1438" t="s">
        <v>1804</v>
      </c>
      <c r="L98" s="1438" t="s">
        <v>1966</v>
      </c>
      <c r="M98" s="867" t="s">
        <v>1958</v>
      </c>
      <c r="N98" s="867" t="s">
        <v>3895</v>
      </c>
      <c r="O98" s="873" t="s">
        <v>3896</v>
      </c>
      <c r="P98" s="874">
        <v>1</v>
      </c>
      <c r="Q98" s="874">
        <v>1</v>
      </c>
      <c r="R98" s="875">
        <v>0</v>
      </c>
      <c r="S98" s="876"/>
      <c r="T98" s="876"/>
      <c r="U98" s="877"/>
      <c r="W98" s="877"/>
    </row>
    <row r="99" spans="1:23" x14ac:dyDescent="0.2">
      <c r="A99" s="865" t="s">
        <v>1927</v>
      </c>
      <c r="B99" s="866" t="s">
        <v>3890</v>
      </c>
      <c r="C99" s="866" t="s">
        <v>3890</v>
      </c>
      <c r="D99" s="1440"/>
      <c r="E99" s="1443"/>
      <c r="F99" s="1443"/>
      <c r="G99" s="1440"/>
      <c r="H99" s="1440"/>
      <c r="I99" s="1440"/>
      <c r="J99" s="1440"/>
      <c r="K99" s="1440"/>
      <c r="L99" s="1440"/>
      <c r="M99" s="867" t="s">
        <v>1931</v>
      </c>
      <c r="N99" s="867" t="s">
        <v>3891</v>
      </c>
      <c r="O99" s="867" t="s">
        <v>3892</v>
      </c>
      <c r="P99" s="869">
        <v>1</v>
      </c>
      <c r="Q99" s="869">
        <v>1</v>
      </c>
      <c r="R99" s="870">
        <v>0</v>
      </c>
      <c r="S99" s="871"/>
      <c r="T99" s="871"/>
      <c r="U99" s="872"/>
      <c r="W99" s="872"/>
    </row>
    <row r="100" spans="1:23" x14ac:dyDescent="0.2">
      <c r="A100" s="865" t="s">
        <v>1927</v>
      </c>
      <c r="B100" s="866" t="s">
        <v>3890</v>
      </c>
      <c r="C100" s="866" t="s">
        <v>3890</v>
      </c>
      <c r="D100" s="1438" t="s">
        <v>1993</v>
      </c>
      <c r="E100" s="1441">
        <v>45458.416666666664</v>
      </c>
      <c r="F100" s="1441">
        <v>45666.416666666664</v>
      </c>
      <c r="G100" s="1438" t="s">
        <v>1758</v>
      </c>
      <c r="H100" s="1438" t="s">
        <v>1759</v>
      </c>
      <c r="I100" s="1438" t="s">
        <v>1858</v>
      </c>
      <c r="J100" s="1438" t="s">
        <v>1994</v>
      </c>
      <c r="K100" s="1438" t="s">
        <v>1804</v>
      </c>
      <c r="L100" s="1438" t="s">
        <v>1819</v>
      </c>
      <c r="M100" s="867" t="s">
        <v>1937</v>
      </c>
      <c r="N100" s="867" t="s">
        <v>3893</v>
      </c>
      <c r="O100" s="873" t="s">
        <v>3894</v>
      </c>
      <c r="P100" s="874">
        <v>14</v>
      </c>
      <c r="Q100" s="874">
        <v>13</v>
      </c>
      <c r="R100" s="875">
        <v>10</v>
      </c>
      <c r="S100" s="876"/>
      <c r="T100" s="876"/>
      <c r="U100" s="877"/>
      <c r="W100" s="877"/>
    </row>
    <row r="101" spans="1:23" x14ac:dyDescent="0.2">
      <c r="A101" s="865" t="s">
        <v>1927</v>
      </c>
      <c r="B101" s="866" t="s">
        <v>3890</v>
      </c>
      <c r="C101" s="866" t="s">
        <v>3890</v>
      </c>
      <c r="D101" s="1440"/>
      <c r="E101" s="1443"/>
      <c r="F101" s="1443"/>
      <c r="G101" s="1440"/>
      <c r="H101" s="1440"/>
      <c r="I101" s="1440"/>
      <c r="J101" s="1440"/>
      <c r="K101" s="1440"/>
      <c r="L101" s="1440"/>
      <c r="M101" s="867" t="s">
        <v>1931</v>
      </c>
      <c r="N101" s="867" t="s">
        <v>3891</v>
      </c>
      <c r="O101" s="867" t="s">
        <v>3892</v>
      </c>
      <c r="P101" s="869">
        <v>14</v>
      </c>
      <c r="Q101" s="869">
        <v>13</v>
      </c>
      <c r="R101" s="870">
        <v>10</v>
      </c>
      <c r="S101" s="871"/>
      <c r="T101" s="871"/>
      <c r="U101" s="872"/>
      <c r="W101" s="872"/>
    </row>
    <row r="102" spans="1:23" ht="36" x14ac:dyDescent="0.2">
      <c r="A102" s="865" t="s">
        <v>1927</v>
      </c>
      <c r="B102" s="866" t="s">
        <v>3890</v>
      </c>
      <c r="C102" s="866" t="s">
        <v>3890</v>
      </c>
      <c r="D102" s="867" t="s">
        <v>1995</v>
      </c>
      <c r="E102" s="868">
        <v>45473.416666666664</v>
      </c>
      <c r="F102" s="868">
        <v>45594.416666666664</v>
      </c>
      <c r="G102" s="867" t="s">
        <v>1758</v>
      </c>
      <c r="H102" s="867" t="s">
        <v>1759</v>
      </c>
      <c r="I102" s="867" t="s">
        <v>1823</v>
      </c>
      <c r="J102" s="867" t="s">
        <v>1996</v>
      </c>
      <c r="K102" s="867" t="s">
        <v>1804</v>
      </c>
      <c r="L102" s="867" t="s">
        <v>1819</v>
      </c>
      <c r="M102" s="867" t="s">
        <v>1931</v>
      </c>
      <c r="N102" s="867" t="s">
        <v>3891</v>
      </c>
      <c r="O102" s="873" t="s">
        <v>3892</v>
      </c>
      <c r="P102" s="874">
        <v>7</v>
      </c>
      <c r="Q102" s="874">
        <v>7</v>
      </c>
      <c r="R102" s="875">
        <v>3</v>
      </c>
      <c r="S102" s="876"/>
      <c r="T102" s="876"/>
      <c r="U102" s="877"/>
      <c r="W102" s="877"/>
    </row>
    <row r="103" spans="1:23" ht="48" x14ac:dyDescent="0.2">
      <c r="A103" s="865" t="s">
        <v>1927</v>
      </c>
      <c r="B103" s="866" t="s">
        <v>3890</v>
      </c>
      <c r="C103" s="866" t="s">
        <v>3890</v>
      </c>
      <c r="D103" s="867" t="s">
        <v>1997</v>
      </c>
      <c r="E103" s="868">
        <v>45475.875</v>
      </c>
      <c r="F103" s="868">
        <v>45567.875</v>
      </c>
      <c r="G103" s="867" t="s">
        <v>1758</v>
      </c>
      <c r="H103" s="867" t="s">
        <v>1759</v>
      </c>
      <c r="I103" s="867" t="s">
        <v>1858</v>
      </c>
      <c r="J103" s="867" t="s">
        <v>1998</v>
      </c>
      <c r="K103" s="867" t="s">
        <v>1804</v>
      </c>
      <c r="L103" s="867" t="s">
        <v>1819</v>
      </c>
      <c r="M103" s="867" t="s">
        <v>1931</v>
      </c>
      <c r="N103" s="867" t="s">
        <v>3891</v>
      </c>
      <c r="O103" s="867" t="s">
        <v>3892</v>
      </c>
      <c r="P103" s="869">
        <v>2</v>
      </c>
      <c r="Q103" s="869">
        <v>2</v>
      </c>
      <c r="R103" s="870">
        <v>0</v>
      </c>
      <c r="S103" s="871"/>
      <c r="T103" s="871"/>
      <c r="U103" s="872"/>
      <c r="W103" s="872"/>
    </row>
    <row r="104" spans="1:23" ht="36" x14ac:dyDescent="0.2">
      <c r="A104" s="865" t="s">
        <v>1927</v>
      </c>
      <c r="B104" s="866" t="s">
        <v>3890</v>
      </c>
      <c r="C104" s="866" t="s">
        <v>3890</v>
      </c>
      <c r="D104" s="867" t="s">
        <v>1999</v>
      </c>
      <c r="E104" s="868">
        <v>45475.875</v>
      </c>
      <c r="F104" s="868">
        <v>45567.875</v>
      </c>
      <c r="G104" s="867" t="s">
        <v>1758</v>
      </c>
      <c r="H104" s="867" t="s">
        <v>1759</v>
      </c>
      <c r="I104" s="867" t="s">
        <v>1817</v>
      </c>
      <c r="J104" s="867" t="s">
        <v>2000</v>
      </c>
      <c r="K104" s="867" t="s">
        <v>1804</v>
      </c>
      <c r="L104" s="867" t="s">
        <v>1819</v>
      </c>
      <c r="M104" s="867" t="s">
        <v>1931</v>
      </c>
      <c r="N104" s="867" t="s">
        <v>3891</v>
      </c>
      <c r="O104" s="873" t="s">
        <v>3892</v>
      </c>
      <c r="P104" s="874">
        <v>1</v>
      </c>
      <c r="Q104" s="874">
        <v>1</v>
      </c>
      <c r="R104" s="875">
        <v>0</v>
      </c>
      <c r="S104" s="876"/>
      <c r="T104" s="876"/>
      <c r="U104" s="877"/>
      <c r="W104" s="877"/>
    </row>
    <row r="105" spans="1:23" x14ac:dyDescent="0.2">
      <c r="A105" s="865" t="s">
        <v>1927</v>
      </c>
      <c r="B105" s="866" t="s">
        <v>3890</v>
      </c>
      <c r="C105" s="866" t="s">
        <v>3890</v>
      </c>
      <c r="D105" s="1438" t="s">
        <v>2001</v>
      </c>
      <c r="E105" s="1441">
        <v>45476.875</v>
      </c>
      <c r="F105" s="1441">
        <v>45665.916666666664</v>
      </c>
      <c r="G105" s="1438" t="s">
        <v>1758</v>
      </c>
      <c r="H105" s="1438" t="s">
        <v>1759</v>
      </c>
      <c r="I105" s="1438" t="s">
        <v>1823</v>
      </c>
      <c r="J105" s="1438" t="s">
        <v>2002</v>
      </c>
      <c r="K105" s="1438" t="s">
        <v>1804</v>
      </c>
      <c r="L105" s="1438" t="s">
        <v>1819</v>
      </c>
      <c r="M105" s="867" t="s">
        <v>1937</v>
      </c>
      <c r="N105" s="867" t="s">
        <v>3893</v>
      </c>
      <c r="O105" s="867" t="s">
        <v>3894</v>
      </c>
      <c r="P105" s="869">
        <v>15</v>
      </c>
      <c r="Q105" s="869">
        <v>15</v>
      </c>
      <c r="R105" s="870">
        <v>9</v>
      </c>
      <c r="S105" s="871"/>
      <c r="T105" s="871"/>
      <c r="U105" s="872"/>
      <c r="W105" s="872"/>
    </row>
    <row r="106" spans="1:23" x14ac:dyDescent="0.2">
      <c r="A106" s="865" t="s">
        <v>1927</v>
      </c>
      <c r="B106" s="866" t="s">
        <v>3890</v>
      </c>
      <c r="C106" s="866" t="s">
        <v>3890</v>
      </c>
      <c r="D106" s="1440"/>
      <c r="E106" s="1443"/>
      <c r="F106" s="1443"/>
      <c r="G106" s="1440"/>
      <c r="H106" s="1440"/>
      <c r="I106" s="1440"/>
      <c r="J106" s="1440"/>
      <c r="K106" s="1440"/>
      <c r="L106" s="1440"/>
      <c r="M106" s="867" t="s">
        <v>1931</v>
      </c>
      <c r="N106" s="867" t="s">
        <v>3891</v>
      </c>
      <c r="O106" s="873" t="s">
        <v>3892</v>
      </c>
      <c r="P106" s="874">
        <v>15</v>
      </c>
      <c r="Q106" s="874">
        <v>15</v>
      </c>
      <c r="R106" s="875">
        <v>9</v>
      </c>
      <c r="S106" s="876"/>
      <c r="T106" s="876"/>
      <c r="U106" s="877"/>
      <c r="W106" s="877"/>
    </row>
    <row r="107" spans="1:23" x14ac:dyDescent="0.2">
      <c r="A107" s="865" t="s">
        <v>1927</v>
      </c>
      <c r="B107" s="866" t="s">
        <v>3890</v>
      </c>
      <c r="C107" s="866" t="s">
        <v>3890</v>
      </c>
      <c r="D107" s="1438" t="s">
        <v>2003</v>
      </c>
      <c r="E107" s="1441">
        <v>45484.875</v>
      </c>
      <c r="F107" s="1441">
        <v>45576.875</v>
      </c>
      <c r="G107" s="1438" t="s">
        <v>1741</v>
      </c>
      <c r="H107" s="1438" t="s">
        <v>1745</v>
      </c>
      <c r="I107" s="1438" t="s">
        <v>1955</v>
      </c>
      <c r="J107" s="1438" t="s">
        <v>2004</v>
      </c>
      <c r="K107" s="1438" t="s">
        <v>1804</v>
      </c>
      <c r="L107" s="1438" t="s">
        <v>1957</v>
      </c>
      <c r="M107" s="867" t="s">
        <v>1958</v>
      </c>
      <c r="N107" s="867" t="s">
        <v>3895</v>
      </c>
      <c r="O107" s="867" t="s">
        <v>3896</v>
      </c>
      <c r="P107" s="869">
        <v>2</v>
      </c>
      <c r="Q107" s="869">
        <v>2</v>
      </c>
      <c r="R107" s="870">
        <v>1</v>
      </c>
      <c r="S107" s="871"/>
      <c r="T107" s="871"/>
      <c r="U107" s="872"/>
      <c r="W107" s="872"/>
    </row>
    <row r="108" spans="1:23" x14ac:dyDescent="0.2">
      <c r="A108" s="865" t="s">
        <v>1927</v>
      </c>
      <c r="B108" s="866" t="s">
        <v>3890</v>
      </c>
      <c r="C108" s="866" t="s">
        <v>3890</v>
      </c>
      <c r="D108" s="1440"/>
      <c r="E108" s="1443"/>
      <c r="F108" s="1443"/>
      <c r="G108" s="1440"/>
      <c r="H108" s="1440"/>
      <c r="I108" s="1440"/>
      <c r="J108" s="1440"/>
      <c r="K108" s="1440"/>
      <c r="L108" s="1440"/>
      <c r="M108" s="867" t="s">
        <v>1931</v>
      </c>
      <c r="N108" s="867" t="s">
        <v>3891</v>
      </c>
      <c r="O108" s="873" t="s">
        <v>3892</v>
      </c>
      <c r="P108" s="874">
        <v>2</v>
      </c>
      <c r="Q108" s="874">
        <v>2</v>
      </c>
      <c r="R108" s="875">
        <v>1</v>
      </c>
      <c r="S108" s="876"/>
      <c r="T108" s="876"/>
      <c r="U108" s="877"/>
      <c r="W108" s="877"/>
    </row>
    <row r="109" spans="1:23" x14ac:dyDescent="0.2">
      <c r="A109" s="865" t="s">
        <v>1927</v>
      </c>
      <c r="B109" s="866" t="s">
        <v>3890</v>
      </c>
      <c r="C109" s="866" t="s">
        <v>3890</v>
      </c>
      <c r="D109" s="1438" t="s">
        <v>2005</v>
      </c>
      <c r="E109" s="1441">
        <v>45484.875</v>
      </c>
      <c r="F109" s="1441">
        <v>45576.875</v>
      </c>
      <c r="G109" s="1438" t="s">
        <v>1741</v>
      </c>
      <c r="H109" s="1438" t="s">
        <v>1749</v>
      </c>
      <c r="I109" s="1438" t="s">
        <v>1813</v>
      </c>
      <c r="J109" s="1438" t="s">
        <v>2006</v>
      </c>
      <c r="K109" s="1438" t="s">
        <v>1804</v>
      </c>
      <c r="L109" s="1438" t="s">
        <v>1819</v>
      </c>
      <c r="M109" s="867" t="s">
        <v>1958</v>
      </c>
      <c r="N109" s="867" t="s">
        <v>3895</v>
      </c>
      <c r="O109" s="867" t="s">
        <v>3896</v>
      </c>
      <c r="P109" s="869">
        <v>1</v>
      </c>
      <c r="Q109" s="869">
        <v>1</v>
      </c>
      <c r="R109" s="870">
        <v>0</v>
      </c>
      <c r="S109" s="871"/>
      <c r="T109" s="871"/>
      <c r="U109" s="872"/>
      <c r="W109" s="872"/>
    </row>
    <row r="110" spans="1:23" x14ac:dyDescent="0.2">
      <c r="A110" s="865" t="s">
        <v>1927</v>
      </c>
      <c r="B110" s="866" t="s">
        <v>3890</v>
      </c>
      <c r="C110" s="866" t="s">
        <v>3890</v>
      </c>
      <c r="D110" s="1440"/>
      <c r="E110" s="1443"/>
      <c r="F110" s="1443"/>
      <c r="G110" s="1440"/>
      <c r="H110" s="1440"/>
      <c r="I110" s="1440"/>
      <c r="J110" s="1440"/>
      <c r="K110" s="1440"/>
      <c r="L110" s="1440"/>
      <c r="M110" s="867" t="s">
        <v>1931</v>
      </c>
      <c r="N110" s="867" t="s">
        <v>3891</v>
      </c>
      <c r="O110" s="873" t="s">
        <v>3892</v>
      </c>
      <c r="P110" s="874">
        <v>1</v>
      </c>
      <c r="Q110" s="874">
        <v>1</v>
      </c>
      <c r="R110" s="875">
        <v>0</v>
      </c>
      <c r="S110" s="876"/>
      <c r="T110" s="876"/>
      <c r="U110" s="877"/>
      <c r="W110" s="877"/>
    </row>
    <row r="111" spans="1:23" x14ac:dyDescent="0.2">
      <c r="A111" s="865" t="s">
        <v>1927</v>
      </c>
      <c r="B111" s="866" t="s">
        <v>3890</v>
      </c>
      <c r="C111" s="866" t="s">
        <v>3890</v>
      </c>
      <c r="D111" s="1438" t="s">
        <v>2007</v>
      </c>
      <c r="E111" s="1441">
        <v>45489.875</v>
      </c>
      <c r="F111" s="1441">
        <v>45711.916666666664</v>
      </c>
      <c r="G111" s="1438" t="s">
        <v>1741</v>
      </c>
      <c r="H111" s="1438" t="s">
        <v>1745</v>
      </c>
      <c r="I111" s="1438" t="s">
        <v>1955</v>
      </c>
      <c r="J111" s="1438" t="s">
        <v>2008</v>
      </c>
      <c r="K111" s="1438" t="s">
        <v>1804</v>
      </c>
      <c r="L111" s="1438" t="s">
        <v>1957</v>
      </c>
      <c r="M111" s="867" t="s">
        <v>1937</v>
      </c>
      <c r="N111" s="867" t="s">
        <v>3893</v>
      </c>
      <c r="O111" s="867" t="s">
        <v>3894</v>
      </c>
      <c r="P111" s="869">
        <v>1</v>
      </c>
      <c r="Q111" s="869">
        <v>1</v>
      </c>
      <c r="R111" s="870">
        <v>0</v>
      </c>
      <c r="S111" s="871"/>
      <c r="T111" s="871"/>
      <c r="U111" s="872"/>
      <c r="W111" s="872"/>
    </row>
    <row r="112" spans="1:23" x14ac:dyDescent="0.2">
      <c r="A112" s="865" t="s">
        <v>1927</v>
      </c>
      <c r="B112" s="866" t="s">
        <v>3890</v>
      </c>
      <c r="C112" s="866" t="s">
        <v>3890</v>
      </c>
      <c r="D112" s="1440"/>
      <c r="E112" s="1443"/>
      <c r="F112" s="1443"/>
      <c r="G112" s="1440"/>
      <c r="H112" s="1440"/>
      <c r="I112" s="1440"/>
      <c r="J112" s="1440"/>
      <c r="K112" s="1440"/>
      <c r="L112" s="1440"/>
      <c r="M112" s="867" t="s">
        <v>1931</v>
      </c>
      <c r="N112" s="867" t="s">
        <v>3891</v>
      </c>
      <c r="O112" s="873" t="s">
        <v>3892</v>
      </c>
      <c r="P112" s="874">
        <v>1</v>
      </c>
      <c r="Q112" s="874">
        <v>1</v>
      </c>
      <c r="R112" s="875">
        <v>0</v>
      </c>
      <c r="S112" s="876"/>
      <c r="T112" s="876"/>
      <c r="U112" s="877"/>
      <c r="W112" s="877"/>
    </row>
    <row r="113" spans="1:23" x14ac:dyDescent="0.2">
      <c r="A113" s="865" t="s">
        <v>1927</v>
      </c>
      <c r="B113" s="866" t="s">
        <v>3890</v>
      </c>
      <c r="C113" s="866" t="s">
        <v>3890</v>
      </c>
      <c r="D113" s="1438" t="s">
        <v>2009</v>
      </c>
      <c r="E113" s="1441">
        <v>45500.875</v>
      </c>
      <c r="F113" s="1441">
        <v>45711.916666666664</v>
      </c>
      <c r="G113" s="1438" t="s">
        <v>1758</v>
      </c>
      <c r="H113" s="1438" t="s">
        <v>1759</v>
      </c>
      <c r="I113" s="1438" t="s">
        <v>1817</v>
      </c>
      <c r="J113" s="1438" t="s">
        <v>1941</v>
      </c>
      <c r="K113" s="1438" t="s">
        <v>1804</v>
      </c>
      <c r="L113" s="1438" t="s">
        <v>1819</v>
      </c>
      <c r="M113" s="867" t="s">
        <v>1937</v>
      </c>
      <c r="N113" s="867" t="s">
        <v>3893</v>
      </c>
      <c r="O113" s="867" t="s">
        <v>3894</v>
      </c>
      <c r="P113" s="869">
        <v>22</v>
      </c>
      <c r="Q113" s="869">
        <v>10</v>
      </c>
      <c r="R113" s="870">
        <v>0</v>
      </c>
      <c r="S113" s="871"/>
      <c r="T113" s="871"/>
      <c r="U113" s="872"/>
      <c r="W113" s="872"/>
    </row>
    <row r="114" spans="1:23" x14ac:dyDescent="0.2">
      <c r="A114" s="865" t="s">
        <v>1927</v>
      </c>
      <c r="B114" s="866" t="s">
        <v>3890</v>
      </c>
      <c r="C114" s="866" t="s">
        <v>3890</v>
      </c>
      <c r="D114" s="1440"/>
      <c r="E114" s="1443"/>
      <c r="F114" s="1443"/>
      <c r="G114" s="1440"/>
      <c r="H114" s="1440"/>
      <c r="I114" s="1440"/>
      <c r="J114" s="1440"/>
      <c r="K114" s="1440"/>
      <c r="L114" s="1440"/>
      <c r="M114" s="867" t="s">
        <v>1931</v>
      </c>
      <c r="N114" s="867" t="s">
        <v>3891</v>
      </c>
      <c r="O114" s="873" t="s">
        <v>3892</v>
      </c>
      <c r="P114" s="874">
        <v>22</v>
      </c>
      <c r="Q114" s="874">
        <v>10</v>
      </c>
      <c r="R114" s="875">
        <v>0</v>
      </c>
      <c r="S114" s="876"/>
      <c r="T114" s="876"/>
      <c r="U114" s="877"/>
      <c r="W114" s="877"/>
    </row>
    <row r="115" spans="1:23" ht="36" x14ac:dyDescent="0.2">
      <c r="A115" s="865" t="s">
        <v>1927</v>
      </c>
      <c r="B115" s="866" t="s">
        <v>3890</v>
      </c>
      <c r="C115" s="866" t="s">
        <v>3890</v>
      </c>
      <c r="D115" s="867" t="s">
        <v>2010</v>
      </c>
      <c r="E115" s="868">
        <v>45512.875</v>
      </c>
      <c r="F115" s="868">
        <v>45625.916666666664</v>
      </c>
      <c r="G115" s="867" t="s">
        <v>1758</v>
      </c>
      <c r="H115" s="867" t="s">
        <v>1759</v>
      </c>
      <c r="I115" s="867" t="s">
        <v>1817</v>
      </c>
      <c r="J115" s="867" t="s">
        <v>2011</v>
      </c>
      <c r="K115" s="867" t="s">
        <v>1804</v>
      </c>
      <c r="L115" s="867" t="s">
        <v>1819</v>
      </c>
      <c r="M115" s="867" t="s">
        <v>1931</v>
      </c>
      <c r="N115" s="867" t="s">
        <v>3891</v>
      </c>
      <c r="O115" s="867" t="s">
        <v>3892</v>
      </c>
      <c r="P115" s="869">
        <v>3</v>
      </c>
      <c r="Q115" s="869">
        <v>1</v>
      </c>
      <c r="R115" s="870">
        <v>0</v>
      </c>
      <c r="S115" s="871"/>
      <c r="T115" s="871"/>
      <c r="U115" s="872"/>
      <c r="W115" s="872"/>
    </row>
    <row r="116" spans="1:23" x14ac:dyDescent="0.2">
      <c r="A116" s="865" t="s">
        <v>1927</v>
      </c>
      <c r="B116" s="866" t="s">
        <v>3890</v>
      </c>
      <c r="C116" s="866" t="s">
        <v>3890</v>
      </c>
      <c r="D116" s="1438" t="s">
        <v>2012</v>
      </c>
      <c r="E116" s="1441">
        <v>45515.875</v>
      </c>
      <c r="F116" s="1441">
        <v>45625.916666666664</v>
      </c>
      <c r="G116" s="1438" t="s">
        <v>1741</v>
      </c>
      <c r="H116" s="1438" t="s">
        <v>1752</v>
      </c>
      <c r="I116" s="1438" t="s">
        <v>1964</v>
      </c>
      <c r="J116" s="1438" t="s">
        <v>2013</v>
      </c>
      <c r="K116" s="1438" t="s">
        <v>1804</v>
      </c>
      <c r="L116" s="1438" t="s">
        <v>1966</v>
      </c>
      <c r="M116" s="867" t="s">
        <v>1958</v>
      </c>
      <c r="N116" s="867" t="s">
        <v>3895</v>
      </c>
      <c r="O116" s="873" t="s">
        <v>3896</v>
      </c>
      <c r="P116" s="874">
        <v>2</v>
      </c>
      <c r="Q116" s="874">
        <v>2</v>
      </c>
      <c r="R116" s="875">
        <v>1</v>
      </c>
      <c r="S116" s="876"/>
      <c r="T116" s="876"/>
      <c r="U116" s="877"/>
      <c r="W116" s="877"/>
    </row>
    <row r="117" spans="1:23" x14ac:dyDescent="0.2">
      <c r="A117" s="865" t="s">
        <v>1927</v>
      </c>
      <c r="B117" s="866" t="s">
        <v>3890</v>
      </c>
      <c r="C117" s="866" t="s">
        <v>3890</v>
      </c>
      <c r="D117" s="1440"/>
      <c r="E117" s="1443"/>
      <c r="F117" s="1443"/>
      <c r="G117" s="1440"/>
      <c r="H117" s="1440"/>
      <c r="I117" s="1440"/>
      <c r="J117" s="1440"/>
      <c r="K117" s="1440"/>
      <c r="L117" s="1440"/>
      <c r="M117" s="867" t="s">
        <v>1931</v>
      </c>
      <c r="N117" s="867" t="s">
        <v>3891</v>
      </c>
      <c r="O117" s="867" t="s">
        <v>3892</v>
      </c>
      <c r="P117" s="869">
        <v>2</v>
      </c>
      <c r="Q117" s="869">
        <v>2</v>
      </c>
      <c r="R117" s="870">
        <v>1</v>
      </c>
      <c r="S117" s="871"/>
      <c r="T117" s="871"/>
      <c r="U117" s="872"/>
      <c r="W117" s="872"/>
    </row>
    <row r="118" spans="1:23" ht="36" x14ac:dyDescent="0.2">
      <c r="A118" s="865" t="s">
        <v>1927</v>
      </c>
      <c r="B118" s="866" t="s">
        <v>3890</v>
      </c>
      <c r="C118" s="866" t="s">
        <v>3890</v>
      </c>
      <c r="D118" s="867" t="s">
        <v>2014</v>
      </c>
      <c r="E118" s="868">
        <v>45522.416666666664</v>
      </c>
      <c r="F118" s="868">
        <v>45694.416666666664</v>
      </c>
      <c r="G118" s="867" t="s">
        <v>1758</v>
      </c>
      <c r="H118" s="867" t="s">
        <v>1759</v>
      </c>
      <c r="I118" s="867" t="s">
        <v>1823</v>
      </c>
      <c r="J118" s="867" t="s">
        <v>2015</v>
      </c>
      <c r="K118" s="867" t="s">
        <v>1804</v>
      </c>
      <c r="L118" s="867" t="s">
        <v>1819</v>
      </c>
      <c r="M118" s="867" t="s">
        <v>1931</v>
      </c>
      <c r="N118" s="867" t="s">
        <v>3891</v>
      </c>
      <c r="O118" s="873" t="s">
        <v>3892</v>
      </c>
      <c r="P118" s="874">
        <v>16</v>
      </c>
      <c r="Q118" s="874">
        <v>14</v>
      </c>
      <c r="R118" s="875">
        <v>10</v>
      </c>
      <c r="S118" s="876"/>
      <c r="T118" s="876"/>
      <c r="U118" s="877"/>
      <c r="W118" s="877"/>
    </row>
    <row r="119" spans="1:23" ht="36" x14ac:dyDescent="0.2">
      <c r="A119" s="865" t="s">
        <v>1927</v>
      </c>
      <c r="B119" s="866" t="s">
        <v>3890</v>
      </c>
      <c r="C119" s="866" t="s">
        <v>3890</v>
      </c>
      <c r="D119" s="867" t="s">
        <v>2016</v>
      </c>
      <c r="E119" s="868">
        <v>45553.493564814817</v>
      </c>
      <c r="F119" s="868">
        <v>45657.916655092595</v>
      </c>
      <c r="G119" s="867" t="s">
        <v>1741</v>
      </c>
      <c r="H119" s="867" t="s">
        <v>1755</v>
      </c>
      <c r="I119" s="867" t="s">
        <v>1756</v>
      </c>
      <c r="J119" s="867" t="s">
        <v>1756</v>
      </c>
      <c r="K119" s="867" t="s">
        <v>1804</v>
      </c>
      <c r="L119" s="867" t="s">
        <v>1805</v>
      </c>
      <c r="M119" s="867" t="s">
        <v>1931</v>
      </c>
      <c r="N119" s="867" t="s">
        <v>3891</v>
      </c>
      <c r="O119" s="867" t="s">
        <v>3892</v>
      </c>
      <c r="P119" s="869">
        <v>1</v>
      </c>
      <c r="Q119" s="869">
        <v>1</v>
      </c>
      <c r="R119" s="870">
        <v>0</v>
      </c>
      <c r="S119" s="871"/>
      <c r="T119" s="871"/>
      <c r="U119" s="872"/>
      <c r="W119" s="872"/>
    </row>
    <row r="120" spans="1:23" ht="36" x14ac:dyDescent="0.2">
      <c r="A120" s="865" t="s">
        <v>1927</v>
      </c>
      <c r="B120" s="866" t="s">
        <v>3890</v>
      </c>
      <c r="C120" s="866" t="s">
        <v>3890</v>
      </c>
      <c r="D120" s="867" t="s">
        <v>2017</v>
      </c>
      <c r="E120" s="868">
        <v>45537.476979166669</v>
      </c>
      <c r="F120" s="868">
        <v>45657.916655092595</v>
      </c>
      <c r="G120" s="867" t="s">
        <v>1758</v>
      </c>
      <c r="H120" s="867" t="s">
        <v>1759</v>
      </c>
      <c r="I120" s="867" t="s">
        <v>1762</v>
      </c>
      <c r="J120" s="867" t="s">
        <v>2018</v>
      </c>
      <c r="K120" s="867" t="s">
        <v>1804</v>
      </c>
      <c r="L120" s="867" t="s">
        <v>1828</v>
      </c>
      <c r="M120" s="867" t="s">
        <v>1931</v>
      </c>
      <c r="N120" s="867" t="s">
        <v>3891</v>
      </c>
      <c r="O120" s="873" t="s">
        <v>3892</v>
      </c>
      <c r="P120" s="874">
        <v>1</v>
      </c>
      <c r="Q120" s="874">
        <v>1</v>
      </c>
      <c r="R120" s="875">
        <v>0</v>
      </c>
      <c r="S120" s="876"/>
      <c r="T120" s="876"/>
      <c r="U120" s="877"/>
      <c r="W120" s="877"/>
    </row>
    <row r="121" spans="1:23" ht="36" x14ac:dyDescent="0.2">
      <c r="A121" s="865" t="s">
        <v>1927</v>
      </c>
      <c r="B121" s="866" t="s">
        <v>3890</v>
      </c>
      <c r="C121" s="866" t="s">
        <v>3890</v>
      </c>
      <c r="D121" s="867" t="s">
        <v>2019</v>
      </c>
      <c r="E121" s="868">
        <v>45555.229224537034</v>
      </c>
      <c r="F121" s="868">
        <v>45657.916655092595</v>
      </c>
      <c r="G121" s="867" t="s">
        <v>1741</v>
      </c>
      <c r="H121" s="867" t="s">
        <v>1742</v>
      </c>
      <c r="I121" s="867" t="s">
        <v>1743</v>
      </c>
      <c r="J121" s="867" t="s">
        <v>2020</v>
      </c>
      <c r="K121" s="867" t="s">
        <v>1804</v>
      </c>
      <c r="L121" s="867" t="s">
        <v>1805</v>
      </c>
      <c r="M121" s="867" t="s">
        <v>1931</v>
      </c>
      <c r="N121" s="867" t="s">
        <v>3891</v>
      </c>
      <c r="O121" s="867" t="s">
        <v>3892</v>
      </c>
      <c r="P121" s="869">
        <v>1</v>
      </c>
      <c r="Q121" s="869">
        <v>1</v>
      </c>
      <c r="R121" s="870">
        <v>0</v>
      </c>
      <c r="S121" s="871"/>
      <c r="T121" s="871"/>
      <c r="U121" s="872"/>
      <c r="W121" s="872"/>
    </row>
    <row r="122" spans="1:23" x14ac:dyDescent="0.2">
      <c r="A122" s="865" t="s">
        <v>1927</v>
      </c>
      <c r="B122" s="866" t="s">
        <v>3890</v>
      </c>
      <c r="C122" s="866" t="s">
        <v>3890</v>
      </c>
      <c r="D122" s="1438" t="s">
        <v>2021</v>
      </c>
      <c r="E122" s="1441">
        <v>45530.3362037037</v>
      </c>
      <c r="F122" s="1441">
        <v>46022.916655092595</v>
      </c>
      <c r="G122" s="1438" t="s">
        <v>1758</v>
      </c>
      <c r="H122" s="1438" t="s">
        <v>1759</v>
      </c>
      <c r="I122" s="1438" t="s">
        <v>1761</v>
      </c>
      <c r="J122" s="1438" t="s">
        <v>2022</v>
      </c>
      <c r="K122" s="1438" t="s">
        <v>1804</v>
      </c>
      <c r="L122" s="1438" t="s">
        <v>1828</v>
      </c>
      <c r="M122" s="867" t="s">
        <v>1937</v>
      </c>
      <c r="N122" s="867" t="s">
        <v>3893</v>
      </c>
      <c r="O122" s="873" t="s">
        <v>3894</v>
      </c>
      <c r="P122" s="874">
        <v>1</v>
      </c>
      <c r="Q122" s="874">
        <v>1</v>
      </c>
      <c r="R122" s="875">
        <v>0</v>
      </c>
      <c r="S122" s="876"/>
      <c r="T122" s="876"/>
      <c r="U122" s="877"/>
      <c r="W122" s="877"/>
    </row>
    <row r="123" spans="1:23" x14ac:dyDescent="0.2">
      <c r="A123" s="865" t="s">
        <v>1927</v>
      </c>
      <c r="B123" s="866" t="s">
        <v>3890</v>
      </c>
      <c r="C123" s="866" t="s">
        <v>3890</v>
      </c>
      <c r="D123" s="1440"/>
      <c r="E123" s="1443"/>
      <c r="F123" s="1443"/>
      <c r="G123" s="1440"/>
      <c r="H123" s="1440"/>
      <c r="I123" s="1440"/>
      <c r="J123" s="1440"/>
      <c r="K123" s="1440"/>
      <c r="L123" s="1440"/>
      <c r="M123" s="867" t="s">
        <v>1931</v>
      </c>
      <c r="N123" s="867" t="s">
        <v>3891</v>
      </c>
      <c r="O123" s="867" t="s">
        <v>3892</v>
      </c>
      <c r="P123" s="869">
        <v>1</v>
      </c>
      <c r="Q123" s="869">
        <v>1</v>
      </c>
      <c r="R123" s="870">
        <v>0</v>
      </c>
      <c r="S123" s="871"/>
      <c r="T123" s="871"/>
      <c r="U123" s="872"/>
      <c r="W123" s="872"/>
    </row>
    <row r="124" spans="1:23" ht="36" x14ac:dyDescent="0.2">
      <c r="A124" s="865" t="s">
        <v>1927</v>
      </c>
      <c r="B124" s="866" t="s">
        <v>3890</v>
      </c>
      <c r="C124" s="866" t="s">
        <v>3890</v>
      </c>
      <c r="D124" s="867" t="s">
        <v>2023</v>
      </c>
      <c r="E124" s="868">
        <v>45555.237129629626</v>
      </c>
      <c r="F124" s="868">
        <v>45657.916655092595</v>
      </c>
      <c r="G124" s="867" t="s">
        <v>1741</v>
      </c>
      <c r="H124" s="867" t="s">
        <v>1742</v>
      </c>
      <c r="I124" s="867" t="s">
        <v>1744</v>
      </c>
      <c r="J124" s="867" t="s">
        <v>2024</v>
      </c>
      <c r="K124" s="867" t="s">
        <v>1804</v>
      </c>
      <c r="L124" s="867" t="s">
        <v>1805</v>
      </c>
      <c r="M124" s="867" t="s">
        <v>1931</v>
      </c>
      <c r="N124" s="867" t="s">
        <v>3891</v>
      </c>
      <c r="O124" s="873" t="s">
        <v>3892</v>
      </c>
      <c r="P124" s="874">
        <v>1</v>
      </c>
      <c r="Q124" s="874">
        <v>1</v>
      </c>
      <c r="R124" s="875">
        <v>0</v>
      </c>
      <c r="S124" s="876"/>
      <c r="T124" s="876"/>
      <c r="U124" s="877"/>
      <c r="W124" s="877"/>
    </row>
    <row r="125" spans="1:23" ht="36" x14ac:dyDescent="0.2">
      <c r="A125" s="865" t="s">
        <v>1927</v>
      </c>
      <c r="B125" s="866" t="s">
        <v>3890</v>
      </c>
      <c r="C125" s="866" t="s">
        <v>3890</v>
      </c>
      <c r="D125" s="867" t="s">
        <v>2025</v>
      </c>
      <c r="E125" s="868">
        <v>45559.532986111109</v>
      </c>
      <c r="F125" s="868">
        <v>45657.916655092595</v>
      </c>
      <c r="G125" s="867" t="s">
        <v>1741</v>
      </c>
      <c r="H125" s="867" t="s">
        <v>1745</v>
      </c>
      <c r="I125" s="867" t="s">
        <v>1747</v>
      </c>
      <c r="J125" s="867" t="s">
        <v>2026</v>
      </c>
      <c r="K125" s="867" t="s">
        <v>1804</v>
      </c>
      <c r="L125" s="867" t="s">
        <v>1805</v>
      </c>
      <c r="M125" s="867" t="s">
        <v>1931</v>
      </c>
      <c r="N125" s="867" t="s">
        <v>3891</v>
      </c>
      <c r="O125" s="867" t="s">
        <v>3892</v>
      </c>
      <c r="P125" s="869">
        <v>1</v>
      </c>
      <c r="Q125" s="869">
        <v>1</v>
      </c>
      <c r="R125" s="870">
        <v>0</v>
      </c>
      <c r="S125" s="871"/>
      <c r="T125" s="871"/>
      <c r="U125" s="872"/>
      <c r="W125" s="872"/>
    </row>
    <row r="126" spans="1:23" ht="36" x14ac:dyDescent="0.2">
      <c r="A126" s="865" t="s">
        <v>1927</v>
      </c>
      <c r="B126" s="866" t="s">
        <v>3890</v>
      </c>
      <c r="C126" s="866" t="s">
        <v>3890</v>
      </c>
      <c r="D126" s="867" t="s">
        <v>2027</v>
      </c>
      <c r="E126" s="868">
        <v>45572.281493055554</v>
      </c>
      <c r="F126" s="868">
        <v>45688.916655092595</v>
      </c>
      <c r="G126" s="867" t="s">
        <v>1741</v>
      </c>
      <c r="H126" s="867" t="s">
        <v>1742</v>
      </c>
      <c r="I126" s="867" t="s">
        <v>1743</v>
      </c>
      <c r="J126" s="867" t="s">
        <v>2028</v>
      </c>
      <c r="K126" s="867" t="s">
        <v>1804</v>
      </c>
      <c r="L126" s="867" t="s">
        <v>1805</v>
      </c>
      <c r="M126" s="867" t="s">
        <v>1931</v>
      </c>
      <c r="N126" s="867" t="s">
        <v>3891</v>
      </c>
      <c r="O126" s="873" t="s">
        <v>3892</v>
      </c>
      <c r="P126" s="874">
        <v>3</v>
      </c>
      <c r="Q126" s="874">
        <v>2</v>
      </c>
      <c r="R126" s="875">
        <v>0</v>
      </c>
      <c r="S126" s="876"/>
      <c r="T126" s="876"/>
      <c r="U126" s="877"/>
      <c r="W126" s="877"/>
    </row>
    <row r="127" spans="1:23" ht="36" x14ac:dyDescent="0.2">
      <c r="A127" s="865" t="s">
        <v>1927</v>
      </c>
      <c r="B127" s="866" t="s">
        <v>3890</v>
      </c>
      <c r="C127" s="866" t="s">
        <v>3890</v>
      </c>
      <c r="D127" s="867" t="s">
        <v>2029</v>
      </c>
      <c r="E127" s="868">
        <v>45600.27847222222</v>
      </c>
      <c r="F127" s="868">
        <v>45716.916655092595</v>
      </c>
      <c r="G127" s="867" t="s">
        <v>1741</v>
      </c>
      <c r="H127" s="867" t="s">
        <v>1749</v>
      </c>
      <c r="I127" s="867" t="s">
        <v>1749</v>
      </c>
      <c r="J127" s="867" t="s">
        <v>2030</v>
      </c>
      <c r="K127" s="867" t="s">
        <v>1804</v>
      </c>
      <c r="L127" s="867" t="s">
        <v>1869</v>
      </c>
      <c r="M127" s="867" t="s">
        <v>1931</v>
      </c>
      <c r="N127" s="867" t="s">
        <v>3891</v>
      </c>
      <c r="O127" s="867" t="s">
        <v>3892</v>
      </c>
      <c r="P127" s="869">
        <v>1</v>
      </c>
      <c r="Q127" s="869">
        <v>0</v>
      </c>
      <c r="R127" s="870">
        <v>0</v>
      </c>
      <c r="S127" s="871"/>
      <c r="T127" s="871"/>
      <c r="U127" s="872"/>
      <c r="W127" s="872"/>
    </row>
    <row r="128" spans="1:23" ht="36" x14ac:dyDescent="0.2">
      <c r="A128" s="865" t="s">
        <v>1927</v>
      </c>
      <c r="B128" s="866" t="s">
        <v>3890</v>
      </c>
      <c r="C128" s="866" t="s">
        <v>3890</v>
      </c>
      <c r="D128" s="867" t="s">
        <v>2031</v>
      </c>
      <c r="E128" s="868">
        <v>45604.827002314814</v>
      </c>
      <c r="F128" s="868">
        <v>45716.916655092595</v>
      </c>
      <c r="G128" s="867" t="s">
        <v>1741</v>
      </c>
      <c r="H128" s="867" t="s">
        <v>1742</v>
      </c>
      <c r="I128" s="867" t="s">
        <v>1744</v>
      </c>
      <c r="J128" s="867" t="s">
        <v>2032</v>
      </c>
      <c r="K128" s="867" t="s">
        <v>1804</v>
      </c>
      <c r="L128" s="867" t="s">
        <v>1805</v>
      </c>
      <c r="M128" s="867" t="s">
        <v>1931</v>
      </c>
      <c r="N128" s="867" t="s">
        <v>3891</v>
      </c>
      <c r="O128" s="873" t="s">
        <v>3892</v>
      </c>
      <c r="P128" s="874">
        <v>1</v>
      </c>
      <c r="Q128" s="874">
        <v>1</v>
      </c>
      <c r="R128" s="875">
        <v>0</v>
      </c>
      <c r="S128" s="876"/>
      <c r="T128" s="876"/>
      <c r="U128" s="877"/>
      <c r="W128" s="877"/>
    </row>
    <row r="129" spans="1:23" ht="36" x14ac:dyDescent="0.2">
      <c r="A129" s="865" t="s">
        <v>1927</v>
      </c>
      <c r="B129" s="866" t="s">
        <v>3890</v>
      </c>
      <c r="C129" s="866" t="s">
        <v>3890</v>
      </c>
      <c r="D129" s="867" t="s">
        <v>2033</v>
      </c>
      <c r="E129" s="868">
        <v>45604.825208333335</v>
      </c>
      <c r="F129" s="868">
        <v>45716.916655092595</v>
      </c>
      <c r="G129" s="867" t="s">
        <v>1741</v>
      </c>
      <c r="H129" s="867" t="s">
        <v>1742</v>
      </c>
      <c r="I129" s="867" t="s">
        <v>1743</v>
      </c>
      <c r="J129" s="867" t="s">
        <v>2034</v>
      </c>
      <c r="K129" s="867" t="s">
        <v>1804</v>
      </c>
      <c r="L129" s="867" t="s">
        <v>1805</v>
      </c>
      <c r="M129" s="867" t="s">
        <v>1931</v>
      </c>
      <c r="N129" s="867" t="s">
        <v>3891</v>
      </c>
      <c r="O129" s="867" t="s">
        <v>3892</v>
      </c>
      <c r="P129" s="869">
        <v>1</v>
      </c>
      <c r="Q129" s="869">
        <v>1</v>
      </c>
      <c r="R129" s="870">
        <v>0</v>
      </c>
      <c r="S129" s="871"/>
      <c r="T129" s="871"/>
      <c r="U129" s="872"/>
      <c r="W129" s="872"/>
    </row>
    <row r="130" spans="1:23" ht="48" x14ac:dyDescent="0.2">
      <c r="A130" s="865" t="s">
        <v>1927</v>
      </c>
      <c r="B130" s="866" t="s">
        <v>3890</v>
      </c>
      <c r="C130" s="866" t="s">
        <v>3890</v>
      </c>
      <c r="D130" s="867" t="s">
        <v>2035</v>
      </c>
      <c r="E130" s="868">
        <v>45600.296759259261</v>
      </c>
      <c r="F130" s="868">
        <v>45720.916655092595</v>
      </c>
      <c r="G130" s="867" t="s">
        <v>1758</v>
      </c>
      <c r="H130" s="867" t="s">
        <v>1759</v>
      </c>
      <c r="I130" s="867" t="s">
        <v>1760</v>
      </c>
      <c r="J130" s="867" t="s">
        <v>2036</v>
      </c>
      <c r="K130" s="867" t="s">
        <v>1804</v>
      </c>
      <c r="L130" s="867" t="s">
        <v>1805</v>
      </c>
      <c r="M130" s="867" t="s">
        <v>1931</v>
      </c>
      <c r="N130" s="867" t="s">
        <v>3891</v>
      </c>
      <c r="O130" s="873" t="s">
        <v>3892</v>
      </c>
      <c r="P130" s="874">
        <v>5</v>
      </c>
      <c r="Q130" s="874">
        <v>5</v>
      </c>
      <c r="R130" s="875">
        <v>5</v>
      </c>
      <c r="S130" s="876"/>
      <c r="T130" s="876"/>
      <c r="U130" s="877"/>
      <c r="W130" s="877"/>
    </row>
    <row r="131" spans="1:23" ht="36" x14ac:dyDescent="0.2">
      <c r="A131" s="865" t="s">
        <v>1927</v>
      </c>
      <c r="B131" s="866" t="s">
        <v>3890</v>
      </c>
      <c r="C131" s="866" t="s">
        <v>3890</v>
      </c>
      <c r="D131" s="867" t="s">
        <v>2037</v>
      </c>
      <c r="E131" s="868">
        <v>45541.457002314812</v>
      </c>
      <c r="F131" s="868">
        <v>45657.999988425923</v>
      </c>
      <c r="G131" s="867" t="s">
        <v>1741</v>
      </c>
      <c r="H131" s="867" t="s">
        <v>1752</v>
      </c>
      <c r="I131" s="867" t="s">
        <v>2038</v>
      </c>
      <c r="J131" s="867" t="s">
        <v>2039</v>
      </c>
      <c r="K131" s="867" t="s">
        <v>1804</v>
      </c>
      <c r="L131" s="867" t="s">
        <v>1805</v>
      </c>
      <c r="M131" s="867" t="s">
        <v>1931</v>
      </c>
      <c r="N131" s="867" t="s">
        <v>3891</v>
      </c>
      <c r="O131" s="867" t="s">
        <v>3892</v>
      </c>
      <c r="P131" s="869">
        <v>1</v>
      </c>
      <c r="Q131" s="869">
        <v>0</v>
      </c>
      <c r="R131" s="870">
        <v>0</v>
      </c>
      <c r="S131" s="871"/>
      <c r="T131" s="871"/>
      <c r="U131" s="872"/>
      <c r="W131" s="872"/>
    </row>
    <row r="132" spans="1:23" x14ac:dyDescent="0.2">
      <c r="A132" s="865" t="s">
        <v>1927</v>
      </c>
      <c r="B132" s="866" t="s">
        <v>3890</v>
      </c>
      <c r="C132" s="866" t="s">
        <v>3890</v>
      </c>
      <c r="D132" s="1438" t="s">
        <v>2040</v>
      </c>
      <c r="E132" s="1441">
        <v>45568.499895833331</v>
      </c>
      <c r="F132" s="1441">
        <v>45869.874988425923</v>
      </c>
      <c r="G132" s="1438" t="s">
        <v>1741</v>
      </c>
      <c r="H132" s="1438" t="s">
        <v>1755</v>
      </c>
      <c r="I132" s="1438" t="s">
        <v>1756</v>
      </c>
      <c r="J132" s="1438" t="s">
        <v>2041</v>
      </c>
      <c r="K132" s="1438" t="s">
        <v>1804</v>
      </c>
      <c r="L132" s="1438" t="s">
        <v>1805</v>
      </c>
      <c r="M132" s="867" t="s">
        <v>1958</v>
      </c>
      <c r="N132" s="867" t="s">
        <v>3895</v>
      </c>
      <c r="O132" s="873" t="s">
        <v>3896</v>
      </c>
      <c r="P132" s="874">
        <v>17</v>
      </c>
      <c r="Q132" s="874">
        <v>15</v>
      </c>
      <c r="R132" s="875">
        <v>9</v>
      </c>
      <c r="S132" s="876"/>
      <c r="T132" s="876"/>
      <c r="U132" s="877"/>
      <c r="W132" s="877"/>
    </row>
    <row r="133" spans="1:23" x14ac:dyDescent="0.2">
      <c r="A133" s="865" t="s">
        <v>1927</v>
      </c>
      <c r="B133" s="866" t="s">
        <v>3890</v>
      </c>
      <c r="C133" s="866" t="s">
        <v>3890</v>
      </c>
      <c r="D133" s="1440"/>
      <c r="E133" s="1443"/>
      <c r="F133" s="1443"/>
      <c r="G133" s="1440"/>
      <c r="H133" s="1440"/>
      <c r="I133" s="1440"/>
      <c r="J133" s="1440"/>
      <c r="K133" s="1440"/>
      <c r="L133" s="1440"/>
      <c r="M133" s="867" t="s">
        <v>1931</v>
      </c>
      <c r="N133" s="867" t="s">
        <v>3891</v>
      </c>
      <c r="O133" s="867" t="s">
        <v>3892</v>
      </c>
      <c r="P133" s="869">
        <v>17</v>
      </c>
      <c r="Q133" s="869">
        <v>15</v>
      </c>
      <c r="R133" s="870">
        <v>9</v>
      </c>
      <c r="S133" s="871"/>
      <c r="T133" s="871"/>
      <c r="U133" s="872"/>
      <c r="W133" s="872"/>
    </row>
    <row r="134" spans="1:23" ht="24" x14ac:dyDescent="0.2">
      <c r="A134" s="865" t="s">
        <v>1927</v>
      </c>
      <c r="B134" s="866" t="s">
        <v>3890</v>
      </c>
      <c r="C134" s="866" t="s">
        <v>3890</v>
      </c>
      <c r="D134" s="867" t="s">
        <v>2042</v>
      </c>
      <c r="E134" s="868">
        <v>45635.461134259262</v>
      </c>
      <c r="F134" s="868">
        <v>45747.874988425923</v>
      </c>
      <c r="G134" s="867" t="s">
        <v>1758</v>
      </c>
      <c r="H134" s="867" t="s">
        <v>1759</v>
      </c>
      <c r="I134" s="867" t="s">
        <v>1761</v>
      </c>
      <c r="J134" s="867" t="s">
        <v>2043</v>
      </c>
      <c r="K134" s="867" t="s">
        <v>1804</v>
      </c>
      <c r="L134" s="867" t="s">
        <v>1828</v>
      </c>
      <c r="M134" s="867" t="s">
        <v>1931</v>
      </c>
      <c r="N134" s="867" t="s">
        <v>3891</v>
      </c>
      <c r="O134" s="873" t="s">
        <v>3892</v>
      </c>
      <c r="P134" s="874">
        <v>6</v>
      </c>
      <c r="Q134" s="874">
        <v>6</v>
      </c>
      <c r="R134" s="875">
        <v>0</v>
      </c>
      <c r="S134" s="876"/>
      <c r="T134" s="876"/>
      <c r="U134" s="877"/>
      <c r="W134" s="877"/>
    </row>
    <row r="135" spans="1:23" ht="36" x14ac:dyDescent="0.2">
      <c r="A135" s="865" t="s">
        <v>1927</v>
      </c>
      <c r="B135" s="866" t="s">
        <v>3890</v>
      </c>
      <c r="C135" s="866" t="s">
        <v>3890</v>
      </c>
      <c r="D135" s="867" t="s">
        <v>2044</v>
      </c>
      <c r="E135" s="868">
        <v>45553.500717592593</v>
      </c>
      <c r="F135" s="868">
        <v>45657.916655092595</v>
      </c>
      <c r="G135" s="867" t="s">
        <v>1741</v>
      </c>
      <c r="H135" s="867" t="s">
        <v>1755</v>
      </c>
      <c r="I135" s="867" t="s">
        <v>1757</v>
      </c>
      <c r="J135" s="867" t="s">
        <v>1757</v>
      </c>
      <c r="K135" s="867" t="s">
        <v>1804</v>
      </c>
      <c r="L135" s="867" t="s">
        <v>1805</v>
      </c>
      <c r="M135" s="867" t="s">
        <v>1931</v>
      </c>
      <c r="N135" s="867" t="s">
        <v>3891</v>
      </c>
      <c r="O135" s="867" t="s">
        <v>3892</v>
      </c>
      <c r="P135" s="869">
        <v>1</v>
      </c>
      <c r="Q135" s="869">
        <v>1</v>
      </c>
      <c r="R135" s="870">
        <v>0</v>
      </c>
      <c r="S135" s="871"/>
      <c r="T135" s="871"/>
      <c r="U135" s="872"/>
      <c r="W135" s="872"/>
    </row>
    <row r="136" spans="1:23" ht="36" x14ac:dyDescent="0.2">
      <c r="A136" s="865" t="s">
        <v>1927</v>
      </c>
      <c r="B136" s="866" t="s">
        <v>3890</v>
      </c>
      <c r="C136" s="866" t="s">
        <v>3890</v>
      </c>
      <c r="D136" s="867" t="s">
        <v>2045</v>
      </c>
      <c r="E136" s="868">
        <v>45609.730914351851</v>
      </c>
      <c r="F136" s="868">
        <v>45716.916655092595</v>
      </c>
      <c r="G136" s="867" t="s">
        <v>1741</v>
      </c>
      <c r="H136" s="867" t="s">
        <v>1745</v>
      </c>
      <c r="I136" s="867" t="s">
        <v>1747</v>
      </c>
      <c r="J136" s="867" t="s">
        <v>2046</v>
      </c>
      <c r="K136" s="867" t="s">
        <v>1804</v>
      </c>
      <c r="L136" s="867" t="s">
        <v>1805</v>
      </c>
      <c r="M136" s="867" t="s">
        <v>1931</v>
      </c>
      <c r="N136" s="867" t="s">
        <v>3891</v>
      </c>
      <c r="O136" s="873" t="s">
        <v>3892</v>
      </c>
      <c r="P136" s="874">
        <v>1</v>
      </c>
      <c r="Q136" s="874">
        <v>0</v>
      </c>
      <c r="R136" s="875">
        <v>0</v>
      </c>
      <c r="S136" s="876"/>
      <c r="T136" s="876"/>
      <c r="U136" s="877"/>
      <c r="W136" s="877"/>
    </row>
    <row r="137" spans="1:23" ht="24" x14ac:dyDescent="0.2">
      <c r="A137" s="865" t="s">
        <v>1927</v>
      </c>
      <c r="B137" s="866" t="s">
        <v>3890</v>
      </c>
      <c r="C137" s="866" t="s">
        <v>3890</v>
      </c>
      <c r="D137" s="867" t="s">
        <v>2047</v>
      </c>
      <c r="E137" s="868">
        <v>45545.730509259258</v>
      </c>
      <c r="F137" s="868">
        <v>45910.874988425923</v>
      </c>
      <c r="G137" s="867" t="s">
        <v>1758</v>
      </c>
      <c r="H137" s="867" t="s">
        <v>1763</v>
      </c>
      <c r="I137" s="867" t="s">
        <v>2048</v>
      </c>
      <c r="J137" s="867" t="s">
        <v>2049</v>
      </c>
      <c r="K137" s="867" t="s">
        <v>1804</v>
      </c>
      <c r="L137" s="867" t="s">
        <v>1805</v>
      </c>
      <c r="M137" s="867" t="s">
        <v>1937</v>
      </c>
      <c r="N137" s="867" t="s">
        <v>3893</v>
      </c>
      <c r="O137" s="867" t="s">
        <v>3894</v>
      </c>
      <c r="P137" s="869">
        <v>13</v>
      </c>
      <c r="Q137" s="869">
        <v>12</v>
      </c>
      <c r="R137" s="870">
        <v>3</v>
      </c>
      <c r="S137" s="871"/>
      <c r="T137" s="871"/>
      <c r="U137" s="872"/>
      <c r="W137" s="872"/>
    </row>
    <row r="138" spans="1:23" ht="48" x14ac:dyDescent="0.2">
      <c r="A138" s="865" t="s">
        <v>1927</v>
      </c>
      <c r="B138" s="866" t="s">
        <v>3890</v>
      </c>
      <c r="C138" s="866" t="s">
        <v>3890</v>
      </c>
      <c r="D138" s="867" t="s">
        <v>2050</v>
      </c>
      <c r="E138" s="868">
        <v>45572.231377314813</v>
      </c>
      <c r="F138" s="868">
        <v>45688.916655092595</v>
      </c>
      <c r="G138" s="867" t="s">
        <v>1758</v>
      </c>
      <c r="H138" s="867" t="s">
        <v>1759</v>
      </c>
      <c r="I138" s="867" t="s">
        <v>1760</v>
      </c>
      <c r="J138" s="867" t="s">
        <v>2051</v>
      </c>
      <c r="K138" s="867" t="s">
        <v>1804</v>
      </c>
      <c r="L138" s="867" t="s">
        <v>1805</v>
      </c>
      <c r="M138" s="867" t="s">
        <v>1931</v>
      </c>
      <c r="N138" s="867" t="s">
        <v>3891</v>
      </c>
      <c r="O138" s="873" t="s">
        <v>3892</v>
      </c>
      <c r="P138" s="874">
        <v>1</v>
      </c>
      <c r="Q138" s="874">
        <v>1</v>
      </c>
      <c r="R138" s="875">
        <v>0</v>
      </c>
      <c r="S138" s="876"/>
      <c r="T138" s="876"/>
      <c r="U138" s="877"/>
      <c r="W138" s="877"/>
    </row>
    <row r="139" spans="1:23" ht="36" x14ac:dyDescent="0.2">
      <c r="A139" s="865" t="s">
        <v>1927</v>
      </c>
      <c r="B139" s="866" t="s">
        <v>3890</v>
      </c>
      <c r="C139" s="866" t="s">
        <v>3890</v>
      </c>
      <c r="D139" s="867" t="s">
        <v>2052</v>
      </c>
      <c r="E139" s="868">
        <v>45540.271863425929</v>
      </c>
      <c r="F139" s="868">
        <v>45657.916655092595</v>
      </c>
      <c r="G139" s="867" t="s">
        <v>1741</v>
      </c>
      <c r="H139" s="867" t="s">
        <v>1752</v>
      </c>
      <c r="I139" s="867" t="s">
        <v>2038</v>
      </c>
      <c r="J139" s="867" t="s">
        <v>2039</v>
      </c>
      <c r="K139" s="867" t="s">
        <v>1804</v>
      </c>
      <c r="L139" s="867" t="s">
        <v>1805</v>
      </c>
      <c r="M139" s="867" t="s">
        <v>1931</v>
      </c>
      <c r="N139" s="867" t="s">
        <v>3891</v>
      </c>
      <c r="O139" s="867" t="s">
        <v>3892</v>
      </c>
      <c r="P139" s="869">
        <v>1</v>
      </c>
      <c r="Q139" s="869">
        <v>0</v>
      </c>
      <c r="R139" s="870">
        <v>0</v>
      </c>
      <c r="S139" s="871"/>
      <c r="T139" s="871"/>
      <c r="U139" s="872"/>
      <c r="W139" s="872"/>
    </row>
    <row r="140" spans="1:23" ht="24" x14ac:dyDescent="0.2">
      <c r="A140" s="865" t="s">
        <v>1927</v>
      </c>
      <c r="B140" s="866" t="s">
        <v>3890</v>
      </c>
      <c r="C140" s="866" t="s">
        <v>3890</v>
      </c>
      <c r="D140" s="867" t="s">
        <v>2053</v>
      </c>
      <c r="E140" s="868">
        <v>45572.292858796296</v>
      </c>
      <c r="F140" s="868">
        <v>45688.916655092595</v>
      </c>
      <c r="G140" s="867" t="s">
        <v>1758</v>
      </c>
      <c r="H140" s="867" t="s">
        <v>1759</v>
      </c>
      <c r="I140" s="867" t="s">
        <v>1761</v>
      </c>
      <c r="J140" s="867" t="s">
        <v>2054</v>
      </c>
      <c r="K140" s="867" t="s">
        <v>1804</v>
      </c>
      <c r="L140" s="867" t="s">
        <v>1828</v>
      </c>
      <c r="M140" s="867" t="s">
        <v>1931</v>
      </c>
      <c r="N140" s="867" t="s">
        <v>3891</v>
      </c>
      <c r="O140" s="873" t="s">
        <v>3892</v>
      </c>
      <c r="P140" s="874">
        <v>8</v>
      </c>
      <c r="Q140" s="874">
        <v>5</v>
      </c>
      <c r="R140" s="875">
        <v>0</v>
      </c>
      <c r="S140" s="876"/>
      <c r="T140" s="876"/>
      <c r="U140" s="877"/>
      <c r="W140" s="877"/>
    </row>
    <row r="141" spans="1:23" ht="36" x14ac:dyDescent="0.2">
      <c r="A141" s="865" t="s">
        <v>1927</v>
      </c>
      <c r="B141" s="866" t="s">
        <v>3890</v>
      </c>
      <c r="C141" s="866" t="s">
        <v>3890</v>
      </c>
      <c r="D141" s="867" t="s">
        <v>2055</v>
      </c>
      <c r="E141" s="868">
        <v>45566.291550925926</v>
      </c>
      <c r="F141" s="868">
        <v>45688.916655092595</v>
      </c>
      <c r="G141" s="867" t="s">
        <v>1758</v>
      </c>
      <c r="H141" s="867" t="s">
        <v>1759</v>
      </c>
      <c r="I141" s="867" t="s">
        <v>1762</v>
      </c>
      <c r="J141" s="867" t="s">
        <v>2056</v>
      </c>
      <c r="K141" s="867" t="s">
        <v>1804</v>
      </c>
      <c r="L141" s="867" t="s">
        <v>1828</v>
      </c>
      <c r="M141" s="867" t="s">
        <v>1931</v>
      </c>
      <c r="N141" s="867" t="s">
        <v>3891</v>
      </c>
      <c r="O141" s="867" t="s">
        <v>3892</v>
      </c>
      <c r="P141" s="869">
        <v>2</v>
      </c>
      <c r="Q141" s="869">
        <v>2</v>
      </c>
      <c r="R141" s="870">
        <v>1</v>
      </c>
      <c r="S141" s="871"/>
      <c r="T141" s="871"/>
      <c r="U141" s="872"/>
      <c r="W141" s="872"/>
    </row>
    <row r="142" spans="1:23" ht="24" x14ac:dyDescent="0.2">
      <c r="A142" s="865" t="s">
        <v>1927</v>
      </c>
      <c r="B142" s="866" t="s">
        <v>3890</v>
      </c>
      <c r="C142" s="866" t="s">
        <v>3890</v>
      </c>
      <c r="D142" s="867" t="s">
        <v>2057</v>
      </c>
      <c r="E142" s="868">
        <v>45602.916666666664</v>
      </c>
      <c r="F142" s="868">
        <v>45804.874988425923</v>
      </c>
      <c r="G142" s="867" t="s">
        <v>1758</v>
      </c>
      <c r="H142" s="867" t="s">
        <v>1759</v>
      </c>
      <c r="I142" s="867" t="s">
        <v>1761</v>
      </c>
      <c r="J142" s="867" t="s">
        <v>2058</v>
      </c>
      <c r="K142" s="867" t="s">
        <v>1804</v>
      </c>
      <c r="L142" s="867" t="s">
        <v>1828</v>
      </c>
      <c r="M142" s="867" t="s">
        <v>1931</v>
      </c>
      <c r="N142" s="867" t="s">
        <v>3891</v>
      </c>
      <c r="O142" s="873" t="s">
        <v>3892</v>
      </c>
      <c r="P142" s="874">
        <v>13</v>
      </c>
      <c r="Q142" s="874">
        <v>12</v>
      </c>
      <c r="R142" s="875">
        <v>3</v>
      </c>
      <c r="S142" s="876"/>
      <c r="T142" s="876"/>
      <c r="U142" s="877"/>
      <c r="W142" s="877"/>
    </row>
    <row r="143" spans="1:23" ht="36" x14ac:dyDescent="0.2">
      <c r="A143" s="865" t="s">
        <v>1927</v>
      </c>
      <c r="B143" s="866" t="s">
        <v>3890</v>
      </c>
      <c r="C143" s="866" t="s">
        <v>3890</v>
      </c>
      <c r="D143" s="867" t="s">
        <v>2059</v>
      </c>
      <c r="E143" s="868">
        <v>45567.240983796299</v>
      </c>
      <c r="F143" s="868">
        <v>45688.916655092595</v>
      </c>
      <c r="G143" s="867" t="s">
        <v>1741</v>
      </c>
      <c r="H143" s="867" t="s">
        <v>1752</v>
      </c>
      <c r="I143" s="867" t="s">
        <v>1754</v>
      </c>
      <c r="J143" s="867" t="s">
        <v>2060</v>
      </c>
      <c r="K143" s="867" t="s">
        <v>1804</v>
      </c>
      <c r="L143" s="867" t="s">
        <v>1930</v>
      </c>
      <c r="M143" s="867" t="s">
        <v>1931</v>
      </c>
      <c r="N143" s="867" t="s">
        <v>3891</v>
      </c>
      <c r="O143" s="867" t="s">
        <v>3892</v>
      </c>
      <c r="P143" s="869">
        <v>1</v>
      </c>
      <c r="Q143" s="869">
        <v>1</v>
      </c>
      <c r="R143" s="870">
        <v>0</v>
      </c>
      <c r="S143" s="871"/>
      <c r="T143" s="871"/>
      <c r="U143" s="872"/>
      <c r="W143" s="872"/>
    </row>
    <row r="144" spans="1:23" x14ac:dyDescent="0.2">
      <c r="A144" s="865" t="s">
        <v>1927</v>
      </c>
      <c r="B144" s="866" t="s">
        <v>3890</v>
      </c>
      <c r="C144" s="866" t="s">
        <v>3890</v>
      </c>
      <c r="D144" s="1438" t="s">
        <v>2061</v>
      </c>
      <c r="E144" s="1441">
        <v>45631.662187499998</v>
      </c>
      <c r="F144" s="1441">
        <v>45991.916655092595</v>
      </c>
      <c r="G144" s="1438" t="s">
        <v>1758</v>
      </c>
      <c r="H144" s="1438" t="s">
        <v>1759</v>
      </c>
      <c r="I144" s="1438" t="s">
        <v>1762</v>
      </c>
      <c r="J144" s="1438" t="s">
        <v>2062</v>
      </c>
      <c r="K144" s="1438" t="s">
        <v>1804</v>
      </c>
      <c r="L144" s="1438" t="s">
        <v>1828</v>
      </c>
      <c r="M144" s="867" t="s">
        <v>1937</v>
      </c>
      <c r="N144" s="867" t="s">
        <v>3893</v>
      </c>
      <c r="O144" s="873" t="s">
        <v>3894</v>
      </c>
      <c r="P144" s="874">
        <v>20</v>
      </c>
      <c r="Q144" s="874">
        <v>18</v>
      </c>
      <c r="R144" s="875">
        <v>11</v>
      </c>
      <c r="S144" s="876"/>
      <c r="T144" s="876"/>
      <c r="U144" s="877"/>
      <c r="W144" s="877"/>
    </row>
    <row r="145" spans="1:23" x14ac:dyDescent="0.2">
      <c r="A145" s="865" t="s">
        <v>1927</v>
      </c>
      <c r="B145" s="866" t="s">
        <v>3890</v>
      </c>
      <c r="C145" s="866" t="s">
        <v>3890</v>
      </c>
      <c r="D145" s="1440"/>
      <c r="E145" s="1443"/>
      <c r="F145" s="1443"/>
      <c r="G145" s="1440"/>
      <c r="H145" s="1440"/>
      <c r="I145" s="1440"/>
      <c r="J145" s="1440"/>
      <c r="K145" s="1440"/>
      <c r="L145" s="1440"/>
      <c r="M145" s="867" t="s">
        <v>1931</v>
      </c>
      <c r="N145" s="867" t="s">
        <v>3891</v>
      </c>
      <c r="O145" s="867" t="s">
        <v>3892</v>
      </c>
      <c r="P145" s="869">
        <v>20</v>
      </c>
      <c r="Q145" s="869">
        <v>18</v>
      </c>
      <c r="R145" s="870">
        <v>11</v>
      </c>
      <c r="S145" s="871"/>
      <c r="T145" s="871"/>
      <c r="U145" s="872"/>
      <c r="W145" s="872"/>
    </row>
    <row r="146" spans="1:23" ht="36" x14ac:dyDescent="0.2">
      <c r="A146" s="865" t="s">
        <v>1927</v>
      </c>
      <c r="B146" s="866" t="s">
        <v>3890</v>
      </c>
      <c r="C146" s="866" t="s">
        <v>3890</v>
      </c>
      <c r="D146" s="867" t="s">
        <v>2063</v>
      </c>
      <c r="E146" s="868">
        <v>45555.363865740743</v>
      </c>
      <c r="F146" s="868">
        <v>45657.916655092595</v>
      </c>
      <c r="G146" s="867" t="s">
        <v>1741</v>
      </c>
      <c r="H146" s="867" t="s">
        <v>1752</v>
      </c>
      <c r="I146" s="867" t="s">
        <v>1754</v>
      </c>
      <c r="J146" s="867" t="s">
        <v>2064</v>
      </c>
      <c r="K146" s="867" t="s">
        <v>1804</v>
      </c>
      <c r="L146" s="867" t="s">
        <v>1930</v>
      </c>
      <c r="M146" s="867" t="s">
        <v>1931</v>
      </c>
      <c r="N146" s="867" t="s">
        <v>3891</v>
      </c>
      <c r="O146" s="873" t="s">
        <v>3892</v>
      </c>
      <c r="P146" s="874">
        <v>2</v>
      </c>
      <c r="Q146" s="874">
        <v>1</v>
      </c>
      <c r="R146" s="875">
        <v>1</v>
      </c>
      <c r="S146" s="876"/>
      <c r="T146" s="876"/>
      <c r="U146" s="877"/>
      <c r="W146" s="877"/>
    </row>
    <row r="147" spans="1:23" x14ac:dyDescent="0.2">
      <c r="A147" s="865" t="s">
        <v>1927</v>
      </c>
      <c r="B147" s="866" t="s">
        <v>3890</v>
      </c>
      <c r="C147" s="866" t="s">
        <v>3890</v>
      </c>
      <c r="D147" s="1438" t="s">
        <v>2065</v>
      </c>
      <c r="E147" s="1441">
        <v>45555.36509259259</v>
      </c>
      <c r="F147" s="1441">
        <v>45741.916655092595</v>
      </c>
      <c r="G147" s="1438" t="s">
        <v>1758</v>
      </c>
      <c r="H147" s="1438" t="s">
        <v>1759</v>
      </c>
      <c r="I147" s="1438" t="s">
        <v>1761</v>
      </c>
      <c r="J147" s="1438" t="s">
        <v>2066</v>
      </c>
      <c r="K147" s="1438" t="s">
        <v>1804</v>
      </c>
      <c r="L147" s="1438" t="s">
        <v>1828</v>
      </c>
      <c r="M147" s="867" t="s">
        <v>1937</v>
      </c>
      <c r="N147" s="867" t="s">
        <v>3893</v>
      </c>
      <c r="O147" s="867" t="s">
        <v>3894</v>
      </c>
      <c r="P147" s="869">
        <v>22</v>
      </c>
      <c r="Q147" s="869">
        <v>22</v>
      </c>
      <c r="R147" s="870">
        <v>14</v>
      </c>
      <c r="S147" s="871"/>
      <c r="T147" s="871"/>
      <c r="U147" s="872"/>
      <c r="W147" s="872"/>
    </row>
    <row r="148" spans="1:23" x14ac:dyDescent="0.2">
      <c r="A148" s="865" t="s">
        <v>1927</v>
      </c>
      <c r="B148" s="866" t="s">
        <v>3890</v>
      </c>
      <c r="C148" s="866" t="s">
        <v>3890</v>
      </c>
      <c r="D148" s="1440"/>
      <c r="E148" s="1443"/>
      <c r="F148" s="1443"/>
      <c r="G148" s="1440"/>
      <c r="H148" s="1440"/>
      <c r="I148" s="1440"/>
      <c r="J148" s="1440"/>
      <c r="K148" s="1440"/>
      <c r="L148" s="1440"/>
      <c r="M148" s="867" t="s">
        <v>1931</v>
      </c>
      <c r="N148" s="867" t="s">
        <v>3891</v>
      </c>
      <c r="O148" s="873" t="s">
        <v>3892</v>
      </c>
      <c r="P148" s="874">
        <v>22</v>
      </c>
      <c r="Q148" s="874">
        <v>22</v>
      </c>
      <c r="R148" s="875">
        <v>14</v>
      </c>
      <c r="S148" s="876"/>
      <c r="T148" s="876"/>
      <c r="U148" s="877"/>
      <c r="W148" s="877"/>
    </row>
    <row r="149" spans="1:23" ht="36" x14ac:dyDescent="0.2">
      <c r="A149" s="865" t="s">
        <v>1927</v>
      </c>
      <c r="B149" s="866" t="s">
        <v>3890</v>
      </c>
      <c r="C149" s="866" t="s">
        <v>3890</v>
      </c>
      <c r="D149" s="867" t="s">
        <v>2067</v>
      </c>
      <c r="E149" s="868">
        <v>45569.291527777779</v>
      </c>
      <c r="F149" s="868">
        <v>45688.916655092595</v>
      </c>
      <c r="G149" s="867" t="s">
        <v>1741</v>
      </c>
      <c r="H149" s="867" t="s">
        <v>1745</v>
      </c>
      <c r="I149" s="867" t="s">
        <v>1747</v>
      </c>
      <c r="J149" s="867" t="s">
        <v>2068</v>
      </c>
      <c r="K149" s="867" t="s">
        <v>1804</v>
      </c>
      <c r="L149" s="867" t="s">
        <v>1805</v>
      </c>
      <c r="M149" s="867" t="s">
        <v>1931</v>
      </c>
      <c r="N149" s="867" t="s">
        <v>3891</v>
      </c>
      <c r="O149" s="867" t="s">
        <v>3892</v>
      </c>
      <c r="P149" s="869">
        <v>1</v>
      </c>
      <c r="Q149" s="869">
        <v>1</v>
      </c>
      <c r="R149" s="870">
        <v>1</v>
      </c>
      <c r="S149" s="871"/>
      <c r="T149" s="871"/>
      <c r="U149" s="872"/>
      <c r="W149" s="872"/>
    </row>
    <row r="150" spans="1:23" x14ac:dyDescent="0.2">
      <c r="A150" s="865" t="s">
        <v>1927</v>
      </c>
      <c r="B150" s="866" t="s">
        <v>3890</v>
      </c>
      <c r="C150" s="866" t="s">
        <v>3890</v>
      </c>
      <c r="D150" s="1438" t="s">
        <v>2069</v>
      </c>
      <c r="E150" s="1441">
        <v>45577.329976851855</v>
      </c>
      <c r="F150" s="1441">
        <v>45961.916655092595</v>
      </c>
      <c r="G150" s="1438" t="s">
        <v>1758</v>
      </c>
      <c r="H150" s="1438" t="s">
        <v>1759</v>
      </c>
      <c r="I150" s="1438" t="s">
        <v>1760</v>
      </c>
      <c r="J150" s="1438" t="s">
        <v>2070</v>
      </c>
      <c r="K150" s="1438" t="s">
        <v>1804</v>
      </c>
      <c r="L150" s="1438" t="s">
        <v>1805</v>
      </c>
      <c r="M150" s="867" t="s">
        <v>1937</v>
      </c>
      <c r="N150" s="867" t="s">
        <v>3893</v>
      </c>
      <c r="O150" s="873" t="s">
        <v>3894</v>
      </c>
      <c r="P150" s="874">
        <v>2</v>
      </c>
      <c r="Q150" s="874">
        <v>2</v>
      </c>
      <c r="R150" s="875">
        <v>0</v>
      </c>
      <c r="S150" s="876"/>
      <c r="T150" s="876"/>
      <c r="U150" s="877"/>
      <c r="W150" s="877"/>
    </row>
    <row r="151" spans="1:23" x14ac:dyDescent="0.2">
      <c r="A151" s="865" t="s">
        <v>1927</v>
      </c>
      <c r="B151" s="866" t="s">
        <v>3890</v>
      </c>
      <c r="C151" s="866" t="s">
        <v>3890</v>
      </c>
      <c r="D151" s="1440"/>
      <c r="E151" s="1443"/>
      <c r="F151" s="1443"/>
      <c r="G151" s="1440"/>
      <c r="H151" s="1440"/>
      <c r="I151" s="1440"/>
      <c r="J151" s="1440"/>
      <c r="K151" s="1440"/>
      <c r="L151" s="1440"/>
      <c r="M151" s="867" t="s">
        <v>1931</v>
      </c>
      <c r="N151" s="867" t="s">
        <v>3891</v>
      </c>
      <c r="O151" s="867" t="s">
        <v>3892</v>
      </c>
      <c r="P151" s="869">
        <v>2</v>
      </c>
      <c r="Q151" s="869">
        <v>2</v>
      </c>
      <c r="R151" s="870">
        <v>0</v>
      </c>
      <c r="S151" s="871"/>
      <c r="T151" s="871"/>
      <c r="U151" s="872"/>
      <c r="W151" s="872"/>
    </row>
    <row r="152" spans="1:23" ht="48" x14ac:dyDescent="0.2">
      <c r="A152" s="865" t="s">
        <v>1927</v>
      </c>
      <c r="B152" s="866" t="s">
        <v>3890</v>
      </c>
      <c r="C152" s="866" t="s">
        <v>3890</v>
      </c>
      <c r="D152" s="867" t="s">
        <v>2071</v>
      </c>
      <c r="E152" s="868">
        <v>45531.406423611108</v>
      </c>
      <c r="F152" s="868">
        <v>45565.958321759259</v>
      </c>
      <c r="G152" s="867" t="s">
        <v>1758</v>
      </c>
      <c r="H152" s="867" t="s">
        <v>1759</v>
      </c>
      <c r="I152" s="867" t="s">
        <v>1760</v>
      </c>
      <c r="J152" s="867" t="s">
        <v>1760</v>
      </c>
      <c r="K152" s="867" t="s">
        <v>1804</v>
      </c>
      <c r="L152" s="867" t="s">
        <v>1805</v>
      </c>
      <c r="M152" s="867" t="s">
        <v>1931</v>
      </c>
      <c r="N152" s="867" t="s">
        <v>3891</v>
      </c>
      <c r="O152" s="873" t="s">
        <v>3892</v>
      </c>
      <c r="P152" s="874">
        <v>3</v>
      </c>
      <c r="Q152" s="874">
        <v>0</v>
      </c>
      <c r="R152" s="875">
        <v>0</v>
      </c>
      <c r="S152" s="876"/>
      <c r="T152" s="876"/>
      <c r="U152" s="877"/>
      <c r="W152" s="877"/>
    </row>
    <row r="153" spans="1:23" x14ac:dyDescent="0.2">
      <c r="A153" s="865" t="s">
        <v>1927</v>
      </c>
      <c r="B153" s="866" t="s">
        <v>3890</v>
      </c>
      <c r="C153" s="866" t="s">
        <v>3890</v>
      </c>
      <c r="D153" s="1438" t="s">
        <v>2072</v>
      </c>
      <c r="E153" s="1441">
        <v>45589.451655092591</v>
      </c>
      <c r="F153" s="1441">
        <v>45954.874988425923</v>
      </c>
      <c r="G153" s="1438" t="s">
        <v>1758</v>
      </c>
      <c r="H153" s="1438" t="s">
        <v>1759</v>
      </c>
      <c r="I153" s="1438" t="s">
        <v>1761</v>
      </c>
      <c r="J153" s="1438" t="s">
        <v>2073</v>
      </c>
      <c r="K153" s="1438" t="s">
        <v>1804</v>
      </c>
      <c r="L153" s="1438" t="s">
        <v>1828</v>
      </c>
      <c r="M153" s="867" t="s">
        <v>1937</v>
      </c>
      <c r="N153" s="867" t="s">
        <v>3893</v>
      </c>
      <c r="O153" s="867" t="s">
        <v>3894</v>
      </c>
      <c r="P153" s="869">
        <v>19</v>
      </c>
      <c r="Q153" s="869">
        <v>19</v>
      </c>
      <c r="R153" s="870">
        <v>12</v>
      </c>
      <c r="S153" s="871"/>
      <c r="T153" s="871"/>
      <c r="U153" s="872"/>
      <c r="W153" s="872"/>
    </row>
    <row r="154" spans="1:23" x14ac:dyDescent="0.2">
      <c r="A154" s="865" t="s">
        <v>1927</v>
      </c>
      <c r="B154" s="866" t="s">
        <v>3890</v>
      </c>
      <c r="C154" s="866" t="s">
        <v>3890</v>
      </c>
      <c r="D154" s="1440"/>
      <c r="E154" s="1443"/>
      <c r="F154" s="1443"/>
      <c r="G154" s="1440"/>
      <c r="H154" s="1440"/>
      <c r="I154" s="1440"/>
      <c r="J154" s="1440"/>
      <c r="K154" s="1440"/>
      <c r="L154" s="1440"/>
      <c r="M154" s="867" t="s">
        <v>1931</v>
      </c>
      <c r="N154" s="867" t="s">
        <v>3891</v>
      </c>
      <c r="O154" s="873" t="s">
        <v>3892</v>
      </c>
      <c r="P154" s="874">
        <v>19</v>
      </c>
      <c r="Q154" s="874">
        <v>19</v>
      </c>
      <c r="R154" s="875">
        <v>12</v>
      </c>
      <c r="S154" s="876"/>
      <c r="T154" s="876"/>
      <c r="U154" s="877"/>
      <c r="W154" s="877"/>
    </row>
    <row r="155" spans="1:23" x14ac:dyDescent="0.2">
      <c r="A155" s="865" t="s">
        <v>1927</v>
      </c>
      <c r="B155" s="866" t="s">
        <v>3890</v>
      </c>
      <c r="C155" s="866" t="s">
        <v>3890</v>
      </c>
      <c r="D155" s="1438" t="s">
        <v>2074</v>
      </c>
      <c r="E155" s="1441">
        <v>45568.504351851851</v>
      </c>
      <c r="F155" s="1441">
        <v>45734.916655092595</v>
      </c>
      <c r="G155" s="1438" t="s">
        <v>1741</v>
      </c>
      <c r="H155" s="1438" t="s">
        <v>1755</v>
      </c>
      <c r="I155" s="1438" t="s">
        <v>1757</v>
      </c>
      <c r="J155" s="1438" t="s">
        <v>2075</v>
      </c>
      <c r="K155" s="1438" t="s">
        <v>1804</v>
      </c>
      <c r="L155" s="1438" t="s">
        <v>1805</v>
      </c>
      <c r="M155" s="867" t="s">
        <v>1958</v>
      </c>
      <c r="N155" s="867" t="s">
        <v>3895</v>
      </c>
      <c r="O155" s="867" t="s">
        <v>3896</v>
      </c>
      <c r="P155" s="869">
        <v>17</v>
      </c>
      <c r="Q155" s="869">
        <v>11</v>
      </c>
      <c r="R155" s="870">
        <v>7</v>
      </c>
      <c r="S155" s="871"/>
      <c r="T155" s="871"/>
      <c r="U155" s="872"/>
      <c r="W155" s="872"/>
    </row>
    <row r="156" spans="1:23" x14ac:dyDescent="0.2">
      <c r="A156" s="865" t="s">
        <v>1927</v>
      </c>
      <c r="B156" s="866" t="s">
        <v>3890</v>
      </c>
      <c r="C156" s="866" t="s">
        <v>3890</v>
      </c>
      <c r="D156" s="1440"/>
      <c r="E156" s="1443"/>
      <c r="F156" s="1443"/>
      <c r="G156" s="1440"/>
      <c r="H156" s="1440"/>
      <c r="I156" s="1440"/>
      <c r="J156" s="1440"/>
      <c r="K156" s="1440"/>
      <c r="L156" s="1440"/>
      <c r="M156" s="867" t="s">
        <v>1931</v>
      </c>
      <c r="N156" s="867" t="s">
        <v>3891</v>
      </c>
      <c r="O156" s="873" t="s">
        <v>3892</v>
      </c>
      <c r="P156" s="874">
        <v>17</v>
      </c>
      <c r="Q156" s="874">
        <v>11</v>
      </c>
      <c r="R156" s="875">
        <v>7</v>
      </c>
      <c r="S156" s="876"/>
      <c r="T156" s="876"/>
      <c r="U156" s="877"/>
      <c r="W156" s="877"/>
    </row>
    <row r="157" spans="1:23" ht="24" x14ac:dyDescent="0.2">
      <c r="A157" s="865" t="s">
        <v>1927</v>
      </c>
      <c r="B157" s="866" t="s">
        <v>3890</v>
      </c>
      <c r="C157" s="866" t="s">
        <v>3890</v>
      </c>
      <c r="D157" s="867" t="s">
        <v>2076</v>
      </c>
      <c r="E157" s="868">
        <v>45600.306759259256</v>
      </c>
      <c r="F157" s="868">
        <v>45716.916655092595</v>
      </c>
      <c r="G157" s="867" t="s">
        <v>1758</v>
      </c>
      <c r="H157" s="867" t="s">
        <v>1759</v>
      </c>
      <c r="I157" s="867" t="s">
        <v>1761</v>
      </c>
      <c r="J157" s="867" t="s">
        <v>2077</v>
      </c>
      <c r="K157" s="867" t="s">
        <v>1804</v>
      </c>
      <c r="L157" s="867" t="s">
        <v>1828</v>
      </c>
      <c r="M157" s="867" t="s">
        <v>1931</v>
      </c>
      <c r="N157" s="867" t="s">
        <v>3891</v>
      </c>
      <c r="O157" s="867" t="s">
        <v>3892</v>
      </c>
      <c r="P157" s="869">
        <v>7</v>
      </c>
      <c r="Q157" s="869">
        <v>7</v>
      </c>
      <c r="R157" s="870">
        <v>2</v>
      </c>
      <c r="S157" s="871"/>
      <c r="T157" s="871"/>
      <c r="U157" s="872"/>
      <c r="W157" s="872"/>
    </row>
    <row r="158" spans="1:23" ht="24" x14ac:dyDescent="0.2">
      <c r="A158" s="865" t="s">
        <v>1927</v>
      </c>
      <c r="B158" s="866" t="s">
        <v>3890</v>
      </c>
      <c r="C158" s="866" t="s">
        <v>3890</v>
      </c>
      <c r="D158" s="867" t="s">
        <v>2078</v>
      </c>
      <c r="E158" s="868">
        <v>45532.631388888891</v>
      </c>
      <c r="F158" s="868">
        <v>45626.916655092595</v>
      </c>
      <c r="G158" s="867" t="s">
        <v>1758</v>
      </c>
      <c r="H158" s="867" t="s">
        <v>1759</v>
      </c>
      <c r="I158" s="867" t="s">
        <v>1761</v>
      </c>
      <c r="J158" s="867" t="s">
        <v>2079</v>
      </c>
      <c r="K158" s="867" t="s">
        <v>1804</v>
      </c>
      <c r="L158" s="867" t="s">
        <v>1828</v>
      </c>
      <c r="M158" s="867" t="s">
        <v>1931</v>
      </c>
      <c r="N158" s="867" t="s">
        <v>3891</v>
      </c>
      <c r="O158" s="873" t="s">
        <v>3892</v>
      </c>
      <c r="P158" s="874">
        <v>2</v>
      </c>
      <c r="Q158" s="874">
        <v>2</v>
      </c>
      <c r="R158" s="875">
        <v>0</v>
      </c>
      <c r="S158" s="876"/>
      <c r="T158" s="876"/>
      <c r="U158" s="877"/>
      <c r="W158" s="877"/>
    </row>
    <row r="159" spans="1:23" ht="36" x14ac:dyDescent="0.2">
      <c r="A159" s="865" t="s">
        <v>1927</v>
      </c>
      <c r="B159" s="866" t="s">
        <v>3890</v>
      </c>
      <c r="C159" s="866" t="s">
        <v>3890</v>
      </c>
      <c r="D159" s="867" t="s">
        <v>2080</v>
      </c>
      <c r="E159" s="868">
        <v>45559.534861111111</v>
      </c>
      <c r="F159" s="868">
        <v>45657.916655092595</v>
      </c>
      <c r="G159" s="867" t="s">
        <v>1741</v>
      </c>
      <c r="H159" s="867" t="s">
        <v>1745</v>
      </c>
      <c r="I159" s="867" t="s">
        <v>1748</v>
      </c>
      <c r="J159" s="867" t="s">
        <v>2081</v>
      </c>
      <c r="K159" s="867" t="s">
        <v>1804</v>
      </c>
      <c r="L159" s="867" t="s">
        <v>1805</v>
      </c>
      <c r="M159" s="867" t="s">
        <v>1931</v>
      </c>
      <c r="N159" s="867" t="s">
        <v>3891</v>
      </c>
      <c r="O159" s="867" t="s">
        <v>3892</v>
      </c>
      <c r="P159" s="869">
        <v>1</v>
      </c>
      <c r="Q159" s="869">
        <v>1</v>
      </c>
      <c r="R159" s="870">
        <v>0</v>
      </c>
      <c r="S159" s="871"/>
      <c r="T159" s="871"/>
      <c r="U159" s="872"/>
      <c r="W159" s="872"/>
    </row>
    <row r="160" spans="1:23" ht="36" x14ac:dyDescent="0.2">
      <c r="A160" s="865" t="s">
        <v>1927</v>
      </c>
      <c r="B160" s="866" t="s">
        <v>3890</v>
      </c>
      <c r="C160" s="866" t="s">
        <v>3890</v>
      </c>
      <c r="D160" s="867" t="s">
        <v>2082</v>
      </c>
      <c r="E160" s="868">
        <v>45569.292546296296</v>
      </c>
      <c r="F160" s="868">
        <v>45688.916655092595</v>
      </c>
      <c r="G160" s="867" t="s">
        <v>1741</v>
      </c>
      <c r="H160" s="867" t="s">
        <v>1745</v>
      </c>
      <c r="I160" s="867" t="s">
        <v>1748</v>
      </c>
      <c r="J160" s="867" t="s">
        <v>2083</v>
      </c>
      <c r="K160" s="867" t="s">
        <v>1804</v>
      </c>
      <c r="L160" s="867" t="s">
        <v>1805</v>
      </c>
      <c r="M160" s="867" t="s">
        <v>1931</v>
      </c>
      <c r="N160" s="867" t="s">
        <v>3891</v>
      </c>
      <c r="O160" s="873" t="s">
        <v>3892</v>
      </c>
      <c r="P160" s="874">
        <v>1</v>
      </c>
      <c r="Q160" s="874">
        <v>1</v>
      </c>
      <c r="R160" s="875">
        <v>0</v>
      </c>
      <c r="S160" s="876"/>
      <c r="T160" s="876"/>
      <c r="U160" s="877"/>
      <c r="W160" s="877"/>
    </row>
    <row r="161" spans="1:23" ht="24" x14ac:dyDescent="0.2">
      <c r="A161" s="865" t="s">
        <v>1927</v>
      </c>
      <c r="B161" s="866" t="s">
        <v>3890</v>
      </c>
      <c r="C161" s="866" t="s">
        <v>3890</v>
      </c>
      <c r="D161" s="867" t="s">
        <v>2084</v>
      </c>
      <c r="E161" s="868">
        <v>45552.354490740741</v>
      </c>
      <c r="F161" s="868">
        <v>45657.916655092595</v>
      </c>
      <c r="G161" s="867" t="s">
        <v>1758</v>
      </c>
      <c r="H161" s="867" t="s">
        <v>1759</v>
      </c>
      <c r="I161" s="867" t="s">
        <v>1761</v>
      </c>
      <c r="J161" s="867" t="s">
        <v>2085</v>
      </c>
      <c r="K161" s="867" t="s">
        <v>1804</v>
      </c>
      <c r="L161" s="867" t="s">
        <v>1828</v>
      </c>
      <c r="M161" s="867" t="s">
        <v>1931</v>
      </c>
      <c r="N161" s="867" t="s">
        <v>3891</v>
      </c>
      <c r="O161" s="867" t="s">
        <v>3892</v>
      </c>
      <c r="P161" s="869">
        <v>6</v>
      </c>
      <c r="Q161" s="869">
        <v>5</v>
      </c>
      <c r="R161" s="870">
        <v>1</v>
      </c>
      <c r="S161" s="871"/>
      <c r="T161" s="871"/>
      <c r="U161" s="872"/>
      <c r="W161" s="872"/>
    </row>
    <row r="162" spans="1:23" ht="36" x14ac:dyDescent="0.2">
      <c r="A162" s="865" t="s">
        <v>1927</v>
      </c>
      <c r="B162" s="866" t="s">
        <v>3890</v>
      </c>
      <c r="C162" s="866" t="s">
        <v>3890</v>
      </c>
      <c r="D162" s="867" t="s">
        <v>2086</v>
      </c>
      <c r="E162" s="868">
        <v>45572.282754629632</v>
      </c>
      <c r="F162" s="868">
        <v>45688.916655092595</v>
      </c>
      <c r="G162" s="867" t="s">
        <v>1741</v>
      </c>
      <c r="H162" s="867" t="s">
        <v>1742</v>
      </c>
      <c r="I162" s="867" t="s">
        <v>1744</v>
      </c>
      <c r="J162" s="867" t="s">
        <v>2087</v>
      </c>
      <c r="K162" s="867" t="s">
        <v>1804</v>
      </c>
      <c r="L162" s="867" t="s">
        <v>1805</v>
      </c>
      <c r="M162" s="867" t="s">
        <v>1931</v>
      </c>
      <c r="N162" s="867" t="s">
        <v>3891</v>
      </c>
      <c r="O162" s="873" t="s">
        <v>3892</v>
      </c>
      <c r="P162" s="874">
        <v>4</v>
      </c>
      <c r="Q162" s="874">
        <v>1</v>
      </c>
      <c r="R162" s="875">
        <v>0</v>
      </c>
      <c r="S162" s="876"/>
      <c r="T162" s="876"/>
      <c r="U162" s="877"/>
      <c r="W162" s="877"/>
    </row>
    <row r="163" spans="1:23" ht="48" x14ac:dyDescent="0.2">
      <c r="A163" s="865" t="s">
        <v>1927</v>
      </c>
      <c r="B163" s="866" t="s">
        <v>3890</v>
      </c>
      <c r="C163" s="866" t="s">
        <v>3890</v>
      </c>
      <c r="D163" s="867" t="s">
        <v>2088</v>
      </c>
      <c r="E163" s="868">
        <v>45531.452453703707</v>
      </c>
      <c r="F163" s="868">
        <v>45619.999988425923</v>
      </c>
      <c r="G163" s="867" t="s">
        <v>1758</v>
      </c>
      <c r="H163" s="867" t="s">
        <v>1759</v>
      </c>
      <c r="I163" s="867" t="s">
        <v>1760</v>
      </c>
      <c r="J163" s="867" t="s">
        <v>2089</v>
      </c>
      <c r="K163" s="867" t="s">
        <v>1804</v>
      </c>
      <c r="L163" s="867" t="s">
        <v>1805</v>
      </c>
      <c r="M163" s="867" t="s">
        <v>1931</v>
      </c>
      <c r="N163" s="867" t="s">
        <v>3891</v>
      </c>
      <c r="O163" s="867" t="s">
        <v>3892</v>
      </c>
      <c r="P163" s="869">
        <v>1</v>
      </c>
      <c r="Q163" s="869">
        <v>1</v>
      </c>
      <c r="R163" s="870">
        <v>0</v>
      </c>
      <c r="S163" s="871"/>
      <c r="T163" s="871"/>
      <c r="U163" s="872"/>
      <c r="W163" s="872"/>
    </row>
    <row r="164" spans="1:23" ht="36" x14ac:dyDescent="0.2">
      <c r="A164" s="865" t="s">
        <v>2090</v>
      </c>
      <c r="B164" s="866">
        <v>30775353</v>
      </c>
      <c r="C164" s="866" t="s">
        <v>3860</v>
      </c>
      <c r="D164" s="867" t="s">
        <v>2091</v>
      </c>
      <c r="E164" s="868">
        <v>45532.392256944448</v>
      </c>
      <c r="F164" s="868">
        <v>45657.958321759259</v>
      </c>
      <c r="G164" s="867" t="s">
        <v>1758</v>
      </c>
      <c r="H164" s="867" t="s">
        <v>1759</v>
      </c>
      <c r="I164" s="867" t="s">
        <v>1762</v>
      </c>
      <c r="J164" s="867" t="s">
        <v>1762</v>
      </c>
      <c r="K164" s="867" t="s">
        <v>1804</v>
      </c>
      <c r="L164" s="867" t="s">
        <v>1828</v>
      </c>
      <c r="M164" s="867" t="s">
        <v>2092</v>
      </c>
      <c r="N164" s="867" t="s">
        <v>3897</v>
      </c>
      <c r="O164" s="873" t="s">
        <v>3898</v>
      </c>
      <c r="P164" s="874">
        <v>1</v>
      </c>
      <c r="Q164" s="874">
        <v>1</v>
      </c>
      <c r="R164" s="875">
        <v>0</v>
      </c>
      <c r="S164" s="876"/>
      <c r="T164" s="876"/>
      <c r="U164" s="877"/>
      <c r="W164" s="877"/>
    </row>
    <row r="165" spans="1:23" ht="24" x14ac:dyDescent="0.2">
      <c r="A165" s="865" t="s">
        <v>2090</v>
      </c>
      <c r="B165" s="866">
        <v>30775353</v>
      </c>
      <c r="C165" s="866" t="s">
        <v>3860</v>
      </c>
      <c r="D165" s="867" t="s">
        <v>2093</v>
      </c>
      <c r="E165" s="868">
        <v>45541.292187500003</v>
      </c>
      <c r="F165" s="868">
        <v>45838.916655092595</v>
      </c>
      <c r="G165" s="867" t="s">
        <v>1758</v>
      </c>
      <c r="H165" s="867" t="s">
        <v>1759</v>
      </c>
      <c r="I165" s="867" t="s">
        <v>1761</v>
      </c>
      <c r="J165" s="867" t="s">
        <v>2094</v>
      </c>
      <c r="K165" s="867" t="s">
        <v>1804</v>
      </c>
      <c r="L165" s="867" t="s">
        <v>1828</v>
      </c>
      <c r="M165" s="867" t="s">
        <v>2092</v>
      </c>
      <c r="N165" s="867" t="s">
        <v>3897</v>
      </c>
      <c r="O165" s="867" t="s">
        <v>3898</v>
      </c>
      <c r="P165" s="869">
        <v>24</v>
      </c>
      <c r="Q165" s="869">
        <v>23</v>
      </c>
      <c r="R165" s="870">
        <v>13</v>
      </c>
      <c r="S165" s="871"/>
      <c r="T165" s="871"/>
      <c r="U165" s="872"/>
      <c r="W165" s="872"/>
    </row>
    <row r="166" spans="1:23" ht="24" x14ac:dyDescent="0.2">
      <c r="A166" s="865" t="s">
        <v>2090</v>
      </c>
      <c r="B166" s="866">
        <v>30775353</v>
      </c>
      <c r="C166" s="866" t="s">
        <v>3860</v>
      </c>
      <c r="D166" s="867" t="s">
        <v>2095</v>
      </c>
      <c r="E166" s="868">
        <v>45532.618171296293</v>
      </c>
      <c r="F166" s="868">
        <v>45897.916655092595</v>
      </c>
      <c r="G166" s="867" t="s">
        <v>1767</v>
      </c>
      <c r="H166" s="867" t="s">
        <v>1765</v>
      </c>
      <c r="I166" s="867" t="s">
        <v>1769</v>
      </c>
      <c r="J166" s="867" t="s">
        <v>2096</v>
      </c>
      <c r="K166" s="867" t="s">
        <v>1804</v>
      </c>
      <c r="L166" s="867" t="s">
        <v>2097</v>
      </c>
      <c r="M166" s="867" t="s">
        <v>2098</v>
      </c>
      <c r="N166" s="867" t="s">
        <v>3899</v>
      </c>
      <c r="O166" s="873" t="s">
        <v>3900</v>
      </c>
      <c r="P166" s="874">
        <v>16</v>
      </c>
      <c r="Q166" s="874">
        <v>15</v>
      </c>
      <c r="R166" s="875">
        <v>0</v>
      </c>
      <c r="S166" s="876"/>
      <c r="T166" s="876"/>
      <c r="U166" s="877"/>
      <c r="W166" s="877"/>
    </row>
    <row r="167" spans="1:23" ht="36" x14ac:dyDescent="0.2">
      <c r="A167" s="865" t="s">
        <v>2090</v>
      </c>
      <c r="B167" s="866">
        <v>30775353</v>
      </c>
      <c r="C167" s="866" t="s">
        <v>3860</v>
      </c>
      <c r="D167" s="867" t="s">
        <v>2099</v>
      </c>
      <c r="E167" s="868">
        <v>45516.916666666664</v>
      </c>
      <c r="F167" s="868">
        <v>45655.958333333336</v>
      </c>
      <c r="G167" s="867" t="s">
        <v>1758</v>
      </c>
      <c r="H167" s="867" t="s">
        <v>1759</v>
      </c>
      <c r="I167" s="867" t="s">
        <v>1823</v>
      </c>
      <c r="J167" s="867" t="s">
        <v>2100</v>
      </c>
      <c r="K167" s="867" t="s">
        <v>1804</v>
      </c>
      <c r="L167" s="867" t="s">
        <v>1819</v>
      </c>
      <c r="M167" s="867" t="s">
        <v>2101</v>
      </c>
      <c r="N167" s="867" t="s">
        <v>3861</v>
      </c>
      <c r="O167" s="867" t="s">
        <v>3901</v>
      </c>
      <c r="P167" s="869">
        <v>1</v>
      </c>
      <c r="Q167" s="869">
        <v>0</v>
      </c>
      <c r="R167" s="870">
        <v>0</v>
      </c>
      <c r="S167" s="871"/>
      <c r="T167" s="871"/>
      <c r="U167" s="872"/>
      <c r="W167" s="872"/>
    </row>
    <row r="168" spans="1:23" ht="36" x14ac:dyDescent="0.2">
      <c r="A168" s="865" t="s">
        <v>2090</v>
      </c>
      <c r="B168" s="866">
        <v>30775353</v>
      </c>
      <c r="C168" s="866" t="s">
        <v>3860</v>
      </c>
      <c r="D168" s="867" t="s">
        <v>2102</v>
      </c>
      <c r="E168" s="868">
        <v>45546.242384259262</v>
      </c>
      <c r="F168" s="868">
        <v>45838.916655092595</v>
      </c>
      <c r="G168" s="867" t="s">
        <v>1758</v>
      </c>
      <c r="H168" s="867" t="s">
        <v>1759</v>
      </c>
      <c r="I168" s="867" t="s">
        <v>1762</v>
      </c>
      <c r="J168" s="867" t="s">
        <v>2103</v>
      </c>
      <c r="K168" s="867" t="s">
        <v>1804</v>
      </c>
      <c r="L168" s="867" t="s">
        <v>1828</v>
      </c>
      <c r="M168" s="867" t="s">
        <v>2092</v>
      </c>
      <c r="N168" s="867" t="s">
        <v>3897</v>
      </c>
      <c r="O168" s="873" t="s">
        <v>3898</v>
      </c>
      <c r="P168" s="874">
        <v>1</v>
      </c>
      <c r="Q168" s="874">
        <v>1</v>
      </c>
      <c r="R168" s="875">
        <v>0</v>
      </c>
      <c r="S168" s="876"/>
      <c r="T168" s="876"/>
      <c r="U168" s="877"/>
      <c r="W168" s="877"/>
    </row>
    <row r="169" spans="1:23" x14ac:dyDescent="0.2">
      <c r="A169" s="865" t="s">
        <v>2090</v>
      </c>
      <c r="B169" s="866">
        <v>30775353</v>
      </c>
      <c r="C169" s="866" t="s">
        <v>3860</v>
      </c>
      <c r="D169" s="1438" t="s">
        <v>2104</v>
      </c>
      <c r="E169" s="1441">
        <v>45616.416851851849</v>
      </c>
      <c r="F169" s="1441">
        <v>45980.958321759259</v>
      </c>
      <c r="G169" s="1438" t="s">
        <v>1758</v>
      </c>
      <c r="H169" s="1438" t="s">
        <v>1759</v>
      </c>
      <c r="I169" s="1438" t="s">
        <v>1762</v>
      </c>
      <c r="J169" s="1438" t="s">
        <v>2105</v>
      </c>
      <c r="K169" s="1438" t="s">
        <v>1804</v>
      </c>
      <c r="L169" s="1438" t="s">
        <v>1828</v>
      </c>
      <c r="M169" s="867" t="s">
        <v>2106</v>
      </c>
      <c r="N169" s="867" t="s">
        <v>3902</v>
      </c>
      <c r="O169" s="867" t="s">
        <v>3903</v>
      </c>
      <c r="P169" s="869">
        <v>15</v>
      </c>
      <c r="Q169" s="869">
        <v>15</v>
      </c>
      <c r="R169" s="870">
        <v>11</v>
      </c>
      <c r="S169" s="871"/>
      <c r="T169" s="871"/>
      <c r="U169" s="872"/>
      <c r="W169" s="872"/>
    </row>
    <row r="170" spans="1:23" x14ac:dyDescent="0.2">
      <c r="A170" s="865" t="s">
        <v>2090</v>
      </c>
      <c r="B170" s="866">
        <v>30775353</v>
      </c>
      <c r="C170" s="866" t="s">
        <v>3860</v>
      </c>
      <c r="D170" s="1440"/>
      <c r="E170" s="1443"/>
      <c r="F170" s="1443"/>
      <c r="G170" s="1440"/>
      <c r="H170" s="1440"/>
      <c r="I170" s="1440"/>
      <c r="J170" s="1440"/>
      <c r="K170" s="1440"/>
      <c r="L170" s="1440"/>
      <c r="M170" s="867" t="s">
        <v>2092</v>
      </c>
      <c r="N170" s="867" t="s">
        <v>3897</v>
      </c>
      <c r="O170" s="873" t="s">
        <v>3898</v>
      </c>
      <c r="P170" s="874">
        <v>15</v>
      </c>
      <c r="Q170" s="874">
        <v>15</v>
      </c>
      <c r="R170" s="875">
        <v>11</v>
      </c>
      <c r="S170" s="876"/>
      <c r="T170" s="876"/>
      <c r="U170" s="877"/>
      <c r="W170" s="877"/>
    </row>
    <row r="171" spans="1:23" ht="48" x14ac:dyDescent="0.2">
      <c r="A171" s="865" t="s">
        <v>2090</v>
      </c>
      <c r="B171" s="866">
        <v>30775353</v>
      </c>
      <c r="C171" s="866" t="s">
        <v>3860</v>
      </c>
      <c r="D171" s="867" t="s">
        <v>2107</v>
      </c>
      <c r="E171" s="868">
        <v>45553.294861111113</v>
      </c>
      <c r="F171" s="868">
        <v>45838.916655092595</v>
      </c>
      <c r="G171" s="867" t="s">
        <v>1758</v>
      </c>
      <c r="H171" s="867" t="s">
        <v>1759</v>
      </c>
      <c r="I171" s="867" t="s">
        <v>1760</v>
      </c>
      <c r="J171" s="867" t="s">
        <v>2108</v>
      </c>
      <c r="K171" s="867" t="s">
        <v>1804</v>
      </c>
      <c r="L171" s="867" t="s">
        <v>1805</v>
      </c>
      <c r="M171" s="867" t="s">
        <v>2092</v>
      </c>
      <c r="N171" s="867" t="s">
        <v>3897</v>
      </c>
      <c r="O171" s="867" t="s">
        <v>3898</v>
      </c>
      <c r="P171" s="869">
        <v>30</v>
      </c>
      <c r="Q171" s="869">
        <v>30</v>
      </c>
      <c r="R171" s="870">
        <v>0</v>
      </c>
      <c r="S171" s="871"/>
      <c r="T171" s="871"/>
      <c r="U171" s="872"/>
      <c r="W171" s="872"/>
    </row>
    <row r="172" spans="1:23" ht="36" x14ac:dyDescent="0.2">
      <c r="A172" s="865" t="s">
        <v>2090</v>
      </c>
      <c r="B172" s="866">
        <v>30775353</v>
      </c>
      <c r="C172" s="866" t="s">
        <v>3860</v>
      </c>
      <c r="D172" s="867" t="s">
        <v>2109</v>
      </c>
      <c r="E172" s="868">
        <v>45590.306180555555</v>
      </c>
      <c r="F172" s="868">
        <v>45930.916655092595</v>
      </c>
      <c r="G172" s="867" t="s">
        <v>1758</v>
      </c>
      <c r="H172" s="867" t="s">
        <v>1759</v>
      </c>
      <c r="I172" s="867" t="s">
        <v>1762</v>
      </c>
      <c r="J172" s="867" t="s">
        <v>2110</v>
      </c>
      <c r="K172" s="867" t="s">
        <v>1804</v>
      </c>
      <c r="L172" s="867" t="s">
        <v>1828</v>
      </c>
      <c r="M172" s="867" t="s">
        <v>2092</v>
      </c>
      <c r="N172" s="867" t="s">
        <v>3897</v>
      </c>
      <c r="O172" s="873" t="s">
        <v>3898</v>
      </c>
      <c r="P172" s="874">
        <v>1</v>
      </c>
      <c r="Q172" s="874">
        <v>1</v>
      </c>
      <c r="R172" s="875">
        <v>0</v>
      </c>
      <c r="S172" s="876"/>
      <c r="T172" s="876"/>
      <c r="U172" s="877"/>
      <c r="W172" s="877"/>
    </row>
    <row r="173" spans="1:23" ht="24" x14ac:dyDescent="0.2">
      <c r="A173" s="865" t="s">
        <v>2090</v>
      </c>
      <c r="B173" s="866">
        <v>30775353</v>
      </c>
      <c r="C173" s="866" t="s">
        <v>3860</v>
      </c>
      <c r="D173" s="867" t="s">
        <v>2111</v>
      </c>
      <c r="E173" s="868">
        <v>45544.84269675926</v>
      </c>
      <c r="F173" s="868">
        <v>45930.916655092595</v>
      </c>
      <c r="G173" s="867" t="s">
        <v>1758</v>
      </c>
      <c r="H173" s="867" t="s">
        <v>1759</v>
      </c>
      <c r="I173" s="867" t="s">
        <v>1761</v>
      </c>
      <c r="J173" s="867" t="s">
        <v>2112</v>
      </c>
      <c r="K173" s="867" t="s">
        <v>1804</v>
      </c>
      <c r="L173" s="867" t="s">
        <v>1828</v>
      </c>
      <c r="M173" s="867" t="s">
        <v>2113</v>
      </c>
      <c r="N173" s="867" t="s">
        <v>3904</v>
      </c>
      <c r="O173" s="867" t="s">
        <v>3905</v>
      </c>
      <c r="P173" s="869">
        <v>12</v>
      </c>
      <c r="Q173" s="869">
        <v>12</v>
      </c>
      <c r="R173" s="870">
        <v>4</v>
      </c>
      <c r="S173" s="871"/>
      <c r="T173" s="871"/>
      <c r="U173" s="872"/>
      <c r="W173" s="872"/>
    </row>
    <row r="174" spans="1:23" ht="24" x14ac:dyDescent="0.2">
      <c r="A174" s="865" t="s">
        <v>2090</v>
      </c>
      <c r="B174" s="866">
        <v>30775353</v>
      </c>
      <c r="C174" s="866" t="s">
        <v>3860</v>
      </c>
      <c r="D174" s="867" t="s">
        <v>2114</v>
      </c>
      <c r="E174" s="868">
        <v>45546.491782407407</v>
      </c>
      <c r="F174" s="868">
        <v>46173.916655092595</v>
      </c>
      <c r="G174" s="867" t="s">
        <v>1758</v>
      </c>
      <c r="H174" s="867" t="s">
        <v>1759</v>
      </c>
      <c r="I174" s="867" t="s">
        <v>1761</v>
      </c>
      <c r="J174" s="867" t="s">
        <v>2115</v>
      </c>
      <c r="K174" s="867" t="s">
        <v>1804</v>
      </c>
      <c r="L174" s="867" t="s">
        <v>1828</v>
      </c>
      <c r="M174" s="867" t="s">
        <v>2092</v>
      </c>
      <c r="N174" s="867" t="s">
        <v>3897</v>
      </c>
      <c r="O174" s="873" t="s">
        <v>3898</v>
      </c>
      <c r="P174" s="874">
        <v>31</v>
      </c>
      <c r="Q174" s="874">
        <v>31</v>
      </c>
      <c r="R174" s="875">
        <v>0</v>
      </c>
      <c r="S174" s="876"/>
      <c r="T174" s="876"/>
      <c r="U174" s="877"/>
      <c r="W174" s="877"/>
    </row>
    <row r="175" spans="1:23" ht="24" x14ac:dyDescent="0.2">
      <c r="A175" s="865" t="s">
        <v>2090</v>
      </c>
      <c r="B175" s="866">
        <v>30775353</v>
      </c>
      <c r="C175" s="866" t="s">
        <v>3860</v>
      </c>
      <c r="D175" s="867" t="s">
        <v>2116</v>
      </c>
      <c r="E175" s="868">
        <v>45537.678148148145</v>
      </c>
      <c r="F175" s="868">
        <v>45930.916655092595</v>
      </c>
      <c r="G175" s="867" t="s">
        <v>1758</v>
      </c>
      <c r="H175" s="867" t="s">
        <v>1759</v>
      </c>
      <c r="I175" s="867" t="s">
        <v>1761</v>
      </c>
      <c r="J175" s="867" t="s">
        <v>2117</v>
      </c>
      <c r="K175" s="867" t="s">
        <v>1804</v>
      </c>
      <c r="L175" s="867" t="s">
        <v>1828</v>
      </c>
      <c r="M175" s="867" t="s">
        <v>2113</v>
      </c>
      <c r="N175" s="867" t="s">
        <v>3904</v>
      </c>
      <c r="O175" s="867" t="s">
        <v>3905</v>
      </c>
      <c r="P175" s="869">
        <v>16</v>
      </c>
      <c r="Q175" s="869">
        <v>16</v>
      </c>
      <c r="R175" s="870">
        <v>3</v>
      </c>
      <c r="S175" s="871"/>
      <c r="T175" s="871"/>
      <c r="U175" s="872"/>
      <c r="W175" s="872"/>
    </row>
    <row r="176" spans="1:23" ht="36" x14ac:dyDescent="0.2">
      <c r="A176" s="865" t="s">
        <v>2090</v>
      </c>
      <c r="B176" s="866">
        <v>30775353</v>
      </c>
      <c r="C176" s="866" t="s">
        <v>3860</v>
      </c>
      <c r="D176" s="867" t="s">
        <v>2118</v>
      </c>
      <c r="E176" s="868">
        <v>45553.369259259256</v>
      </c>
      <c r="F176" s="868">
        <v>45838.916655092595</v>
      </c>
      <c r="G176" s="867" t="s">
        <v>1758</v>
      </c>
      <c r="H176" s="867" t="s">
        <v>1759</v>
      </c>
      <c r="I176" s="867" t="s">
        <v>1762</v>
      </c>
      <c r="J176" s="867" t="s">
        <v>2119</v>
      </c>
      <c r="K176" s="867" t="s">
        <v>1804</v>
      </c>
      <c r="L176" s="867" t="s">
        <v>1828</v>
      </c>
      <c r="M176" s="867" t="s">
        <v>2092</v>
      </c>
      <c r="N176" s="867" t="s">
        <v>3897</v>
      </c>
      <c r="O176" s="873" t="s">
        <v>3898</v>
      </c>
      <c r="P176" s="874">
        <v>30</v>
      </c>
      <c r="Q176" s="874">
        <v>30</v>
      </c>
      <c r="R176" s="875">
        <v>6</v>
      </c>
      <c r="S176" s="876"/>
      <c r="T176" s="876"/>
      <c r="U176" s="877"/>
      <c r="W176" s="877"/>
    </row>
    <row r="177" spans="1:23" x14ac:dyDescent="0.2">
      <c r="A177" s="865" t="s">
        <v>2090</v>
      </c>
      <c r="B177" s="866">
        <v>30775353</v>
      </c>
      <c r="C177" s="866" t="s">
        <v>3860</v>
      </c>
      <c r="D177" s="1438" t="s">
        <v>2120</v>
      </c>
      <c r="E177" s="1441">
        <v>45623.303576388891</v>
      </c>
      <c r="F177" s="1441">
        <v>45927.916655092595</v>
      </c>
      <c r="G177" s="1438" t="s">
        <v>1758</v>
      </c>
      <c r="H177" s="1438" t="s">
        <v>1759</v>
      </c>
      <c r="I177" s="1438" t="s">
        <v>1762</v>
      </c>
      <c r="J177" s="1438" t="s">
        <v>2121</v>
      </c>
      <c r="K177" s="1438" t="s">
        <v>1804</v>
      </c>
      <c r="L177" s="1438" t="s">
        <v>1828</v>
      </c>
      <c r="M177" s="867" t="s">
        <v>2106</v>
      </c>
      <c r="N177" s="867" t="s">
        <v>3902</v>
      </c>
      <c r="O177" s="867" t="s">
        <v>3903</v>
      </c>
      <c r="P177" s="869">
        <v>12</v>
      </c>
      <c r="Q177" s="869">
        <v>12</v>
      </c>
      <c r="R177" s="870">
        <v>11</v>
      </c>
      <c r="S177" s="871"/>
      <c r="T177" s="871"/>
      <c r="U177" s="872"/>
      <c r="W177" s="872"/>
    </row>
    <row r="178" spans="1:23" x14ac:dyDescent="0.2">
      <c r="A178" s="865" t="s">
        <v>2090</v>
      </c>
      <c r="B178" s="866">
        <v>30775353</v>
      </c>
      <c r="C178" s="866" t="s">
        <v>3860</v>
      </c>
      <c r="D178" s="1440"/>
      <c r="E178" s="1443"/>
      <c r="F178" s="1443"/>
      <c r="G178" s="1440"/>
      <c r="H178" s="1440"/>
      <c r="I178" s="1440"/>
      <c r="J178" s="1440"/>
      <c r="K178" s="1440"/>
      <c r="L178" s="1440"/>
      <c r="M178" s="867" t="s">
        <v>2092</v>
      </c>
      <c r="N178" s="867" t="s">
        <v>3897</v>
      </c>
      <c r="O178" s="873" t="s">
        <v>3898</v>
      </c>
      <c r="P178" s="874">
        <v>12</v>
      </c>
      <c r="Q178" s="874">
        <v>12</v>
      </c>
      <c r="R178" s="875">
        <v>11</v>
      </c>
      <c r="S178" s="876"/>
      <c r="T178" s="876"/>
      <c r="U178" s="877"/>
      <c r="W178" s="877"/>
    </row>
    <row r="179" spans="1:23" ht="48" x14ac:dyDescent="0.2">
      <c r="A179" s="865" t="s">
        <v>2090</v>
      </c>
      <c r="B179" s="866">
        <v>30775353</v>
      </c>
      <c r="C179" s="866" t="s">
        <v>3860</v>
      </c>
      <c r="D179" s="867" t="s">
        <v>2122</v>
      </c>
      <c r="E179" s="868">
        <v>45535.666932870372</v>
      </c>
      <c r="F179" s="868">
        <v>45900.916655092595</v>
      </c>
      <c r="G179" s="867" t="s">
        <v>1758</v>
      </c>
      <c r="H179" s="867" t="s">
        <v>1759</v>
      </c>
      <c r="I179" s="867" t="s">
        <v>1760</v>
      </c>
      <c r="J179" s="867" t="s">
        <v>2123</v>
      </c>
      <c r="K179" s="867" t="s">
        <v>1804</v>
      </c>
      <c r="L179" s="867" t="s">
        <v>1805</v>
      </c>
      <c r="M179" s="867" t="s">
        <v>2098</v>
      </c>
      <c r="N179" s="867" t="s">
        <v>3899</v>
      </c>
      <c r="O179" s="867" t="s">
        <v>3900</v>
      </c>
      <c r="P179" s="869">
        <v>14</v>
      </c>
      <c r="Q179" s="869">
        <v>14</v>
      </c>
      <c r="R179" s="870">
        <v>0</v>
      </c>
      <c r="S179" s="871"/>
      <c r="T179" s="871"/>
      <c r="U179" s="872"/>
      <c r="W179" s="872"/>
    </row>
    <row r="180" spans="1:23" ht="24" x14ac:dyDescent="0.2">
      <c r="A180" s="865" t="s">
        <v>2090</v>
      </c>
      <c r="B180" s="866">
        <v>30775353</v>
      </c>
      <c r="C180" s="866" t="s">
        <v>3860</v>
      </c>
      <c r="D180" s="867" t="s">
        <v>2124</v>
      </c>
      <c r="E180" s="868">
        <v>45532.443402777775</v>
      </c>
      <c r="F180" s="868">
        <v>45897.916655092595</v>
      </c>
      <c r="G180" s="867" t="s">
        <v>1767</v>
      </c>
      <c r="H180" s="867" t="s">
        <v>1765</v>
      </c>
      <c r="I180" s="867" t="s">
        <v>1769</v>
      </c>
      <c r="J180" s="867" t="s">
        <v>2125</v>
      </c>
      <c r="K180" s="867" t="s">
        <v>1804</v>
      </c>
      <c r="L180" s="867" t="s">
        <v>2097</v>
      </c>
      <c r="M180" s="867" t="s">
        <v>2098</v>
      </c>
      <c r="N180" s="867" t="s">
        <v>3899</v>
      </c>
      <c r="O180" s="873" t="s">
        <v>3900</v>
      </c>
      <c r="P180" s="874">
        <v>15</v>
      </c>
      <c r="Q180" s="874">
        <v>15</v>
      </c>
      <c r="R180" s="875">
        <v>0</v>
      </c>
      <c r="S180" s="876"/>
      <c r="T180" s="876"/>
      <c r="U180" s="877"/>
      <c r="W180" s="877"/>
    </row>
    <row r="181" spans="1:23" ht="48" x14ac:dyDescent="0.2">
      <c r="A181" s="865" t="s">
        <v>2090</v>
      </c>
      <c r="B181" s="866">
        <v>30775353</v>
      </c>
      <c r="C181" s="866" t="s">
        <v>3860</v>
      </c>
      <c r="D181" s="867" t="s">
        <v>2126</v>
      </c>
      <c r="E181" s="868">
        <v>45532.369131944448</v>
      </c>
      <c r="F181" s="868">
        <v>45838.916655092595</v>
      </c>
      <c r="G181" s="867" t="s">
        <v>1758</v>
      </c>
      <c r="H181" s="867" t="s">
        <v>1759</v>
      </c>
      <c r="I181" s="867" t="s">
        <v>1760</v>
      </c>
      <c r="J181" s="867" t="s">
        <v>2127</v>
      </c>
      <c r="K181" s="867" t="s">
        <v>1804</v>
      </c>
      <c r="L181" s="867" t="s">
        <v>1805</v>
      </c>
      <c r="M181" s="867" t="s">
        <v>2092</v>
      </c>
      <c r="N181" s="867" t="s">
        <v>3897</v>
      </c>
      <c r="O181" s="867" t="s">
        <v>3898</v>
      </c>
      <c r="P181" s="869">
        <v>30</v>
      </c>
      <c r="Q181" s="869">
        <v>30</v>
      </c>
      <c r="R181" s="870">
        <v>0</v>
      </c>
      <c r="S181" s="871"/>
      <c r="T181" s="871"/>
      <c r="U181" s="872"/>
      <c r="W181" s="872"/>
    </row>
    <row r="182" spans="1:23" ht="24" x14ac:dyDescent="0.2">
      <c r="A182" s="865" t="s">
        <v>2090</v>
      </c>
      <c r="B182" s="866">
        <v>30775353</v>
      </c>
      <c r="C182" s="866" t="s">
        <v>3860</v>
      </c>
      <c r="D182" s="867" t="s">
        <v>2128</v>
      </c>
      <c r="E182" s="868">
        <v>45543.809386574074</v>
      </c>
      <c r="F182" s="868">
        <v>45930.916655092595</v>
      </c>
      <c r="G182" s="867" t="s">
        <v>1758</v>
      </c>
      <c r="H182" s="867" t="s">
        <v>1759</v>
      </c>
      <c r="I182" s="867" t="s">
        <v>1761</v>
      </c>
      <c r="J182" s="867" t="s">
        <v>2129</v>
      </c>
      <c r="K182" s="867" t="s">
        <v>1804</v>
      </c>
      <c r="L182" s="867" t="s">
        <v>1828</v>
      </c>
      <c r="M182" s="867" t="s">
        <v>2113</v>
      </c>
      <c r="N182" s="867" t="s">
        <v>3904</v>
      </c>
      <c r="O182" s="873" t="s">
        <v>3905</v>
      </c>
      <c r="P182" s="874">
        <v>13</v>
      </c>
      <c r="Q182" s="874">
        <v>13</v>
      </c>
      <c r="R182" s="875">
        <v>7</v>
      </c>
      <c r="S182" s="876"/>
      <c r="T182" s="876"/>
      <c r="U182" s="877"/>
      <c r="W182" s="877"/>
    </row>
    <row r="183" spans="1:23" ht="48" x14ac:dyDescent="0.2">
      <c r="A183" s="865" t="s">
        <v>2090</v>
      </c>
      <c r="B183" s="866">
        <v>30775353</v>
      </c>
      <c r="C183" s="866" t="s">
        <v>3860</v>
      </c>
      <c r="D183" s="867" t="s">
        <v>2130</v>
      </c>
      <c r="E183" s="868">
        <v>45535.652349537035</v>
      </c>
      <c r="F183" s="868">
        <v>45900.916655092595</v>
      </c>
      <c r="G183" s="867" t="s">
        <v>1758</v>
      </c>
      <c r="H183" s="867" t="s">
        <v>1759</v>
      </c>
      <c r="I183" s="867" t="s">
        <v>1760</v>
      </c>
      <c r="J183" s="867" t="s">
        <v>2131</v>
      </c>
      <c r="K183" s="867" t="s">
        <v>1804</v>
      </c>
      <c r="L183" s="867" t="s">
        <v>1805</v>
      </c>
      <c r="M183" s="867" t="s">
        <v>2098</v>
      </c>
      <c r="N183" s="867" t="s">
        <v>3899</v>
      </c>
      <c r="O183" s="867" t="s">
        <v>3900</v>
      </c>
      <c r="P183" s="869">
        <v>14</v>
      </c>
      <c r="Q183" s="869">
        <v>14</v>
      </c>
      <c r="R183" s="870">
        <v>0</v>
      </c>
      <c r="S183" s="871"/>
      <c r="T183" s="871"/>
      <c r="U183" s="872"/>
      <c r="W183" s="872"/>
    </row>
    <row r="184" spans="1:23" ht="24" x14ac:dyDescent="0.2">
      <c r="A184" s="865" t="s">
        <v>2090</v>
      </c>
      <c r="B184" s="866">
        <v>30775353</v>
      </c>
      <c r="C184" s="866" t="s">
        <v>3860</v>
      </c>
      <c r="D184" s="867" t="s">
        <v>2132</v>
      </c>
      <c r="E184" s="868">
        <v>45532.418379629627</v>
      </c>
      <c r="F184" s="868">
        <v>45838.916655092595</v>
      </c>
      <c r="G184" s="867" t="s">
        <v>1758</v>
      </c>
      <c r="H184" s="867" t="s">
        <v>1759</v>
      </c>
      <c r="I184" s="867" t="s">
        <v>1761</v>
      </c>
      <c r="J184" s="867" t="s">
        <v>2133</v>
      </c>
      <c r="K184" s="867" t="s">
        <v>1804</v>
      </c>
      <c r="L184" s="867" t="s">
        <v>1828</v>
      </c>
      <c r="M184" s="867" t="s">
        <v>2113</v>
      </c>
      <c r="N184" s="867" t="s">
        <v>3904</v>
      </c>
      <c r="O184" s="873" t="s">
        <v>3905</v>
      </c>
      <c r="P184" s="874">
        <v>1</v>
      </c>
      <c r="Q184" s="874">
        <v>1</v>
      </c>
      <c r="R184" s="875">
        <v>0</v>
      </c>
      <c r="S184" s="876"/>
      <c r="T184" s="876"/>
      <c r="U184" s="877"/>
      <c r="W184" s="877"/>
    </row>
    <row r="185" spans="1:23" ht="24" x14ac:dyDescent="0.2">
      <c r="A185" s="865" t="s">
        <v>2090</v>
      </c>
      <c r="B185" s="866">
        <v>30775353</v>
      </c>
      <c r="C185" s="866" t="s">
        <v>3860</v>
      </c>
      <c r="D185" s="867" t="s">
        <v>2134</v>
      </c>
      <c r="E185" s="868">
        <v>45543.819224537037</v>
      </c>
      <c r="F185" s="868">
        <v>45930.916655092595</v>
      </c>
      <c r="G185" s="867" t="s">
        <v>1758</v>
      </c>
      <c r="H185" s="867" t="s">
        <v>1759</v>
      </c>
      <c r="I185" s="867" t="s">
        <v>1761</v>
      </c>
      <c r="J185" s="867" t="s">
        <v>2135</v>
      </c>
      <c r="K185" s="867" t="s">
        <v>1804</v>
      </c>
      <c r="L185" s="867" t="s">
        <v>1828</v>
      </c>
      <c r="M185" s="867" t="s">
        <v>2113</v>
      </c>
      <c r="N185" s="867" t="s">
        <v>3904</v>
      </c>
      <c r="O185" s="867" t="s">
        <v>3905</v>
      </c>
      <c r="P185" s="869">
        <v>12</v>
      </c>
      <c r="Q185" s="869">
        <v>12</v>
      </c>
      <c r="R185" s="870">
        <v>9</v>
      </c>
      <c r="S185" s="871"/>
      <c r="T185" s="871"/>
      <c r="U185" s="872"/>
      <c r="W185" s="872"/>
    </row>
    <row r="186" spans="1:23" ht="24" x14ac:dyDescent="0.2">
      <c r="A186" s="865" t="s">
        <v>2090</v>
      </c>
      <c r="B186" s="866">
        <v>30775353</v>
      </c>
      <c r="C186" s="866" t="s">
        <v>3860</v>
      </c>
      <c r="D186" s="867" t="s">
        <v>2136</v>
      </c>
      <c r="E186" s="868">
        <v>45546.830185185187</v>
      </c>
      <c r="F186" s="868">
        <v>45930.916655092595</v>
      </c>
      <c r="G186" s="867" t="s">
        <v>1758</v>
      </c>
      <c r="H186" s="867" t="s">
        <v>1759</v>
      </c>
      <c r="I186" s="867" t="s">
        <v>1761</v>
      </c>
      <c r="J186" s="867" t="s">
        <v>2137</v>
      </c>
      <c r="K186" s="867" t="s">
        <v>1804</v>
      </c>
      <c r="L186" s="867" t="s">
        <v>1828</v>
      </c>
      <c r="M186" s="867" t="s">
        <v>2113</v>
      </c>
      <c r="N186" s="867" t="s">
        <v>3904</v>
      </c>
      <c r="O186" s="873" t="s">
        <v>3905</v>
      </c>
      <c r="P186" s="874">
        <v>15</v>
      </c>
      <c r="Q186" s="874">
        <v>15</v>
      </c>
      <c r="R186" s="875">
        <v>9</v>
      </c>
      <c r="S186" s="876"/>
      <c r="T186" s="876"/>
      <c r="U186" s="877"/>
      <c r="W186" s="877"/>
    </row>
    <row r="187" spans="1:23" ht="24" x14ac:dyDescent="0.2">
      <c r="A187" s="865" t="s">
        <v>2090</v>
      </c>
      <c r="B187" s="866">
        <v>30775353</v>
      </c>
      <c r="C187" s="866" t="s">
        <v>3860</v>
      </c>
      <c r="D187" s="867" t="s">
        <v>2138</v>
      </c>
      <c r="E187" s="868">
        <v>45544.840150462966</v>
      </c>
      <c r="F187" s="868">
        <v>45930.916655092595</v>
      </c>
      <c r="G187" s="867" t="s">
        <v>1758</v>
      </c>
      <c r="H187" s="867" t="s">
        <v>1759</v>
      </c>
      <c r="I187" s="867" t="s">
        <v>1761</v>
      </c>
      <c r="J187" s="867" t="s">
        <v>2139</v>
      </c>
      <c r="K187" s="867" t="s">
        <v>1804</v>
      </c>
      <c r="L187" s="867" t="s">
        <v>1828</v>
      </c>
      <c r="M187" s="867" t="s">
        <v>2113</v>
      </c>
      <c r="N187" s="867" t="s">
        <v>3904</v>
      </c>
      <c r="O187" s="867" t="s">
        <v>3905</v>
      </c>
      <c r="P187" s="869">
        <v>13</v>
      </c>
      <c r="Q187" s="869">
        <v>13</v>
      </c>
      <c r="R187" s="870">
        <v>2</v>
      </c>
      <c r="S187" s="871"/>
      <c r="T187" s="871"/>
      <c r="U187" s="872"/>
      <c r="W187" s="872"/>
    </row>
    <row r="188" spans="1:23" x14ac:dyDescent="0.2">
      <c r="A188" s="865" t="s">
        <v>2090</v>
      </c>
      <c r="B188" s="866">
        <v>30775353</v>
      </c>
      <c r="C188" s="866" t="s">
        <v>3860</v>
      </c>
      <c r="D188" s="1438" t="s">
        <v>2140</v>
      </c>
      <c r="E188" s="1441">
        <v>45542.916666666664</v>
      </c>
      <c r="F188" s="1441">
        <v>45838.916655092595</v>
      </c>
      <c r="G188" s="1438" t="s">
        <v>1758</v>
      </c>
      <c r="H188" s="1438" t="s">
        <v>1759</v>
      </c>
      <c r="I188" s="1438" t="s">
        <v>1762</v>
      </c>
      <c r="J188" s="1438" t="s">
        <v>2141</v>
      </c>
      <c r="K188" s="1438" t="s">
        <v>1804</v>
      </c>
      <c r="L188" s="1438" t="s">
        <v>1828</v>
      </c>
      <c r="M188" s="867" t="s">
        <v>2106</v>
      </c>
      <c r="N188" s="867" t="s">
        <v>3902</v>
      </c>
      <c r="O188" s="873" t="s">
        <v>3903</v>
      </c>
      <c r="P188" s="874">
        <v>20</v>
      </c>
      <c r="Q188" s="874">
        <v>20</v>
      </c>
      <c r="R188" s="875">
        <v>0</v>
      </c>
      <c r="S188" s="876"/>
      <c r="T188" s="876"/>
      <c r="U188" s="877"/>
      <c r="W188" s="877"/>
    </row>
    <row r="189" spans="1:23" x14ac:dyDescent="0.2">
      <c r="A189" s="865" t="s">
        <v>2090</v>
      </c>
      <c r="B189" s="866">
        <v>30775353</v>
      </c>
      <c r="C189" s="866" t="s">
        <v>3860</v>
      </c>
      <c r="D189" s="1440"/>
      <c r="E189" s="1443"/>
      <c r="F189" s="1443"/>
      <c r="G189" s="1440"/>
      <c r="H189" s="1440"/>
      <c r="I189" s="1440"/>
      <c r="J189" s="1440"/>
      <c r="K189" s="1440"/>
      <c r="L189" s="1440"/>
      <c r="M189" s="867" t="s">
        <v>2092</v>
      </c>
      <c r="N189" s="867" t="s">
        <v>3897</v>
      </c>
      <c r="O189" s="867" t="s">
        <v>3898</v>
      </c>
      <c r="P189" s="869">
        <v>20</v>
      </c>
      <c r="Q189" s="869">
        <v>20</v>
      </c>
      <c r="R189" s="870">
        <v>0</v>
      </c>
      <c r="S189" s="871"/>
      <c r="T189" s="871"/>
      <c r="U189" s="872"/>
      <c r="W189" s="872"/>
    </row>
    <row r="190" spans="1:23" ht="24" x14ac:dyDescent="0.2">
      <c r="A190" s="865" t="s">
        <v>2090</v>
      </c>
      <c r="B190" s="866">
        <v>30775353</v>
      </c>
      <c r="C190" s="866" t="s">
        <v>3860</v>
      </c>
      <c r="D190" s="867" t="s">
        <v>2142</v>
      </c>
      <c r="E190" s="868">
        <v>45540.378182870372</v>
      </c>
      <c r="F190" s="868">
        <v>45838.916655092595</v>
      </c>
      <c r="G190" s="867" t="s">
        <v>1758</v>
      </c>
      <c r="H190" s="867" t="s">
        <v>1759</v>
      </c>
      <c r="I190" s="867" t="s">
        <v>1761</v>
      </c>
      <c r="J190" s="867" t="s">
        <v>2143</v>
      </c>
      <c r="K190" s="867" t="s">
        <v>1804</v>
      </c>
      <c r="L190" s="867" t="s">
        <v>1828</v>
      </c>
      <c r="M190" s="867" t="s">
        <v>2092</v>
      </c>
      <c r="N190" s="867" t="s">
        <v>3897</v>
      </c>
      <c r="O190" s="873" t="s">
        <v>3898</v>
      </c>
      <c r="P190" s="874">
        <v>8</v>
      </c>
      <c r="Q190" s="874">
        <v>8</v>
      </c>
      <c r="R190" s="875">
        <v>0</v>
      </c>
      <c r="S190" s="876"/>
      <c r="T190" s="876"/>
      <c r="U190" s="877"/>
      <c r="W190" s="877"/>
    </row>
    <row r="191" spans="1:23" ht="36" x14ac:dyDescent="0.2">
      <c r="A191" s="865" t="s">
        <v>2090</v>
      </c>
      <c r="B191" s="866">
        <v>30775353</v>
      </c>
      <c r="C191" s="866" t="s">
        <v>3860</v>
      </c>
      <c r="D191" s="867" t="s">
        <v>2144</v>
      </c>
      <c r="E191" s="868">
        <v>45540.373819444445</v>
      </c>
      <c r="F191" s="868">
        <v>45838.916655092595</v>
      </c>
      <c r="G191" s="867" t="s">
        <v>1758</v>
      </c>
      <c r="H191" s="867" t="s">
        <v>1759</v>
      </c>
      <c r="I191" s="867" t="s">
        <v>1762</v>
      </c>
      <c r="J191" s="867" t="s">
        <v>2145</v>
      </c>
      <c r="K191" s="867" t="s">
        <v>1804</v>
      </c>
      <c r="L191" s="867" t="s">
        <v>1828</v>
      </c>
      <c r="M191" s="867" t="s">
        <v>2092</v>
      </c>
      <c r="N191" s="867" t="s">
        <v>3897</v>
      </c>
      <c r="O191" s="867" t="s">
        <v>3898</v>
      </c>
      <c r="P191" s="869">
        <v>30</v>
      </c>
      <c r="Q191" s="869">
        <v>30</v>
      </c>
      <c r="R191" s="870">
        <v>0</v>
      </c>
      <c r="S191" s="871"/>
      <c r="T191" s="871"/>
      <c r="U191" s="872"/>
      <c r="W191" s="872"/>
    </row>
    <row r="192" spans="1:23" ht="36" x14ac:dyDescent="0.2">
      <c r="A192" s="865" t="s">
        <v>2090</v>
      </c>
      <c r="B192" s="866">
        <v>30775353</v>
      </c>
      <c r="C192" s="866" t="s">
        <v>3860</v>
      </c>
      <c r="D192" s="867" t="s">
        <v>2146</v>
      </c>
      <c r="E192" s="868">
        <v>45555.225960648146</v>
      </c>
      <c r="F192" s="868">
        <v>45838.916655092595</v>
      </c>
      <c r="G192" s="867" t="s">
        <v>1758</v>
      </c>
      <c r="H192" s="867" t="s">
        <v>1759</v>
      </c>
      <c r="I192" s="867" t="s">
        <v>1762</v>
      </c>
      <c r="J192" s="867" t="s">
        <v>2147</v>
      </c>
      <c r="K192" s="867" t="s">
        <v>1804</v>
      </c>
      <c r="L192" s="867" t="s">
        <v>1828</v>
      </c>
      <c r="M192" s="867" t="s">
        <v>2092</v>
      </c>
      <c r="N192" s="867" t="s">
        <v>3897</v>
      </c>
      <c r="O192" s="873" t="s">
        <v>3898</v>
      </c>
      <c r="P192" s="874">
        <v>25</v>
      </c>
      <c r="Q192" s="874">
        <v>25</v>
      </c>
      <c r="R192" s="875">
        <v>18</v>
      </c>
      <c r="S192" s="876"/>
      <c r="T192" s="876"/>
      <c r="U192" s="877"/>
      <c r="W192" s="877"/>
    </row>
    <row r="193" spans="1:23" ht="36" x14ac:dyDescent="0.2">
      <c r="A193" s="812" t="s">
        <v>3906</v>
      </c>
      <c r="B193" s="866">
        <v>37982354</v>
      </c>
      <c r="C193" s="866" t="s">
        <v>3860</v>
      </c>
      <c r="D193" s="867" t="s">
        <v>2148</v>
      </c>
      <c r="E193" s="868">
        <v>45328.958333333336</v>
      </c>
      <c r="F193" s="868">
        <v>45693.958333333336</v>
      </c>
      <c r="G193" s="867" t="s">
        <v>1741</v>
      </c>
      <c r="H193" s="867" t="s">
        <v>1752</v>
      </c>
      <c r="I193" s="867" t="s">
        <v>1972</v>
      </c>
      <c r="J193" s="867" t="s">
        <v>2149</v>
      </c>
      <c r="K193" s="867" t="s">
        <v>1804</v>
      </c>
      <c r="L193" s="867" t="s">
        <v>1966</v>
      </c>
      <c r="M193" s="867" t="s">
        <v>2150</v>
      </c>
      <c r="N193" s="867" t="s">
        <v>3879</v>
      </c>
      <c r="O193" s="867" t="s">
        <v>3907</v>
      </c>
      <c r="P193" s="869">
        <v>29</v>
      </c>
      <c r="Q193" s="869">
        <v>0</v>
      </c>
      <c r="R193" s="870">
        <v>0</v>
      </c>
      <c r="S193" s="871">
        <v>29</v>
      </c>
      <c r="T193" s="871">
        <v>0</v>
      </c>
      <c r="U193" s="872">
        <v>0</v>
      </c>
      <c r="W193" s="872">
        <v>0</v>
      </c>
    </row>
    <row r="194" spans="1:23" ht="36" x14ac:dyDescent="0.2">
      <c r="A194" s="812" t="s">
        <v>3906</v>
      </c>
      <c r="B194" s="866">
        <v>37982354</v>
      </c>
      <c r="C194" s="866" t="s">
        <v>3860</v>
      </c>
      <c r="D194" s="867" t="s">
        <v>2151</v>
      </c>
      <c r="E194" s="868">
        <v>45328.958333333336</v>
      </c>
      <c r="F194" s="868">
        <v>45693.958333333336</v>
      </c>
      <c r="G194" s="867" t="s">
        <v>1777</v>
      </c>
      <c r="H194" s="867" t="s">
        <v>1752</v>
      </c>
      <c r="I194" s="867" t="s">
        <v>1951</v>
      </c>
      <c r="J194" s="867" t="s">
        <v>2152</v>
      </c>
      <c r="K194" s="867" t="s">
        <v>1804</v>
      </c>
      <c r="L194" s="867" t="s">
        <v>1953</v>
      </c>
      <c r="M194" s="867" t="s">
        <v>2150</v>
      </c>
      <c r="N194" s="867" t="s">
        <v>3879</v>
      </c>
      <c r="O194" s="873" t="s">
        <v>3907</v>
      </c>
      <c r="P194" s="874">
        <v>29</v>
      </c>
      <c r="Q194" s="874">
        <v>2</v>
      </c>
      <c r="R194" s="875">
        <v>0</v>
      </c>
      <c r="S194" s="876">
        <v>29</v>
      </c>
      <c r="T194" s="876">
        <v>2</v>
      </c>
      <c r="U194" s="877">
        <v>0</v>
      </c>
      <c r="W194" s="877">
        <v>0</v>
      </c>
    </row>
    <row r="195" spans="1:23" ht="36" x14ac:dyDescent="0.2">
      <c r="A195" s="812" t="s">
        <v>3906</v>
      </c>
      <c r="B195" s="866">
        <v>37982354</v>
      </c>
      <c r="C195" s="866" t="s">
        <v>3860</v>
      </c>
      <c r="D195" s="867" t="s">
        <v>2153</v>
      </c>
      <c r="E195" s="868">
        <v>45328.958333333336</v>
      </c>
      <c r="F195" s="868">
        <v>45693.958333333336</v>
      </c>
      <c r="G195" s="867" t="s">
        <v>1741</v>
      </c>
      <c r="H195" s="867" t="s">
        <v>1752</v>
      </c>
      <c r="I195" s="867" t="s">
        <v>1991</v>
      </c>
      <c r="J195" s="867" t="s">
        <v>2154</v>
      </c>
      <c r="K195" s="867" t="s">
        <v>1804</v>
      </c>
      <c r="L195" s="867" t="s">
        <v>1966</v>
      </c>
      <c r="M195" s="867" t="s">
        <v>2150</v>
      </c>
      <c r="N195" s="867" t="s">
        <v>3879</v>
      </c>
      <c r="O195" s="867" t="s">
        <v>3907</v>
      </c>
      <c r="P195" s="869">
        <v>29</v>
      </c>
      <c r="Q195" s="869">
        <v>0</v>
      </c>
      <c r="R195" s="870">
        <v>0</v>
      </c>
      <c r="S195" s="871">
        <v>29</v>
      </c>
      <c r="T195" s="871">
        <v>0</v>
      </c>
      <c r="U195" s="872">
        <v>0</v>
      </c>
      <c r="W195" s="872">
        <v>0</v>
      </c>
    </row>
    <row r="196" spans="1:23" ht="36" x14ac:dyDescent="0.2">
      <c r="A196" s="812" t="s">
        <v>3906</v>
      </c>
      <c r="B196" s="866">
        <v>37982354</v>
      </c>
      <c r="C196" s="866" t="s">
        <v>3860</v>
      </c>
      <c r="D196" s="867" t="s">
        <v>2155</v>
      </c>
      <c r="E196" s="868">
        <v>45329.958333333336</v>
      </c>
      <c r="F196" s="868">
        <v>45694.958333333336</v>
      </c>
      <c r="G196" s="867" t="s">
        <v>1741</v>
      </c>
      <c r="H196" s="867" t="s">
        <v>1755</v>
      </c>
      <c r="I196" s="867" t="s">
        <v>1861</v>
      </c>
      <c r="J196" s="867" t="s">
        <v>2156</v>
      </c>
      <c r="K196" s="867" t="s">
        <v>1804</v>
      </c>
      <c r="L196" s="867" t="s">
        <v>1863</v>
      </c>
      <c r="M196" s="867" t="s">
        <v>2150</v>
      </c>
      <c r="N196" s="867" t="s">
        <v>3879</v>
      </c>
      <c r="O196" s="873" t="s">
        <v>3907</v>
      </c>
      <c r="P196" s="874">
        <v>29</v>
      </c>
      <c r="Q196" s="874">
        <v>1</v>
      </c>
      <c r="R196" s="875">
        <v>0</v>
      </c>
      <c r="S196" s="876">
        <v>29</v>
      </c>
      <c r="T196" s="876">
        <v>1</v>
      </c>
      <c r="U196" s="877">
        <v>0</v>
      </c>
      <c r="W196" s="877">
        <v>0</v>
      </c>
    </row>
    <row r="197" spans="1:23" ht="36" x14ac:dyDescent="0.2">
      <c r="A197" s="812" t="s">
        <v>3906</v>
      </c>
      <c r="B197" s="866">
        <v>37982354</v>
      </c>
      <c r="C197" s="866" t="s">
        <v>3860</v>
      </c>
      <c r="D197" s="867" t="s">
        <v>2157</v>
      </c>
      <c r="E197" s="868">
        <v>45328.958333333336</v>
      </c>
      <c r="F197" s="868">
        <v>45693.958333333336</v>
      </c>
      <c r="G197" s="867" t="s">
        <v>1741</v>
      </c>
      <c r="H197" s="867" t="s">
        <v>1752</v>
      </c>
      <c r="I197" s="867" t="s">
        <v>1964</v>
      </c>
      <c r="J197" s="867" t="s">
        <v>2158</v>
      </c>
      <c r="K197" s="867" t="s">
        <v>1804</v>
      </c>
      <c r="L197" s="867" t="s">
        <v>1966</v>
      </c>
      <c r="M197" s="867" t="s">
        <v>2150</v>
      </c>
      <c r="N197" s="867" t="s">
        <v>3879</v>
      </c>
      <c r="O197" s="867" t="s">
        <v>3907</v>
      </c>
      <c r="P197" s="869">
        <v>29</v>
      </c>
      <c r="Q197" s="869">
        <v>0</v>
      </c>
      <c r="R197" s="870">
        <v>0</v>
      </c>
      <c r="S197" s="871">
        <v>29</v>
      </c>
      <c r="T197" s="871">
        <v>0</v>
      </c>
      <c r="U197" s="872">
        <v>0</v>
      </c>
      <c r="W197" s="872">
        <v>0</v>
      </c>
    </row>
    <row r="198" spans="1:23" ht="36" x14ac:dyDescent="0.2">
      <c r="A198" s="812" t="s">
        <v>3906</v>
      </c>
      <c r="B198" s="866">
        <v>37982354</v>
      </c>
      <c r="C198" s="866" t="s">
        <v>3860</v>
      </c>
      <c r="D198" s="867" t="s">
        <v>2159</v>
      </c>
      <c r="E198" s="868">
        <v>45537.916666666664</v>
      </c>
      <c r="F198" s="868">
        <v>45902.916655092595</v>
      </c>
      <c r="G198" s="867" t="s">
        <v>1758</v>
      </c>
      <c r="H198" s="867" t="s">
        <v>1759</v>
      </c>
      <c r="I198" s="867" t="s">
        <v>1761</v>
      </c>
      <c r="J198" s="867" t="s">
        <v>1761</v>
      </c>
      <c r="K198" s="867" t="s">
        <v>1804</v>
      </c>
      <c r="L198" s="867" t="s">
        <v>1828</v>
      </c>
      <c r="M198" s="867" t="s">
        <v>2150</v>
      </c>
      <c r="N198" s="867" t="s">
        <v>3879</v>
      </c>
      <c r="O198" s="873" t="s">
        <v>3907</v>
      </c>
      <c r="P198" s="874">
        <v>26</v>
      </c>
      <c r="Q198" s="874">
        <v>26</v>
      </c>
      <c r="R198" s="875">
        <v>0</v>
      </c>
      <c r="S198" s="876">
        <v>26</v>
      </c>
      <c r="T198" s="876">
        <v>26</v>
      </c>
      <c r="U198" s="877">
        <v>0</v>
      </c>
      <c r="W198" s="877">
        <v>0</v>
      </c>
    </row>
    <row r="199" spans="1:23" ht="24" x14ac:dyDescent="0.2">
      <c r="A199" s="812" t="s">
        <v>3908</v>
      </c>
      <c r="B199" s="866" t="s">
        <v>3909</v>
      </c>
      <c r="C199" s="866" t="s">
        <v>3860</v>
      </c>
      <c r="D199" s="1438" t="s">
        <v>2160</v>
      </c>
      <c r="E199" s="1441">
        <v>45536.916666666664</v>
      </c>
      <c r="F199" s="1441">
        <v>45841.916655092595</v>
      </c>
      <c r="G199" s="1438" t="s">
        <v>1758</v>
      </c>
      <c r="H199" s="1438" t="s">
        <v>1759</v>
      </c>
      <c r="I199" s="1438" t="s">
        <v>1762</v>
      </c>
      <c r="J199" s="1438" t="s">
        <v>1762</v>
      </c>
      <c r="K199" s="1438" t="s">
        <v>1804</v>
      </c>
      <c r="L199" s="1438" t="s">
        <v>1828</v>
      </c>
      <c r="M199" s="867" t="s">
        <v>2161</v>
      </c>
      <c r="N199" s="867" t="s">
        <v>3910</v>
      </c>
      <c r="O199" s="867" t="s">
        <v>3911</v>
      </c>
      <c r="P199" s="869">
        <v>13</v>
      </c>
      <c r="Q199" s="869">
        <v>13</v>
      </c>
      <c r="R199" s="870">
        <v>13</v>
      </c>
      <c r="S199" s="871">
        <v>13</v>
      </c>
      <c r="T199" s="871">
        <v>13</v>
      </c>
      <c r="U199" s="872">
        <v>13</v>
      </c>
      <c r="W199" s="872">
        <v>13</v>
      </c>
    </row>
    <row r="200" spans="1:23" ht="24" x14ac:dyDescent="0.2">
      <c r="A200" s="812" t="s">
        <v>3908</v>
      </c>
      <c r="B200" s="866" t="s">
        <v>3909</v>
      </c>
      <c r="C200" s="866" t="s">
        <v>3860</v>
      </c>
      <c r="D200" s="1440"/>
      <c r="E200" s="1443"/>
      <c r="F200" s="1443"/>
      <c r="G200" s="1440"/>
      <c r="H200" s="1440"/>
      <c r="I200" s="1440"/>
      <c r="J200" s="1440"/>
      <c r="K200" s="1440"/>
      <c r="L200" s="1440"/>
      <c r="M200" s="867" t="s">
        <v>2162</v>
      </c>
      <c r="N200" s="867" t="s">
        <v>3886</v>
      </c>
      <c r="O200" s="873" t="s">
        <v>3912</v>
      </c>
      <c r="P200" s="874">
        <v>13</v>
      </c>
      <c r="Q200" s="874">
        <v>13</v>
      </c>
      <c r="R200" s="875">
        <v>13</v>
      </c>
      <c r="S200" s="876">
        <v>13</v>
      </c>
      <c r="T200" s="876">
        <v>13</v>
      </c>
      <c r="U200" s="877">
        <v>13</v>
      </c>
      <c r="W200" s="877">
        <v>13</v>
      </c>
    </row>
    <row r="201" spans="1:23" ht="24" x14ac:dyDescent="0.2">
      <c r="A201" s="812" t="s">
        <v>3908</v>
      </c>
      <c r="B201" s="866" t="s">
        <v>3909</v>
      </c>
      <c r="C201" s="866" t="s">
        <v>3860</v>
      </c>
      <c r="D201" s="867" t="s">
        <v>2163</v>
      </c>
      <c r="E201" s="868">
        <v>45546.916666666664</v>
      </c>
      <c r="F201" s="868">
        <v>45900.916655092595</v>
      </c>
      <c r="G201" s="867" t="s">
        <v>1758</v>
      </c>
      <c r="H201" s="867" t="s">
        <v>1759</v>
      </c>
      <c r="I201" s="867" t="s">
        <v>1761</v>
      </c>
      <c r="J201" s="867" t="s">
        <v>2164</v>
      </c>
      <c r="K201" s="867" t="s">
        <v>1804</v>
      </c>
      <c r="L201" s="867" t="s">
        <v>1828</v>
      </c>
      <c r="M201" s="867" t="s">
        <v>2165</v>
      </c>
      <c r="N201" s="867" t="s">
        <v>3913</v>
      </c>
      <c r="O201" s="867" t="s">
        <v>3914</v>
      </c>
      <c r="P201" s="869">
        <v>12</v>
      </c>
      <c r="Q201" s="869">
        <v>12</v>
      </c>
      <c r="R201" s="870">
        <v>3</v>
      </c>
      <c r="S201" s="871">
        <v>12</v>
      </c>
      <c r="T201" s="871">
        <v>12</v>
      </c>
      <c r="U201" s="872">
        <v>3</v>
      </c>
      <c r="W201" s="872">
        <v>3</v>
      </c>
    </row>
    <row r="202" spans="1:23" ht="24" x14ac:dyDescent="0.2">
      <c r="A202" s="812" t="s">
        <v>3908</v>
      </c>
      <c r="B202" s="866" t="s">
        <v>3909</v>
      </c>
      <c r="C202" s="866" t="s">
        <v>3860</v>
      </c>
      <c r="D202" s="1438" t="s">
        <v>2166</v>
      </c>
      <c r="E202" s="1441">
        <v>45539.246874999997</v>
      </c>
      <c r="F202" s="1441">
        <v>45904.916655092595</v>
      </c>
      <c r="G202" s="1438" t="s">
        <v>1758</v>
      </c>
      <c r="H202" s="1438" t="s">
        <v>1759</v>
      </c>
      <c r="I202" s="1438" t="s">
        <v>1760</v>
      </c>
      <c r="J202" s="1438" t="s">
        <v>2167</v>
      </c>
      <c r="K202" s="1438" t="s">
        <v>1804</v>
      </c>
      <c r="L202" s="1438" t="s">
        <v>1805</v>
      </c>
      <c r="M202" s="867" t="s">
        <v>2161</v>
      </c>
      <c r="N202" s="867" t="s">
        <v>3910</v>
      </c>
      <c r="O202" s="873" t="s">
        <v>3911</v>
      </c>
      <c r="P202" s="874">
        <v>15</v>
      </c>
      <c r="Q202" s="874">
        <v>15</v>
      </c>
      <c r="R202" s="875">
        <v>12</v>
      </c>
      <c r="S202" s="876">
        <v>15</v>
      </c>
      <c r="T202" s="876">
        <v>15</v>
      </c>
      <c r="U202" s="877">
        <v>12</v>
      </c>
      <c r="W202" s="877">
        <v>12</v>
      </c>
    </row>
    <row r="203" spans="1:23" ht="24" x14ac:dyDescent="0.2">
      <c r="A203" s="812" t="s">
        <v>3908</v>
      </c>
      <c r="B203" s="866" t="s">
        <v>3909</v>
      </c>
      <c r="C203" s="866" t="s">
        <v>3860</v>
      </c>
      <c r="D203" s="1440"/>
      <c r="E203" s="1443"/>
      <c r="F203" s="1443"/>
      <c r="G203" s="1440"/>
      <c r="H203" s="1440"/>
      <c r="I203" s="1440"/>
      <c r="J203" s="1440"/>
      <c r="K203" s="1440"/>
      <c r="L203" s="1440"/>
      <c r="M203" s="867" t="s">
        <v>2162</v>
      </c>
      <c r="N203" s="867" t="s">
        <v>3886</v>
      </c>
      <c r="O203" s="867" t="s">
        <v>3912</v>
      </c>
      <c r="P203" s="869">
        <v>15</v>
      </c>
      <c r="Q203" s="869">
        <v>15</v>
      </c>
      <c r="R203" s="870">
        <v>12</v>
      </c>
      <c r="S203" s="871">
        <v>15</v>
      </c>
      <c r="T203" s="871">
        <v>15</v>
      </c>
      <c r="U203" s="872">
        <v>12</v>
      </c>
      <c r="W203" s="872">
        <v>12</v>
      </c>
    </row>
    <row r="204" spans="1:23" ht="24" x14ac:dyDescent="0.2">
      <c r="A204" s="812" t="s">
        <v>3908</v>
      </c>
      <c r="B204" s="866" t="s">
        <v>3909</v>
      </c>
      <c r="C204" s="866" t="s">
        <v>3860</v>
      </c>
      <c r="D204" s="867" t="s">
        <v>2168</v>
      </c>
      <c r="E204" s="868">
        <v>45538.334270833337</v>
      </c>
      <c r="F204" s="868">
        <v>45816.916655092595</v>
      </c>
      <c r="G204" s="867" t="s">
        <v>1767</v>
      </c>
      <c r="H204" s="867" t="s">
        <v>1765</v>
      </c>
      <c r="I204" s="867" t="s">
        <v>1769</v>
      </c>
      <c r="J204" s="867" t="s">
        <v>1769</v>
      </c>
      <c r="K204" s="867" t="s">
        <v>1804</v>
      </c>
      <c r="L204" s="867" t="s">
        <v>2097</v>
      </c>
      <c r="M204" s="867" t="s">
        <v>2162</v>
      </c>
      <c r="N204" s="867" t="s">
        <v>3886</v>
      </c>
      <c r="O204" s="873" t="s">
        <v>3912</v>
      </c>
      <c r="P204" s="874">
        <v>15</v>
      </c>
      <c r="Q204" s="874">
        <v>14</v>
      </c>
      <c r="R204" s="875">
        <v>5</v>
      </c>
      <c r="S204" s="876">
        <v>15</v>
      </c>
      <c r="T204" s="876">
        <v>14</v>
      </c>
      <c r="U204" s="877">
        <v>5</v>
      </c>
      <c r="W204" s="877">
        <v>5</v>
      </c>
    </row>
    <row r="205" spans="1:23" ht="24" x14ac:dyDescent="0.2">
      <c r="A205" s="812" t="s">
        <v>3908</v>
      </c>
      <c r="B205" s="866" t="s">
        <v>3909</v>
      </c>
      <c r="C205" s="866" t="s">
        <v>3860</v>
      </c>
      <c r="D205" s="867" t="s">
        <v>2169</v>
      </c>
      <c r="E205" s="868">
        <v>45356.958333333336</v>
      </c>
      <c r="F205" s="868">
        <v>45534.916666666664</v>
      </c>
      <c r="G205" s="867" t="s">
        <v>1777</v>
      </c>
      <c r="H205" s="867" t="s">
        <v>1752</v>
      </c>
      <c r="I205" s="867" t="s">
        <v>1951</v>
      </c>
      <c r="J205" s="867" t="s">
        <v>2170</v>
      </c>
      <c r="K205" s="867" t="s">
        <v>1804</v>
      </c>
      <c r="L205" s="867" t="s">
        <v>1953</v>
      </c>
      <c r="M205" s="867" t="s">
        <v>2171</v>
      </c>
      <c r="N205" s="867" t="s">
        <v>3915</v>
      </c>
      <c r="O205" s="867" t="s">
        <v>3916</v>
      </c>
      <c r="P205" s="869">
        <v>9</v>
      </c>
      <c r="Q205" s="869">
        <v>7</v>
      </c>
      <c r="R205" s="870">
        <v>0</v>
      </c>
      <c r="S205" s="871">
        <v>9</v>
      </c>
      <c r="T205" s="871">
        <v>7</v>
      </c>
      <c r="U205" s="872">
        <v>0</v>
      </c>
      <c r="W205" s="872">
        <v>0</v>
      </c>
    </row>
    <row r="206" spans="1:23" ht="24" x14ac:dyDescent="0.2">
      <c r="A206" s="812" t="s">
        <v>3908</v>
      </c>
      <c r="B206" s="866" t="s">
        <v>3909</v>
      </c>
      <c r="C206" s="866" t="s">
        <v>3860</v>
      </c>
      <c r="D206" s="867" t="s">
        <v>2172</v>
      </c>
      <c r="E206" s="868">
        <v>45356.958333333336</v>
      </c>
      <c r="F206" s="868">
        <v>45534.916666666664</v>
      </c>
      <c r="G206" s="867" t="s">
        <v>1777</v>
      </c>
      <c r="H206" s="867" t="s">
        <v>1752</v>
      </c>
      <c r="I206" s="867" t="s">
        <v>1951</v>
      </c>
      <c r="J206" s="867" t="s">
        <v>2173</v>
      </c>
      <c r="K206" s="867" t="s">
        <v>1804</v>
      </c>
      <c r="L206" s="867" t="s">
        <v>1953</v>
      </c>
      <c r="M206" s="867" t="s">
        <v>2171</v>
      </c>
      <c r="N206" s="867" t="s">
        <v>3915</v>
      </c>
      <c r="O206" s="873" t="s">
        <v>3916</v>
      </c>
      <c r="P206" s="874">
        <v>14</v>
      </c>
      <c r="Q206" s="874">
        <v>11</v>
      </c>
      <c r="R206" s="875">
        <v>4</v>
      </c>
      <c r="S206" s="876">
        <v>14</v>
      </c>
      <c r="T206" s="876">
        <v>11</v>
      </c>
      <c r="U206" s="877">
        <v>4</v>
      </c>
      <c r="W206" s="877">
        <v>4</v>
      </c>
    </row>
    <row r="207" spans="1:23" ht="24" x14ac:dyDescent="0.2">
      <c r="A207" s="812" t="s">
        <v>3908</v>
      </c>
      <c r="B207" s="866" t="s">
        <v>3909</v>
      </c>
      <c r="C207" s="866" t="s">
        <v>3860</v>
      </c>
      <c r="D207" s="867" t="s">
        <v>2174</v>
      </c>
      <c r="E207" s="868">
        <v>45357.958333333336</v>
      </c>
      <c r="F207" s="868">
        <v>45534.916666666664</v>
      </c>
      <c r="G207" s="867" t="s">
        <v>1777</v>
      </c>
      <c r="H207" s="867" t="s">
        <v>1752</v>
      </c>
      <c r="I207" s="867" t="s">
        <v>1951</v>
      </c>
      <c r="J207" s="867" t="s">
        <v>2175</v>
      </c>
      <c r="K207" s="867" t="s">
        <v>1804</v>
      </c>
      <c r="L207" s="867" t="s">
        <v>1953</v>
      </c>
      <c r="M207" s="867" t="s">
        <v>2171</v>
      </c>
      <c r="N207" s="867" t="s">
        <v>3915</v>
      </c>
      <c r="O207" s="867" t="s">
        <v>3916</v>
      </c>
      <c r="P207" s="869">
        <v>14</v>
      </c>
      <c r="Q207" s="869">
        <v>12</v>
      </c>
      <c r="R207" s="870">
        <v>2</v>
      </c>
      <c r="S207" s="871">
        <v>14</v>
      </c>
      <c r="T207" s="871">
        <v>12</v>
      </c>
      <c r="U207" s="872">
        <v>2</v>
      </c>
      <c r="W207" s="872">
        <v>2</v>
      </c>
    </row>
    <row r="208" spans="1:23" ht="48" x14ac:dyDescent="0.2">
      <c r="A208" s="812" t="s">
        <v>3908</v>
      </c>
      <c r="B208" s="866" t="s">
        <v>3909</v>
      </c>
      <c r="C208" s="866" t="s">
        <v>3860</v>
      </c>
      <c r="D208" s="867" t="s">
        <v>2176</v>
      </c>
      <c r="E208" s="868">
        <v>45362.958333333336</v>
      </c>
      <c r="F208" s="868">
        <v>45517.916666666664</v>
      </c>
      <c r="G208" s="867" t="s">
        <v>1758</v>
      </c>
      <c r="H208" s="867" t="s">
        <v>1759</v>
      </c>
      <c r="I208" s="867" t="s">
        <v>1858</v>
      </c>
      <c r="J208" s="867" t="s">
        <v>2177</v>
      </c>
      <c r="K208" s="867" t="s">
        <v>1804</v>
      </c>
      <c r="L208" s="867" t="s">
        <v>1819</v>
      </c>
      <c r="M208" s="867" t="s">
        <v>2178</v>
      </c>
      <c r="N208" s="867" t="s">
        <v>3917</v>
      </c>
      <c r="O208" s="873" t="s">
        <v>3918</v>
      </c>
      <c r="P208" s="874">
        <v>16</v>
      </c>
      <c r="Q208" s="874">
        <v>16</v>
      </c>
      <c r="R208" s="875">
        <v>14</v>
      </c>
      <c r="S208" s="876">
        <v>16</v>
      </c>
      <c r="T208" s="876">
        <v>16</v>
      </c>
      <c r="U208" s="877">
        <v>14</v>
      </c>
      <c r="W208" s="877">
        <v>14</v>
      </c>
    </row>
    <row r="209" spans="1:23" ht="36" x14ac:dyDescent="0.2">
      <c r="A209" s="812" t="s">
        <v>3908</v>
      </c>
      <c r="B209" s="866" t="s">
        <v>3909</v>
      </c>
      <c r="C209" s="866" t="s">
        <v>3860</v>
      </c>
      <c r="D209" s="867" t="s">
        <v>2179</v>
      </c>
      <c r="E209" s="868">
        <v>45448.916666666664</v>
      </c>
      <c r="F209" s="868">
        <v>45540.916666666664</v>
      </c>
      <c r="G209" s="867" t="s">
        <v>1758</v>
      </c>
      <c r="H209" s="867" t="s">
        <v>1759</v>
      </c>
      <c r="I209" s="867" t="s">
        <v>1817</v>
      </c>
      <c r="J209" s="867" t="s">
        <v>2180</v>
      </c>
      <c r="K209" s="867" t="s">
        <v>1804</v>
      </c>
      <c r="L209" s="867" t="s">
        <v>1819</v>
      </c>
      <c r="M209" s="867" t="s">
        <v>2161</v>
      </c>
      <c r="N209" s="867" t="s">
        <v>3910</v>
      </c>
      <c r="O209" s="867" t="s">
        <v>3911</v>
      </c>
      <c r="P209" s="869">
        <v>14</v>
      </c>
      <c r="Q209" s="869">
        <v>14</v>
      </c>
      <c r="R209" s="870">
        <v>14</v>
      </c>
      <c r="S209" s="871">
        <v>14</v>
      </c>
      <c r="T209" s="871">
        <v>14</v>
      </c>
      <c r="U209" s="872">
        <v>14</v>
      </c>
      <c r="W209" s="872">
        <v>14</v>
      </c>
    </row>
    <row r="210" spans="1:23" ht="24" x14ac:dyDescent="0.2">
      <c r="A210" s="812" t="s">
        <v>3908</v>
      </c>
      <c r="B210" s="866" t="s">
        <v>3909</v>
      </c>
      <c r="C210" s="866" t="s">
        <v>3860</v>
      </c>
      <c r="D210" s="1438" t="s">
        <v>2181</v>
      </c>
      <c r="E210" s="1441">
        <v>45540.274722222224</v>
      </c>
      <c r="F210" s="1441">
        <v>45838.916655092595</v>
      </c>
      <c r="G210" s="1438" t="s">
        <v>1758</v>
      </c>
      <c r="H210" s="1438" t="s">
        <v>1759</v>
      </c>
      <c r="I210" s="1438" t="s">
        <v>1761</v>
      </c>
      <c r="J210" s="1438" t="s">
        <v>2182</v>
      </c>
      <c r="K210" s="1438" t="s">
        <v>1804</v>
      </c>
      <c r="L210" s="1438" t="s">
        <v>1828</v>
      </c>
      <c r="M210" s="867" t="s">
        <v>2161</v>
      </c>
      <c r="N210" s="867" t="s">
        <v>3910</v>
      </c>
      <c r="O210" s="873" t="s">
        <v>3911</v>
      </c>
      <c r="P210" s="874">
        <v>21</v>
      </c>
      <c r="Q210" s="874">
        <v>21</v>
      </c>
      <c r="R210" s="875">
        <v>0</v>
      </c>
      <c r="S210" s="876">
        <v>21</v>
      </c>
      <c r="T210" s="876">
        <v>21</v>
      </c>
      <c r="U210" s="877">
        <v>0</v>
      </c>
      <c r="W210" s="877">
        <v>0</v>
      </c>
    </row>
    <row r="211" spans="1:23" ht="24" x14ac:dyDescent="0.2">
      <c r="A211" s="812" t="s">
        <v>3908</v>
      </c>
      <c r="B211" s="866" t="s">
        <v>3909</v>
      </c>
      <c r="C211" s="866" t="s">
        <v>3860</v>
      </c>
      <c r="D211" s="1440"/>
      <c r="E211" s="1443"/>
      <c r="F211" s="1443"/>
      <c r="G211" s="1440"/>
      <c r="H211" s="1440"/>
      <c r="I211" s="1440"/>
      <c r="J211" s="1440"/>
      <c r="K211" s="1440"/>
      <c r="L211" s="1440"/>
      <c r="M211" s="867" t="s">
        <v>2183</v>
      </c>
      <c r="N211" s="867" t="s">
        <v>3919</v>
      </c>
      <c r="O211" s="867" t="s">
        <v>3920</v>
      </c>
      <c r="P211" s="869">
        <v>21</v>
      </c>
      <c r="Q211" s="869">
        <v>21</v>
      </c>
      <c r="R211" s="870">
        <v>0</v>
      </c>
      <c r="S211" s="871">
        <v>21</v>
      </c>
      <c r="T211" s="871">
        <v>21</v>
      </c>
      <c r="U211" s="872">
        <v>0</v>
      </c>
      <c r="W211" s="872">
        <v>0</v>
      </c>
    </row>
    <row r="212" spans="1:23" ht="36" x14ac:dyDescent="0.2">
      <c r="A212" s="812" t="s">
        <v>3908</v>
      </c>
      <c r="B212" s="866" t="s">
        <v>3909</v>
      </c>
      <c r="C212" s="866" t="s">
        <v>3860</v>
      </c>
      <c r="D212" s="867" t="s">
        <v>2184</v>
      </c>
      <c r="E212" s="868">
        <v>45614.436377314814</v>
      </c>
      <c r="F212" s="868">
        <v>45838.916655092595</v>
      </c>
      <c r="G212" s="867" t="s">
        <v>1741</v>
      </c>
      <c r="H212" s="867" t="s">
        <v>1752</v>
      </c>
      <c r="I212" s="867" t="s">
        <v>1754</v>
      </c>
      <c r="J212" s="867" t="s">
        <v>1754</v>
      </c>
      <c r="K212" s="867" t="s">
        <v>1804</v>
      </c>
      <c r="L212" s="867" t="s">
        <v>1930</v>
      </c>
      <c r="M212" s="867" t="s">
        <v>2185</v>
      </c>
      <c r="N212" s="867" t="s">
        <v>3921</v>
      </c>
      <c r="O212" s="873" t="s">
        <v>3922</v>
      </c>
      <c r="P212" s="874">
        <v>14</v>
      </c>
      <c r="Q212" s="874">
        <v>14</v>
      </c>
      <c r="R212" s="875">
        <v>6</v>
      </c>
      <c r="S212" s="876">
        <v>14</v>
      </c>
      <c r="T212" s="876">
        <v>14</v>
      </c>
      <c r="U212" s="877">
        <v>6</v>
      </c>
      <c r="W212" s="877">
        <v>6</v>
      </c>
    </row>
    <row r="213" spans="1:23" ht="36" x14ac:dyDescent="0.2">
      <c r="A213" s="812" t="s">
        <v>3908</v>
      </c>
      <c r="B213" s="866" t="s">
        <v>3909</v>
      </c>
      <c r="C213" s="866" t="s">
        <v>3860</v>
      </c>
      <c r="D213" s="867" t="s">
        <v>2186</v>
      </c>
      <c r="E213" s="868">
        <v>45541.398993055554</v>
      </c>
      <c r="F213" s="868">
        <v>45838.916655092595</v>
      </c>
      <c r="G213" s="867" t="s">
        <v>1758</v>
      </c>
      <c r="H213" s="867" t="s">
        <v>1759</v>
      </c>
      <c r="I213" s="867" t="s">
        <v>1762</v>
      </c>
      <c r="J213" s="867" t="s">
        <v>1762</v>
      </c>
      <c r="K213" s="867" t="s">
        <v>1804</v>
      </c>
      <c r="L213" s="867" t="s">
        <v>1828</v>
      </c>
      <c r="M213" s="867" t="s">
        <v>2178</v>
      </c>
      <c r="N213" s="867" t="s">
        <v>3917</v>
      </c>
      <c r="O213" s="867" t="s">
        <v>3918</v>
      </c>
      <c r="P213" s="869">
        <v>16</v>
      </c>
      <c r="Q213" s="869">
        <v>16</v>
      </c>
      <c r="R213" s="870">
        <v>14</v>
      </c>
      <c r="S213" s="871">
        <v>16</v>
      </c>
      <c r="T213" s="871">
        <v>16</v>
      </c>
      <c r="U213" s="872">
        <v>14</v>
      </c>
      <c r="W213" s="872">
        <v>14</v>
      </c>
    </row>
    <row r="214" spans="1:23" ht="48" x14ac:dyDescent="0.2">
      <c r="A214" s="812" t="s">
        <v>3908</v>
      </c>
      <c r="B214" s="866" t="s">
        <v>3909</v>
      </c>
      <c r="C214" s="866" t="s">
        <v>3860</v>
      </c>
      <c r="D214" s="867" t="s">
        <v>2187</v>
      </c>
      <c r="E214" s="868">
        <v>45540.247847222221</v>
      </c>
      <c r="F214" s="868">
        <v>45905.916655092595</v>
      </c>
      <c r="G214" s="867" t="s">
        <v>1758</v>
      </c>
      <c r="H214" s="867" t="s">
        <v>1759</v>
      </c>
      <c r="I214" s="867" t="s">
        <v>1760</v>
      </c>
      <c r="J214" s="867" t="s">
        <v>2188</v>
      </c>
      <c r="K214" s="867" t="s">
        <v>1804</v>
      </c>
      <c r="L214" s="867" t="s">
        <v>1805</v>
      </c>
      <c r="M214" s="867" t="s">
        <v>2161</v>
      </c>
      <c r="N214" s="867" t="s">
        <v>3910</v>
      </c>
      <c r="O214" s="873" t="s">
        <v>3911</v>
      </c>
      <c r="P214" s="874">
        <v>15</v>
      </c>
      <c r="Q214" s="874">
        <v>15</v>
      </c>
      <c r="R214" s="875">
        <v>13</v>
      </c>
      <c r="S214" s="876">
        <v>15</v>
      </c>
      <c r="T214" s="876">
        <v>15</v>
      </c>
      <c r="U214" s="877">
        <v>13</v>
      </c>
      <c r="W214" s="877">
        <v>13</v>
      </c>
    </row>
    <row r="215" spans="1:23" ht="24" x14ac:dyDescent="0.2">
      <c r="A215" s="812" t="s">
        <v>3908</v>
      </c>
      <c r="B215" s="866" t="s">
        <v>3909</v>
      </c>
      <c r="C215" s="866" t="s">
        <v>3860</v>
      </c>
      <c r="D215" s="867" t="s">
        <v>2189</v>
      </c>
      <c r="E215" s="868">
        <v>45541.25236111111</v>
      </c>
      <c r="F215" s="868">
        <v>45809.916655092595</v>
      </c>
      <c r="G215" s="867" t="s">
        <v>1767</v>
      </c>
      <c r="H215" s="867" t="s">
        <v>1765</v>
      </c>
      <c r="I215" s="867" t="s">
        <v>1769</v>
      </c>
      <c r="J215" s="867" t="s">
        <v>2190</v>
      </c>
      <c r="K215" s="867" t="s">
        <v>1804</v>
      </c>
      <c r="L215" s="867" t="s">
        <v>2097</v>
      </c>
      <c r="M215" s="867" t="s">
        <v>2162</v>
      </c>
      <c r="N215" s="867" t="s">
        <v>3886</v>
      </c>
      <c r="O215" s="867" t="s">
        <v>3912</v>
      </c>
      <c r="P215" s="869">
        <v>15</v>
      </c>
      <c r="Q215" s="869">
        <v>15</v>
      </c>
      <c r="R215" s="870">
        <v>7</v>
      </c>
      <c r="S215" s="871">
        <v>15</v>
      </c>
      <c r="T215" s="871">
        <v>15</v>
      </c>
      <c r="U215" s="872">
        <v>7</v>
      </c>
      <c r="W215" s="872">
        <v>7</v>
      </c>
    </row>
    <row r="216" spans="1:23" ht="36" x14ac:dyDescent="0.2">
      <c r="A216" s="812" t="s">
        <v>3908</v>
      </c>
      <c r="B216" s="866" t="s">
        <v>3909</v>
      </c>
      <c r="C216" s="866" t="s">
        <v>3860</v>
      </c>
      <c r="D216" s="867" t="s">
        <v>2191</v>
      </c>
      <c r="E216" s="868">
        <v>45625.494479166664</v>
      </c>
      <c r="F216" s="868">
        <v>45838.916655092595</v>
      </c>
      <c r="G216" s="867" t="s">
        <v>1741</v>
      </c>
      <c r="H216" s="867" t="s">
        <v>1752</v>
      </c>
      <c r="I216" s="867" t="s">
        <v>1754</v>
      </c>
      <c r="J216" s="867" t="s">
        <v>2192</v>
      </c>
      <c r="K216" s="867" t="s">
        <v>1804</v>
      </c>
      <c r="L216" s="867" t="s">
        <v>1930</v>
      </c>
      <c r="M216" s="867" t="s">
        <v>2171</v>
      </c>
      <c r="N216" s="867" t="s">
        <v>3915</v>
      </c>
      <c r="O216" s="873" t="s">
        <v>3916</v>
      </c>
      <c r="P216" s="874">
        <v>14</v>
      </c>
      <c r="Q216" s="874">
        <v>14</v>
      </c>
      <c r="R216" s="875">
        <v>14</v>
      </c>
      <c r="S216" s="876">
        <v>14</v>
      </c>
      <c r="T216" s="876">
        <v>14</v>
      </c>
      <c r="U216" s="877">
        <v>14</v>
      </c>
      <c r="W216" s="877">
        <v>14</v>
      </c>
    </row>
    <row r="217" spans="1:23" ht="24" x14ac:dyDescent="0.2">
      <c r="A217" s="812" t="s">
        <v>3908</v>
      </c>
      <c r="B217" s="866" t="s">
        <v>3909</v>
      </c>
      <c r="C217" s="866" t="s">
        <v>3860</v>
      </c>
      <c r="D217" s="867" t="s">
        <v>2193</v>
      </c>
      <c r="E217" s="868">
        <v>45551.322777777779</v>
      </c>
      <c r="F217" s="868">
        <v>45899.916655092595</v>
      </c>
      <c r="G217" s="867" t="s">
        <v>1758</v>
      </c>
      <c r="H217" s="867" t="s">
        <v>1759</v>
      </c>
      <c r="I217" s="867" t="s">
        <v>1761</v>
      </c>
      <c r="J217" s="867" t="s">
        <v>2194</v>
      </c>
      <c r="K217" s="867" t="s">
        <v>1804</v>
      </c>
      <c r="L217" s="867" t="s">
        <v>1828</v>
      </c>
      <c r="M217" s="867" t="s">
        <v>2165</v>
      </c>
      <c r="N217" s="867" t="s">
        <v>3913</v>
      </c>
      <c r="O217" s="867" t="s">
        <v>3914</v>
      </c>
      <c r="P217" s="869">
        <v>19</v>
      </c>
      <c r="Q217" s="869">
        <v>18</v>
      </c>
      <c r="R217" s="870">
        <v>17</v>
      </c>
      <c r="S217" s="871">
        <v>19</v>
      </c>
      <c r="T217" s="871">
        <v>18</v>
      </c>
      <c r="U217" s="872">
        <v>17</v>
      </c>
      <c r="W217" s="872">
        <v>17</v>
      </c>
    </row>
    <row r="218" spans="1:23" ht="24" x14ac:dyDescent="0.2">
      <c r="A218" s="812" t="s">
        <v>3908</v>
      </c>
      <c r="B218" s="866" t="s">
        <v>3909</v>
      </c>
      <c r="C218" s="866" t="s">
        <v>3860</v>
      </c>
      <c r="D218" s="867" t="s">
        <v>2195</v>
      </c>
      <c r="E218" s="868">
        <v>45546.467905092592</v>
      </c>
      <c r="F218" s="868">
        <v>45838.916655092595</v>
      </c>
      <c r="G218" s="867" t="s">
        <v>1772</v>
      </c>
      <c r="H218" s="867" t="s">
        <v>1765</v>
      </c>
      <c r="I218" s="867" t="s">
        <v>1773</v>
      </c>
      <c r="J218" s="867" t="s">
        <v>1773</v>
      </c>
      <c r="K218" s="867" t="s">
        <v>1804</v>
      </c>
      <c r="L218" s="867" t="s">
        <v>1805</v>
      </c>
      <c r="M218" s="867" t="s">
        <v>2171</v>
      </c>
      <c r="N218" s="867" t="s">
        <v>3915</v>
      </c>
      <c r="O218" s="873" t="s">
        <v>3916</v>
      </c>
      <c r="P218" s="874">
        <v>1</v>
      </c>
      <c r="Q218" s="874">
        <v>1</v>
      </c>
      <c r="R218" s="875">
        <v>0</v>
      </c>
      <c r="S218" s="876">
        <v>1</v>
      </c>
      <c r="T218" s="876">
        <v>1</v>
      </c>
      <c r="U218" s="877">
        <v>0</v>
      </c>
      <c r="W218" s="877">
        <v>0</v>
      </c>
    </row>
    <row r="219" spans="1:23" ht="48" x14ac:dyDescent="0.2">
      <c r="A219" s="812" t="s">
        <v>3908</v>
      </c>
      <c r="B219" s="866" t="s">
        <v>3909</v>
      </c>
      <c r="C219" s="866" t="s">
        <v>3860</v>
      </c>
      <c r="D219" s="867" t="s">
        <v>2196</v>
      </c>
      <c r="E219" s="868">
        <v>45540.379131944443</v>
      </c>
      <c r="F219" s="868">
        <v>45611.958321759259</v>
      </c>
      <c r="G219" s="867" t="s">
        <v>1758</v>
      </c>
      <c r="H219" s="867" t="s">
        <v>1759</v>
      </c>
      <c r="I219" s="867" t="s">
        <v>1760</v>
      </c>
      <c r="J219" s="867" t="s">
        <v>1760</v>
      </c>
      <c r="K219" s="867" t="s">
        <v>1804</v>
      </c>
      <c r="L219" s="867" t="s">
        <v>1805</v>
      </c>
      <c r="M219" s="867" t="s">
        <v>2178</v>
      </c>
      <c r="N219" s="867" t="s">
        <v>3917</v>
      </c>
      <c r="O219" s="867" t="s">
        <v>3918</v>
      </c>
      <c r="P219" s="869">
        <v>2</v>
      </c>
      <c r="Q219" s="869">
        <v>0</v>
      </c>
      <c r="R219" s="870">
        <v>0</v>
      </c>
      <c r="S219" s="871">
        <v>2</v>
      </c>
      <c r="T219" s="871">
        <v>0</v>
      </c>
      <c r="U219" s="872">
        <v>0</v>
      </c>
      <c r="W219" s="872">
        <v>0</v>
      </c>
    </row>
    <row r="220" spans="1:23" ht="24" x14ac:dyDescent="0.2">
      <c r="A220" s="812" t="s">
        <v>3908</v>
      </c>
      <c r="B220" s="866" t="s">
        <v>3909</v>
      </c>
      <c r="C220" s="866" t="s">
        <v>3860</v>
      </c>
      <c r="D220" s="867" t="s">
        <v>2197</v>
      </c>
      <c r="E220" s="868">
        <v>45539.317141203705</v>
      </c>
      <c r="F220" s="868">
        <v>45900.916655092595</v>
      </c>
      <c r="G220" s="867" t="s">
        <v>1758</v>
      </c>
      <c r="H220" s="867" t="s">
        <v>1759</v>
      </c>
      <c r="I220" s="867" t="s">
        <v>1761</v>
      </c>
      <c r="J220" s="867" t="s">
        <v>2198</v>
      </c>
      <c r="K220" s="867" t="s">
        <v>1804</v>
      </c>
      <c r="L220" s="867" t="s">
        <v>1828</v>
      </c>
      <c r="M220" s="867" t="s">
        <v>2165</v>
      </c>
      <c r="N220" s="867" t="s">
        <v>3913</v>
      </c>
      <c r="O220" s="873" t="s">
        <v>3914</v>
      </c>
      <c r="P220" s="874">
        <v>12</v>
      </c>
      <c r="Q220" s="874">
        <v>12</v>
      </c>
      <c r="R220" s="875">
        <v>4</v>
      </c>
      <c r="S220" s="876">
        <v>12</v>
      </c>
      <c r="T220" s="876">
        <v>12</v>
      </c>
      <c r="U220" s="877">
        <v>4</v>
      </c>
      <c r="W220" s="877">
        <v>4</v>
      </c>
    </row>
    <row r="221" spans="1:23" ht="48" x14ac:dyDescent="0.2">
      <c r="A221" s="812" t="s">
        <v>3908</v>
      </c>
      <c r="B221" s="866" t="s">
        <v>3909</v>
      </c>
      <c r="C221" s="866" t="s">
        <v>3860</v>
      </c>
      <c r="D221" s="867" t="s">
        <v>2199</v>
      </c>
      <c r="E221" s="868">
        <v>45541.36</v>
      </c>
      <c r="F221" s="868">
        <v>45905.916655092595</v>
      </c>
      <c r="G221" s="867" t="s">
        <v>1758</v>
      </c>
      <c r="H221" s="867" t="s">
        <v>1759</v>
      </c>
      <c r="I221" s="867" t="s">
        <v>1760</v>
      </c>
      <c r="J221" s="867" t="s">
        <v>2200</v>
      </c>
      <c r="K221" s="867" t="s">
        <v>1804</v>
      </c>
      <c r="L221" s="867" t="s">
        <v>1805</v>
      </c>
      <c r="M221" s="867" t="s">
        <v>2161</v>
      </c>
      <c r="N221" s="867" t="s">
        <v>3910</v>
      </c>
      <c r="O221" s="867" t="s">
        <v>3911</v>
      </c>
      <c r="P221" s="869">
        <v>14</v>
      </c>
      <c r="Q221" s="869">
        <v>14</v>
      </c>
      <c r="R221" s="870">
        <v>2</v>
      </c>
      <c r="S221" s="871">
        <v>14</v>
      </c>
      <c r="T221" s="871">
        <v>14</v>
      </c>
      <c r="U221" s="872">
        <v>2</v>
      </c>
      <c r="W221" s="872">
        <v>2</v>
      </c>
    </row>
    <row r="222" spans="1:23" ht="24" x14ac:dyDescent="0.2">
      <c r="A222" s="812" t="s">
        <v>3908</v>
      </c>
      <c r="B222" s="866" t="s">
        <v>3909</v>
      </c>
      <c r="C222" s="866" t="s">
        <v>3860</v>
      </c>
      <c r="D222" s="867" t="s">
        <v>2201</v>
      </c>
      <c r="E222" s="868">
        <v>45541.271782407406</v>
      </c>
      <c r="F222" s="868">
        <v>45809.916655092595</v>
      </c>
      <c r="G222" s="867" t="s">
        <v>1772</v>
      </c>
      <c r="H222" s="867" t="s">
        <v>1765</v>
      </c>
      <c r="I222" s="867" t="s">
        <v>1773</v>
      </c>
      <c r="J222" s="867" t="s">
        <v>2202</v>
      </c>
      <c r="K222" s="867" t="s">
        <v>1804</v>
      </c>
      <c r="L222" s="867" t="s">
        <v>1805</v>
      </c>
      <c r="M222" s="867" t="s">
        <v>2162</v>
      </c>
      <c r="N222" s="867" t="s">
        <v>3886</v>
      </c>
      <c r="O222" s="873" t="s">
        <v>3912</v>
      </c>
      <c r="P222" s="874">
        <v>15</v>
      </c>
      <c r="Q222" s="874">
        <v>12</v>
      </c>
      <c r="R222" s="875">
        <v>9</v>
      </c>
      <c r="S222" s="876">
        <v>15</v>
      </c>
      <c r="T222" s="876">
        <v>12</v>
      </c>
      <c r="U222" s="877">
        <v>9</v>
      </c>
      <c r="W222" s="877">
        <v>9</v>
      </c>
    </row>
    <row r="223" spans="1:23" ht="36" x14ac:dyDescent="0.2">
      <c r="A223" s="812" t="s">
        <v>3908</v>
      </c>
      <c r="B223" s="866" t="s">
        <v>3909</v>
      </c>
      <c r="C223" s="866" t="s">
        <v>3860</v>
      </c>
      <c r="D223" s="867" t="s">
        <v>2203</v>
      </c>
      <c r="E223" s="868">
        <v>45625.405578703707</v>
      </c>
      <c r="F223" s="868">
        <v>45838.916655092595</v>
      </c>
      <c r="G223" s="867" t="s">
        <v>1741</v>
      </c>
      <c r="H223" s="867" t="s">
        <v>1752</v>
      </c>
      <c r="I223" s="867" t="s">
        <v>1754</v>
      </c>
      <c r="J223" s="867" t="s">
        <v>2204</v>
      </c>
      <c r="K223" s="867" t="s">
        <v>1804</v>
      </c>
      <c r="L223" s="867" t="s">
        <v>1930</v>
      </c>
      <c r="M223" s="867" t="s">
        <v>2171</v>
      </c>
      <c r="N223" s="867" t="s">
        <v>3915</v>
      </c>
      <c r="O223" s="867" t="s">
        <v>3916</v>
      </c>
      <c r="P223" s="869">
        <v>13</v>
      </c>
      <c r="Q223" s="869">
        <v>13</v>
      </c>
      <c r="R223" s="870">
        <v>13</v>
      </c>
      <c r="S223" s="871">
        <v>13</v>
      </c>
      <c r="T223" s="871">
        <v>13</v>
      </c>
      <c r="U223" s="872">
        <v>13</v>
      </c>
      <c r="W223" s="872">
        <v>13</v>
      </c>
    </row>
    <row r="224" spans="1:23" ht="36" x14ac:dyDescent="0.2">
      <c r="A224" s="812" t="s">
        <v>3908</v>
      </c>
      <c r="B224" s="866" t="s">
        <v>3909</v>
      </c>
      <c r="C224" s="866" t="s">
        <v>3860</v>
      </c>
      <c r="D224" s="867" t="s">
        <v>2205</v>
      </c>
      <c r="E224" s="868">
        <v>45536.916666666664</v>
      </c>
      <c r="F224" s="868">
        <v>45842.916655092595</v>
      </c>
      <c r="G224" s="867" t="s">
        <v>1758</v>
      </c>
      <c r="H224" s="867" t="s">
        <v>1759</v>
      </c>
      <c r="I224" s="867" t="s">
        <v>1762</v>
      </c>
      <c r="J224" s="867" t="s">
        <v>2206</v>
      </c>
      <c r="K224" s="867" t="s">
        <v>1804</v>
      </c>
      <c r="L224" s="867" t="s">
        <v>1828</v>
      </c>
      <c r="M224" s="867" t="s">
        <v>2162</v>
      </c>
      <c r="N224" s="867" t="s">
        <v>3886</v>
      </c>
      <c r="O224" s="873" t="s">
        <v>3912</v>
      </c>
      <c r="P224" s="874">
        <v>14</v>
      </c>
      <c r="Q224" s="874">
        <v>14</v>
      </c>
      <c r="R224" s="875">
        <v>14</v>
      </c>
      <c r="S224" s="876">
        <v>14</v>
      </c>
      <c r="T224" s="876">
        <v>14</v>
      </c>
      <c r="U224" s="877">
        <v>14</v>
      </c>
      <c r="W224" s="877">
        <v>14</v>
      </c>
    </row>
    <row r="225" spans="1:23" ht="48" x14ac:dyDescent="0.2">
      <c r="A225" s="812" t="s">
        <v>3923</v>
      </c>
      <c r="B225" s="866">
        <v>53948998</v>
      </c>
      <c r="C225" s="866" t="s">
        <v>3924</v>
      </c>
      <c r="D225" s="867" t="s">
        <v>2207</v>
      </c>
      <c r="E225" s="868">
        <v>45551.362858796296</v>
      </c>
      <c r="F225" s="868">
        <v>45910.916655092595</v>
      </c>
      <c r="G225" s="867" t="s">
        <v>1758</v>
      </c>
      <c r="H225" s="867" t="s">
        <v>1759</v>
      </c>
      <c r="I225" s="867" t="s">
        <v>1762</v>
      </c>
      <c r="J225" s="867" t="s">
        <v>1762</v>
      </c>
      <c r="K225" s="867" t="s">
        <v>1804</v>
      </c>
      <c r="L225" s="867" t="s">
        <v>1828</v>
      </c>
      <c r="M225" s="867" t="s">
        <v>2208</v>
      </c>
      <c r="N225" s="867" t="s">
        <v>3925</v>
      </c>
      <c r="O225" s="867" t="s">
        <v>3926</v>
      </c>
      <c r="P225" s="869">
        <v>34</v>
      </c>
      <c r="Q225" s="869">
        <v>34</v>
      </c>
      <c r="R225" s="870">
        <v>30</v>
      </c>
      <c r="S225" s="871">
        <v>34</v>
      </c>
      <c r="T225" s="871">
        <v>34</v>
      </c>
      <c r="U225" s="872">
        <v>30</v>
      </c>
      <c r="W225" s="872">
        <v>30</v>
      </c>
    </row>
    <row r="226" spans="1:23" ht="48" x14ac:dyDescent="0.2">
      <c r="A226" s="812" t="s">
        <v>3923</v>
      </c>
      <c r="B226" s="866">
        <v>53948998</v>
      </c>
      <c r="C226" s="866" t="s">
        <v>3924</v>
      </c>
      <c r="D226" s="1438" t="s">
        <v>2209</v>
      </c>
      <c r="E226" s="1441">
        <v>45562.345150462963</v>
      </c>
      <c r="F226" s="1441">
        <v>45925.916655092595</v>
      </c>
      <c r="G226" s="1438" t="s">
        <v>1758</v>
      </c>
      <c r="H226" s="1438" t="s">
        <v>1759</v>
      </c>
      <c r="I226" s="1438" t="s">
        <v>1760</v>
      </c>
      <c r="J226" s="1438" t="s">
        <v>1760</v>
      </c>
      <c r="K226" s="1438" t="s">
        <v>1804</v>
      </c>
      <c r="L226" s="1438" t="s">
        <v>1805</v>
      </c>
      <c r="M226" s="867" t="s">
        <v>2210</v>
      </c>
      <c r="N226" s="867" t="s">
        <v>3927</v>
      </c>
      <c r="O226" s="873" t="s">
        <v>3928</v>
      </c>
      <c r="P226" s="874">
        <v>13</v>
      </c>
      <c r="Q226" s="874">
        <v>13</v>
      </c>
      <c r="R226" s="875">
        <v>10</v>
      </c>
      <c r="S226" s="876">
        <v>13</v>
      </c>
      <c r="T226" s="876">
        <v>13</v>
      </c>
      <c r="U226" s="877">
        <v>10</v>
      </c>
      <c r="W226" s="877">
        <v>10</v>
      </c>
    </row>
    <row r="227" spans="1:23" ht="48" x14ac:dyDescent="0.2">
      <c r="A227" s="812" t="s">
        <v>3923</v>
      </c>
      <c r="B227" s="866">
        <v>53948998</v>
      </c>
      <c r="C227" s="866" t="s">
        <v>3924</v>
      </c>
      <c r="D227" s="1440"/>
      <c r="E227" s="1443"/>
      <c r="F227" s="1443"/>
      <c r="G227" s="1440"/>
      <c r="H227" s="1440"/>
      <c r="I227" s="1440"/>
      <c r="J227" s="1440"/>
      <c r="K227" s="1440"/>
      <c r="L227" s="1440"/>
      <c r="M227" s="867" t="s">
        <v>2208</v>
      </c>
      <c r="N227" s="867" t="s">
        <v>3925</v>
      </c>
      <c r="O227" s="867" t="s">
        <v>3926</v>
      </c>
      <c r="P227" s="869">
        <v>13</v>
      </c>
      <c r="Q227" s="869">
        <v>13</v>
      </c>
      <c r="R227" s="870">
        <v>10</v>
      </c>
      <c r="S227" s="871">
        <v>13</v>
      </c>
      <c r="T227" s="871">
        <v>13</v>
      </c>
      <c r="U227" s="872">
        <v>10</v>
      </c>
      <c r="W227" s="872">
        <v>10</v>
      </c>
    </row>
    <row r="228" spans="1:23" ht="48" x14ac:dyDescent="0.2">
      <c r="A228" s="812" t="s">
        <v>3923</v>
      </c>
      <c r="B228" s="866">
        <v>53948998</v>
      </c>
      <c r="C228" s="866" t="s">
        <v>3924</v>
      </c>
      <c r="D228" s="867" t="s">
        <v>2211</v>
      </c>
      <c r="E228" s="868">
        <v>45543.916666666664</v>
      </c>
      <c r="F228" s="868">
        <v>45838.916655092595</v>
      </c>
      <c r="G228" s="867" t="s">
        <v>1767</v>
      </c>
      <c r="H228" s="867" t="s">
        <v>1770</v>
      </c>
      <c r="I228" s="867" t="s">
        <v>1771</v>
      </c>
      <c r="J228" s="867" t="s">
        <v>2212</v>
      </c>
      <c r="K228" s="867" t="s">
        <v>1804</v>
      </c>
      <c r="L228" s="867" t="s">
        <v>1805</v>
      </c>
      <c r="M228" s="867" t="s">
        <v>2213</v>
      </c>
      <c r="N228" s="867" t="s">
        <v>3884</v>
      </c>
      <c r="O228" s="873" t="s">
        <v>3929</v>
      </c>
      <c r="P228" s="874">
        <v>12</v>
      </c>
      <c r="Q228" s="874">
        <v>12</v>
      </c>
      <c r="R228" s="875">
        <v>11</v>
      </c>
      <c r="S228" s="876">
        <v>12</v>
      </c>
      <c r="T228" s="876">
        <v>12</v>
      </c>
      <c r="U228" s="877">
        <v>11</v>
      </c>
      <c r="W228" s="877">
        <v>11</v>
      </c>
    </row>
    <row r="229" spans="1:23" ht="48" x14ac:dyDescent="0.2">
      <c r="A229" s="812" t="s">
        <v>3923</v>
      </c>
      <c r="B229" s="866">
        <v>53948998</v>
      </c>
      <c r="C229" s="866" t="s">
        <v>3924</v>
      </c>
      <c r="D229" s="1438" t="s">
        <v>2214</v>
      </c>
      <c r="E229" s="1441">
        <v>45548.463356481479</v>
      </c>
      <c r="F229" s="1441">
        <v>45808.916655092595</v>
      </c>
      <c r="G229" s="1438" t="s">
        <v>1767</v>
      </c>
      <c r="H229" s="1438" t="s">
        <v>1770</v>
      </c>
      <c r="I229" s="1438" t="s">
        <v>1771</v>
      </c>
      <c r="J229" s="1438" t="s">
        <v>2215</v>
      </c>
      <c r="K229" s="1438" t="s">
        <v>1804</v>
      </c>
      <c r="L229" s="1438" t="s">
        <v>1805</v>
      </c>
      <c r="M229" s="867" t="s">
        <v>2216</v>
      </c>
      <c r="N229" s="867" t="s">
        <v>3930</v>
      </c>
      <c r="O229" s="867" t="s">
        <v>3931</v>
      </c>
      <c r="P229" s="869">
        <v>12</v>
      </c>
      <c r="Q229" s="869">
        <v>6</v>
      </c>
      <c r="R229" s="870">
        <v>0</v>
      </c>
      <c r="S229" s="871">
        <v>12</v>
      </c>
      <c r="T229" s="871">
        <v>6</v>
      </c>
      <c r="U229" s="872">
        <v>0</v>
      </c>
      <c r="W229" s="872">
        <v>0</v>
      </c>
    </row>
    <row r="230" spans="1:23" ht="48" x14ac:dyDescent="0.2">
      <c r="A230" s="812" t="s">
        <v>3923</v>
      </c>
      <c r="B230" s="866">
        <v>53948998</v>
      </c>
      <c r="C230" s="866" t="s">
        <v>3924</v>
      </c>
      <c r="D230" s="1440"/>
      <c r="E230" s="1443"/>
      <c r="F230" s="1443"/>
      <c r="G230" s="1440"/>
      <c r="H230" s="1440"/>
      <c r="I230" s="1440"/>
      <c r="J230" s="1440"/>
      <c r="K230" s="1440"/>
      <c r="L230" s="1440"/>
      <c r="M230" s="867" t="s">
        <v>2213</v>
      </c>
      <c r="N230" s="867" t="s">
        <v>3884</v>
      </c>
      <c r="O230" s="873" t="s">
        <v>3929</v>
      </c>
      <c r="P230" s="874">
        <v>12</v>
      </c>
      <c r="Q230" s="874">
        <v>6</v>
      </c>
      <c r="R230" s="875">
        <v>0</v>
      </c>
      <c r="S230" s="876">
        <v>12</v>
      </c>
      <c r="T230" s="876">
        <v>6</v>
      </c>
      <c r="U230" s="877">
        <v>0</v>
      </c>
      <c r="W230" s="877">
        <v>0</v>
      </c>
    </row>
    <row r="231" spans="1:23" ht="48" x14ac:dyDescent="0.2">
      <c r="A231" s="812" t="s">
        <v>3923</v>
      </c>
      <c r="B231" s="866">
        <v>53948998</v>
      </c>
      <c r="C231" s="866" t="s">
        <v>3924</v>
      </c>
      <c r="D231" s="867" t="s">
        <v>2217</v>
      </c>
      <c r="E231" s="868">
        <v>45543.916666666664</v>
      </c>
      <c r="F231" s="868">
        <v>45838.916655092595</v>
      </c>
      <c r="G231" s="867" t="s">
        <v>1767</v>
      </c>
      <c r="H231" s="867" t="s">
        <v>1770</v>
      </c>
      <c r="I231" s="867" t="s">
        <v>1771</v>
      </c>
      <c r="J231" s="867" t="s">
        <v>2218</v>
      </c>
      <c r="K231" s="867" t="s">
        <v>1804</v>
      </c>
      <c r="L231" s="867" t="s">
        <v>1805</v>
      </c>
      <c r="M231" s="867" t="s">
        <v>2213</v>
      </c>
      <c r="N231" s="867" t="s">
        <v>3884</v>
      </c>
      <c r="O231" s="867" t="s">
        <v>3929</v>
      </c>
      <c r="P231" s="869">
        <v>19</v>
      </c>
      <c r="Q231" s="869">
        <v>19</v>
      </c>
      <c r="R231" s="870">
        <v>19</v>
      </c>
      <c r="S231" s="871">
        <v>19</v>
      </c>
      <c r="T231" s="871">
        <v>19</v>
      </c>
      <c r="U231" s="872">
        <v>19</v>
      </c>
      <c r="W231" s="872">
        <v>19</v>
      </c>
    </row>
    <row r="232" spans="1:23" ht="48" x14ac:dyDescent="0.2">
      <c r="A232" s="812" t="s">
        <v>3923</v>
      </c>
      <c r="B232" s="866">
        <v>53948998</v>
      </c>
      <c r="C232" s="866" t="s">
        <v>3924</v>
      </c>
      <c r="D232" s="867" t="s">
        <v>2219</v>
      </c>
      <c r="E232" s="868">
        <v>45545.318298611113</v>
      </c>
      <c r="F232" s="868">
        <v>45808.916655092595</v>
      </c>
      <c r="G232" s="867" t="s">
        <v>1777</v>
      </c>
      <c r="H232" s="867" t="s">
        <v>1765</v>
      </c>
      <c r="I232" s="867" t="s">
        <v>1778</v>
      </c>
      <c r="J232" s="867" t="s">
        <v>2220</v>
      </c>
      <c r="K232" s="867" t="s">
        <v>1804</v>
      </c>
      <c r="L232" s="867" t="s">
        <v>2221</v>
      </c>
      <c r="M232" s="867" t="s">
        <v>2213</v>
      </c>
      <c r="N232" s="867" t="s">
        <v>3884</v>
      </c>
      <c r="O232" s="873" t="s">
        <v>3929</v>
      </c>
      <c r="P232" s="874">
        <v>9</v>
      </c>
      <c r="Q232" s="874">
        <v>9</v>
      </c>
      <c r="R232" s="875">
        <v>9</v>
      </c>
      <c r="S232" s="876">
        <v>9</v>
      </c>
      <c r="T232" s="876">
        <v>9</v>
      </c>
      <c r="U232" s="877">
        <v>9</v>
      </c>
      <c r="W232" s="877">
        <v>9</v>
      </c>
    </row>
    <row r="233" spans="1:23" ht="48" x14ac:dyDescent="0.2">
      <c r="A233" s="812" t="s">
        <v>3923</v>
      </c>
      <c r="B233" s="866">
        <v>53948998</v>
      </c>
      <c r="C233" s="866" t="s">
        <v>3924</v>
      </c>
      <c r="D233" s="867" t="s">
        <v>2222</v>
      </c>
      <c r="E233" s="868">
        <v>45545.256041666667</v>
      </c>
      <c r="F233" s="868">
        <v>45869.916655092595</v>
      </c>
      <c r="G233" s="867" t="s">
        <v>1758</v>
      </c>
      <c r="H233" s="867" t="s">
        <v>1759</v>
      </c>
      <c r="I233" s="867" t="s">
        <v>1761</v>
      </c>
      <c r="J233" s="867" t="s">
        <v>1761</v>
      </c>
      <c r="K233" s="867" t="s">
        <v>1804</v>
      </c>
      <c r="L233" s="867" t="s">
        <v>1828</v>
      </c>
      <c r="M233" s="867" t="s">
        <v>2208</v>
      </c>
      <c r="N233" s="867" t="s">
        <v>3925</v>
      </c>
      <c r="O233" s="867" t="s">
        <v>3926</v>
      </c>
      <c r="P233" s="869">
        <v>15</v>
      </c>
      <c r="Q233" s="869">
        <v>15</v>
      </c>
      <c r="R233" s="870">
        <v>10</v>
      </c>
      <c r="S233" s="871">
        <v>15</v>
      </c>
      <c r="T233" s="871">
        <v>15</v>
      </c>
      <c r="U233" s="872">
        <v>10</v>
      </c>
      <c r="W233" s="872">
        <v>10</v>
      </c>
    </row>
    <row r="234" spans="1:23" ht="48" x14ac:dyDescent="0.2">
      <c r="A234" s="812" t="s">
        <v>3923</v>
      </c>
      <c r="B234" s="866">
        <v>53948998</v>
      </c>
      <c r="C234" s="866" t="s">
        <v>3924</v>
      </c>
      <c r="D234" s="867" t="s">
        <v>2223</v>
      </c>
      <c r="E234" s="868">
        <v>45540.411539351851</v>
      </c>
      <c r="F234" s="868">
        <v>45808.916655092595</v>
      </c>
      <c r="G234" s="867" t="s">
        <v>1777</v>
      </c>
      <c r="H234" s="867" t="s">
        <v>1765</v>
      </c>
      <c r="I234" s="867" t="s">
        <v>1778</v>
      </c>
      <c r="J234" s="867" t="s">
        <v>2224</v>
      </c>
      <c r="K234" s="867" t="s">
        <v>1804</v>
      </c>
      <c r="L234" s="867" t="s">
        <v>2221</v>
      </c>
      <c r="M234" s="867" t="s">
        <v>2213</v>
      </c>
      <c r="N234" s="867" t="s">
        <v>3884</v>
      </c>
      <c r="O234" s="873" t="s">
        <v>3929</v>
      </c>
      <c r="P234" s="874">
        <v>13</v>
      </c>
      <c r="Q234" s="874">
        <v>11</v>
      </c>
      <c r="R234" s="875">
        <v>8</v>
      </c>
      <c r="S234" s="876">
        <v>13</v>
      </c>
      <c r="T234" s="876">
        <v>11</v>
      </c>
      <c r="U234" s="877">
        <v>8</v>
      </c>
      <c r="W234" s="877">
        <v>8</v>
      </c>
    </row>
    <row r="235" spans="1:23" ht="48" x14ac:dyDescent="0.2">
      <c r="A235" s="812" t="s">
        <v>3923</v>
      </c>
      <c r="B235" s="866">
        <v>53948998</v>
      </c>
      <c r="C235" s="866" t="s">
        <v>3924</v>
      </c>
      <c r="D235" s="867" t="s">
        <v>2225</v>
      </c>
      <c r="E235" s="868">
        <v>45541.262800925928</v>
      </c>
      <c r="F235" s="868">
        <v>45808.916655092595</v>
      </c>
      <c r="G235" s="867" t="s">
        <v>1777</v>
      </c>
      <c r="H235" s="867" t="s">
        <v>1765</v>
      </c>
      <c r="I235" s="867" t="s">
        <v>1778</v>
      </c>
      <c r="J235" s="867" t="s">
        <v>2226</v>
      </c>
      <c r="K235" s="867" t="s">
        <v>1804</v>
      </c>
      <c r="L235" s="867" t="s">
        <v>2221</v>
      </c>
      <c r="M235" s="867" t="s">
        <v>2213</v>
      </c>
      <c r="N235" s="867" t="s">
        <v>3884</v>
      </c>
      <c r="O235" s="867" t="s">
        <v>3929</v>
      </c>
      <c r="P235" s="869">
        <v>13</v>
      </c>
      <c r="Q235" s="869">
        <v>12</v>
      </c>
      <c r="R235" s="870">
        <v>12</v>
      </c>
      <c r="S235" s="871">
        <v>13</v>
      </c>
      <c r="T235" s="871">
        <v>12</v>
      </c>
      <c r="U235" s="872">
        <v>12</v>
      </c>
      <c r="W235" s="872">
        <v>12</v>
      </c>
    </row>
    <row r="236" spans="1:23" ht="48" x14ac:dyDescent="0.2">
      <c r="A236" s="812" t="s">
        <v>3923</v>
      </c>
      <c r="B236" s="866">
        <v>53948998</v>
      </c>
      <c r="C236" s="866" t="s">
        <v>3924</v>
      </c>
      <c r="D236" s="867" t="s">
        <v>2227</v>
      </c>
      <c r="E236" s="868">
        <v>45541.331724537034</v>
      </c>
      <c r="F236" s="868">
        <v>45808.916655092595</v>
      </c>
      <c r="G236" s="867" t="s">
        <v>1777</v>
      </c>
      <c r="H236" s="867" t="s">
        <v>1765</v>
      </c>
      <c r="I236" s="867" t="s">
        <v>1778</v>
      </c>
      <c r="J236" s="867" t="s">
        <v>2228</v>
      </c>
      <c r="K236" s="867" t="s">
        <v>1804</v>
      </c>
      <c r="L236" s="867" t="s">
        <v>2221</v>
      </c>
      <c r="M236" s="867" t="s">
        <v>2213</v>
      </c>
      <c r="N236" s="867" t="s">
        <v>3884</v>
      </c>
      <c r="O236" s="873" t="s">
        <v>3929</v>
      </c>
      <c r="P236" s="874">
        <v>15</v>
      </c>
      <c r="Q236" s="874">
        <v>12</v>
      </c>
      <c r="R236" s="875">
        <v>12</v>
      </c>
      <c r="S236" s="876">
        <v>15</v>
      </c>
      <c r="T236" s="876">
        <v>12</v>
      </c>
      <c r="U236" s="877">
        <v>12</v>
      </c>
      <c r="W236" s="877">
        <v>12</v>
      </c>
    </row>
    <row r="237" spans="1:23" ht="24" x14ac:dyDescent="0.2">
      <c r="A237" s="812" t="s">
        <v>3932</v>
      </c>
      <c r="B237" s="866" t="s">
        <v>3933</v>
      </c>
      <c r="C237" s="866" t="s">
        <v>3876</v>
      </c>
      <c r="D237" s="867" t="s">
        <v>2229</v>
      </c>
      <c r="E237" s="868">
        <v>45633.729363425926</v>
      </c>
      <c r="F237" s="868">
        <v>45838.916655092595</v>
      </c>
      <c r="G237" s="867" t="s">
        <v>1787</v>
      </c>
      <c r="H237" s="867" t="s">
        <v>1788</v>
      </c>
      <c r="I237" s="867" t="s">
        <v>1789</v>
      </c>
      <c r="J237" s="867" t="s">
        <v>2230</v>
      </c>
      <c r="K237" s="867" t="s">
        <v>1804</v>
      </c>
      <c r="L237" s="867" t="s">
        <v>1805</v>
      </c>
      <c r="M237" s="867" t="s">
        <v>2231</v>
      </c>
      <c r="N237" s="867" t="s">
        <v>3934</v>
      </c>
      <c r="O237" s="867" t="s">
        <v>3935</v>
      </c>
      <c r="P237" s="869">
        <v>27</v>
      </c>
      <c r="Q237" s="869">
        <v>7</v>
      </c>
      <c r="R237" s="870">
        <v>0</v>
      </c>
      <c r="S237" s="871">
        <v>27</v>
      </c>
      <c r="T237" s="871">
        <v>7</v>
      </c>
      <c r="U237" s="872">
        <v>0</v>
      </c>
      <c r="W237" s="872">
        <v>0</v>
      </c>
    </row>
    <row r="238" spans="1:23" ht="24" x14ac:dyDescent="0.2">
      <c r="A238" s="812" t="s">
        <v>3932</v>
      </c>
      <c r="B238" s="866" t="s">
        <v>3933</v>
      </c>
      <c r="C238" s="866" t="s">
        <v>3876</v>
      </c>
      <c r="D238" s="867" t="s">
        <v>2232</v>
      </c>
      <c r="E238" s="868">
        <v>45544.29724537037</v>
      </c>
      <c r="F238" s="868">
        <v>45838.916655092595</v>
      </c>
      <c r="G238" s="867" t="s">
        <v>1787</v>
      </c>
      <c r="H238" s="867" t="s">
        <v>1788</v>
      </c>
      <c r="I238" s="867" t="s">
        <v>1789</v>
      </c>
      <c r="J238" s="867" t="s">
        <v>2233</v>
      </c>
      <c r="K238" s="867" t="s">
        <v>1804</v>
      </c>
      <c r="L238" s="867" t="s">
        <v>1805</v>
      </c>
      <c r="M238" s="867" t="s">
        <v>2231</v>
      </c>
      <c r="N238" s="867" t="s">
        <v>3934</v>
      </c>
      <c r="O238" s="873" t="s">
        <v>3935</v>
      </c>
      <c r="P238" s="874">
        <v>10</v>
      </c>
      <c r="Q238" s="874">
        <v>10</v>
      </c>
      <c r="R238" s="875">
        <v>9</v>
      </c>
      <c r="S238" s="876">
        <v>10</v>
      </c>
      <c r="T238" s="876">
        <v>10</v>
      </c>
      <c r="U238" s="877">
        <v>9</v>
      </c>
      <c r="W238" s="877">
        <v>9</v>
      </c>
    </row>
    <row r="239" spans="1:23" ht="24" x14ac:dyDescent="0.2">
      <c r="A239" s="812" t="s">
        <v>3932</v>
      </c>
      <c r="B239" s="866" t="s">
        <v>3933</v>
      </c>
      <c r="C239" s="866" t="s">
        <v>3876</v>
      </c>
      <c r="D239" s="867" t="s">
        <v>2234</v>
      </c>
      <c r="E239" s="868">
        <v>45544.232986111114</v>
      </c>
      <c r="F239" s="868">
        <v>45838.916655092595</v>
      </c>
      <c r="G239" s="867" t="s">
        <v>1758</v>
      </c>
      <c r="H239" s="867" t="s">
        <v>1765</v>
      </c>
      <c r="I239" s="867" t="s">
        <v>1766</v>
      </c>
      <c r="J239" s="867" t="s">
        <v>2235</v>
      </c>
      <c r="K239" s="867" t="s">
        <v>1804</v>
      </c>
      <c r="L239" s="867" t="s">
        <v>1805</v>
      </c>
      <c r="M239" s="867" t="s">
        <v>2236</v>
      </c>
      <c r="N239" s="867" t="s">
        <v>3936</v>
      </c>
      <c r="O239" s="867" t="s">
        <v>3937</v>
      </c>
      <c r="P239" s="869">
        <v>24</v>
      </c>
      <c r="Q239" s="869">
        <v>24</v>
      </c>
      <c r="R239" s="870">
        <v>10</v>
      </c>
      <c r="S239" s="871">
        <v>24</v>
      </c>
      <c r="T239" s="871">
        <v>24</v>
      </c>
      <c r="U239" s="872">
        <v>10</v>
      </c>
      <c r="W239" s="872"/>
    </row>
    <row r="240" spans="1:23" ht="24" x14ac:dyDescent="0.2">
      <c r="A240" s="812" t="s">
        <v>3932</v>
      </c>
      <c r="B240" s="866" t="s">
        <v>3933</v>
      </c>
      <c r="C240" s="866" t="s">
        <v>3876</v>
      </c>
      <c r="D240" s="867" t="s">
        <v>2237</v>
      </c>
      <c r="E240" s="868">
        <v>45545.442696759259</v>
      </c>
      <c r="F240" s="868">
        <v>45808.916655092595</v>
      </c>
      <c r="G240" s="867" t="s">
        <v>1758</v>
      </c>
      <c r="H240" s="867" t="s">
        <v>1765</v>
      </c>
      <c r="I240" s="867" t="s">
        <v>1766</v>
      </c>
      <c r="J240" s="867" t="s">
        <v>2238</v>
      </c>
      <c r="K240" s="867" t="s">
        <v>1804</v>
      </c>
      <c r="L240" s="867" t="s">
        <v>1805</v>
      </c>
      <c r="M240" s="867" t="s">
        <v>2236</v>
      </c>
      <c r="N240" s="867" t="s">
        <v>3936</v>
      </c>
      <c r="O240" s="873" t="s">
        <v>3937</v>
      </c>
      <c r="P240" s="874">
        <v>13</v>
      </c>
      <c r="Q240" s="874">
        <v>11</v>
      </c>
      <c r="R240" s="875">
        <v>0</v>
      </c>
      <c r="S240" s="876">
        <v>13</v>
      </c>
      <c r="T240" s="876">
        <v>11</v>
      </c>
      <c r="U240" s="877">
        <v>0</v>
      </c>
      <c r="W240" s="877"/>
    </row>
    <row r="241" spans="1:23" ht="36" x14ac:dyDescent="0.2">
      <c r="A241" s="812" t="s">
        <v>3932</v>
      </c>
      <c r="B241" s="866" t="s">
        <v>3933</v>
      </c>
      <c r="C241" s="866" t="s">
        <v>3876</v>
      </c>
      <c r="D241" s="867" t="s">
        <v>2239</v>
      </c>
      <c r="E241" s="868">
        <v>45546.32503472222</v>
      </c>
      <c r="F241" s="868">
        <v>45838.916655092595</v>
      </c>
      <c r="G241" s="867" t="s">
        <v>1758</v>
      </c>
      <c r="H241" s="867" t="s">
        <v>1759</v>
      </c>
      <c r="I241" s="867" t="s">
        <v>1762</v>
      </c>
      <c r="J241" s="867" t="s">
        <v>2240</v>
      </c>
      <c r="K241" s="867" t="s">
        <v>1804</v>
      </c>
      <c r="L241" s="867" t="s">
        <v>1828</v>
      </c>
      <c r="M241" s="867" t="s">
        <v>2236</v>
      </c>
      <c r="N241" s="867" t="s">
        <v>3936</v>
      </c>
      <c r="O241" s="867" t="s">
        <v>3937</v>
      </c>
      <c r="P241" s="869">
        <v>29</v>
      </c>
      <c r="Q241" s="869">
        <v>29</v>
      </c>
      <c r="R241" s="870">
        <v>14</v>
      </c>
      <c r="S241" s="871">
        <v>29</v>
      </c>
      <c r="T241" s="871">
        <v>29</v>
      </c>
      <c r="U241" s="872">
        <v>14</v>
      </c>
      <c r="W241" s="872"/>
    </row>
    <row r="242" spans="1:23" ht="24" x14ac:dyDescent="0.2">
      <c r="A242" s="812" t="s">
        <v>3932</v>
      </c>
      <c r="B242" s="866" t="s">
        <v>3933</v>
      </c>
      <c r="C242" s="866" t="s">
        <v>3876</v>
      </c>
      <c r="D242" s="1438" t="s">
        <v>2241</v>
      </c>
      <c r="E242" s="1441">
        <v>45576.479421296295</v>
      </c>
      <c r="F242" s="1441">
        <v>45808.916655092595</v>
      </c>
      <c r="G242" s="1438" t="s">
        <v>1741</v>
      </c>
      <c r="H242" s="1438" t="s">
        <v>1752</v>
      </c>
      <c r="I242" s="1438" t="s">
        <v>1754</v>
      </c>
      <c r="J242" s="1438" t="s">
        <v>2242</v>
      </c>
      <c r="K242" s="1438" t="s">
        <v>1804</v>
      </c>
      <c r="L242" s="1438" t="s">
        <v>1930</v>
      </c>
      <c r="M242" s="867" t="s">
        <v>2243</v>
      </c>
      <c r="N242" s="867" t="s">
        <v>3938</v>
      </c>
      <c r="O242" s="873" t="s">
        <v>3939</v>
      </c>
      <c r="P242" s="874">
        <v>24</v>
      </c>
      <c r="Q242" s="874">
        <v>0</v>
      </c>
      <c r="R242" s="875">
        <v>0</v>
      </c>
      <c r="S242" s="876">
        <v>24</v>
      </c>
      <c r="T242" s="876">
        <v>0</v>
      </c>
      <c r="U242" s="877">
        <v>0</v>
      </c>
      <c r="W242" s="877"/>
    </row>
    <row r="243" spans="1:23" ht="24" x14ac:dyDescent="0.2">
      <c r="A243" s="812" t="s">
        <v>3932</v>
      </c>
      <c r="B243" s="866" t="s">
        <v>3933</v>
      </c>
      <c r="C243" s="866" t="s">
        <v>3876</v>
      </c>
      <c r="D243" s="1439"/>
      <c r="E243" s="1442"/>
      <c r="F243" s="1442"/>
      <c r="G243" s="1439"/>
      <c r="H243" s="1439"/>
      <c r="I243" s="1439"/>
      <c r="J243" s="1439"/>
      <c r="K243" s="1439"/>
      <c r="L243" s="1439"/>
      <c r="M243" s="867" t="s">
        <v>2244</v>
      </c>
      <c r="N243" s="867" t="s">
        <v>3940</v>
      </c>
      <c r="O243" s="867" t="s">
        <v>3941</v>
      </c>
      <c r="P243" s="869">
        <v>24</v>
      </c>
      <c r="Q243" s="869">
        <v>0</v>
      </c>
      <c r="R243" s="870">
        <v>0</v>
      </c>
      <c r="S243" s="871">
        <v>24</v>
      </c>
      <c r="T243" s="871">
        <v>0</v>
      </c>
      <c r="U243" s="872">
        <v>0</v>
      </c>
      <c r="W243" s="872"/>
    </row>
    <row r="244" spans="1:23" ht="24" x14ac:dyDescent="0.2">
      <c r="A244" s="812" t="s">
        <v>3932</v>
      </c>
      <c r="B244" s="866" t="s">
        <v>3933</v>
      </c>
      <c r="C244" s="866" t="s">
        <v>3876</v>
      </c>
      <c r="D244" s="1440"/>
      <c r="E244" s="1443"/>
      <c r="F244" s="1443"/>
      <c r="G244" s="1440"/>
      <c r="H244" s="1440"/>
      <c r="I244" s="1440"/>
      <c r="J244" s="1440"/>
      <c r="K244" s="1440"/>
      <c r="L244" s="1440"/>
      <c r="M244" s="867" t="s">
        <v>2236</v>
      </c>
      <c r="N244" s="867" t="s">
        <v>3936</v>
      </c>
      <c r="O244" s="873" t="s">
        <v>3937</v>
      </c>
      <c r="P244" s="874">
        <v>24</v>
      </c>
      <c r="Q244" s="874">
        <v>0</v>
      </c>
      <c r="R244" s="875">
        <v>0</v>
      </c>
      <c r="S244" s="876">
        <v>24</v>
      </c>
      <c r="T244" s="876">
        <v>0</v>
      </c>
      <c r="U244" s="877">
        <v>0</v>
      </c>
      <c r="W244" s="877"/>
    </row>
    <row r="245" spans="1:23" ht="36" x14ac:dyDescent="0.2">
      <c r="A245" s="812" t="s">
        <v>3932</v>
      </c>
      <c r="B245" s="866" t="s">
        <v>3933</v>
      </c>
      <c r="C245" s="866" t="s">
        <v>3876</v>
      </c>
      <c r="D245" s="867" t="s">
        <v>2245</v>
      </c>
      <c r="E245" s="868">
        <v>45547.420185185183</v>
      </c>
      <c r="F245" s="868">
        <v>45838.916655092595</v>
      </c>
      <c r="G245" s="867" t="s">
        <v>1741</v>
      </c>
      <c r="H245" s="867" t="s">
        <v>1749</v>
      </c>
      <c r="I245" s="867" t="s">
        <v>1750</v>
      </c>
      <c r="J245" s="867" t="s">
        <v>2246</v>
      </c>
      <c r="K245" s="867" t="s">
        <v>1804</v>
      </c>
      <c r="L245" s="867" t="s">
        <v>1819</v>
      </c>
      <c r="M245" s="867" t="s">
        <v>2231</v>
      </c>
      <c r="N245" s="867" t="s">
        <v>3934</v>
      </c>
      <c r="O245" s="867" t="s">
        <v>3935</v>
      </c>
      <c r="P245" s="869">
        <v>24</v>
      </c>
      <c r="Q245" s="869">
        <v>15</v>
      </c>
      <c r="R245" s="870">
        <v>12</v>
      </c>
      <c r="S245" s="871">
        <v>24</v>
      </c>
      <c r="T245" s="871">
        <v>15</v>
      </c>
      <c r="U245" s="872">
        <v>12</v>
      </c>
      <c r="W245" s="872"/>
    </row>
    <row r="246" spans="1:23" ht="36" x14ac:dyDescent="0.2">
      <c r="A246" s="812" t="s">
        <v>3932</v>
      </c>
      <c r="B246" s="866" t="s">
        <v>3933</v>
      </c>
      <c r="C246" s="866" t="s">
        <v>3876</v>
      </c>
      <c r="D246" s="867" t="s">
        <v>2247</v>
      </c>
      <c r="E246" s="868">
        <v>45327.958333333336</v>
      </c>
      <c r="F246" s="868">
        <v>45534.916666666664</v>
      </c>
      <c r="G246" s="867" t="s">
        <v>1741</v>
      </c>
      <c r="H246" s="867" t="s">
        <v>1742</v>
      </c>
      <c r="I246" s="867" t="s">
        <v>2248</v>
      </c>
      <c r="J246" s="867" t="s">
        <v>2249</v>
      </c>
      <c r="K246" s="867" t="s">
        <v>1804</v>
      </c>
      <c r="L246" s="867" t="s">
        <v>2250</v>
      </c>
      <c r="M246" s="867" t="s">
        <v>2244</v>
      </c>
      <c r="N246" s="867" t="s">
        <v>3940</v>
      </c>
      <c r="O246" s="873" t="s">
        <v>3941</v>
      </c>
      <c r="P246" s="874">
        <v>16</v>
      </c>
      <c r="Q246" s="874">
        <v>14</v>
      </c>
      <c r="R246" s="875">
        <v>0</v>
      </c>
      <c r="S246" s="876">
        <v>16</v>
      </c>
      <c r="T246" s="876">
        <v>14</v>
      </c>
      <c r="U246" s="877">
        <v>0</v>
      </c>
      <c r="W246" s="877"/>
    </row>
    <row r="247" spans="1:23" ht="36" x14ac:dyDescent="0.2">
      <c r="A247" s="812" t="s">
        <v>3932</v>
      </c>
      <c r="B247" s="866" t="s">
        <v>3933</v>
      </c>
      <c r="C247" s="866" t="s">
        <v>3876</v>
      </c>
      <c r="D247" s="867" t="s">
        <v>2251</v>
      </c>
      <c r="E247" s="868">
        <v>45503.916666666664</v>
      </c>
      <c r="F247" s="868">
        <v>45711.958333333336</v>
      </c>
      <c r="G247" s="867" t="s">
        <v>1758</v>
      </c>
      <c r="H247" s="867" t="s">
        <v>1759</v>
      </c>
      <c r="I247" s="867" t="s">
        <v>1817</v>
      </c>
      <c r="J247" s="867" t="s">
        <v>2252</v>
      </c>
      <c r="K247" s="867" t="s">
        <v>1804</v>
      </c>
      <c r="L247" s="867" t="s">
        <v>1819</v>
      </c>
      <c r="M247" s="867" t="s">
        <v>2243</v>
      </c>
      <c r="N247" s="867" t="s">
        <v>3938</v>
      </c>
      <c r="O247" s="867" t="s">
        <v>3939</v>
      </c>
      <c r="P247" s="869">
        <v>1</v>
      </c>
      <c r="Q247" s="869">
        <v>0</v>
      </c>
      <c r="R247" s="870">
        <v>1</v>
      </c>
      <c r="S247" s="871">
        <v>1</v>
      </c>
      <c r="T247" s="871">
        <v>0</v>
      </c>
      <c r="U247" s="872">
        <v>1</v>
      </c>
      <c r="W247" s="872"/>
    </row>
    <row r="248" spans="1:23" ht="48" x14ac:dyDescent="0.2">
      <c r="A248" s="812" t="s">
        <v>3932</v>
      </c>
      <c r="B248" s="866" t="s">
        <v>3933</v>
      </c>
      <c r="C248" s="866" t="s">
        <v>3876</v>
      </c>
      <c r="D248" s="867" t="s">
        <v>2253</v>
      </c>
      <c r="E248" s="868">
        <v>45503.916666666664</v>
      </c>
      <c r="F248" s="868">
        <v>45711.958333333336</v>
      </c>
      <c r="G248" s="867" t="s">
        <v>1758</v>
      </c>
      <c r="H248" s="867" t="s">
        <v>1759</v>
      </c>
      <c r="I248" s="867" t="s">
        <v>1858</v>
      </c>
      <c r="J248" s="867" t="s">
        <v>2254</v>
      </c>
      <c r="K248" s="867" t="s">
        <v>1804</v>
      </c>
      <c r="L248" s="867" t="s">
        <v>1819</v>
      </c>
      <c r="M248" s="867" t="s">
        <v>2243</v>
      </c>
      <c r="N248" s="867" t="s">
        <v>3938</v>
      </c>
      <c r="O248" s="873" t="s">
        <v>3939</v>
      </c>
      <c r="P248" s="874">
        <v>1</v>
      </c>
      <c r="Q248" s="874">
        <v>0</v>
      </c>
      <c r="R248" s="875">
        <v>0</v>
      </c>
      <c r="S248" s="876">
        <v>1</v>
      </c>
      <c r="T248" s="876">
        <v>0</v>
      </c>
      <c r="U248" s="877">
        <v>0</v>
      </c>
      <c r="W248" s="877"/>
    </row>
    <row r="249" spans="1:23" ht="36" x14ac:dyDescent="0.2">
      <c r="A249" s="812" t="s">
        <v>3932</v>
      </c>
      <c r="B249" s="866" t="s">
        <v>3933</v>
      </c>
      <c r="C249" s="866" t="s">
        <v>3876</v>
      </c>
      <c r="D249" s="867" t="s">
        <v>2255</v>
      </c>
      <c r="E249" s="868">
        <v>45503.916666666664</v>
      </c>
      <c r="F249" s="868">
        <v>45711.958333333336</v>
      </c>
      <c r="G249" s="867" t="s">
        <v>1758</v>
      </c>
      <c r="H249" s="867" t="s">
        <v>1759</v>
      </c>
      <c r="I249" s="867" t="s">
        <v>1823</v>
      </c>
      <c r="J249" s="867" t="s">
        <v>2256</v>
      </c>
      <c r="K249" s="867" t="s">
        <v>1804</v>
      </c>
      <c r="L249" s="867" t="s">
        <v>1819</v>
      </c>
      <c r="M249" s="867" t="s">
        <v>2243</v>
      </c>
      <c r="N249" s="867" t="s">
        <v>3938</v>
      </c>
      <c r="O249" s="867" t="s">
        <v>3939</v>
      </c>
      <c r="P249" s="869">
        <v>1</v>
      </c>
      <c r="Q249" s="869">
        <v>1</v>
      </c>
      <c r="R249" s="870">
        <v>1</v>
      </c>
      <c r="S249" s="871">
        <v>1</v>
      </c>
      <c r="T249" s="871">
        <v>1</v>
      </c>
      <c r="U249" s="872">
        <v>1</v>
      </c>
      <c r="W249" s="872"/>
    </row>
    <row r="250" spans="1:23" ht="24" x14ac:dyDescent="0.2">
      <c r="A250" s="812" t="s">
        <v>3932</v>
      </c>
      <c r="B250" s="866" t="s">
        <v>3933</v>
      </c>
      <c r="C250" s="866" t="s">
        <v>3876</v>
      </c>
      <c r="D250" s="867" t="s">
        <v>2257</v>
      </c>
      <c r="E250" s="868">
        <v>45546.384317129632</v>
      </c>
      <c r="F250" s="868">
        <v>45838.916655092595</v>
      </c>
      <c r="G250" s="867" t="s">
        <v>1787</v>
      </c>
      <c r="H250" s="867" t="s">
        <v>1788</v>
      </c>
      <c r="I250" s="867" t="s">
        <v>1789</v>
      </c>
      <c r="J250" s="867" t="s">
        <v>2258</v>
      </c>
      <c r="K250" s="867" t="s">
        <v>1804</v>
      </c>
      <c r="L250" s="867" t="s">
        <v>1805</v>
      </c>
      <c r="M250" s="867" t="s">
        <v>2231</v>
      </c>
      <c r="N250" s="867" t="s">
        <v>3934</v>
      </c>
      <c r="O250" s="873" t="s">
        <v>3935</v>
      </c>
      <c r="P250" s="874">
        <v>14</v>
      </c>
      <c r="Q250" s="874">
        <v>14</v>
      </c>
      <c r="R250" s="875">
        <v>11</v>
      </c>
      <c r="S250" s="876">
        <v>14</v>
      </c>
      <c r="T250" s="876">
        <v>14</v>
      </c>
      <c r="U250" s="877">
        <v>11</v>
      </c>
      <c r="W250" s="877"/>
    </row>
    <row r="251" spans="1:23" ht="36" x14ac:dyDescent="0.2">
      <c r="A251" s="812" t="s">
        <v>3932</v>
      </c>
      <c r="B251" s="866" t="s">
        <v>3933</v>
      </c>
      <c r="C251" s="866" t="s">
        <v>3876</v>
      </c>
      <c r="D251" s="867" t="s">
        <v>2259</v>
      </c>
      <c r="E251" s="868">
        <v>45546.441365740742</v>
      </c>
      <c r="F251" s="868">
        <v>45903.916655092595</v>
      </c>
      <c r="G251" s="867" t="s">
        <v>1758</v>
      </c>
      <c r="H251" s="867" t="s">
        <v>1759</v>
      </c>
      <c r="I251" s="867" t="s">
        <v>1762</v>
      </c>
      <c r="J251" s="867" t="s">
        <v>2260</v>
      </c>
      <c r="K251" s="867" t="s">
        <v>1804</v>
      </c>
      <c r="L251" s="867" t="s">
        <v>1828</v>
      </c>
      <c r="M251" s="867" t="s">
        <v>2261</v>
      </c>
      <c r="N251" s="867" t="s">
        <v>3942</v>
      </c>
      <c r="O251" s="867" t="s">
        <v>3943</v>
      </c>
      <c r="P251" s="869">
        <v>25</v>
      </c>
      <c r="Q251" s="869">
        <v>25</v>
      </c>
      <c r="R251" s="870">
        <v>3</v>
      </c>
      <c r="S251" s="871">
        <v>25</v>
      </c>
      <c r="T251" s="871">
        <v>25</v>
      </c>
      <c r="U251" s="872">
        <v>3</v>
      </c>
      <c r="W251" s="872"/>
    </row>
    <row r="252" spans="1:23" ht="24" x14ac:dyDescent="0.2">
      <c r="A252" s="812" t="s">
        <v>3932</v>
      </c>
      <c r="B252" s="866" t="s">
        <v>3933</v>
      </c>
      <c r="C252" s="866" t="s">
        <v>3876</v>
      </c>
      <c r="D252" s="867" t="s">
        <v>2262</v>
      </c>
      <c r="E252" s="868">
        <v>45538.628298611111</v>
      </c>
      <c r="F252" s="868">
        <v>45838.916655092595</v>
      </c>
      <c r="G252" s="867" t="s">
        <v>1758</v>
      </c>
      <c r="H252" s="867" t="s">
        <v>1765</v>
      </c>
      <c r="I252" s="867" t="s">
        <v>1766</v>
      </c>
      <c r="J252" s="867" t="s">
        <v>2263</v>
      </c>
      <c r="K252" s="867" t="s">
        <v>1804</v>
      </c>
      <c r="L252" s="867" t="s">
        <v>1805</v>
      </c>
      <c r="M252" s="867" t="s">
        <v>2261</v>
      </c>
      <c r="N252" s="867" t="s">
        <v>3942</v>
      </c>
      <c r="O252" s="873" t="s">
        <v>3943</v>
      </c>
      <c r="P252" s="874">
        <v>25</v>
      </c>
      <c r="Q252" s="874">
        <v>15</v>
      </c>
      <c r="R252" s="875">
        <v>8</v>
      </c>
      <c r="S252" s="876">
        <v>25</v>
      </c>
      <c r="T252" s="876">
        <v>15</v>
      </c>
      <c r="U252" s="877">
        <v>8</v>
      </c>
      <c r="W252" s="877"/>
    </row>
    <row r="253" spans="1:23" ht="36" x14ac:dyDescent="0.2">
      <c r="A253" s="812" t="s">
        <v>3932</v>
      </c>
      <c r="B253" s="866" t="s">
        <v>3933</v>
      </c>
      <c r="C253" s="866" t="s">
        <v>3876</v>
      </c>
      <c r="D253" s="867" t="s">
        <v>2264</v>
      </c>
      <c r="E253" s="868">
        <v>45547.297337962962</v>
      </c>
      <c r="F253" s="868">
        <v>45838.916655092595</v>
      </c>
      <c r="G253" s="867" t="s">
        <v>1741</v>
      </c>
      <c r="H253" s="867" t="s">
        <v>1742</v>
      </c>
      <c r="I253" s="867" t="s">
        <v>1743</v>
      </c>
      <c r="J253" s="867" t="s">
        <v>2265</v>
      </c>
      <c r="K253" s="867" t="s">
        <v>1804</v>
      </c>
      <c r="L253" s="867" t="s">
        <v>1805</v>
      </c>
      <c r="M253" s="867" t="s">
        <v>2244</v>
      </c>
      <c r="N253" s="867" t="s">
        <v>3940</v>
      </c>
      <c r="O253" s="867" t="s">
        <v>3941</v>
      </c>
      <c r="P253" s="869">
        <v>29</v>
      </c>
      <c r="Q253" s="869">
        <v>29</v>
      </c>
      <c r="R253" s="870">
        <v>0</v>
      </c>
      <c r="S253" s="871">
        <v>29</v>
      </c>
      <c r="T253" s="871">
        <v>29</v>
      </c>
      <c r="U253" s="872">
        <v>0</v>
      </c>
      <c r="W253" s="872"/>
    </row>
    <row r="254" spans="1:23" ht="24" x14ac:dyDescent="0.2">
      <c r="A254" s="812" t="s">
        <v>3932</v>
      </c>
      <c r="B254" s="866" t="s">
        <v>3933</v>
      </c>
      <c r="C254" s="866" t="s">
        <v>3876</v>
      </c>
      <c r="D254" s="867" t="s">
        <v>2266</v>
      </c>
      <c r="E254" s="868">
        <v>45551.252395833333</v>
      </c>
      <c r="F254" s="868">
        <v>45838.916655092595</v>
      </c>
      <c r="G254" s="867" t="s">
        <v>1787</v>
      </c>
      <c r="H254" s="867" t="s">
        <v>1788</v>
      </c>
      <c r="I254" s="867" t="s">
        <v>1789</v>
      </c>
      <c r="J254" s="867" t="s">
        <v>2267</v>
      </c>
      <c r="K254" s="867" t="s">
        <v>1804</v>
      </c>
      <c r="L254" s="867" t="s">
        <v>1805</v>
      </c>
      <c r="M254" s="867" t="s">
        <v>2231</v>
      </c>
      <c r="N254" s="867" t="s">
        <v>3934</v>
      </c>
      <c r="O254" s="873" t="s">
        <v>3935</v>
      </c>
      <c r="P254" s="874">
        <v>13</v>
      </c>
      <c r="Q254" s="874">
        <v>12</v>
      </c>
      <c r="R254" s="875">
        <v>8</v>
      </c>
      <c r="S254" s="876">
        <v>13</v>
      </c>
      <c r="T254" s="876">
        <v>12</v>
      </c>
      <c r="U254" s="877">
        <v>8</v>
      </c>
      <c r="W254" s="877"/>
    </row>
    <row r="255" spans="1:23" ht="24" x14ac:dyDescent="0.2">
      <c r="A255" s="812" t="s">
        <v>3932</v>
      </c>
      <c r="B255" s="866" t="s">
        <v>3933</v>
      </c>
      <c r="C255" s="866" t="s">
        <v>3876</v>
      </c>
      <c r="D255" s="867" t="s">
        <v>2268</v>
      </c>
      <c r="E255" s="868">
        <v>45551.257326388892</v>
      </c>
      <c r="F255" s="868">
        <v>45838.916655092595</v>
      </c>
      <c r="G255" s="867" t="s">
        <v>1758</v>
      </c>
      <c r="H255" s="867" t="s">
        <v>1759</v>
      </c>
      <c r="I255" s="867" t="s">
        <v>1761</v>
      </c>
      <c r="J255" s="867" t="s">
        <v>2269</v>
      </c>
      <c r="K255" s="867" t="s">
        <v>1804</v>
      </c>
      <c r="L255" s="867" t="s">
        <v>1828</v>
      </c>
      <c r="M255" s="867" t="s">
        <v>2231</v>
      </c>
      <c r="N255" s="867" t="s">
        <v>3934</v>
      </c>
      <c r="O255" s="867" t="s">
        <v>3935</v>
      </c>
      <c r="P255" s="869">
        <v>10</v>
      </c>
      <c r="Q255" s="869">
        <v>10</v>
      </c>
      <c r="R255" s="870">
        <v>5</v>
      </c>
      <c r="S255" s="871">
        <v>10</v>
      </c>
      <c r="T255" s="871">
        <v>10</v>
      </c>
      <c r="U255" s="872">
        <v>5</v>
      </c>
      <c r="W255" s="872"/>
    </row>
    <row r="256" spans="1:23" ht="36" x14ac:dyDescent="0.2">
      <c r="A256" s="812" t="s">
        <v>3932</v>
      </c>
      <c r="B256" s="866" t="s">
        <v>3933</v>
      </c>
      <c r="C256" s="866" t="s">
        <v>3876</v>
      </c>
      <c r="D256" s="867" t="s">
        <v>2270</v>
      </c>
      <c r="E256" s="868">
        <v>45552.378148148149</v>
      </c>
      <c r="F256" s="868">
        <v>45838.916655092595</v>
      </c>
      <c r="G256" s="867" t="s">
        <v>1741</v>
      </c>
      <c r="H256" s="867" t="s">
        <v>1742</v>
      </c>
      <c r="I256" s="867" t="s">
        <v>1743</v>
      </c>
      <c r="J256" s="867" t="s">
        <v>2271</v>
      </c>
      <c r="K256" s="867" t="s">
        <v>1804</v>
      </c>
      <c r="L256" s="867" t="s">
        <v>1805</v>
      </c>
      <c r="M256" s="867" t="s">
        <v>2244</v>
      </c>
      <c r="N256" s="867" t="s">
        <v>3940</v>
      </c>
      <c r="O256" s="873" t="s">
        <v>3941</v>
      </c>
      <c r="P256" s="874">
        <v>28</v>
      </c>
      <c r="Q256" s="874">
        <v>28</v>
      </c>
      <c r="R256" s="875">
        <v>0</v>
      </c>
      <c r="S256" s="876">
        <v>28</v>
      </c>
      <c r="T256" s="876">
        <v>28</v>
      </c>
      <c r="U256" s="877">
        <v>0</v>
      </c>
      <c r="W256" s="877"/>
    </row>
    <row r="257" spans="1:23" ht="48" x14ac:dyDescent="0.2">
      <c r="A257" s="812" t="s">
        <v>3932</v>
      </c>
      <c r="B257" s="866" t="s">
        <v>3933</v>
      </c>
      <c r="C257" s="866" t="s">
        <v>3876</v>
      </c>
      <c r="D257" s="867" t="s">
        <v>2272</v>
      </c>
      <c r="E257" s="868">
        <v>45539.28087962963</v>
      </c>
      <c r="F257" s="868">
        <v>45838.916655092595</v>
      </c>
      <c r="G257" s="867" t="s">
        <v>1758</v>
      </c>
      <c r="H257" s="867" t="s">
        <v>1759</v>
      </c>
      <c r="I257" s="867" t="s">
        <v>1760</v>
      </c>
      <c r="J257" s="867" t="s">
        <v>1760</v>
      </c>
      <c r="K257" s="867" t="s">
        <v>1804</v>
      </c>
      <c r="L257" s="867" t="s">
        <v>1805</v>
      </c>
      <c r="M257" s="867" t="s">
        <v>2236</v>
      </c>
      <c r="N257" s="867" t="s">
        <v>3936</v>
      </c>
      <c r="O257" s="867" t="s">
        <v>3937</v>
      </c>
      <c r="P257" s="869">
        <v>40</v>
      </c>
      <c r="Q257" s="869">
        <v>36</v>
      </c>
      <c r="R257" s="870">
        <v>23</v>
      </c>
      <c r="S257" s="871">
        <v>40</v>
      </c>
      <c r="T257" s="871">
        <v>36</v>
      </c>
      <c r="U257" s="872">
        <v>23</v>
      </c>
      <c r="W257" s="872"/>
    </row>
    <row r="258" spans="1:23" ht="36" x14ac:dyDescent="0.2">
      <c r="A258" s="812" t="s">
        <v>3932</v>
      </c>
      <c r="B258" s="866" t="s">
        <v>3933</v>
      </c>
      <c r="C258" s="866" t="s">
        <v>3876</v>
      </c>
      <c r="D258" s="867" t="s">
        <v>2273</v>
      </c>
      <c r="E258" s="868">
        <v>45545.441932870373</v>
      </c>
      <c r="F258" s="868">
        <v>45900.916655092595</v>
      </c>
      <c r="G258" s="867" t="s">
        <v>1741</v>
      </c>
      <c r="H258" s="867" t="s">
        <v>1742</v>
      </c>
      <c r="I258" s="867" t="s">
        <v>1743</v>
      </c>
      <c r="J258" s="867" t="s">
        <v>2274</v>
      </c>
      <c r="K258" s="867" t="s">
        <v>1804</v>
      </c>
      <c r="L258" s="867" t="s">
        <v>1805</v>
      </c>
      <c r="M258" s="867" t="s">
        <v>2275</v>
      </c>
      <c r="N258" s="867" t="s">
        <v>3886</v>
      </c>
      <c r="O258" s="873" t="s">
        <v>3944</v>
      </c>
      <c r="P258" s="874">
        <v>17</v>
      </c>
      <c r="Q258" s="874">
        <v>15</v>
      </c>
      <c r="R258" s="875">
        <v>0</v>
      </c>
      <c r="S258" s="876">
        <v>17</v>
      </c>
      <c r="T258" s="876">
        <v>15</v>
      </c>
      <c r="U258" s="877">
        <v>0</v>
      </c>
      <c r="W258" s="877"/>
    </row>
    <row r="259" spans="1:23" ht="48" x14ac:dyDescent="0.2">
      <c r="A259" s="812" t="s">
        <v>3932</v>
      </c>
      <c r="B259" s="866" t="s">
        <v>3933</v>
      </c>
      <c r="C259" s="866" t="s">
        <v>3876</v>
      </c>
      <c r="D259" s="867" t="s">
        <v>2276</v>
      </c>
      <c r="E259" s="868">
        <v>45544.46303240741</v>
      </c>
      <c r="F259" s="868">
        <v>45908.916655092595</v>
      </c>
      <c r="G259" s="867" t="s">
        <v>1758</v>
      </c>
      <c r="H259" s="867" t="s">
        <v>1759</v>
      </c>
      <c r="I259" s="867" t="s">
        <v>1760</v>
      </c>
      <c r="J259" s="867" t="s">
        <v>2277</v>
      </c>
      <c r="K259" s="867" t="s">
        <v>1804</v>
      </c>
      <c r="L259" s="867" t="s">
        <v>1805</v>
      </c>
      <c r="M259" s="867" t="s">
        <v>2261</v>
      </c>
      <c r="N259" s="867" t="s">
        <v>3942</v>
      </c>
      <c r="O259" s="867" t="s">
        <v>3943</v>
      </c>
      <c r="P259" s="869">
        <v>25</v>
      </c>
      <c r="Q259" s="869">
        <v>23</v>
      </c>
      <c r="R259" s="870">
        <v>9</v>
      </c>
      <c r="S259" s="871">
        <v>25</v>
      </c>
      <c r="T259" s="871">
        <v>23</v>
      </c>
      <c r="U259" s="872">
        <v>9</v>
      </c>
      <c r="W259" s="872"/>
    </row>
    <row r="260" spans="1:23" ht="24" x14ac:dyDescent="0.2">
      <c r="A260" s="812" t="s">
        <v>3932</v>
      </c>
      <c r="B260" s="866" t="s">
        <v>3933</v>
      </c>
      <c r="C260" s="866" t="s">
        <v>3876</v>
      </c>
      <c r="D260" s="867" t="s">
        <v>2278</v>
      </c>
      <c r="E260" s="868">
        <v>45538.387245370373</v>
      </c>
      <c r="F260" s="868">
        <v>45900.916655092595</v>
      </c>
      <c r="G260" s="867" t="s">
        <v>1758</v>
      </c>
      <c r="H260" s="867" t="s">
        <v>1759</v>
      </c>
      <c r="I260" s="867" t="s">
        <v>1761</v>
      </c>
      <c r="J260" s="867" t="s">
        <v>2279</v>
      </c>
      <c r="K260" s="867" t="s">
        <v>1804</v>
      </c>
      <c r="L260" s="867" t="s">
        <v>1828</v>
      </c>
      <c r="M260" s="867" t="s">
        <v>2261</v>
      </c>
      <c r="N260" s="867" t="s">
        <v>3942</v>
      </c>
      <c r="O260" s="873" t="s">
        <v>3943</v>
      </c>
      <c r="P260" s="874">
        <v>30</v>
      </c>
      <c r="Q260" s="874">
        <v>30</v>
      </c>
      <c r="R260" s="875">
        <v>3</v>
      </c>
      <c r="S260" s="876">
        <v>30</v>
      </c>
      <c r="T260" s="876">
        <v>30</v>
      </c>
      <c r="U260" s="877">
        <v>3</v>
      </c>
      <c r="W260" s="877"/>
    </row>
    <row r="261" spans="1:23" ht="24" x14ac:dyDescent="0.2">
      <c r="A261" s="812" t="s">
        <v>3932</v>
      </c>
      <c r="B261" s="866" t="s">
        <v>3933</v>
      </c>
      <c r="C261" s="866" t="s">
        <v>3876</v>
      </c>
      <c r="D261" s="867" t="s">
        <v>2280</v>
      </c>
      <c r="E261" s="868">
        <v>45562.235405092593</v>
      </c>
      <c r="F261" s="868">
        <v>45838.916655092595</v>
      </c>
      <c r="G261" s="867" t="s">
        <v>1777</v>
      </c>
      <c r="H261" s="867" t="s">
        <v>1784</v>
      </c>
      <c r="I261" s="867" t="s">
        <v>1785</v>
      </c>
      <c r="J261" s="867" t="s">
        <v>2281</v>
      </c>
      <c r="K261" s="867" t="s">
        <v>1804</v>
      </c>
      <c r="L261" s="867" t="s">
        <v>1805</v>
      </c>
      <c r="M261" s="867" t="s">
        <v>2231</v>
      </c>
      <c r="N261" s="867" t="s">
        <v>3934</v>
      </c>
      <c r="O261" s="867" t="s">
        <v>3935</v>
      </c>
      <c r="P261" s="869">
        <v>14</v>
      </c>
      <c r="Q261" s="869">
        <v>14</v>
      </c>
      <c r="R261" s="870">
        <v>13</v>
      </c>
      <c r="S261" s="871">
        <v>14</v>
      </c>
      <c r="T261" s="871">
        <v>14</v>
      </c>
      <c r="U261" s="872">
        <v>13</v>
      </c>
      <c r="W261" s="872"/>
    </row>
    <row r="262" spans="1:23" ht="24" x14ac:dyDescent="0.2">
      <c r="A262" s="812" t="s">
        <v>3932</v>
      </c>
      <c r="B262" s="866" t="s">
        <v>3933</v>
      </c>
      <c r="C262" s="866" t="s">
        <v>3876</v>
      </c>
      <c r="D262" s="867" t="s">
        <v>2282</v>
      </c>
      <c r="E262" s="868">
        <v>45562.231087962966</v>
      </c>
      <c r="F262" s="868">
        <v>45838.916655092595</v>
      </c>
      <c r="G262" s="867" t="s">
        <v>1787</v>
      </c>
      <c r="H262" s="867" t="s">
        <v>1788</v>
      </c>
      <c r="I262" s="867" t="s">
        <v>1789</v>
      </c>
      <c r="J262" s="867" t="s">
        <v>2283</v>
      </c>
      <c r="K262" s="867" t="s">
        <v>1804</v>
      </c>
      <c r="L262" s="867" t="s">
        <v>1805</v>
      </c>
      <c r="M262" s="867" t="s">
        <v>2231</v>
      </c>
      <c r="N262" s="867" t="s">
        <v>3934</v>
      </c>
      <c r="O262" s="873" t="s">
        <v>3935</v>
      </c>
      <c r="P262" s="874">
        <v>14</v>
      </c>
      <c r="Q262" s="874">
        <v>14</v>
      </c>
      <c r="R262" s="875">
        <v>13</v>
      </c>
      <c r="S262" s="876">
        <v>14</v>
      </c>
      <c r="T262" s="876">
        <v>14</v>
      </c>
      <c r="U262" s="877">
        <v>13</v>
      </c>
      <c r="W262" s="877"/>
    </row>
    <row r="263" spans="1:23" ht="24" x14ac:dyDescent="0.2">
      <c r="A263" s="812" t="s">
        <v>3932</v>
      </c>
      <c r="B263" s="866" t="s">
        <v>3933</v>
      </c>
      <c r="C263" s="866" t="s">
        <v>3876</v>
      </c>
      <c r="D263" s="867" t="s">
        <v>2284</v>
      </c>
      <c r="E263" s="868">
        <v>45551.259884259256</v>
      </c>
      <c r="F263" s="868">
        <v>45838.916655092595</v>
      </c>
      <c r="G263" s="867" t="s">
        <v>1777</v>
      </c>
      <c r="H263" s="867" t="s">
        <v>1784</v>
      </c>
      <c r="I263" s="867" t="s">
        <v>1785</v>
      </c>
      <c r="J263" s="867" t="s">
        <v>2285</v>
      </c>
      <c r="K263" s="867" t="s">
        <v>1804</v>
      </c>
      <c r="L263" s="867" t="s">
        <v>1805</v>
      </c>
      <c r="M263" s="867" t="s">
        <v>2231</v>
      </c>
      <c r="N263" s="867" t="s">
        <v>3934</v>
      </c>
      <c r="O263" s="867" t="s">
        <v>3935</v>
      </c>
      <c r="P263" s="869">
        <v>12</v>
      </c>
      <c r="Q263" s="869">
        <v>12</v>
      </c>
      <c r="R263" s="870">
        <v>9</v>
      </c>
      <c r="S263" s="871">
        <v>12</v>
      </c>
      <c r="T263" s="871">
        <v>12</v>
      </c>
      <c r="U263" s="872">
        <v>9</v>
      </c>
      <c r="W263" s="872"/>
    </row>
    <row r="264" spans="1:23" ht="24" x14ac:dyDescent="0.2">
      <c r="A264" s="812" t="s">
        <v>3932</v>
      </c>
      <c r="B264" s="866" t="s">
        <v>3933</v>
      </c>
      <c r="C264" s="866" t="s">
        <v>3876</v>
      </c>
      <c r="D264" s="867" t="s">
        <v>2286</v>
      </c>
      <c r="E264" s="868">
        <v>45547.416354166664</v>
      </c>
      <c r="F264" s="868">
        <v>45838.916655092595</v>
      </c>
      <c r="G264" s="867" t="s">
        <v>1787</v>
      </c>
      <c r="H264" s="867" t="s">
        <v>1788</v>
      </c>
      <c r="I264" s="867" t="s">
        <v>1789</v>
      </c>
      <c r="J264" s="867" t="s">
        <v>2287</v>
      </c>
      <c r="K264" s="867" t="s">
        <v>1804</v>
      </c>
      <c r="L264" s="867" t="s">
        <v>1805</v>
      </c>
      <c r="M264" s="867" t="s">
        <v>2231</v>
      </c>
      <c r="N264" s="867" t="s">
        <v>3934</v>
      </c>
      <c r="O264" s="873" t="s">
        <v>3935</v>
      </c>
      <c r="P264" s="874">
        <v>26</v>
      </c>
      <c r="Q264" s="874">
        <v>26</v>
      </c>
      <c r="R264" s="875">
        <v>14</v>
      </c>
      <c r="S264" s="876">
        <v>26</v>
      </c>
      <c r="T264" s="876">
        <v>26</v>
      </c>
      <c r="U264" s="877">
        <v>14</v>
      </c>
      <c r="W264" s="877"/>
    </row>
    <row r="265" spans="1:23" ht="48" x14ac:dyDescent="0.2">
      <c r="A265" s="812" t="s">
        <v>3932</v>
      </c>
      <c r="B265" s="866" t="s">
        <v>3933</v>
      </c>
      <c r="C265" s="866" t="s">
        <v>3876</v>
      </c>
      <c r="D265" s="867" t="s">
        <v>2288</v>
      </c>
      <c r="E265" s="868">
        <v>45608.302268518521</v>
      </c>
      <c r="F265" s="868">
        <v>45869.916655092595</v>
      </c>
      <c r="G265" s="867" t="s">
        <v>1758</v>
      </c>
      <c r="H265" s="867" t="s">
        <v>1759</v>
      </c>
      <c r="I265" s="867" t="s">
        <v>1760</v>
      </c>
      <c r="J265" s="867" t="s">
        <v>2289</v>
      </c>
      <c r="K265" s="867" t="s">
        <v>1804</v>
      </c>
      <c r="L265" s="867" t="s">
        <v>1805</v>
      </c>
      <c r="M265" s="867" t="s">
        <v>2290</v>
      </c>
      <c r="N265" s="867" t="s">
        <v>3945</v>
      </c>
      <c r="O265" s="867" t="s">
        <v>3946</v>
      </c>
      <c r="P265" s="869">
        <v>26</v>
      </c>
      <c r="Q265" s="869">
        <v>26</v>
      </c>
      <c r="R265" s="870">
        <v>23</v>
      </c>
      <c r="S265" s="871">
        <v>26</v>
      </c>
      <c r="T265" s="871">
        <v>26</v>
      </c>
      <c r="U265" s="872">
        <v>23</v>
      </c>
      <c r="W265" s="872"/>
    </row>
    <row r="266" spans="1:23" ht="24" x14ac:dyDescent="0.2">
      <c r="A266" s="812" t="s">
        <v>3932</v>
      </c>
      <c r="B266" s="866" t="s">
        <v>3933</v>
      </c>
      <c r="C266" s="866" t="s">
        <v>3876</v>
      </c>
      <c r="D266" s="867" t="s">
        <v>2291</v>
      </c>
      <c r="E266" s="868">
        <v>45546.287314814814</v>
      </c>
      <c r="F266" s="868">
        <v>45838.916655092595</v>
      </c>
      <c r="G266" s="867" t="s">
        <v>1787</v>
      </c>
      <c r="H266" s="867" t="s">
        <v>1788</v>
      </c>
      <c r="I266" s="867" t="s">
        <v>1789</v>
      </c>
      <c r="J266" s="867" t="s">
        <v>2292</v>
      </c>
      <c r="K266" s="867" t="s">
        <v>1804</v>
      </c>
      <c r="L266" s="867" t="s">
        <v>1805</v>
      </c>
      <c r="M266" s="867" t="s">
        <v>2231</v>
      </c>
      <c r="N266" s="867" t="s">
        <v>3934</v>
      </c>
      <c r="O266" s="873" t="s">
        <v>3935</v>
      </c>
      <c r="P266" s="874">
        <v>15</v>
      </c>
      <c r="Q266" s="874">
        <v>14</v>
      </c>
      <c r="R266" s="875">
        <v>8</v>
      </c>
      <c r="S266" s="876">
        <v>15</v>
      </c>
      <c r="T266" s="876">
        <v>14</v>
      </c>
      <c r="U266" s="877">
        <v>8</v>
      </c>
      <c r="W266" s="877"/>
    </row>
    <row r="267" spans="1:23" ht="24" x14ac:dyDescent="0.2">
      <c r="A267" s="812" t="s">
        <v>3932</v>
      </c>
      <c r="B267" s="866" t="s">
        <v>3933</v>
      </c>
      <c r="C267" s="866" t="s">
        <v>3876</v>
      </c>
      <c r="D267" s="867" t="s">
        <v>2293</v>
      </c>
      <c r="E267" s="868">
        <v>45554.255393518521</v>
      </c>
      <c r="F267" s="868">
        <v>45805.916655092595</v>
      </c>
      <c r="G267" s="867" t="s">
        <v>1758</v>
      </c>
      <c r="H267" s="867" t="s">
        <v>1765</v>
      </c>
      <c r="I267" s="867" t="s">
        <v>1766</v>
      </c>
      <c r="J267" s="867" t="s">
        <v>2294</v>
      </c>
      <c r="K267" s="867" t="s">
        <v>1804</v>
      </c>
      <c r="L267" s="867" t="s">
        <v>1805</v>
      </c>
      <c r="M267" s="867" t="s">
        <v>2261</v>
      </c>
      <c r="N267" s="867" t="s">
        <v>3942</v>
      </c>
      <c r="O267" s="867" t="s">
        <v>3943</v>
      </c>
      <c r="P267" s="869">
        <v>24</v>
      </c>
      <c r="Q267" s="869">
        <v>4</v>
      </c>
      <c r="R267" s="870">
        <v>1</v>
      </c>
      <c r="S267" s="871">
        <v>24</v>
      </c>
      <c r="T267" s="871">
        <v>4</v>
      </c>
      <c r="U267" s="872">
        <v>1</v>
      </c>
      <c r="W267" s="872"/>
    </row>
    <row r="268" spans="1:23" ht="36" x14ac:dyDescent="0.2">
      <c r="A268" s="812" t="s">
        <v>3932</v>
      </c>
      <c r="B268" s="866" t="s">
        <v>3933</v>
      </c>
      <c r="C268" s="866" t="s">
        <v>3876</v>
      </c>
      <c r="D268" s="867" t="s">
        <v>2295</v>
      </c>
      <c r="E268" s="868">
        <v>45555.339953703704</v>
      </c>
      <c r="F268" s="868">
        <v>45838.916655092595</v>
      </c>
      <c r="G268" s="867" t="s">
        <v>1741</v>
      </c>
      <c r="H268" s="867" t="s">
        <v>1749</v>
      </c>
      <c r="I268" s="867" t="s">
        <v>1750</v>
      </c>
      <c r="J268" s="867" t="s">
        <v>2296</v>
      </c>
      <c r="K268" s="867" t="s">
        <v>1804</v>
      </c>
      <c r="L268" s="867" t="s">
        <v>1819</v>
      </c>
      <c r="M268" s="867" t="s">
        <v>2231</v>
      </c>
      <c r="N268" s="867" t="s">
        <v>3934</v>
      </c>
      <c r="O268" s="873" t="s">
        <v>3935</v>
      </c>
      <c r="P268" s="874">
        <v>16</v>
      </c>
      <c r="Q268" s="874">
        <v>15</v>
      </c>
      <c r="R268" s="875">
        <v>14</v>
      </c>
      <c r="S268" s="876">
        <v>16</v>
      </c>
      <c r="T268" s="876">
        <v>15</v>
      </c>
      <c r="U268" s="877">
        <v>14</v>
      </c>
      <c r="W268" s="877"/>
    </row>
    <row r="269" spans="1:23" ht="48" x14ac:dyDescent="0.2">
      <c r="A269" s="812" t="s">
        <v>3932</v>
      </c>
      <c r="B269" s="866" t="s">
        <v>3933</v>
      </c>
      <c r="C269" s="866" t="s">
        <v>3876</v>
      </c>
      <c r="D269" s="867" t="s">
        <v>2297</v>
      </c>
      <c r="E269" s="868">
        <v>45531.392777777779</v>
      </c>
      <c r="F269" s="868">
        <v>45853.916655092595</v>
      </c>
      <c r="G269" s="867" t="s">
        <v>1758</v>
      </c>
      <c r="H269" s="867" t="s">
        <v>1759</v>
      </c>
      <c r="I269" s="867" t="s">
        <v>1760</v>
      </c>
      <c r="J269" s="867" t="s">
        <v>2298</v>
      </c>
      <c r="K269" s="867" t="s">
        <v>1804</v>
      </c>
      <c r="L269" s="867" t="s">
        <v>1805</v>
      </c>
      <c r="M269" s="867" t="s">
        <v>2290</v>
      </c>
      <c r="N269" s="867" t="s">
        <v>3945</v>
      </c>
      <c r="O269" s="867" t="s">
        <v>3946</v>
      </c>
      <c r="P269" s="869">
        <v>21</v>
      </c>
      <c r="Q269" s="869">
        <v>21</v>
      </c>
      <c r="R269" s="870">
        <v>0</v>
      </c>
      <c r="S269" s="871">
        <v>21</v>
      </c>
      <c r="T269" s="871">
        <v>21</v>
      </c>
      <c r="U269" s="872">
        <v>0</v>
      </c>
      <c r="W269" s="872"/>
    </row>
    <row r="270" spans="1:23" ht="24" x14ac:dyDescent="0.2">
      <c r="A270" s="812" t="s">
        <v>3932</v>
      </c>
      <c r="B270" s="866" t="s">
        <v>3933</v>
      </c>
      <c r="C270" s="866" t="s">
        <v>3876</v>
      </c>
      <c r="D270" s="867" t="s">
        <v>2299</v>
      </c>
      <c r="E270" s="868">
        <v>45555.338206018518</v>
      </c>
      <c r="F270" s="868">
        <v>45838.916655092595</v>
      </c>
      <c r="G270" s="867" t="s">
        <v>1787</v>
      </c>
      <c r="H270" s="867" t="s">
        <v>1788</v>
      </c>
      <c r="I270" s="867" t="s">
        <v>1789</v>
      </c>
      <c r="J270" s="867" t="s">
        <v>2300</v>
      </c>
      <c r="K270" s="867" t="s">
        <v>1804</v>
      </c>
      <c r="L270" s="867" t="s">
        <v>1805</v>
      </c>
      <c r="M270" s="867" t="s">
        <v>2231</v>
      </c>
      <c r="N270" s="867" t="s">
        <v>3934</v>
      </c>
      <c r="O270" s="873" t="s">
        <v>3935</v>
      </c>
      <c r="P270" s="874">
        <v>15</v>
      </c>
      <c r="Q270" s="874">
        <v>15</v>
      </c>
      <c r="R270" s="875">
        <v>15</v>
      </c>
      <c r="S270" s="876">
        <v>15</v>
      </c>
      <c r="T270" s="876">
        <v>15</v>
      </c>
      <c r="U270" s="877">
        <v>15</v>
      </c>
      <c r="W270" s="877"/>
    </row>
    <row r="271" spans="1:23" ht="24" x14ac:dyDescent="0.2">
      <c r="A271" s="812" t="s">
        <v>3932</v>
      </c>
      <c r="B271" s="866" t="s">
        <v>3933</v>
      </c>
      <c r="C271" s="866" t="s">
        <v>3876</v>
      </c>
      <c r="D271" s="867" t="s">
        <v>2301</v>
      </c>
      <c r="E271" s="868">
        <v>45552.219155092593</v>
      </c>
      <c r="F271" s="868">
        <v>45838.916655092595</v>
      </c>
      <c r="G271" s="867" t="s">
        <v>1758</v>
      </c>
      <c r="H271" s="867" t="s">
        <v>1759</v>
      </c>
      <c r="I271" s="867" t="s">
        <v>1761</v>
      </c>
      <c r="J271" s="867" t="s">
        <v>2302</v>
      </c>
      <c r="K271" s="867" t="s">
        <v>1804</v>
      </c>
      <c r="L271" s="867" t="s">
        <v>1828</v>
      </c>
      <c r="M271" s="867" t="s">
        <v>2261</v>
      </c>
      <c r="N271" s="867" t="s">
        <v>3942</v>
      </c>
      <c r="O271" s="867" t="s">
        <v>3943</v>
      </c>
      <c r="P271" s="869">
        <v>15</v>
      </c>
      <c r="Q271" s="869">
        <v>15</v>
      </c>
      <c r="R271" s="870">
        <v>0</v>
      </c>
      <c r="S271" s="871">
        <v>15</v>
      </c>
      <c r="T271" s="871">
        <v>15</v>
      </c>
      <c r="U271" s="872">
        <v>0</v>
      </c>
      <c r="W271" s="872"/>
    </row>
    <row r="272" spans="1:23" ht="36" x14ac:dyDescent="0.2">
      <c r="A272" s="812" t="s">
        <v>3932</v>
      </c>
      <c r="B272" s="866" t="s">
        <v>3933</v>
      </c>
      <c r="C272" s="866" t="s">
        <v>3876</v>
      </c>
      <c r="D272" s="867" t="s">
        <v>2303</v>
      </c>
      <c r="E272" s="868">
        <v>45544.305543981478</v>
      </c>
      <c r="F272" s="868">
        <v>45838.916655092595</v>
      </c>
      <c r="G272" s="867" t="s">
        <v>1741</v>
      </c>
      <c r="H272" s="867" t="s">
        <v>1749</v>
      </c>
      <c r="I272" s="867" t="s">
        <v>1750</v>
      </c>
      <c r="J272" s="867" t="s">
        <v>2304</v>
      </c>
      <c r="K272" s="867" t="s">
        <v>1804</v>
      </c>
      <c r="L272" s="867" t="s">
        <v>1819</v>
      </c>
      <c r="M272" s="867" t="s">
        <v>2231</v>
      </c>
      <c r="N272" s="867" t="s">
        <v>3934</v>
      </c>
      <c r="O272" s="873" t="s">
        <v>3935</v>
      </c>
      <c r="P272" s="874">
        <v>15</v>
      </c>
      <c r="Q272" s="874">
        <v>14</v>
      </c>
      <c r="R272" s="875">
        <v>8</v>
      </c>
      <c r="S272" s="876">
        <v>15</v>
      </c>
      <c r="T272" s="876">
        <v>14</v>
      </c>
      <c r="U272" s="877">
        <v>8</v>
      </c>
      <c r="W272" s="877"/>
    </row>
    <row r="273" spans="1:23" ht="36" x14ac:dyDescent="0.2">
      <c r="A273" s="812" t="s">
        <v>3932</v>
      </c>
      <c r="B273" s="866" t="s">
        <v>3933</v>
      </c>
      <c r="C273" s="866" t="s">
        <v>3876</v>
      </c>
      <c r="D273" s="867" t="s">
        <v>2305</v>
      </c>
      <c r="E273" s="868">
        <v>45539.295555555553</v>
      </c>
      <c r="F273" s="868">
        <v>45903.916655092595</v>
      </c>
      <c r="G273" s="867" t="s">
        <v>1758</v>
      </c>
      <c r="H273" s="867" t="s">
        <v>1759</v>
      </c>
      <c r="I273" s="867" t="s">
        <v>1762</v>
      </c>
      <c r="J273" s="867" t="s">
        <v>2306</v>
      </c>
      <c r="K273" s="867" t="s">
        <v>1804</v>
      </c>
      <c r="L273" s="867" t="s">
        <v>1828</v>
      </c>
      <c r="M273" s="867" t="s">
        <v>2261</v>
      </c>
      <c r="N273" s="867" t="s">
        <v>3942</v>
      </c>
      <c r="O273" s="867" t="s">
        <v>3943</v>
      </c>
      <c r="P273" s="869">
        <v>55</v>
      </c>
      <c r="Q273" s="869">
        <v>55</v>
      </c>
      <c r="R273" s="870">
        <v>9</v>
      </c>
      <c r="S273" s="871">
        <v>55</v>
      </c>
      <c r="T273" s="871">
        <v>55</v>
      </c>
      <c r="U273" s="872">
        <v>9</v>
      </c>
      <c r="W273" s="872"/>
    </row>
    <row r="274" spans="1:23" ht="24" x14ac:dyDescent="0.2">
      <c r="A274" s="812" t="s">
        <v>3932</v>
      </c>
      <c r="B274" s="866" t="s">
        <v>3933</v>
      </c>
      <c r="C274" s="866" t="s">
        <v>3876</v>
      </c>
      <c r="D274" s="867" t="s">
        <v>2307</v>
      </c>
      <c r="E274" s="868">
        <v>45544.378298611111</v>
      </c>
      <c r="F274" s="868">
        <v>45842.916655092595</v>
      </c>
      <c r="G274" s="867" t="s">
        <v>1758</v>
      </c>
      <c r="H274" s="867" t="s">
        <v>1759</v>
      </c>
      <c r="I274" s="867" t="s">
        <v>1761</v>
      </c>
      <c r="J274" s="867" t="s">
        <v>2308</v>
      </c>
      <c r="K274" s="867" t="s">
        <v>1804</v>
      </c>
      <c r="L274" s="867" t="s">
        <v>1828</v>
      </c>
      <c r="M274" s="867" t="s">
        <v>2236</v>
      </c>
      <c r="N274" s="867" t="s">
        <v>3936</v>
      </c>
      <c r="O274" s="873" t="s">
        <v>3937</v>
      </c>
      <c r="P274" s="874">
        <v>34</v>
      </c>
      <c r="Q274" s="874">
        <v>33</v>
      </c>
      <c r="R274" s="875">
        <v>27</v>
      </c>
      <c r="S274" s="876">
        <v>34</v>
      </c>
      <c r="T274" s="876">
        <v>33</v>
      </c>
      <c r="U274" s="877">
        <v>27</v>
      </c>
      <c r="W274" s="877"/>
    </row>
    <row r="275" spans="1:23" ht="24" x14ac:dyDescent="0.2">
      <c r="A275" s="812" t="s">
        <v>3932</v>
      </c>
      <c r="B275" s="866" t="s">
        <v>3933</v>
      </c>
      <c r="C275" s="866" t="s">
        <v>3876</v>
      </c>
      <c r="D275" s="1438" t="s">
        <v>2309</v>
      </c>
      <c r="E275" s="1441">
        <v>45608.296365740738</v>
      </c>
      <c r="F275" s="1441">
        <v>45853.916655092595</v>
      </c>
      <c r="G275" s="1438" t="s">
        <v>1758</v>
      </c>
      <c r="H275" s="1438" t="s">
        <v>1759</v>
      </c>
      <c r="I275" s="1438" t="s">
        <v>1761</v>
      </c>
      <c r="J275" s="1438" t="s">
        <v>2310</v>
      </c>
      <c r="K275" s="1438" t="s">
        <v>1804</v>
      </c>
      <c r="L275" s="1438" t="s">
        <v>1828</v>
      </c>
      <c r="M275" s="867" t="s">
        <v>2290</v>
      </c>
      <c r="N275" s="867" t="s">
        <v>3945</v>
      </c>
      <c r="O275" s="867" t="s">
        <v>3946</v>
      </c>
      <c r="P275" s="869">
        <v>30</v>
      </c>
      <c r="Q275" s="869">
        <v>29</v>
      </c>
      <c r="R275" s="870">
        <v>21</v>
      </c>
      <c r="S275" s="871">
        <v>30</v>
      </c>
      <c r="T275" s="871">
        <v>29</v>
      </c>
      <c r="U275" s="872">
        <v>21</v>
      </c>
      <c r="W275" s="872"/>
    </row>
    <row r="276" spans="1:23" ht="24" x14ac:dyDescent="0.2">
      <c r="A276" s="812" t="s">
        <v>3932</v>
      </c>
      <c r="B276" s="866" t="s">
        <v>3933</v>
      </c>
      <c r="C276" s="866" t="s">
        <v>3876</v>
      </c>
      <c r="D276" s="1440"/>
      <c r="E276" s="1443"/>
      <c r="F276" s="1443"/>
      <c r="G276" s="1440"/>
      <c r="H276" s="1440"/>
      <c r="I276" s="1440"/>
      <c r="J276" s="1440"/>
      <c r="K276" s="1440"/>
      <c r="L276" s="1440"/>
      <c r="M276" s="867" t="s">
        <v>2261</v>
      </c>
      <c r="N276" s="867" t="s">
        <v>3942</v>
      </c>
      <c r="O276" s="873" t="s">
        <v>3943</v>
      </c>
      <c r="P276" s="874">
        <v>30</v>
      </c>
      <c r="Q276" s="874">
        <v>29</v>
      </c>
      <c r="R276" s="875">
        <v>21</v>
      </c>
      <c r="S276" s="876">
        <v>30</v>
      </c>
      <c r="T276" s="876">
        <v>29</v>
      </c>
      <c r="U276" s="877">
        <v>21</v>
      </c>
      <c r="W276" s="877"/>
    </row>
    <row r="277" spans="1:23" ht="36" x14ac:dyDescent="0.2">
      <c r="A277" s="812" t="s">
        <v>3932</v>
      </c>
      <c r="B277" s="866" t="s">
        <v>3933</v>
      </c>
      <c r="C277" s="866" t="s">
        <v>3876</v>
      </c>
      <c r="D277" s="867" t="s">
        <v>2311</v>
      </c>
      <c r="E277" s="868">
        <v>45546.293958333335</v>
      </c>
      <c r="F277" s="868">
        <v>45838.916655092595</v>
      </c>
      <c r="G277" s="867" t="s">
        <v>1741</v>
      </c>
      <c r="H277" s="867" t="s">
        <v>1749</v>
      </c>
      <c r="I277" s="867" t="s">
        <v>1750</v>
      </c>
      <c r="J277" s="867" t="s">
        <v>2312</v>
      </c>
      <c r="K277" s="867" t="s">
        <v>1804</v>
      </c>
      <c r="L277" s="867" t="s">
        <v>1819</v>
      </c>
      <c r="M277" s="867" t="s">
        <v>2231</v>
      </c>
      <c r="N277" s="867" t="s">
        <v>3934</v>
      </c>
      <c r="O277" s="867" t="s">
        <v>3935</v>
      </c>
      <c r="P277" s="869">
        <v>15</v>
      </c>
      <c r="Q277" s="869">
        <v>14</v>
      </c>
      <c r="R277" s="870">
        <v>3</v>
      </c>
      <c r="S277" s="871">
        <v>15</v>
      </c>
      <c r="T277" s="871">
        <v>14</v>
      </c>
      <c r="U277" s="872">
        <v>3</v>
      </c>
      <c r="W277" s="872"/>
    </row>
    <row r="278" spans="1:23" ht="36" x14ac:dyDescent="0.2">
      <c r="A278" s="812" t="s">
        <v>3932</v>
      </c>
      <c r="B278" s="866" t="s">
        <v>3933</v>
      </c>
      <c r="C278" s="866" t="s">
        <v>3876</v>
      </c>
      <c r="D278" s="867" t="s">
        <v>2313</v>
      </c>
      <c r="E278" s="868">
        <v>45546.386388888888</v>
      </c>
      <c r="F278" s="868">
        <v>45838.916655092595</v>
      </c>
      <c r="G278" s="867" t="s">
        <v>1741</v>
      </c>
      <c r="H278" s="867" t="s">
        <v>1749</v>
      </c>
      <c r="I278" s="867" t="s">
        <v>1750</v>
      </c>
      <c r="J278" s="867" t="s">
        <v>2314</v>
      </c>
      <c r="K278" s="867" t="s">
        <v>1804</v>
      </c>
      <c r="L278" s="867" t="s">
        <v>1819</v>
      </c>
      <c r="M278" s="867" t="s">
        <v>2231</v>
      </c>
      <c r="N278" s="867" t="s">
        <v>3934</v>
      </c>
      <c r="O278" s="873" t="s">
        <v>3935</v>
      </c>
      <c r="P278" s="874">
        <v>14</v>
      </c>
      <c r="Q278" s="874">
        <v>14</v>
      </c>
      <c r="R278" s="875">
        <v>11</v>
      </c>
      <c r="S278" s="876">
        <v>14</v>
      </c>
      <c r="T278" s="876">
        <v>14</v>
      </c>
      <c r="U278" s="877">
        <v>11</v>
      </c>
      <c r="W278" s="877"/>
    </row>
    <row r="279" spans="1:23" ht="24" x14ac:dyDescent="0.2">
      <c r="A279" s="812" t="s">
        <v>3932</v>
      </c>
      <c r="B279" s="866" t="s">
        <v>3933</v>
      </c>
      <c r="C279" s="866" t="s">
        <v>3876</v>
      </c>
      <c r="D279" s="867" t="s">
        <v>2315</v>
      </c>
      <c r="E279" s="868">
        <v>45551.452974537038</v>
      </c>
      <c r="F279" s="868">
        <v>45838.916655092595</v>
      </c>
      <c r="G279" s="867" t="s">
        <v>1777</v>
      </c>
      <c r="H279" s="867" t="s">
        <v>1784</v>
      </c>
      <c r="I279" s="867" t="s">
        <v>1785</v>
      </c>
      <c r="J279" s="867" t="s">
        <v>2316</v>
      </c>
      <c r="K279" s="867" t="s">
        <v>1804</v>
      </c>
      <c r="L279" s="867" t="s">
        <v>1805</v>
      </c>
      <c r="M279" s="867" t="s">
        <v>2231</v>
      </c>
      <c r="N279" s="867" t="s">
        <v>3934</v>
      </c>
      <c r="O279" s="867" t="s">
        <v>3935</v>
      </c>
      <c r="P279" s="869">
        <v>13</v>
      </c>
      <c r="Q279" s="869">
        <v>13</v>
      </c>
      <c r="R279" s="870">
        <v>13</v>
      </c>
      <c r="S279" s="871">
        <v>13</v>
      </c>
      <c r="T279" s="871">
        <v>13</v>
      </c>
      <c r="U279" s="872">
        <v>13</v>
      </c>
      <c r="W279" s="872"/>
    </row>
    <row r="280" spans="1:23" ht="24" x14ac:dyDescent="0.2">
      <c r="A280" s="812" t="s">
        <v>3932</v>
      </c>
      <c r="B280" s="866" t="s">
        <v>3933</v>
      </c>
      <c r="C280" s="866" t="s">
        <v>3876</v>
      </c>
      <c r="D280" s="867" t="s">
        <v>2317</v>
      </c>
      <c r="E280" s="868">
        <v>45642.314560185187</v>
      </c>
      <c r="F280" s="868">
        <v>45838.916655092595</v>
      </c>
      <c r="G280" s="867" t="s">
        <v>1777</v>
      </c>
      <c r="H280" s="867" t="s">
        <v>1779</v>
      </c>
      <c r="I280" s="867" t="s">
        <v>1781</v>
      </c>
      <c r="J280" s="867" t="s">
        <v>2318</v>
      </c>
      <c r="K280" s="867" t="s">
        <v>1804</v>
      </c>
      <c r="L280" s="867" t="s">
        <v>1805</v>
      </c>
      <c r="M280" s="867" t="s">
        <v>2319</v>
      </c>
      <c r="N280" s="867" t="s">
        <v>3947</v>
      </c>
      <c r="O280" s="873" t="s">
        <v>3948</v>
      </c>
      <c r="P280" s="874">
        <v>1</v>
      </c>
      <c r="Q280" s="874">
        <v>1</v>
      </c>
      <c r="R280" s="875">
        <v>0</v>
      </c>
      <c r="S280" s="876">
        <v>1</v>
      </c>
      <c r="T280" s="876">
        <v>1</v>
      </c>
      <c r="U280" s="877">
        <v>0</v>
      </c>
      <c r="W280" s="877"/>
    </row>
    <row r="281" spans="1:23" ht="36" x14ac:dyDescent="0.2">
      <c r="A281" s="812" t="s">
        <v>3932</v>
      </c>
      <c r="B281" s="866" t="s">
        <v>3933</v>
      </c>
      <c r="C281" s="866" t="s">
        <v>3876</v>
      </c>
      <c r="D281" s="867" t="s">
        <v>2320</v>
      </c>
      <c r="E281" s="868">
        <v>45548.295312499999</v>
      </c>
      <c r="F281" s="868">
        <v>45900.916655092595</v>
      </c>
      <c r="G281" s="867" t="s">
        <v>1741</v>
      </c>
      <c r="H281" s="867" t="s">
        <v>1742</v>
      </c>
      <c r="I281" s="867" t="s">
        <v>1743</v>
      </c>
      <c r="J281" s="867" t="s">
        <v>2321</v>
      </c>
      <c r="K281" s="867" t="s">
        <v>1804</v>
      </c>
      <c r="L281" s="867" t="s">
        <v>1805</v>
      </c>
      <c r="M281" s="867" t="s">
        <v>2275</v>
      </c>
      <c r="N281" s="867" t="s">
        <v>3886</v>
      </c>
      <c r="O281" s="867" t="s">
        <v>3944</v>
      </c>
      <c r="P281" s="869">
        <v>16</v>
      </c>
      <c r="Q281" s="869">
        <v>15</v>
      </c>
      <c r="R281" s="870">
        <v>0</v>
      </c>
      <c r="S281" s="871">
        <v>16</v>
      </c>
      <c r="T281" s="871">
        <v>15</v>
      </c>
      <c r="U281" s="872">
        <v>0</v>
      </c>
      <c r="W281" s="872"/>
    </row>
    <row r="282" spans="1:23" ht="36" x14ac:dyDescent="0.2">
      <c r="A282" s="812" t="s">
        <v>3932</v>
      </c>
      <c r="B282" s="866" t="s">
        <v>3933</v>
      </c>
      <c r="C282" s="866" t="s">
        <v>3876</v>
      </c>
      <c r="D282" s="867" t="s">
        <v>2322</v>
      </c>
      <c r="E282" s="868">
        <v>45545.403229166666</v>
      </c>
      <c r="F282" s="868">
        <v>45838.916655092595</v>
      </c>
      <c r="G282" s="867" t="s">
        <v>1741</v>
      </c>
      <c r="H282" s="867" t="s">
        <v>1749</v>
      </c>
      <c r="I282" s="867" t="s">
        <v>1749</v>
      </c>
      <c r="J282" s="867" t="s">
        <v>1875</v>
      </c>
      <c r="K282" s="867" t="s">
        <v>1804</v>
      </c>
      <c r="L282" s="867" t="s">
        <v>1869</v>
      </c>
      <c r="M282" s="867" t="s">
        <v>2236</v>
      </c>
      <c r="N282" s="867" t="s">
        <v>3936</v>
      </c>
      <c r="O282" s="873" t="s">
        <v>3937</v>
      </c>
      <c r="P282" s="874">
        <v>15</v>
      </c>
      <c r="Q282" s="874">
        <v>15</v>
      </c>
      <c r="R282" s="875">
        <v>12</v>
      </c>
      <c r="S282" s="876">
        <v>15</v>
      </c>
      <c r="T282" s="876">
        <v>15</v>
      </c>
      <c r="U282" s="877">
        <v>12</v>
      </c>
      <c r="W282" s="877"/>
    </row>
    <row r="283" spans="1:23" ht="36" x14ac:dyDescent="0.2">
      <c r="A283" s="812" t="s">
        <v>3932</v>
      </c>
      <c r="B283" s="866" t="s">
        <v>3933</v>
      </c>
      <c r="C283" s="866" t="s">
        <v>3876</v>
      </c>
      <c r="D283" s="867" t="s">
        <v>2323</v>
      </c>
      <c r="E283" s="868">
        <v>45562.23333333333</v>
      </c>
      <c r="F283" s="868">
        <v>45838.916655092595</v>
      </c>
      <c r="G283" s="867" t="s">
        <v>1741</v>
      </c>
      <c r="H283" s="867" t="s">
        <v>1749</v>
      </c>
      <c r="I283" s="867" t="s">
        <v>1750</v>
      </c>
      <c r="J283" s="867" t="s">
        <v>2324</v>
      </c>
      <c r="K283" s="867" t="s">
        <v>1804</v>
      </c>
      <c r="L283" s="867" t="s">
        <v>1819</v>
      </c>
      <c r="M283" s="867" t="s">
        <v>2231</v>
      </c>
      <c r="N283" s="867" t="s">
        <v>3934</v>
      </c>
      <c r="O283" s="867" t="s">
        <v>3935</v>
      </c>
      <c r="P283" s="869">
        <v>16</v>
      </c>
      <c r="Q283" s="869">
        <v>15</v>
      </c>
      <c r="R283" s="870">
        <v>9</v>
      </c>
      <c r="S283" s="871">
        <v>16</v>
      </c>
      <c r="T283" s="871">
        <v>15</v>
      </c>
      <c r="U283" s="872">
        <v>9</v>
      </c>
      <c r="W283" s="872"/>
    </row>
    <row r="284" spans="1:23" ht="36" x14ac:dyDescent="0.2">
      <c r="A284" s="812" t="s">
        <v>3949</v>
      </c>
      <c r="B284" s="866" t="s">
        <v>3950</v>
      </c>
      <c r="C284" s="878" t="s">
        <v>3860</v>
      </c>
      <c r="D284" s="867" t="s">
        <v>2325</v>
      </c>
      <c r="E284" s="868">
        <v>45542.916666666664</v>
      </c>
      <c r="F284" s="868">
        <v>45648.958321759259</v>
      </c>
      <c r="G284" s="867" t="s">
        <v>1758</v>
      </c>
      <c r="H284" s="867" t="s">
        <v>1759</v>
      </c>
      <c r="I284" s="867" t="s">
        <v>1761</v>
      </c>
      <c r="J284" s="867" t="s">
        <v>1761</v>
      </c>
      <c r="K284" s="867" t="s">
        <v>1804</v>
      </c>
      <c r="L284" s="867" t="s">
        <v>1828</v>
      </c>
      <c r="M284" s="867" t="s">
        <v>2326</v>
      </c>
      <c r="N284" s="867" t="s">
        <v>3884</v>
      </c>
      <c r="O284" s="873" t="s">
        <v>3951</v>
      </c>
      <c r="P284" s="874">
        <v>1</v>
      </c>
      <c r="Q284" s="874">
        <v>1</v>
      </c>
      <c r="R284" s="875">
        <v>0</v>
      </c>
      <c r="S284" s="876">
        <v>1</v>
      </c>
      <c r="T284" s="876">
        <v>1</v>
      </c>
      <c r="U284" s="877">
        <v>0</v>
      </c>
      <c r="W284" s="877">
        <v>0</v>
      </c>
    </row>
    <row r="285" spans="1:23" ht="36" x14ac:dyDescent="0.2">
      <c r="A285" s="812" t="s">
        <v>3949</v>
      </c>
      <c r="B285" s="866" t="s">
        <v>3950</v>
      </c>
      <c r="C285" s="878" t="s">
        <v>3860</v>
      </c>
      <c r="D285" s="867" t="s">
        <v>2327</v>
      </c>
      <c r="E285" s="868">
        <v>45546.310624999998</v>
      </c>
      <c r="F285" s="868">
        <v>45823.916655092595</v>
      </c>
      <c r="G285" s="867" t="s">
        <v>1758</v>
      </c>
      <c r="H285" s="867" t="s">
        <v>1759</v>
      </c>
      <c r="I285" s="867" t="s">
        <v>1761</v>
      </c>
      <c r="J285" s="867" t="s">
        <v>1761</v>
      </c>
      <c r="K285" s="867" t="s">
        <v>1804</v>
      </c>
      <c r="L285" s="867" t="s">
        <v>1828</v>
      </c>
      <c r="M285" s="867" t="s">
        <v>2326</v>
      </c>
      <c r="N285" s="867" t="s">
        <v>3884</v>
      </c>
      <c r="O285" s="867" t="s">
        <v>3951</v>
      </c>
      <c r="P285" s="869">
        <v>23</v>
      </c>
      <c r="Q285" s="869">
        <v>23</v>
      </c>
      <c r="R285" s="870">
        <v>21</v>
      </c>
      <c r="S285" s="871">
        <v>23</v>
      </c>
      <c r="T285" s="871">
        <v>23</v>
      </c>
      <c r="U285" s="872">
        <v>21</v>
      </c>
      <c r="W285" s="872">
        <v>21</v>
      </c>
    </row>
    <row r="286" spans="1:23" ht="48" x14ac:dyDescent="0.2">
      <c r="A286" s="812" t="s">
        <v>3952</v>
      </c>
      <c r="B286" s="866">
        <v>17055431</v>
      </c>
      <c r="C286" s="866" t="s">
        <v>3876</v>
      </c>
      <c r="D286" s="1438" t="s">
        <v>2328</v>
      </c>
      <c r="E286" s="1441">
        <v>45548.339907407404</v>
      </c>
      <c r="F286" s="1441">
        <v>45869.916655092595</v>
      </c>
      <c r="G286" s="1438" t="s">
        <v>1758</v>
      </c>
      <c r="H286" s="1438" t="s">
        <v>1759</v>
      </c>
      <c r="I286" s="1438" t="s">
        <v>1762</v>
      </c>
      <c r="J286" s="1438" t="s">
        <v>2329</v>
      </c>
      <c r="K286" s="1438" t="s">
        <v>1804</v>
      </c>
      <c r="L286" s="1438" t="s">
        <v>1828</v>
      </c>
      <c r="M286" s="867" t="s">
        <v>2330</v>
      </c>
      <c r="N286" s="867" t="s">
        <v>3863</v>
      </c>
      <c r="O286" s="873" t="s">
        <v>3953</v>
      </c>
      <c r="P286" s="874">
        <v>30</v>
      </c>
      <c r="Q286" s="874">
        <v>30</v>
      </c>
      <c r="R286" s="875">
        <v>30</v>
      </c>
      <c r="S286" s="876">
        <v>30</v>
      </c>
      <c r="T286" s="876">
        <v>30</v>
      </c>
      <c r="U286" s="877">
        <v>30</v>
      </c>
      <c r="W286" s="877"/>
    </row>
    <row r="287" spans="1:23" ht="48" x14ac:dyDescent="0.2">
      <c r="A287" s="812" t="s">
        <v>3952</v>
      </c>
      <c r="B287" s="866">
        <v>17055431</v>
      </c>
      <c r="C287" s="866" t="s">
        <v>3876</v>
      </c>
      <c r="D287" s="1440"/>
      <c r="E287" s="1443"/>
      <c r="F287" s="1443"/>
      <c r="G287" s="1440"/>
      <c r="H287" s="1440"/>
      <c r="I287" s="1440"/>
      <c r="J287" s="1440"/>
      <c r="K287" s="1440"/>
      <c r="L287" s="1440"/>
      <c r="M287" s="867" t="s">
        <v>2331</v>
      </c>
      <c r="N287" s="867" t="s">
        <v>3861</v>
      </c>
      <c r="O287" s="867" t="s">
        <v>3954</v>
      </c>
      <c r="P287" s="869">
        <v>30</v>
      </c>
      <c r="Q287" s="869">
        <v>30</v>
      </c>
      <c r="R287" s="870">
        <v>30</v>
      </c>
      <c r="S287" s="871">
        <v>30</v>
      </c>
      <c r="T287" s="871">
        <v>30</v>
      </c>
      <c r="U287" s="872">
        <v>30</v>
      </c>
      <c r="W287" s="872"/>
    </row>
    <row r="288" spans="1:23" ht="48" x14ac:dyDescent="0.2">
      <c r="A288" s="812" t="s">
        <v>3952</v>
      </c>
      <c r="B288" s="866">
        <v>17055431</v>
      </c>
      <c r="C288" s="866" t="s">
        <v>3876</v>
      </c>
      <c r="D288" s="867" t="s">
        <v>2332</v>
      </c>
      <c r="E288" s="868">
        <v>45547.398287037038</v>
      </c>
      <c r="F288" s="868">
        <v>45838.916655092595</v>
      </c>
      <c r="G288" s="867" t="s">
        <v>1758</v>
      </c>
      <c r="H288" s="867" t="s">
        <v>1759</v>
      </c>
      <c r="I288" s="867" t="s">
        <v>1761</v>
      </c>
      <c r="J288" s="867" t="s">
        <v>2333</v>
      </c>
      <c r="K288" s="867" t="s">
        <v>1804</v>
      </c>
      <c r="L288" s="867" t="s">
        <v>1828</v>
      </c>
      <c r="M288" s="867" t="s">
        <v>2334</v>
      </c>
      <c r="N288" s="867" t="s">
        <v>3877</v>
      </c>
      <c r="O288" s="873" t="s">
        <v>3955</v>
      </c>
      <c r="P288" s="874">
        <v>9</v>
      </c>
      <c r="Q288" s="874">
        <v>9</v>
      </c>
      <c r="R288" s="875">
        <v>8</v>
      </c>
      <c r="S288" s="876">
        <v>9</v>
      </c>
      <c r="T288" s="876">
        <v>9</v>
      </c>
      <c r="U288" s="877">
        <v>8</v>
      </c>
      <c r="W288" s="877"/>
    </row>
    <row r="289" spans="1:23" ht="48" x14ac:dyDescent="0.2">
      <c r="A289" s="812" t="s">
        <v>3952</v>
      </c>
      <c r="B289" s="866">
        <v>17055431</v>
      </c>
      <c r="C289" s="866" t="s">
        <v>3876</v>
      </c>
      <c r="D289" s="867" t="s">
        <v>2335</v>
      </c>
      <c r="E289" s="868">
        <v>45639.310266203705</v>
      </c>
      <c r="F289" s="868">
        <v>45960.958321759259</v>
      </c>
      <c r="G289" s="867" t="s">
        <v>1758</v>
      </c>
      <c r="H289" s="867" t="s">
        <v>1759</v>
      </c>
      <c r="I289" s="867" t="s">
        <v>1762</v>
      </c>
      <c r="J289" s="867" t="s">
        <v>2336</v>
      </c>
      <c r="K289" s="867" t="s">
        <v>1804</v>
      </c>
      <c r="L289" s="867" t="s">
        <v>1828</v>
      </c>
      <c r="M289" s="867" t="s">
        <v>2337</v>
      </c>
      <c r="N289" s="867" t="s">
        <v>3956</v>
      </c>
      <c r="O289" s="867" t="s">
        <v>3957</v>
      </c>
      <c r="P289" s="869">
        <v>7</v>
      </c>
      <c r="Q289" s="869">
        <v>7</v>
      </c>
      <c r="R289" s="870">
        <v>0</v>
      </c>
      <c r="S289" s="871">
        <v>7</v>
      </c>
      <c r="T289" s="871">
        <v>7</v>
      </c>
      <c r="U289" s="872">
        <v>0</v>
      </c>
      <c r="W289" s="872"/>
    </row>
    <row r="290" spans="1:23" ht="48" x14ac:dyDescent="0.2">
      <c r="A290" s="812" t="s">
        <v>3952</v>
      </c>
      <c r="B290" s="866">
        <v>17055431</v>
      </c>
      <c r="C290" s="866" t="s">
        <v>3876</v>
      </c>
      <c r="D290" s="1438" t="s">
        <v>2338</v>
      </c>
      <c r="E290" s="1441">
        <v>45307.958333333336</v>
      </c>
      <c r="F290" s="1441">
        <v>45531.916666666664</v>
      </c>
      <c r="G290" s="1438" t="s">
        <v>1758</v>
      </c>
      <c r="H290" s="1438" t="s">
        <v>1759</v>
      </c>
      <c r="I290" s="1438" t="s">
        <v>1858</v>
      </c>
      <c r="J290" s="1438" t="s">
        <v>2339</v>
      </c>
      <c r="K290" s="1438" t="s">
        <v>1804</v>
      </c>
      <c r="L290" s="1438" t="s">
        <v>1819</v>
      </c>
      <c r="M290" s="867" t="s">
        <v>2330</v>
      </c>
      <c r="N290" s="867" t="s">
        <v>3863</v>
      </c>
      <c r="O290" s="873" t="s">
        <v>3953</v>
      </c>
      <c r="P290" s="874">
        <v>10</v>
      </c>
      <c r="Q290" s="874">
        <v>10</v>
      </c>
      <c r="R290" s="875">
        <v>10</v>
      </c>
      <c r="S290" s="876">
        <v>10</v>
      </c>
      <c r="T290" s="876">
        <v>10</v>
      </c>
      <c r="U290" s="877">
        <v>10</v>
      </c>
      <c r="W290" s="877"/>
    </row>
    <row r="291" spans="1:23" ht="48" x14ac:dyDescent="0.2">
      <c r="A291" s="812" t="s">
        <v>3952</v>
      </c>
      <c r="B291" s="866">
        <v>17055431</v>
      </c>
      <c r="C291" s="866" t="s">
        <v>3876</v>
      </c>
      <c r="D291" s="1440"/>
      <c r="E291" s="1443"/>
      <c r="F291" s="1443"/>
      <c r="G291" s="1440"/>
      <c r="H291" s="1440"/>
      <c r="I291" s="1440"/>
      <c r="J291" s="1440"/>
      <c r="K291" s="1440"/>
      <c r="L291" s="1440"/>
      <c r="M291" s="867" t="s">
        <v>2331</v>
      </c>
      <c r="N291" s="867" t="s">
        <v>3861</v>
      </c>
      <c r="O291" s="867" t="s">
        <v>3954</v>
      </c>
      <c r="P291" s="869">
        <v>10</v>
      </c>
      <c r="Q291" s="869">
        <v>10</v>
      </c>
      <c r="R291" s="870">
        <v>10</v>
      </c>
      <c r="S291" s="871">
        <v>10</v>
      </c>
      <c r="T291" s="871">
        <v>10</v>
      </c>
      <c r="U291" s="872">
        <v>10</v>
      </c>
      <c r="W291" s="872"/>
    </row>
    <row r="292" spans="1:23" ht="48" x14ac:dyDescent="0.2">
      <c r="A292" s="812" t="s">
        <v>3952</v>
      </c>
      <c r="B292" s="866">
        <v>17055431</v>
      </c>
      <c r="C292" s="866" t="s">
        <v>3876</v>
      </c>
      <c r="D292" s="867" t="s">
        <v>2340</v>
      </c>
      <c r="E292" s="868">
        <v>45390.916666666664</v>
      </c>
      <c r="F292" s="868">
        <v>45534.916666666664</v>
      </c>
      <c r="G292" s="867" t="s">
        <v>1772</v>
      </c>
      <c r="H292" s="867" t="s">
        <v>1765</v>
      </c>
      <c r="I292" s="867" t="s">
        <v>1774</v>
      </c>
      <c r="J292" s="867" t="s">
        <v>2341</v>
      </c>
      <c r="K292" s="867" t="s">
        <v>1804</v>
      </c>
      <c r="L292" s="867" t="s">
        <v>1805</v>
      </c>
      <c r="M292" s="867" t="s">
        <v>2331</v>
      </c>
      <c r="N292" s="867" t="s">
        <v>3861</v>
      </c>
      <c r="O292" s="873" t="s">
        <v>3954</v>
      </c>
      <c r="P292" s="874">
        <v>1</v>
      </c>
      <c r="Q292" s="874">
        <v>1</v>
      </c>
      <c r="R292" s="875">
        <v>0</v>
      </c>
      <c r="S292" s="876">
        <v>1</v>
      </c>
      <c r="T292" s="876">
        <v>1</v>
      </c>
      <c r="U292" s="877">
        <v>0</v>
      </c>
      <c r="W292" s="877"/>
    </row>
    <row r="293" spans="1:23" ht="48" x14ac:dyDescent="0.2">
      <c r="A293" s="812" t="s">
        <v>3952</v>
      </c>
      <c r="B293" s="866">
        <v>17055431</v>
      </c>
      <c r="C293" s="866" t="s">
        <v>3876</v>
      </c>
      <c r="D293" s="1438" t="s">
        <v>2342</v>
      </c>
      <c r="E293" s="1441">
        <v>45399.916666666664</v>
      </c>
      <c r="F293" s="1441">
        <v>45533.916666666664</v>
      </c>
      <c r="G293" s="1438" t="s">
        <v>1758</v>
      </c>
      <c r="H293" s="1438" t="s">
        <v>1759</v>
      </c>
      <c r="I293" s="1438" t="s">
        <v>1817</v>
      </c>
      <c r="J293" s="1438" t="s">
        <v>2343</v>
      </c>
      <c r="K293" s="1438" t="s">
        <v>1804</v>
      </c>
      <c r="L293" s="1438" t="s">
        <v>1819</v>
      </c>
      <c r="M293" s="867" t="s">
        <v>2330</v>
      </c>
      <c r="N293" s="867" t="s">
        <v>3863</v>
      </c>
      <c r="O293" s="867" t="s">
        <v>3953</v>
      </c>
      <c r="P293" s="869">
        <v>8</v>
      </c>
      <c r="Q293" s="869">
        <v>8</v>
      </c>
      <c r="R293" s="870">
        <v>8</v>
      </c>
      <c r="S293" s="871">
        <v>8</v>
      </c>
      <c r="T293" s="871">
        <v>8</v>
      </c>
      <c r="U293" s="872">
        <v>8</v>
      </c>
      <c r="W293" s="872"/>
    </row>
    <row r="294" spans="1:23" ht="48" x14ac:dyDescent="0.2">
      <c r="A294" s="812" t="s">
        <v>3952</v>
      </c>
      <c r="B294" s="866">
        <v>17055431</v>
      </c>
      <c r="C294" s="866" t="s">
        <v>3876</v>
      </c>
      <c r="D294" s="1440"/>
      <c r="E294" s="1443"/>
      <c r="F294" s="1443"/>
      <c r="G294" s="1440"/>
      <c r="H294" s="1440"/>
      <c r="I294" s="1440"/>
      <c r="J294" s="1440"/>
      <c r="K294" s="1440"/>
      <c r="L294" s="1440"/>
      <c r="M294" s="867" t="s">
        <v>2331</v>
      </c>
      <c r="N294" s="867" t="s">
        <v>3861</v>
      </c>
      <c r="O294" s="873" t="s">
        <v>3954</v>
      </c>
      <c r="P294" s="874">
        <v>8</v>
      </c>
      <c r="Q294" s="874">
        <v>8</v>
      </c>
      <c r="R294" s="875">
        <v>8</v>
      </c>
      <c r="S294" s="876">
        <v>8</v>
      </c>
      <c r="T294" s="876">
        <v>8</v>
      </c>
      <c r="U294" s="877">
        <v>8</v>
      </c>
      <c r="W294" s="877"/>
    </row>
    <row r="295" spans="1:23" ht="48" x14ac:dyDescent="0.2">
      <c r="A295" s="812" t="s">
        <v>3952</v>
      </c>
      <c r="B295" s="866">
        <v>17055431</v>
      </c>
      <c r="C295" s="866" t="s">
        <v>3876</v>
      </c>
      <c r="D295" s="867" t="s">
        <v>2344</v>
      </c>
      <c r="E295" s="868">
        <v>45420.916666666664</v>
      </c>
      <c r="F295" s="868">
        <v>45534.916666666664</v>
      </c>
      <c r="G295" s="867" t="s">
        <v>1758</v>
      </c>
      <c r="H295" s="867" t="s">
        <v>1759</v>
      </c>
      <c r="I295" s="867" t="s">
        <v>1858</v>
      </c>
      <c r="J295" s="867" t="s">
        <v>2345</v>
      </c>
      <c r="K295" s="867" t="s">
        <v>1804</v>
      </c>
      <c r="L295" s="867" t="s">
        <v>1819</v>
      </c>
      <c r="M295" s="867" t="s">
        <v>2330</v>
      </c>
      <c r="N295" s="867" t="s">
        <v>3863</v>
      </c>
      <c r="O295" s="867" t="s">
        <v>3953</v>
      </c>
      <c r="P295" s="869">
        <v>10</v>
      </c>
      <c r="Q295" s="869">
        <v>10</v>
      </c>
      <c r="R295" s="870">
        <v>10</v>
      </c>
      <c r="S295" s="871">
        <v>10</v>
      </c>
      <c r="T295" s="871">
        <v>10</v>
      </c>
      <c r="U295" s="872">
        <v>10</v>
      </c>
      <c r="W295" s="872"/>
    </row>
    <row r="296" spans="1:23" ht="48" x14ac:dyDescent="0.2">
      <c r="A296" s="812" t="s">
        <v>3952</v>
      </c>
      <c r="B296" s="866">
        <v>17055431</v>
      </c>
      <c r="C296" s="866" t="s">
        <v>3876</v>
      </c>
      <c r="D296" s="1438" t="s">
        <v>2346</v>
      </c>
      <c r="E296" s="1441">
        <v>45544.288564814815</v>
      </c>
      <c r="F296" s="1441">
        <v>45847.916655092595</v>
      </c>
      <c r="G296" s="1438" t="s">
        <v>1758</v>
      </c>
      <c r="H296" s="1438" t="s">
        <v>1759</v>
      </c>
      <c r="I296" s="1438" t="s">
        <v>1761</v>
      </c>
      <c r="J296" s="1438" t="s">
        <v>2347</v>
      </c>
      <c r="K296" s="1438" t="s">
        <v>1804</v>
      </c>
      <c r="L296" s="1438" t="s">
        <v>1828</v>
      </c>
      <c r="M296" s="867" t="s">
        <v>2334</v>
      </c>
      <c r="N296" s="867" t="s">
        <v>3877</v>
      </c>
      <c r="O296" s="873" t="s">
        <v>3955</v>
      </c>
      <c r="P296" s="874">
        <v>30</v>
      </c>
      <c r="Q296" s="874">
        <v>30</v>
      </c>
      <c r="R296" s="875">
        <v>0</v>
      </c>
      <c r="S296" s="876">
        <v>30</v>
      </c>
      <c r="T296" s="876">
        <v>30</v>
      </c>
      <c r="U296" s="877">
        <v>0</v>
      </c>
      <c r="W296" s="877"/>
    </row>
    <row r="297" spans="1:23" ht="48" x14ac:dyDescent="0.2">
      <c r="A297" s="812" t="s">
        <v>3952</v>
      </c>
      <c r="B297" s="866">
        <v>17055431</v>
      </c>
      <c r="C297" s="866" t="s">
        <v>3876</v>
      </c>
      <c r="D297" s="1440"/>
      <c r="E297" s="1443"/>
      <c r="F297" s="1443"/>
      <c r="G297" s="1440"/>
      <c r="H297" s="1440"/>
      <c r="I297" s="1440"/>
      <c r="J297" s="1440"/>
      <c r="K297" s="1440"/>
      <c r="L297" s="1440"/>
      <c r="M297" s="867" t="s">
        <v>2348</v>
      </c>
      <c r="N297" s="867" t="s">
        <v>3958</v>
      </c>
      <c r="O297" s="867" t="s">
        <v>3959</v>
      </c>
      <c r="P297" s="869">
        <v>30</v>
      </c>
      <c r="Q297" s="869">
        <v>30</v>
      </c>
      <c r="R297" s="870">
        <v>0</v>
      </c>
      <c r="S297" s="871">
        <v>30</v>
      </c>
      <c r="T297" s="871">
        <v>30</v>
      </c>
      <c r="U297" s="872">
        <v>0</v>
      </c>
      <c r="W297" s="872"/>
    </row>
    <row r="298" spans="1:23" ht="48" x14ac:dyDescent="0.2">
      <c r="A298" s="812" t="s">
        <v>3952</v>
      </c>
      <c r="B298" s="866">
        <v>17055431</v>
      </c>
      <c r="C298" s="866" t="s">
        <v>3876</v>
      </c>
      <c r="D298" s="1438" t="s">
        <v>2349</v>
      </c>
      <c r="E298" s="1441">
        <v>45558.276180555556</v>
      </c>
      <c r="F298" s="1441">
        <v>45848.916655092595</v>
      </c>
      <c r="G298" s="1438" t="s">
        <v>1758</v>
      </c>
      <c r="H298" s="1438" t="s">
        <v>1759</v>
      </c>
      <c r="I298" s="1438" t="s">
        <v>1760</v>
      </c>
      <c r="J298" s="1438" t="s">
        <v>2350</v>
      </c>
      <c r="K298" s="1438" t="s">
        <v>1804</v>
      </c>
      <c r="L298" s="1438" t="s">
        <v>1805</v>
      </c>
      <c r="M298" s="867" t="s">
        <v>2330</v>
      </c>
      <c r="N298" s="867" t="s">
        <v>3863</v>
      </c>
      <c r="O298" s="873" t="s">
        <v>3953</v>
      </c>
      <c r="P298" s="874">
        <v>29</v>
      </c>
      <c r="Q298" s="874">
        <v>29</v>
      </c>
      <c r="R298" s="875">
        <v>26</v>
      </c>
      <c r="S298" s="876">
        <v>29</v>
      </c>
      <c r="T298" s="876">
        <v>29</v>
      </c>
      <c r="U298" s="877">
        <v>26</v>
      </c>
      <c r="W298" s="877"/>
    </row>
    <row r="299" spans="1:23" ht="48" x14ac:dyDescent="0.2">
      <c r="A299" s="812" t="s">
        <v>3952</v>
      </c>
      <c r="B299" s="866">
        <v>17055431</v>
      </c>
      <c r="C299" s="866" t="s">
        <v>3876</v>
      </c>
      <c r="D299" s="1440"/>
      <c r="E299" s="1443"/>
      <c r="F299" s="1443"/>
      <c r="G299" s="1440"/>
      <c r="H299" s="1440"/>
      <c r="I299" s="1440"/>
      <c r="J299" s="1440"/>
      <c r="K299" s="1440"/>
      <c r="L299" s="1440"/>
      <c r="M299" s="867" t="s">
        <v>2331</v>
      </c>
      <c r="N299" s="867" t="s">
        <v>3861</v>
      </c>
      <c r="O299" s="867" t="s">
        <v>3954</v>
      </c>
      <c r="P299" s="869">
        <v>29</v>
      </c>
      <c r="Q299" s="869">
        <v>29</v>
      </c>
      <c r="R299" s="870">
        <v>26</v>
      </c>
      <c r="S299" s="871">
        <v>29</v>
      </c>
      <c r="T299" s="871">
        <v>29</v>
      </c>
      <c r="U299" s="872">
        <v>26</v>
      </c>
      <c r="W299" s="872"/>
    </row>
    <row r="300" spans="1:23" ht="48" x14ac:dyDescent="0.2">
      <c r="A300" s="812" t="s">
        <v>3952</v>
      </c>
      <c r="B300" s="866">
        <v>17055431</v>
      </c>
      <c r="C300" s="866" t="s">
        <v>3876</v>
      </c>
      <c r="D300" s="867" t="s">
        <v>2351</v>
      </c>
      <c r="E300" s="868">
        <v>45547.401932870373</v>
      </c>
      <c r="F300" s="868">
        <v>45838.916655092595</v>
      </c>
      <c r="G300" s="867" t="s">
        <v>1758</v>
      </c>
      <c r="H300" s="867" t="s">
        <v>1759</v>
      </c>
      <c r="I300" s="867" t="s">
        <v>1761</v>
      </c>
      <c r="J300" s="867" t="s">
        <v>2352</v>
      </c>
      <c r="K300" s="867" t="s">
        <v>1804</v>
      </c>
      <c r="L300" s="867" t="s">
        <v>1828</v>
      </c>
      <c r="M300" s="867" t="s">
        <v>2334</v>
      </c>
      <c r="N300" s="867" t="s">
        <v>3877</v>
      </c>
      <c r="O300" s="873" t="s">
        <v>3955</v>
      </c>
      <c r="P300" s="874">
        <v>8</v>
      </c>
      <c r="Q300" s="874">
        <v>8</v>
      </c>
      <c r="R300" s="875">
        <v>7</v>
      </c>
      <c r="S300" s="876">
        <v>8</v>
      </c>
      <c r="T300" s="876">
        <v>8</v>
      </c>
      <c r="U300" s="877">
        <v>7</v>
      </c>
      <c r="W300" s="877"/>
    </row>
    <row r="301" spans="1:23" ht="48" x14ac:dyDescent="0.2">
      <c r="A301" s="812" t="s">
        <v>3952</v>
      </c>
      <c r="B301" s="866">
        <v>17055431</v>
      </c>
      <c r="C301" s="866" t="s">
        <v>3876</v>
      </c>
      <c r="D301" s="1438" t="s">
        <v>2353</v>
      </c>
      <c r="E301" s="1441">
        <v>45554.253020833334</v>
      </c>
      <c r="F301" s="1441">
        <v>45869.916655092595</v>
      </c>
      <c r="G301" s="1438" t="s">
        <v>1758</v>
      </c>
      <c r="H301" s="1438" t="s">
        <v>1759</v>
      </c>
      <c r="I301" s="1438" t="s">
        <v>1760</v>
      </c>
      <c r="J301" s="1438" t="s">
        <v>2354</v>
      </c>
      <c r="K301" s="1438" t="s">
        <v>1804</v>
      </c>
      <c r="L301" s="1438" t="s">
        <v>1805</v>
      </c>
      <c r="M301" s="867" t="s">
        <v>2330</v>
      </c>
      <c r="N301" s="867" t="s">
        <v>3863</v>
      </c>
      <c r="O301" s="867" t="s">
        <v>3953</v>
      </c>
      <c r="P301" s="869">
        <v>10</v>
      </c>
      <c r="Q301" s="869">
        <v>10</v>
      </c>
      <c r="R301" s="870">
        <v>10</v>
      </c>
      <c r="S301" s="871">
        <v>10</v>
      </c>
      <c r="T301" s="871">
        <v>10</v>
      </c>
      <c r="U301" s="872">
        <v>10</v>
      </c>
      <c r="W301" s="872"/>
    </row>
    <row r="302" spans="1:23" ht="48" x14ac:dyDescent="0.2">
      <c r="A302" s="812" t="s">
        <v>3952</v>
      </c>
      <c r="B302" s="866">
        <v>17055431</v>
      </c>
      <c r="C302" s="866" t="s">
        <v>3876</v>
      </c>
      <c r="D302" s="1440"/>
      <c r="E302" s="1443"/>
      <c r="F302" s="1443"/>
      <c r="G302" s="1440"/>
      <c r="H302" s="1440"/>
      <c r="I302" s="1440"/>
      <c r="J302" s="1440"/>
      <c r="K302" s="1440"/>
      <c r="L302" s="1440"/>
      <c r="M302" s="867" t="s">
        <v>2331</v>
      </c>
      <c r="N302" s="867" t="s">
        <v>3861</v>
      </c>
      <c r="O302" s="873" t="s">
        <v>3954</v>
      </c>
      <c r="P302" s="874">
        <v>10</v>
      </c>
      <c r="Q302" s="874">
        <v>10</v>
      </c>
      <c r="R302" s="875">
        <v>10</v>
      </c>
      <c r="S302" s="876">
        <v>10</v>
      </c>
      <c r="T302" s="876">
        <v>10</v>
      </c>
      <c r="U302" s="877">
        <v>10</v>
      </c>
      <c r="W302" s="877"/>
    </row>
    <row r="303" spans="1:23" ht="48" x14ac:dyDescent="0.2">
      <c r="A303" s="812" t="s">
        <v>3952</v>
      </c>
      <c r="B303" s="866">
        <v>17055431</v>
      </c>
      <c r="C303" s="866" t="s">
        <v>3876</v>
      </c>
      <c r="D303" s="867" t="s">
        <v>2355</v>
      </c>
      <c r="E303" s="868">
        <v>45576.267523148148</v>
      </c>
      <c r="F303" s="868">
        <v>45941.916655092595</v>
      </c>
      <c r="G303" s="867" t="s">
        <v>1758</v>
      </c>
      <c r="H303" s="867" t="s">
        <v>1759</v>
      </c>
      <c r="I303" s="867" t="s">
        <v>1762</v>
      </c>
      <c r="J303" s="867" t="s">
        <v>2356</v>
      </c>
      <c r="K303" s="867" t="s">
        <v>1804</v>
      </c>
      <c r="L303" s="867" t="s">
        <v>1828</v>
      </c>
      <c r="M303" s="867" t="s">
        <v>2337</v>
      </c>
      <c r="N303" s="867" t="s">
        <v>3956</v>
      </c>
      <c r="O303" s="867" t="s">
        <v>3957</v>
      </c>
      <c r="P303" s="869">
        <v>12</v>
      </c>
      <c r="Q303" s="869">
        <v>12</v>
      </c>
      <c r="R303" s="870">
        <v>0</v>
      </c>
      <c r="S303" s="871">
        <v>12</v>
      </c>
      <c r="T303" s="871">
        <v>12</v>
      </c>
      <c r="U303" s="872">
        <v>0</v>
      </c>
      <c r="W303" s="872"/>
    </row>
    <row r="304" spans="1:23" ht="48" x14ac:dyDescent="0.2">
      <c r="A304" s="812" t="s">
        <v>3952</v>
      </c>
      <c r="B304" s="866">
        <v>17055431</v>
      </c>
      <c r="C304" s="866" t="s">
        <v>3876</v>
      </c>
      <c r="D304" s="867" t="s">
        <v>2357</v>
      </c>
      <c r="E304" s="868">
        <v>45547.40115740741</v>
      </c>
      <c r="F304" s="868">
        <v>45838.916655092595</v>
      </c>
      <c r="G304" s="867" t="s">
        <v>1758</v>
      </c>
      <c r="H304" s="867" t="s">
        <v>1759</v>
      </c>
      <c r="I304" s="867" t="s">
        <v>1761</v>
      </c>
      <c r="J304" s="867" t="s">
        <v>2358</v>
      </c>
      <c r="K304" s="867" t="s">
        <v>1804</v>
      </c>
      <c r="L304" s="867" t="s">
        <v>1828</v>
      </c>
      <c r="M304" s="867" t="s">
        <v>2334</v>
      </c>
      <c r="N304" s="867" t="s">
        <v>3877</v>
      </c>
      <c r="O304" s="873" t="s">
        <v>3955</v>
      </c>
      <c r="P304" s="874">
        <v>9</v>
      </c>
      <c r="Q304" s="874">
        <v>9</v>
      </c>
      <c r="R304" s="875">
        <v>6</v>
      </c>
      <c r="S304" s="876">
        <v>9</v>
      </c>
      <c r="T304" s="876">
        <v>9</v>
      </c>
      <c r="U304" s="877">
        <v>6</v>
      </c>
      <c r="W304" s="877"/>
    </row>
    <row r="305" spans="1:23" ht="48" x14ac:dyDescent="0.2">
      <c r="A305" s="812" t="s">
        <v>3952</v>
      </c>
      <c r="B305" s="866">
        <v>17055431</v>
      </c>
      <c r="C305" s="866" t="s">
        <v>3876</v>
      </c>
      <c r="D305" s="867" t="s">
        <v>2359</v>
      </c>
      <c r="E305" s="868">
        <v>45586.363252314812</v>
      </c>
      <c r="F305" s="868">
        <v>45951.916655092595</v>
      </c>
      <c r="G305" s="867" t="s">
        <v>1758</v>
      </c>
      <c r="H305" s="867" t="s">
        <v>1759</v>
      </c>
      <c r="I305" s="867" t="s">
        <v>1760</v>
      </c>
      <c r="J305" s="867" t="s">
        <v>2360</v>
      </c>
      <c r="K305" s="867" t="s">
        <v>1804</v>
      </c>
      <c r="L305" s="867" t="s">
        <v>1805</v>
      </c>
      <c r="M305" s="867" t="s">
        <v>2337</v>
      </c>
      <c r="N305" s="867" t="s">
        <v>3956</v>
      </c>
      <c r="O305" s="867" t="s">
        <v>3957</v>
      </c>
      <c r="P305" s="869">
        <v>21</v>
      </c>
      <c r="Q305" s="869">
        <v>17</v>
      </c>
      <c r="R305" s="870">
        <v>16</v>
      </c>
      <c r="S305" s="871">
        <v>21</v>
      </c>
      <c r="T305" s="871">
        <v>17</v>
      </c>
      <c r="U305" s="872">
        <v>16</v>
      </c>
      <c r="W305" s="872"/>
    </row>
    <row r="306" spans="1:23" ht="48" x14ac:dyDescent="0.2">
      <c r="A306" s="812" t="s">
        <v>3952</v>
      </c>
      <c r="B306" s="866">
        <v>17055431</v>
      </c>
      <c r="C306" s="866" t="s">
        <v>3876</v>
      </c>
      <c r="D306" s="867" t="s">
        <v>2361</v>
      </c>
      <c r="E306" s="868">
        <v>45635.393993055557</v>
      </c>
      <c r="F306" s="868">
        <v>45869.916655092595</v>
      </c>
      <c r="G306" s="867" t="s">
        <v>1758</v>
      </c>
      <c r="H306" s="867" t="s">
        <v>1759</v>
      </c>
      <c r="I306" s="867" t="s">
        <v>1760</v>
      </c>
      <c r="J306" s="867" t="s">
        <v>2362</v>
      </c>
      <c r="K306" s="867" t="s">
        <v>1804</v>
      </c>
      <c r="L306" s="867" t="s">
        <v>1805</v>
      </c>
      <c r="M306" s="867" t="s">
        <v>2330</v>
      </c>
      <c r="N306" s="867" t="s">
        <v>3863</v>
      </c>
      <c r="O306" s="873" t="s">
        <v>3953</v>
      </c>
      <c r="P306" s="874">
        <v>7</v>
      </c>
      <c r="Q306" s="874">
        <v>7</v>
      </c>
      <c r="R306" s="875">
        <v>7</v>
      </c>
      <c r="S306" s="876">
        <v>7</v>
      </c>
      <c r="T306" s="876">
        <v>7</v>
      </c>
      <c r="U306" s="877">
        <v>7</v>
      </c>
      <c r="W306" s="877"/>
    </row>
    <row r="307" spans="1:23" ht="48" x14ac:dyDescent="0.2">
      <c r="A307" s="812" t="s">
        <v>3952</v>
      </c>
      <c r="B307" s="866">
        <v>17055431</v>
      </c>
      <c r="C307" s="866" t="s">
        <v>3876</v>
      </c>
      <c r="D307" s="867" t="s">
        <v>2363</v>
      </c>
      <c r="E307" s="868">
        <v>45574.533900462964</v>
      </c>
      <c r="F307" s="868">
        <v>45843.916655092595</v>
      </c>
      <c r="G307" s="867" t="s">
        <v>1758</v>
      </c>
      <c r="H307" s="867" t="s">
        <v>1759</v>
      </c>
      <c r="I307" s="867" t="s">
        <v>1761</v>
      </c>
      <c r="J307" s="867" t="s">
        <v>2364</v>
      </c>
      <c r="K307" s="867" t="s">
        <v>1804</v>
      </c>
      <c r="L307" s="867" t="s">
        <v>1828</v>
      </c>
      <c r="M307" s="867" t="s">
        <v>2331</v>
      </c>
      <c r="N307" s="867" t="s">
        <v>3861</v>
      </c>
      <c r="O307" s="867" t="s">
        <v>3954</v>
      </c>
      <c r="P307" s="869">
        <v>28</v>
      </c>
      <c r="Q307" s="869">
        <v>28</v>
      </c>
      <c r="R307" s="870">
        <v>10</v>
      </c>
      <c r="S307" s="871">
        <v>28</v>
      </c>
      <c r="T307" s="871">
        <v>28</v>
      </c>
      <c r="U307" s="872">
        <v>10</v>
      </c>
      <c r="W307" s="872"/>
    </row>
    <row r="308" spans="1:23" ht="48" x14ac:dyDescent="0.2">
      <c r="A308" s="812" t="s">
        <v>3952</v>
      </c>
      <c r="B308" s="866">
        <v>17055431</v>
      </c>
      <c r="C308" s="866" t="s">
        <v>3876</v>
      </c>
      <c r="D308" s="867" t="s">
        <v>2365</v>
      </c>
      <c r="E308" s="868">
        <v>45558.294525462959</v>
      </c>
      <c r="F308" s="868">
        <v>45848.916655092595</v>
      </c>
      <c r="G308" s="867" t="s">
        <v>1772</v>
      </c>
      <c r="H308" s="867" t="s">
        <v>1765</v>
      </c>
      <c r="I308" s="867" t="s">
        <v>1774</v>
      </c>
      <c r="J308" s="867" t="s">
        <v>2366</v>
      </c>
      <c r="K308" s="867" t="s">
        <v>1804</v>
      </c>
      <c r="L308" s="867" t="s">
        <v>1805</v>
      </c>
      <c r="M308" s="867" t="s">
        <v>2331</v>
      </c>
      <c r="N308" s="867" t="s">
        <v>3861</v>
      </c>
      <c r="O308" s="873" t="s">
        <v>3954</v>
      </c>
      <c r="P308" s="874">
        <v>20</v>
      </c>
      <c r="Q308" s="874">
        <v>19</v>
      </c>
      <c r="R308" s="875">
        <v>6</v>
      </c>
      <c r="S308" s="876">
        <v>20</v>
      </c>
      <c r="T308" s="876">
        <v>19</v>
      </c>
      <c r="U308" s="877">
        <v>6</v>
      </c>
      <c r="W308" s="877"/>
    </row>
    <row r="309" spans="1:23" ht="48" x14ac:dyDescent="0.2">
      <c r="A309" s="812" t="s">
        <v>3952</v>
      </c>
      <c r="B309" s="866">
        <v>17055431</v>
      </c>
      <c r="C309" s="866" t="s">
        <v>3876</v>
      </c>
      <c r="D309" s="867" t="s">
        <v>2367</v>
      </c>
      <c r="E309" s="868">
        <v>45555.303078703706</v>
      </c>
      <c r="F309" s="868">
        <v>45920.916655092595</v>
      </c>
      <c r="G309" s="867" t="s">
        <v>1758</v>
      </c>
      <c r="H309" s="867" t="s">
        <v>1759</v>
      </c>
      <c r="I309" s="867" t="s">
        <v>1762</v>
      </c>
      <c r="J309" s="867" t="s">
        <v>2368</v>
      </c>
      <c r="K309" s="867" t="s">
        <v>1804</v>
      </c>
      <c r="L309" s="867" t="s">
        <v>1828</v>
      </c>
      <c r="M309" s="867" t="s">
        <v>2337</v>
      </c>
      <c r="N309" s="867" t="s">
        <v>3956</v>
      </c>
      <c r="O309" s="867" t="s">
        <v>3957</v>
      </c>
      <c r="P309" s="869">
        <v>16</v>
      </c>
      <c r="Q309" s="869">
        <v>13</v>
      </c>
      <c r="R309" s="870">
        <v>0</v>
      </c>
      <c r="S309" s="871">
        <v>16</v>
      </c>
      <c r="T309" s="871">
        <v>13</v>
      </c>
      <c r="U309" s="872">
        <v>0</v>
      </c>
      <c r="W309" s="872"/>
    </row>
    <row r="310" spans="1:23" ht="48" x14ac:dyDescent="0.2">
      <c r="A310" s="812" t="s">
        <v>3952</v>
      </c>
      <c r="B310" s="866">
        <v>17055431</v>
      </c>
      <c r="C310" s="866" t="s">
        <v>3876</v>
      </c>
      <c r="D310" s="1438" t="s">
        <v>2369</v>
      </c>
      <c r="E310" s="1441">
        <v>45558.352997685186</v>
      </c>
      <c r="F310" s="1441">
        <v>45869.916655092595</v>
      </c>
      <c r="G310" s="1438" t="s">
        <v>1758</v>
      </c>
      <c r="H310" s="1438" t="s">
        <v>1759</v>
      </c>
      <c r="I310" s="1438" t="s">
        <v>1760</v>
      </c>
      <c r="J310" s="1438" t="s">
        <v>2370</v>
      </c>
      <c r="K310" s="1438" t="s">
        <v>1804</v>
      </c>
      <c r="L310" s="1438" t="s">
        <v>1805</v>
      </c>
      <c r="M310" s="867" t="s">
        <v>2330</v>
      </c>
      <c r="N310" s="867" t="s">
        <v>3863</v>
      </c>
      <c r="O310" s="873" t="s">
        <v>3953</v>
      </c>
      <c r="P310" s="874">
        <v>9</v>
      </c>
      <c r="Q310" s="874">
        <v>9</v>
      </c>
      <c r="R310" s="875">
        <v>8</v>
      </c>
      <c r="S310" s="876">
        <v>9</v>
      </c>
      <c r="T310" s="876">
        <v>9</v>
      </c>
      <c r="U310" s="877">
        <v>8</v>
      </c>
      <c r="W310" s="877"/>
    </row>
    <row r="311" spans="1:23" ht="48" x14ac:dyDescent="0.2">
      <c r="A311" s="812" t="s">
        <v>3952</v>
      </c>
      <c r="B311" s="866">
        <v>17055431</v>
      </c>
      <c r="C311" s="866" t="s">
        <v>3876</v>
      </c>
      <c r="D311" s="1440"/>
      <c r="E311" s="1443"/>
      <c r="F311" s="1443"/>
      <c r="G311" s="1440"/>
      <c r="H311" s="1440"/>
      <c r="I311" s="1440"/>
      <c r="J311" s="1440"/>
      <c r="K311" s="1440"/>
      <c r="L311" s="1440"/>
      <c r="M311" s="867" t="s">
        <v>2331</v>
      </c>
      <c r="N311" s="867" t="s">
        <v>3861</v>
      </c>
      <c r="O311" s="867" t="s">
        <v>3954</v>
      </c>
      <c r="P311" s="869">
        <v>9</v>
      </c>
      <c r="Q311" s="869">
        <v>9</v>
      </c>
      <c r="R311" s="870">
        <v>8</v>
      </c>
      <c r="S311" s="871">
        <v>9</v>
      </c>
      <c r="T311" s="871">
        <v>9</v>
      </c>
      <c r="U311" s="872">
        <v>8</v>
      </c>
      <c r="W311" s="872"/>
    </row>
    <row r="312" spans="1:23" ht="48" x14ac:dyDescent="0.2">
      <c r="A312" s="812" t="s">
        <v>3952</v>
      </c>
      <c r="B312" s="866">
        <v>17055431</v>
      </c>
      <c r="C312" s="866" t="s">
        <v>3876</v>
      </c>
      <c r="D312" s="1438" t="s">
        <v>2371</v>
      </c>
      <c r="E312" s="1441">
        <v>45552.471226851849</v>
      </c>
      <c r="F312" s="1441">
        <v>45848.916655092595</v>
      </c>
      <c r="G312" s="1438" t="s">
        <v>1758</v>
      </c>
      <c r="H312" s="1438" t="s">
        <v>1759</v>
      </c>
      <c r="I312" s="1438" t="s">
        <v>1760</v>
      </c>
      <c r="J312" s="1438" t="s">
        <v>2372</v>
      </c>
      <c r="K312" s="1438" t="s">
        <v>1804</v>
      </c>
      <c r="L312" s="1438" t="s">
        <v>1805</v>
      </c>
      <c r="M312" s="867" t="s">
        <v>2330</v>
      </c>
      <c r="N312" s="867" t="s">
        <v>3863</v>
      </c>
      <c r="O312" s="873" t="s">
        <v>3953</v>
      </c>
      <c r="P312" s="874">
        <v>15</v>
      </c>
      <c r="Q312" s="874">
        <v>15</v>
      </c>
      <c r="R312" s="875">
        <v>0</v>
      </c>
      <c r="S312" s="876">
        <v>15</v>
      </c>
      <c r="T312" s="876">
        <v>15</v>
      </c>
      <c r="U312" s="877">
        <v>0</v>
      </c>
      <c r="W312" s="877"/>
    </row>
    <row r="313" spans="1:23" ht="48" x14ac:dyDescent="0.2">
      <c r="A313" s="812" t="s">
        <v>3952</v>
      </c>
      <c r="B313" s="866">
        <v>17055431</v>
      </c>
      <c r="C313" s="866" t="s">
        <v>3876</v>
      </c>
      <c r="D313" s="1440"/>
      <c r="E313" s="1443"/>
      <c r="F313" s="1443"/>
      <c r="G313" s="1440"/>
      <c r="H313" s="1440"/>
      <c r="I313" s="1440"/>
      <c r="J313" s="1440"/>
      <c r="K313" s="1440"/>
      <c r="L313" s="1440"/>
      <c r="M313" s="867" t="s">
        <v>2331</v>
      </c>
      <c r="N313" s="867" t="s">
        <v>3861</v>
      </c>
      <c r="O313" s="867" t="s">
        <v>3954</v>
      </c>
      <c r="P313" s="869">
        <v>15</v>
      </c>
      <c r="Q313" s="869">
        <v>15</v>
      </c>
      <c r="R313" s="870">
        <v>0</v>
      </c>
      <c r="S313" s="871">
        <v>15</v>
      </c>
      <c r="T313" s="871">
        <v>15</v>
      </c>
      <c r="U313" s="872">
        <v>0</v>
      </c>
      <c r="W313" s="872"/>
    </row>
    <row r="314" spans="1:23" ht="48" x14ac:dyDescent="0.2">
      <c r="A314" s="812" t="s">
        <v>3952</v>
      </c>
      <c r="B314" s="866">
        <v>17055431</v>
      </c>
      <c r="C314" s="866" t="s">
        <v>3876</v>
      </c>
      <c r="D314" s="1438" t="s">
        <v>2373</v>
      </c>
      <c r="E314" s="1441">
        <v>45544.916666666664</v>
      </c>
      <c r="F314" s="1441">
        <v>45838.916655092595</v>
      </c>
      <c r="G314" s="1438" t="s">
        <v>1758</v>
      </c>
      <c r="H314" s="1438" t="s">
        <v>1759</v>
      </c>
      <c r="I314" s="1438" t="s">
        <v>1761</v>
      </c>
      <c r="J314" s="1438" t="s">
        <v>2374</v>
      </c>
      <c r="K314" s="1438" t="s">
        <v>1804</v>
      </c>
      <c r="L314" s="1438" t="s">
        <v>1828</v>
      </c>
      <c r="M314" s="867" t="s">
        <v>2330</v>
      </c>
      <c r="N314" s="867" t="s">
        <v>3863</v>
      </c>
      <c r="O314" s="873" t="s">
        <v>3953</v>
      </c>
      <c r="P314" s="874">
        <v>30</v>
      </c>
      <c r="Q314" s="874">
        <v>30</v>
      </c>
      <c r="R314" s="875">
        <v>29</v>
      </c>
      <c r="S314" s="876">
        <v>30</v>
      </c>
      <c r="T314" s="876">
        <v>30</v>
      </c>
      <c r="U314" s="877">
        <v>29</v>
      </c>
      <c r="W314" s="877"/>
    </row>
    <row r="315" spans="1:23" ht="48" x14ac:dyDescent="0.2">
      <c r="A315" s="812" t="s">
        <v>3952</v>
      </c>
      <c r="B315" s="866">
        <v>17055431</v>
      </c>
      <c r="C315" s="866" t="s">
        <v>3876</v>
      </c>
      <c r="D315" s="1440"/>
      <c r="E315" s="1443"/>
      <c r="F315" s="1443"/>
      <c r="G315" s="1440"/>
      <c r="H315" s="1440"/>
      <c r="I315" s="1440"/>
      <c r="J315" s="1440"/>
      <c r="K315" s="1440"/>
      <c r="L315" s="1440"/>
      <c r="M315" s="867" t="s">
        <v>2331</v>
      </c>
      <c r="N315" s="867" t="s">
        <v>3861</v>
      </c>
      <c r="O315" s="867" t="s">
        <v>3954</v>
      </c>
      <c r="P315" s="869">
        <v>30</v>
      </c>
      <c r="Q315" s="869">
        <v>30</v>
      </c>
      <c r="R315" s="870">
        <v>29</v>
      </c>
      <c r="S315" s="871">
        <v>30</v>
      </c>
      <c r="T315" s="871">
        <v>30</v>
      </c>
      <c r="U315" s="872">
        <v>29</v>
      </c>
      <c r="W315" s="872"/>
    </row>
    <row r="316" spans="1:23" ht="48" x14ac:dyDescent="0.2">
      <c r="A316" s="812" t="s">
        <v>3952</v>
      </c>
      <c r="B316" s="866">
        <v>17055431</v>
      </c>
      <c r="C316" s="866" t="s">
        <v>3876</v>
      </c>
      <c r="D316" s="867" t="s">
        <v>2375</v>
      </c>
      <c r="E316" s="868">
        <v>45632.54960648148</v>
      </c>
      <c r="F316" s="868">
        <v>45808.916655092595</v>
      </c>
      <c r="G316" s="867" t="s">
        <v>1758</v>
      </c>
      <c r="H316" s="867" t="s">
        <v>1759</v>
      </c>
      <c r="I316" s="867" t="s">
        <v>1760</v>
      </c>
      <c r="J316" s="867" t="s">
        <v>2376</v>
      </c>
      <c r="K316" s="867" t="s">
        <v>1804</v>
      </c>
      <c r="L316" s="867" t="s">
        <v>1805</v>
      </c>
      <c r="M316" s="867" t="s">
        <v>2331</v>
      </c>
      <c r="N316" s="867" t="s">
        <v>3861</v>
      </c>
      <c r="O316" s="873" t="s">
        <v>3954</v>
      </c>
      <c r="P316" s="874">
        <v>1</v>
      </c>
      <c r="Q316" s="874">
        <v>1</v>
      </c>
      <c r="R316" s="875">
        <v>0</v>
      </c>
      <c r="S316" s="876">
        <v>1</v>
      </c>
      <c r="T316" s="876">
        <v>1</v>
      </c>
      <c r="U316" s="877">
        <v>0</v>
      </c>
      <c r="W316" s="877"/>
    </row>
    <row r="317" spans="1:23" ht="48" x14ac:dyDescent="0.2">
      <c r="A317" s="778" t="s">
        <v>3960</v>
      </c>
      <c r="B317" s="866" t="s">
        <v>3961</v>
      </c>
      <c r="C317" s="879" t="s">
        <v>3860</v>
      </c>
      <c r="D317" s="867" t="s">
        <v>2377</v>
      </c>
      <c r="E317" s="868">
        <v>45473.916666666664</v>
      </c>
      <c r="F317" s="868">
        <v>45711.958333333336</v>
      </c>
      <c r="G317" s="867" t="s">
        <v>1758</v>
      </c>
      <c r="H317" s="867" t="s">
        <v>1759</v>
      </c>
      <c r="I317" s="867" t="s">
        <v>1823</v>
      </c>
      <c r="J317" s="867" t="s">
        <v>2378</v>
      </c>
      <c r="K317" s="867" t="s">
        <v>1804</v>
      </c>
      <c r="L317" s="867" t="s">
        <v>1819</v>
      </c>
      <c r="M317" s="867" t="s">
        <v>2379</v>
      </c>
      <c r="N317" s="867" t="s">
        <v>3962</v>
      </c>
      <c r="O317" s="867" t="s">
        <v>3963</v>
      </c>
      <c r="P317" s="869">
        <v>18</v>
      </c>
      <c r="Q317" s="869">
        <v>2</v>
      </c>
      <c r="R317" s="870">
        <v>0</v>
      </c>
      <c r="S317" s="871">
        <v>18</v>
      </c>
      <c r="T317" s="871">
        <v>2</v>
      </c>
      <c r="U317" s="872">
        <v>0</v>
      </c>
      <c r="W317" s="872"/>
    </row>
    <row r="318" spans="1:23" ht="36" x14ac:dyDescent="0.2">
      <c r="A318" s="812" t="s">
        <v>3964</v>
      </c>
      <c r="B318" s="866" t="s">
        <v>3965</v>
      </c>
      <c r="C318" s="866" t="s">
        <v>3966</v>
      </c>
      <c r="D318" s="867" t="s">
        <v>2380</v>
      </c>
      <c r="E318" s="868">
        <v>45447.916666666664</v>
      </c>
      <c r="F318" s="868">
        <v>45625.958333333336</v>
      </c>
      <c r="G318" s="867" t="s">
        <v>1758</v>
      </c>
      <c r="H318" s="867" t="s">
        <v>1759</v>
      </c>
      <c r="I318" s="867" t="s">
        <v>1823</v>
      </c>
      <c r="J318" s="867" t="s">
        <v>2381</v>
      </c>
      <c r="K318" s="867" t="s">
        <v>1804</v>
      </c>
      <c r="L318" s="867" t="s">
        <v>1819</v>
      </c>
      <c r="M318" s="867" t="s">
        <v>2382</v>
      </c>
      <c r="N318" s="867" t="s">
        <v>3967</v>
      </c>
      <c r="O318" s="873" t="s">
        <v>3968</v>
      </c>
      <c r="P318" s="874">
        <v>1</v>
      </c>
      <c r="Q318" s="874">
        <v>1</v>
      </c>
      <c r="R318" s="875">
        <v>0</v>
      </c>
      <c r="S318" s="876">
        <v>1</v>
      </c>
      <c r="T318" s="876">
        <v>1</v>
      </c>
      <c r="U318" s="877">
        <v>0</v>
      </c>
      <c r="W318" s="877">
        <v>0</v>
      </c>
    </row>
    <row r="319" spans="1:23" ht="24" x14ac:dyDescent="0.2">
      <c r="A319" s="812" t="s">
        <v>3964</v>
      </c>
      <c r="B319" s="866" t="s">
        <v>3965</v>
      </c>
      <c r="C319" s="878" t="s">
        <v>3966</v>
      </c>
      <c r="D319" s="867" t="s">
        <v>2383</v>
      </c>
      <c r="E319" s="868">
        <v>45561.417002314818</v>
      </c>
      <c r="F319" s="868">
        <v>45871.916655092595</v>
      </c>
      <c r="G319" s="867" t="s">
        <v>1758</v>
      </c>
      <c r="H319" s="867" t="s">
        <v>1759</v>
      </c>
      <c r="I319" s="867" t="s">
        <v>1761</v>
      </c>
      <c r="J319" s="867" t="s">
        <v>1761</v>
      </c>
      <c r="K319" s="867" t="s">
        <v>1804</v>
      </c>
      <c r="L319" s="867" t="s">
        <v>1828</v>
      </c>
      <c r="M319" s="867" t="s">
        <v>2382</v>
      </c>
      <c r="N319" s="867" t="s">
        <v>3967</v>
      </c>
      <c r="O319" s="867" t="s">
        <v>3968</v>
      </c>
      <c r="P319" s="869">
        <v>6</v>
      </c>
      <c r="Q319" s="869">
        <v>4</v>
      </c>
      <c r="R319" s="870">
        <v>1</v>
      </c>
      <c r="S319" s="871">
        <v>6</v>
      </c>
      <c r="T319" s="871">
        <v>4</v>
      </c>
      <c r="U319" s="872">
        <v>1</v>
      </c>
      <c r="W319" s="872">
        <v>1</v>
      </c>
    </row>
    <row r="320" spans="1:23" ht="24" x14ac:dyDescent="0.2">
      <c r="A320" s="865" t="s">
        <v>2384</v>
      </c>
      <c r="B320" s="866">
        <v>42096651</v>
      </c>
      <c r="C320" s="866" t="s">
        <v>3860</v>
      </c>
      <c r="D320" s="1438" t="s">
        <v>2385</v>
      </c>
      <c r="E320" s="1441">
        <v>45539.331458333334</v>
      </c>
      <c r="F320" s="1441">
        <v>45838.916655092595</v>
      </c>
      <c r="G320" s="1438" t="s">
        <v>1758</v>
      </c>
      <c r="H320" s="1438" t="s">
        <v>1759</v>
      </c>
      <c r="I320" s="1438" t="s">
        <v>1762</v>
      </c>
      <c r="J320" s="1438" t="s">
        <v>1762</v>
      </c>
      <c r="K320" s="1438" t="s">
        <v>1804</v>
      </c>
      <c r="L320" s="1438" t="s">
        <v>1828</v>
      </c>
      <c r="M320" s="867" t="s">
        <v>2386</v>
      </c>
      <c r="N320" s="867" t="s">
        <v>3863</v>
      </c>
      <c r="O320" s="873" t="s">
        <v>3969</v>
      </c>
      <c r="P320" s="874">
        <v>23</v>
      </c>
      <c r="Q320" s="874">
        <v>23</v>
      </c>
      <c r="R320" s="875">
        <v>2</v>
      </c>
      <c r="S320" s="876">
        <v>23</v>
      </c>
      <c r="T320" s="876">
        <v>23</v>
      </c>
      <c r="U320" s="877">
        <v>2</v>
      </c>
      <c r="W320" s="877">
        <v>2</v>
      </c>
    </row>
    <row r="321" spans="1:23" ht="24" x14ac:dyDescent="0.2">
      <c r="A321" s="865" t="s">
        <v>2384</v>
      </c>
      <c r="B321" s="866">
        <v>42096651</v>
      </c>
      <c r="C321" s="866" t="s">
        <v>3860</v>
      </c>
      <c r="D321" s="1440"/>
      <c r="E321" s="1443"/>
      <c r="F321" s="1443"/>
      <c r="G321" s="1440"/>
      <c r="H321" s="1440"/>
      <c r="I321" s="1440"/>
      <c r="J321" s="1440"/>
      <c r="K321" s="1440"/>
      <c r="L321" s="1440"/>
      <c r="M321" s="867" t="s">
        <v>2387</v>
      </c>
      <c r="N321" s="867" t="s">
        <v>3863</v>
      </c>
      <c r="O321" s="867" t="s">
        <v>3970</v>
      </c>
      <c r="P321" s="869">
        <v>23</v>
      </c>
      <c r="Q321" s="869">
        <v>23</v>
      </c>
      <c r="R321" s="870">
        <v>2</v>
      </c>
      <c r="S321" s="871">
        <v>23</v>
      </c>
      <c r="T321" s="871">
        <v>23</v>
      </c>
      <c r="U321" s="872">
        <v>2</v>
      </c>
      <c r="W321" s="872">
        <v>2</v>
      </c>
    </row>
    <row r="322" spans="1:23" ht="48" x14ac:dyDescent="0.2">
      <c r="A322" s="865" t="s">
        <v>2384</v>
      </c>
      <c r="B322" s="866">
        <v>42096651</v>
      </c>
      <c r="C322" s="866" t="s">
        <v>3860</v>
      </c>
      <c r="D322" s="867" t="s">
        <v>2388</v>
      </c>
      <c r="E322" s="868">
        <v>45539.402453703704</v>
      </c>
      <c r="F322" s="868">
        <v>45838.916655092595</v>
      </c>
      <c r="G322" s="867" t="s">
        <v>1758</v>
      </c>
      <c r="H322" s="867" t="s">
        <v>1759</v>
      </c>
      <c r="I322" s="867" t="s">
        <v>1760</v>
      </c>
      <c r="J322" s="867" t="s">
        <v>1760</v>
      </c>
      <c r="K322" s="867" t="s">
        <v>1804</v>
      </c>
      <c r="L322" s="867" t="s">
        <v>1805</v>
      </c>
      <c r="M322" s="867" t="s">
        <v>2386</v>
      </c>
      <c r="N322" s="867" t="s">
        <v>3863</v>
      </c>
      <c r="O322" s="873" t="s">
        <v>3969</v>
      </c>
      <c r="P322" s="874">
        <v>40</v>
      </c>
      <c r="Q322" s="874">
        <v>40</v>
      </c>
      <c r="R322" s="875">
        <v>10</v>
      </c>
      <c r="S322" s="876">
        <v>40</v>
      </c>
      <c r="T322" s="876">
        <v>40</v>
      </c>
      <c r="U322" s="877">
        <v>10</v>
      </c>
      <c r="W322" s="877">
        <v>10</v>
      </c>
    </row>
    <row r="323" spans="1:23" ht="36" x14ac:dyDescent="0.2">
      <c r="A323" s="865" t="s">
        <v>2384</v>
      </c>
      <c r="B323" s="866">
        <v>42096651</v>
      </c>
      <c r="C323" s="866" t="s">
        <v>3860</v>
      </c>
      <c r="D323" s="867" t="s">
        <v>2389</v>
      </c>
      <c r="E323" s="868">
        <v>45396.916666666664</v>
      </c>
      <c r="F323" s="868">
        <v>45579.916666666664</v>
      </c>
      <c r="G323" s="867" t="s">
        <v>1758</v>
      </c>
      <c r="H323" s="867" t="s">
        <v>1759</v>
      </c>
      <c r="I323" s="867" t="s">
        <v>1823</v>
      </c>
      <c r="J323" s="867" t="s">
        <v>2390</v>
      </c>
      <c r="K323" s="867" t="s">
        <v>1804</v>
      </c>
      <c r="L323" s="867" t="s">
        <v>1819</v>
      </c>
      <c r="M323" s="867" t="s">
        <v>2386</v>
      </c>
      <c r="N323" s="867" t="s">
        <v>3863</v>
      </c>
      <c r="O323" s="867" t="s">
        <v>3969</v>
      </c>
      <c r="P323" s="869">
        <v>8</v>
      </c>
      <c r="Q323" s="869">
        <v>8</v>
      </c>
      <c r="R323" s="870">
        <v>0</v>
      </c>
      <c r="S323" s="871">
        <v>8</v>
      </c>
      <c r="T323" s="871">
        <v>8</v>
      </c>
      <c r="U323" s="872">
        <v>0</v>
      </c>
      <c r="W323" s="872">
        <v>0</v>
      </c>
    </row>
    <row r="324" spans="1:23" ht="24" x14ac:dyDescent="0.2">
      <c r="A324" s="865" t="s">
        <v>2384</v>
      </c>
      <c r="B324" s="866">
        <v>42096651</v>
      </c>
      <c r="C324" s="866" t="s">
        <v>3860</v>
      </c>
      <c r="D324" s="1438" t="s">
        <v>2391</v>
      </c>
      <c r="E324" s="1441">
        <v>45535.916666666664</v>
      </c>
      <c r="F324" s="1441">
        <v>45838.916655092595</v>
      </c>
      <c r="G324" s="1438" t="s">
        <v>1758</v>
      </c>
      <c r="H324" s="1438" t="s">
        <v>1759</v>
      </c>
      <c r="I324" s="1438" t="s">
        <v>1761</v>
      </c>
      <c r="J324" s="1438" t="s">
        <v>1761</v>
      </c>
      <c r="K324" s="1438" t="s">
        <v>1804</v>
      </c>
      <c r="L324" s="1438" t="s">
        <v>1828</v>
      </c>
      <c r="M324" s="867" t="s">
        <v>2386</v>
      </c>
      <c r="N324" s="867" t="s">
        <v>3863</v>
      </c>
      <c r="O324" s="873" t="s">
        <v>3969</v>
      </c>
      <c r="P324" s="874">
        <v>35</v>
      </c>
      <c r="Q324" s="874">
        <v>35</v>
      </c>
      <c r="R324" s="875">
        <v>6</v>
      </c>
      <c r="S324" s="876">
        <v>35</v>
      </c>
      <c r="T324" s="876">
        <v>35</v>
      </c>
      <c r="U324" s="877">
        <v>6</v>
      </c>
      <c r="W324" s="877">
        <v>6</v>
      </c>
    </row>
    <row r="325" spans="1:23" ht="24" x14ac:dyDescent="0.2">
      <c r="A325" s="865" t="s">
        <v>2384</v>
      </c>
      <c r="B325" s="866">
        <v>42096651</v>
      </c>
      <c r="C325" s="866" t="s">
        <v>3860</v>
      </c>
      <c r="D325" s="1440"/>
      <c r="E325" s="1443"/>
      <c r="F325" s="1443"/>
      <c r="G325" s="1440"/>
      <c r="H325" s="1440"/>
      <c r="I325" s="1440"/>
      <c r="J325" s="1440"/>
      <c r="K325" s="1440"/>
      <c r="L325" s="1440"/>
      <c r="M325" s="867" t="s">
        <v>2387</v>
      </c>
      <c r="N325" s="867" t="s">
        <v>3863</v>
      </c>
      <c r="O325" s="867" t="s">
        <v>3970</v>
      </c>
      <c r="P325" s="869">
        <v>35</v>
      </c>
      <c r="Q325" s="869">
        <v>35</v>
      </c>
      <c r="R325" s="870">
        <v>6</v>
      </c>
      <c r="S325" s="871">
        <v>35</v>
      </c>
      <c r="T325" s="871">
        <v>35</v>
      </c>
      <c r="U325" s="872">
        <v>6</v>
      </c>
      <c r="W325" s="872">
        <v>6</v>
      </c>
    </row>
    <row r="326" spans="1:23" ht="24" x14ac:dyDescent="0.2">
      <c r="A326" s="865" t="s">
        <v>2384</v>
      </c>
      <c r="B326" s="866">
        <v>42096651</v>
      </c>
      <c r="C326" s="866" t="s">
        <v>3860</v>
      </c>
      <c r="D326" s="867" t="s">
        <v>2392</v>
      </c>
      <c r="E326" s="868">
        <v>45601.308483796296</v>
      </c>
      <c r="F326" s="868">
        <v>45965.958321759259</v>
      </c>
      <c r="G326" s="867" t="s">
        <v>1758</v>
      </c>
      <c r="H326" s="867" t="s">
        <v>1759</v>
      </c>
      <c r="I326" s="867" t="s">
        <v>1761</v>
      </c>
      <c r="J326" s="867" t="s">
        <v>2393</v>
      </c>
      <c r="K326" s="867" t="s">
        <v>1804</v>
      </c>
      <c r="L326" s="867" t="s">
        <v>1828</v>
      </c>
      <c r="M326" s="867" t="s">
        <v>2387</v>
      </c>
      <c r="N326" s="867" t="s">
        <v>3863</v>
      </c>
      <c r="O326" s="873" t="s">
        <v>3970</v>
      </c>
      <c r="P326" s="874">
        <v>9</v>
      </c>
      <c r="Q326" s="874">
        <v>9</v>
      </c>
      <c r="R326" s="875">
        <v>2</v>
      </c>
      <c r="S326" s="876">
        <v>9</v>
      </c>
      <c r="T326" s="876">
        <v>9</v>
      </c>
      <c r="U326" s="877">
        <v>2</v>
      </c>
      <c r="W326" s="877">
        <v>2</v>
      </c>
    </row>
    <row r="327" spans="1:23" ht="36" x14ac:dyDescent="0.2">
      <c r="A327" s="812" t="s">
        <v>3971</v>
      </c>
      <c r="B327" s="866" t="s">
        <v>3972</v>
      </c>
      <c r="C327" s="866" t="s">
        <v>3860</v>
      </c>
      <c r="D327" s="1438" t="s">
        <v>2394</v>
      </c>
      <c r="E327" s="1441">
        <v>45615.834224537037</v>
      </c>
      <c r="F327" s="1441">
        <v>45979.958321759259</v>
      </c>
      <c r="G327" s="1438" t="s">
        <v>1758</v>
      </c>
      <c r="H327" s="1438" t="s">
        <v>1759</v>
      </c>
      <c r="I327" s="1438" t="s">
        <v>1762</v>
      </c>
      <c r="J327" s="1438" t="s">
        <v>1762</v>
      </c>
      <c r="K327" s="1438" t="s">
        <v>1804</v>
      </c>
      <c r="L327" s="1438" t="s">
        <v>1828</v>
      </c>
      <c r="M327" s="867" t="s">
        <v>2395</v>
      </c>
      <c r="N327" s="867" t="s">
        <v>3973</v>
      </c>
      <c r="O327" s="867" t="s">
        <v>3974</v>
      </c>
      <c r="P327" s="869">
        <v>1</v>
      </c>
      <c r="Q327" s="869">
        <v>0</v>
      </c>
      <c r="R327" s="870">
        <v>0</v>
      </c>
      <c r="S327" s="871">
        <v>1</v>
      </c>
      <c r="T327" s="871">
        <v>0</v>
      </c>
      <c r="U327" s="872">
        <v>0</v>
      </c>
      <c r="W327" s="872">
        <v>0</v>
      </c>
    </row>
    <row r="328" spans="1:23" ht="36" x14ac:dyDescent="0.2">
      <c r="A328" s="812" t="s">
        <v>3971</v>
      </c>
      <c r="B328" s="866" t="s">
        <v>3972</v>
      </c>
      <c r="C328" s="866" t="s">
        <v>3860</v>
      </c>
      <c r="D328" s="1439"/>
      <c r="E328" s="1442"/>
      <c r="F328" s="1442"/>
      <c r="G328" s="1439"/>
      <c r="H328" s="1439"/>
      <c r="I328" s="1439"/>
      <c r="J328" s="1439"/>
      <c r="K328" s="1439"/>
      <c r="L328" s="1439"/>
      <c r="M328" s="867" t="s">
        <v>2396</v>
      </c>
      <c r="N328" s="867" t="s">
        <v>3879</v>
      </c>
      <c r="O328" s="873" t="s">
        <v>3975</v>
      </c>
      <c r="P328" s="874">
        <v>1</v>
      </c>
      <c r="Q328" s="874">
        <v>0</v>
      </c>
      <c r="R328" s="875">
        <v>0</v>
      </c>
      <c r="S328" s="876">
        <v>1</v>
      </c>
      <c r="T328" s="876">
        <v>0</v>
      </c>
      <c r="U328" s="877">
        <v>0</v>
      </c>
      <c r="W328" s="877">
        <v>0</v>
      </c>
    </row>
    <row r="329" spans="1:23" ht="36" x14ac:dyDescent="0.2">
      <c r="A329" s="812" t="s">
        <v>3971</v>
      </c>
      <c r="B329" s="866" t="s">
        <v>3972</v>
      </c>
      <c r="C329" s="866" t="s">
        <v>3860</v>
      </c>
      <c r="D329" s="1439"/>
      <c r="E329" s="1442"/>
      <c r="F329" s="1442"/>
      <c r="G329" s="1439"/>
      <c r="H329" s="1439"/>
      <c r="I329" s="1439"/>
      <c r="J329" s="1439"/>
      <c r="K329" s="1439"/>
      <c r="L329" s="1439"/>
      <c r="M329" s="867" t="s">
        <v>2397</v>
      </c>
      <c r="N329" s="867" t="s">
        <v>3886</v>
      </c>
      <c r="O329" s="867" t="s">
        <v>3976</v>
      </c>
      <c r="P329" s="869">
        <v>1</v>
      </c>
      <c r="Q329" s="869">
        <v>0</v>
      </c>
      <c r="R329" s="870">
        <v>0</v>
      </c>
      <c r="S329" s="871">
        <v>1</v>
      </c>
      <c r="T329" s="871">
        <v>0</v>
      </c>
      <c r="U329" s="872">
        <v>0</v>
      </c>
      <c r="W329" s="872">
        <v>0</v>
      </c>
    </row>
    <row r="330" spans="1:23" ht="36" x14ac:dyDescent="0.2">
      <c r="A330" s="812" t="s">
        <v>3971</v>
      </c>
      <c r="B330" s="866" t="s">
        <v>3972</v>
      </c>
      <c r="C330" s="866" t="s">
        <v>3860</v>
      </c>
      <c r="D330" s="1439"/>
      <c r="E330" s="1442"/>
      <c r="F330" s="1442"/>
      <c r="G330" s="1439"/>
      <c r="H330" s="1439"/>
      <c r="I330" s="1439"/>
      <c r="J330" s="1439"/>
      <c r="K330" s="1439"/>
      <c r="L330" s="1439"/>
      <c r="M330" s="867" t="s">
        <v>2398</v>
      </c>
      <c r="N330" s="867" t="s">
        <v>3886</v>
      </c>
      <c r="O330" s="873" t="s">
        <v>3977</v>
      </c>
      <c r="P330" s="874">
        <v>1</v>
      </c>
      <c r="Q330" s="874">
        <v>0</v>
      </c>
      <c r="R330" s="875">
        <v>0</v>
      </c>
      <c r="S330" s="876">
        <v>1</v>
      </c>
      <c r="T330" s="876">
        <v>0</v>
      </c>
      <c r="U330" s="877">
        <v>0</v>
      </c>
      <c r="W330" s="877">
        <v>0</v>
      </c>
    </row>
    <row r="331" spans="1:23" ht="36" x14ac:dyDescent="0.2">
      <c r="A331" s="812" t="s">
        <v>3971</v>
      </c>
      <c r="B331" s="866" t="s">
        <v>3972</v>
      </c>
      <c r="C331" s="866" t="s">
        <v>3860</v>
      </c>
      <c r="D331" s="1439"/>
      <c r="E331" s="1442"/>
      <c r="F331" s="1442"/>
      <c r="G331" s="1439"/>
      <c r="H331" s="1439"/>
      <c r="I331" s="1439"/>
      <c r="J331" s="1439"/>
      <c r="K331" s="1439"/>
      <c r="L331" s="1439"/>
      <c r="M331" s="867" t="s">
        <v>2399</v>
      </c>
      <c r="N331" s="867" t="s">
        <v>3978</v>
      </c>
      <c r="O331" s="867" t="s">
        <v>3979</v>
      </c>
      <c r="P331" s="869">
        <v>1</v>
      </c>
      <c r="Q331" s="869">
        <v>0</v>
      </c>
      <c r="R331" s="870">
        <v>0</v>
      </c>
      <c r="S331" s="871">
        <v>1</v>
      </c>
      <c r="T331" s="871">
        <v>0</v>
      </c>
      <c r="U331" s="872">
        <v>0</v>
      </c>
      <c r="W331" s="872">
        <v>0</v>
      </c>
    </row>
    <row r="332" spans="1:23" ht="36" x14ac:dyDescent="0.2">
      <c r="A332" s="812" t="s">
        <v>3971</v>
      </c>
      <c r="B332" s="866" t="s">
        <v>3972</v>
      </c>
      <c r="C332" s="866" t="s">
        <v>3860</v>
      </c>
      <c r="D332" s="1439"/>
      <c r="E332" s="1442"/>
      <c r="F332" s="1442"/>
      <c r="G332" s="1439"/>
      <c r="H332" s="1439"/>
      <c r="I332" s="1439"/>
      <c r="J332" s="1439"/>
      <c r="K332" s="1439"/>
      <c r="L332" s="1439"/>
      <c r="M332" s="867" t="s">
        <v>2400</v>
      </c>
      <c r="N332" s="867" t="s">
        <v>3980</v>
      </c>
      <c r="O332" s="873" t="s">
        <v>3981</v>
      </c>
      <c r="P332" s="874">
        <v>1</v>
      </c>
      <c r="Q332" s="874">
        <v>0</v>
      </c>
      <c r="R332" s="875">
        <v>0</v>
      </c>
      <c r="S332" s="876">
        <v>1</v>
      </c>
      <c r="T332" s="876">
        <v>0</v>
      </c>
      <c r="U332" s="877">
        <v>0</v>
      </c>
      <c r="W332" s="877">
        <v>0</v>
      </c>
    </row>
    <row r="333" spans="1:23" ht="36" x14ac:dyDescent="0.2">
      <c r="A333" s="812" t="s">
        <v>3971</v>
      </c>
      <c r="B333" s="866" t="s">
        <v>3972</v>
      </c>
      <c r="C333" s="866" t="s">
        <v>3860</v>
      </c>
      <c r="D333" s="1440"/>
      <c r="E333" s="1443"/>
      <c r="F333" s="1443"/>
      <c r="G333" s="1440"/>
      <c r="H333" s="1440"/>
      <c r="I333" s="1440"/>
      <c r="J333" s="1440"/>
      <c r="K333" s="1440"/>
      <c r="L333" s="1440"/>
      <c r="M333" s="867" t="s">
        <v>2401</v>
      </c>
      <c r="N333" s="867" t="s">
        <v>3861</v>
      </c>
      <c r="O333" s="867" t="s">
        <v>3982</v>
      </c>
      <c r="P333" s="869">
        <v>1</v>
      </c>
      <c r="Q333" s="869">
        <v>0</v>
      </c>
      <c r="R333" s="870">
        <v>0</v>
      </c>
      <c r="S333" s="871">
        <v>1</v>
      </c>
      <c r="T333" s="871">
        <v>0</v>
      </c>
      <c r="U333" s="872">
        <v>0</v>
      </c>
      <c r="W333" s="872">
        <v>0</v>
      </c>
    </row>
    <row r="334" spans="1:23" ht="36" x14ac:dyDescent="0.2">
      <c r="A334" s="812" t="s">
        <v>3971</v>
      </c>
      <c r="B334" s="866" t="s">
        <v>3972</v>
      </c>
      <c r="C334" s="866" t="s">
        <v>3860</v>
      </c>
      <c r="D334" s="1438" t="s">
        <v>2402</v>
      </c>
      <c r="E334" s="1441">
        <v>45553.242152777777</v>
      </c>
      <c r="F334" s="1441">
        <v>45918.916655092595</v>
      </c>
      <c r="G334" s="1438" t="s">
        <v>1758</v>
      </c>
      <c r="H334" s="1438" t="s">
        <v>1759</v>
      </c>
      <c r="I334" s="1438" t="s">
        <v>1761</v>
      </c>
      <c r="J334" s="1438" t="s">
        <v>2403</v>
      </c>
      <c r="K334" s="1438" t="s">
        <v>1804</v>
      </c>
      <c r="L334" s="1438" t="s">
        <v>1828</v>
      </c>
      <c r="M334" s="867" t="s">
        <v>2395</v>
      </c>
      <c r="N334" s="867" t="s">
        <v>3973</v>
      </c>
      <c r="O334" s="873" t="s">
        <v>3974</v>
      </c>
      <c r="P334" s="874">
        <v>9</v>
      </c>
      <c r="Q334" s="874">
        <v>3</v>
      </c>
      <c r="R334" s="875">
        <v>0</v>
      </c>
      <c r="S334" s="876">
        <v>9</v>
      </c>
      <c r="T334" s="876">
        <v>3</v>
      </c>
      <c r="U334" s="877">
        <v>0</v>
      </c>
      <c r="W334" s="877">
        <v>0</v>
      </c>
    </row>
    <row r="335" spans="1:23" ht="36" x14ac:dyDescent="0.2">
      <c r="A335" s="812" t="s">
        <v>3971</v>
      </c>
      <c r="B335" s="866" t="s">
        <v>3972</v>
      </c>
      <c r="C335" s="866" t="s">
        <v>3860</v>
      </c>
      <c r="D335" s="1440"/>
      <c r="E335" s="1443"/>
      <c r="F335" s="1443"/>
      <c r="G335" s="1440"/>
      <c r="H335" s="1440"/>
      <c r="I335" s="1440"/>
      <c r="J335" s="1440"/>
      <c r="K335" s="1440"/>
      <c r="L335" s="1440"/>
      <c r="M335" s="867" t="s">
        <v>2396</v>
      </c>
      <c r="N335" s="867" t="s">
        <v>3879</v>
      </c>
      <c r="O335" s="867" t="s">
        <v>3975</v>
      </c>
      <c r="P335" s="869">
        <v>9</v>
      </c>
      <c r="Q335" s="869">
        <v>3</v>
      </c>
      <c r="R335" s="870">
        <v>0</v>
      </c>
      <c r="S335" s="871">
        <v>9</v>
      </c>
      <c r="T335" s="871">
        <v>3</v>
      </c>
      <c r="U335" s="872">
        <v>0</v>
      </c>
      <c r="W335" s="872">
        <v>0</v>
      </c>
    </row>
    <row r="336" spans="1:23" ht="36" x14ac:dyDescent="0.2">
      <c r="A336" s="812" t="s">
        <v>3971</v>
      </c>
      <c r="B336" s="866" t="s">
        <v>3972</v>
      </c>
      <c r="C336" s="866" t="s">
        <v>3860</v>
      </c>
      <c r="D336" s="867" t="s">
        <v>2404</v>
      </c>
      <c r="E336" s="868">
        <v>45317.958333333336</v>
      </c>
      <c r="F336" s="868">
        <v>45626.958333333336</v>
      </c>
      <c r="G336" s="867" t="s">
        <v>1777</v>
      </c>
      <c r="H336" s="867" t="s">
        <v>1765</v>
      </c>
      <c r="I336" s="867" t="s">
        <v>2405</v>
      </c>
      <c r="J336" s="867" t="s">
        <v>2406</v>
      </c>
      <c r="K336" s="867" t="s">
        <v>1804</v>
      </c>
      <c r="L336" s="867" t="s">
        <v>2407</v>
      </c>
      <c r="M336" s="867" t="s">
        <v>2399</v>
      </c>
      <c r="N336" s="867" t="s">
        <v>3978</v>
      </c>
      <c r="O336" s="873" t="s">
        <v>3979</v>
      </c>
      <c r="P336" s="874">
        <v>1</v>
      </c>
      <c r="Q336" s="874">
        <v>1</v>
      </c>
      <c r="R336" s="875">
        <v>1</v>
      </c>
      <c r="S336" s="876">
        <v>1</v>
      </c>
      <c r="T336" s="876">
        <v>1</v>
      </c>
      <c r="U336" s="877">
        <v>1</v>
      </c>
      <c r="W336" s="877">
        <v>1</v>
      </c>
    </row>
    <row r="337" spans="1:23" ht="36" x14ac:dyDescent="0.2">
      <c r="A337" s="812" t="s">
        <v>3971</v>
      </c>
      <c r="B337" s="866" t="s">
        <v>3972</v>
      </c>
      <c r="C337" s="866" t="s">
        <v>3860</v>
      </c>
      <c r="D337" s="1438" t="s">
        <v>2408</v>
      </c>
      <c r="E337" s="1441">
        <v>45386.916666666664</v>
      </c>
      <c r="F337" s="1441">
        <v>45656.958333333336</v>
      </c>
      <c r="G337" s="1438" t="s">
        <v>1758</v>
      </c>
      <c r="H337" s="1438" t="s">
        <v>1759</v>
      </c>
      <c r="I337" s="1438" t="s">
        <v>1858</v>
      </c>
      <c r="J337" s="1438" t="s">
        <v>2409</v>
      </c>
      <c r="K337" s="1438" t="s">
        <v>1804</v>
      </c>
      <c r="L337" s="1438" t="s">
        <v>1819</v>
      </c>
      <c r="M337" s="867" t="s">
        <v>2395</v>
      </c>
      <c r="N337" s="867" t="s">
        <v>3973</v>
      </c>
      <c r="O337" s="867" t="s">
        <v>3974</v>
      </c>
      <c r="P337" s="869">
        <v>30</v>
      </c>
      <c r="Q337" s="869">
        <v>7</v>
      </c>
      <c r="R337" s="870">
        <v>0</v>
      </c>
      <c r="S337" s="871">
        <v>30</v>
      </c>
      <c r="T337" s="871">
        <v>7</v>
      </c>
      <c r="U337" s="872">
        <v>0</v>
      </c>
      <c r="W337" s="872">
        <v>0</v>
      </c>
    </row>
    <row r="338" spans="1:23" ht="36" x14ac:dyDescent="0.2">
      <c r="A338" s="812" t="s">
        <v>3971</v>
      </c>
      <c r="B338" s="866" t="s">
        <v>3972</v>
      </c>
      <c r="C338" s="866" t="s">
        <v>3860</v>
      </c>
      <c r="D338" s="1440"/>
      <c r="E338" s="1443"/>
      <c r="F338" s="1443"/>
      <c r="G338" s="1440"/>
      <c r="H338" s="1440"/>
      <c r="I338" s="1440"/>
      <c r="J338" s="1440"/>
      <c r="K338" s="1440"/>
      <c r="L338" s="1440"/>
      <c r="M338" s="867" t="s">
        <v>2397</v>
      </c>
      <c r="N338" s="867" t="s">
        <v>3886</v>
      </c>
      <c r="O338" s="873" t="s">
        <v>3976</v>
      </c>
      <c r="P338" s="874">
        <v>30</v>
      </c>
      <c r="Q338" s="874">
        <v>7</v>
      </c>
      <c r="R338" s="875">
        <v>0</v>
      </c>
      <c r="S338" s="876">
        <v>30</v>
      </c>
      <c r="T338" s="876">
        <v>7</v>
      </c>
      <c r="U338" s="877">
        <v>0</v>
      </c>
      <c r="W338" s="877">
        <v>0</v>
      </c>
    </row>
    <row r="339" spans="1:23" ht="36" x14ac:dyDescent="0.2">
      <c r="A339" s="812" t="s">
        <v>3971</v>
      </c>
      <c r="B339" s="866" t="s">
        <v>3972</v>
      </c>
      <c r="C339" s="866" t="s">
        <v>3860</v>
      </c>
      <c r="D339" s="1438" t="s">
        <v>2410</v>
      </c>
      <c r="E339" s="1441">
        <v>45390.916666666664</v>
      </c>
      <c r="F339" s="1441">
        <v>45656.958333333336</v>
      </c>
      <c r="G339" s="1438" t="s">
        <v>1758</v>
      </c>
      <c r="H339" s="1438" t="s">
        <v>1759</v>
      </c>
      <c r="I339" s="1438" t="s">
        <v>1817</v>
      </c>
      <c r="J339" s="1438" t="s">
        <v>2411</v>
      </c>
      <c r="K339" s="1438" t="s">
        <v>1804</v>
      </c>
      <c r="L339" s="1438" t="s">
        <v>1819</v>
      </c>
      <c r="M339" s="867" t="s">
        <v>2395</v>
      </c>
      <c r="N339" s="867" t="s">
        <v>3973</v>
      </c>
      <c r="O339" s="867" t="s">
        <v>3974</v>
      </c>
      <c r="P339" s="869">
        <v>30</v>
      </c>
      <c r="Q339" s="869">
        <v>11</v>
      </c>
      <c r="R339" s="870">
        <v>0</v>
      </c>
      <c r="S339" s="871">
        <v>30</v>
      </c>
      <c r="T339" s="871">
        <v>11</v>
      </c>
      <c r="U339" s="872">
        <v>0</v>
      </c>
      <c r="W339" s="872">
        <v>0</v>
      </c>
    </row>
    <row r="340" spans="1:23" ht="36" x14ac:dyDescent="0.2">
      <c r="A340" s="812" t="s">
        <v>3971</v>
      </c>
      <c r="B340" s="866" t="s">
        <v>3972</v>
      </c>
      <c r="C340" s="866" t="s">
        <v>3860</v>
      </c>
      <c r="D340" s="1440"/>
      <c r="E340" s="1443"/>
      <c r="F340" s="1443"/>
      <c r="G340" s="1440"/>
      <c r="H340" s="1440"/>
      <c r="I340" s="1440"/>
      <c r="J340" s="1440"/>
      <c r="K340" s="1440"/>
      <c r="L340" s="1440"/>
      <c r="M340" s="867" t="s">
        <v>2397</v>
      </c>
      <c r="N340" s="867" t="s">
        <v>3886</v>
      </c>
      <c r="O340" s="873" t="s">
        <v>3976</v>
      </c>
      <c r="P340" s="874">
        <v>30</v>
      </c>
      <c r="Q340" s="874">
        <v>11</v>
      </c>
      <c r="R340" s="875">
        <v>0</v>
      </c>
      <c r="S340" s="876">
        <v>30</v>
      </c>
      <c r="T340" s="876">
        <v>11</v>
      </c>
      <c r="U340" s="877">
        <v>0</v>
      </c>
      <c r="W340" s="877">
        <v>0</v>
      </c>
    </row>
    <row r="341" spans="1:23" ht="36" x14ac:dyDescent="0.2">
      <c r="A341" s="812" t="s">
        <v>3971</v>
      </c>
      <c r="B341" s="866" t="s">
        <v>3972</v>
      </c>
      <c r="C341" s="866" t="s">
        <v>3860</v>
      </c>
      <c r="D341" s="867" t="s">
        <v>2412</v>
      </c>
      <c r="E341" s="868">
        <v>45452.916666666664</v>
      </c>
      <c r="F341" s="868">
        <v>45700.958333333336</v>
      </c>
      <c r="G341" s="867" t="s">
        <v>1741</v>
      </c>
      <c r="H341" s="867" t="s">
        <v>1751</v>
      </c>
      <c r="I341" s="867" t="s">
        <v>2413</v>
      </c>
      <c r="J341" s="867" t="s">
        <v>2414</v>
      </c>
      <c r="K341" s="867" t="s">
        <v>1804</v>
      </c>
      <c r="L341" s="867" t="s">
        <v>2415</v>
      </c>
      <c r="M341" s="867" t="s">
        <v>2399</v>
      </c>
      <c r="N341" s="867" t="s">
        <v>3978</v>
      </c>
      <c r="O341" s="867" t="s">
        <v>3979</v>
      </c>
      <c r="P341" s="869">
        <v>1</v>
      </c>
      <c r="Q341" s="869">
        <v>0</v>
      </c>
      <c r="R341" s="870">
        <v>0</v>
      </c>
      <c r="S341" s="871">
        <v>1</v>
      </c>
      <c r="T341" s="871">
        <v>0</v>
      </c>
      <c r="U341" s="872">
        <v>0</v>
      </c>
      <c r="W341" s="872">
        <v>0</v>
      </c>
    </row>
    <row r="342" spans="1:23" ht="36" x14ac:dyDescent="0.2">
      <c r="A342" s="812" t="s">
        <v>3971</v>
      </c>
      <c r="B342" s="866" t="s">
        <v>3972</v>
      </c>
      <c r="C342" s="866" t="s">
        <v>3860</v>
      </c>
      <c r="D342" s="867" t="s">
        <v>2416</v>
      </c>
      <c r="E342" s="868">
        <v>45429</v>
      </c>
      <c r="F342" s="868">
        <v>45689</v>
      </c>
      <c r="G342" s="867" t="s">
        <v>1758</v>
      </c>
      <c r="H342" s="867" t="s">
        <v>1759</v>
      </c>
      <c r="I342" s="867" t="s">
        <v>1823</v>
      </c>
      <c r="J342" s="867" t="s">
        <v>2417</v>
      </c>
      <c r="K342" s="867" t="s">
        <v>1804</v>
      </c>
      <c r="L342" s="867" t="s">
        <v>1819</v>
      </c>
      <c r="M342" s="867" t="s">
        <v>2398</v>
      </c>
      <c r="N342" s="867" t="s">
        <v>3886</v>
      </c>
      <c r="O342" s="873" t="s">
        <v>3977</v>
      </c>
      <c r="P342" s="874">
        <v>13</v>
      </c>
      <c r="Q342" s="874">
        <v>13</v>
      </c>
      <c r="R342" s="875">
        <v>0</v>
      </c>
      <c r="S342" s="876">
        <v>13</v>
      </c>
      <c r="T342" s="876">
        <v>13</v>
      </c>
      <c r="U342" s="877">
        <v>0</v>
      </c>
      <c r="W342" s="877">
        <v>0</v>
      </c>
    </row>
    <row r="343" spans="1:23" ht="36" x14ac:dyDescent="0.2">
      <c r="A343" s="812" t="s">
        <v>3971</v>
      </c>
      <c r="B343" s="866" t="s">
        <v>3972</v>
      </c>
      <c r="C343" s="866" t="s">
        <v>3860</v>
      </c>
      <c r="D343" s="1438" t="s">
        <v>2418</v>
      </c>
      <c r="E343" s="1441">
        <v>45567.229085648149</v>
      </c>
      <c r="F343" s="1441">
        <v>46022.958321759259</v>
      </c>
      <c r="G343" s="1438" t="s">
        <v>1758</v>
      </c>
      <c r="H343" s="1438" t="s">
        <v>1759</v>
      </c>
      <c r="I343" s="1438" t="s">
        <v>1761</v>
      </c>
      <c r="J343" s="1438" t="s">
        <v>2419</v>
      </c>
      <c r="K343" s="1438" t="s">
        <v>1804</v>
      </c>
      <c r="L343" s="1438" t="s">
        <v>1828</v>
      </c>
      <c r="M343" s="867" t="s">
        <v>2395</v>
      </c>
      <c r="N343" s="867" t="s">
        <v>3973</v>
      </c>
      <c r="O343" s="867" t="s">
        <v>3974</v>
      </c>
      <c r="P343" s="869">
        <v>9</v>
      </c>
      <c r="Q343" s="869">
        <v>9</v>
      </c>
      <c r="R343" s="870">
        <v>0</v>
      </c>
      <c r="S343" s="871">
        <v>9</v>
      </c>
      <c r="T343" s="871">
        <v>9</v>
      </c>
      <c r="U343" s="872">
        <v>0</v>
      </c>
      <c r="W343" s="872">
        <v>0</v>
      </c>
    </row>
    <row r="344" spans="1:23" ht="36" x14ac:dyDescent="0.2">
      <c r="A344" s="812" t="s">
        <v>3971</v>
      </c>
      <c r="B344" s="866" t="s">
        <v>3972</v>
      </c>
      <c r="C344" s="866" t="s">
        <v>3860</v>
      </c>
      <c r="D344" s="1440"/>
      <c r="E344" s="1443"/>
      <c r="F344" s="1443"/>
      <c r="G344" s="1440"/>
      <c r="H344" s="1440"/>
      <c r="I344" s="1440"/>
      <c r="J344" s="1440"/>
      <c r="K344" s="1440"/>
      <c r="L344" s="1440"/>
      <c r="M344" s="867" t="s">
        <v>2396</v>
      </c>
      <c r="N344" s="867" t="s">
        <v>3879</v>
      </c>
      <c r="O344" s="873" t="s">
        <v>3975</v>
      </c>
      <c r="P344" s="874">
        <v>9</v>
      </c>
      <c r="Q344" s="874">
        <v>9</v>
      </c>
      <c r="R344" s="875">
        <v>0</v>
      </c>
      <c r="S344" s="876">
        <v>9</v>
      </c>
      <c r="T344" s="876">
        <v>9</v>
      </c>
      <c r="U344" s="877">
        <v>0</v>
      </c>
      <c r="W344" s="877">
        <v>0</v>
      </c>
    </row>
    <row r="345" spans="1:23" ht="36" x14ac:dyDescent="0.2">
      <c r="A345" s="812" t="s">
        <v>3971</v>
      </c>
      <c r="B345" s="866" t="s">
        <v>3972</v>
      </c>
      <c r="C345" s="866" t="s">
        <v>3860</v>
      </c>
      <c r="D345" s="867" t="s">
        <v>2420</v>
      </c>
      <c r="E345" s="868">
        <v>45588.447847222225</v>
      </c>
      <c r="F345" s="868">
        <v>45930.916655092595</v>
      </c>
      <c r="G345" s="867" t="s">
        <v>1758</v>
      </c>
      <c r="H345" s="867" t="s">
        <v>1759</v>
      </c>
      <c r="I345" s="867" t="s">
        <v>1762</v>
      </c>
      <c r="J345" s="867" t="s">
        <v>2421</v>
      </c>
      <c r="K345" s="867" t="s">
        <v>1804</v>
      </c>
      <c r="L345" s="867" t="s">
        <v>1828</v>
      </c>
      <c r="M345" s="867" t="s">
        <v>2398</v>
      </c>
      <c r="N345" s="867" t="s">
        <v>3886</v>
      </c>
      <c r="O345" s="867" t="s">
        <v>3977</v>
      </c>
      <c r="P345" s="869">
        <v>19</v>
      </c>
      <c r="Q345" s="869">
        <v>19</v>
      </c>
      <c r="R345" s="870">
        <v>0</v>
      </c>
      <c r="S345" s="871">
        <v>19</v>
      </c>
      <c r="T345" s="871">
        <v>19</v>
      </c>
      <c r="U345" s="872">
        <v>0</v>
      </c>
      <c r="W345" s="872">
        <v>0</v>
      </c>
    </row>
    <row r="346" spans="1:23" ht="36" x14ac:dyDescent="0.2">
      <c r="A346" s="812" t="s">
        <v>3971</v>
      </c>
      <c r="B346" s="866" t="s">
        <v>3972</v>
      </c>
      <c r="C346" s="866" t="s">
        <v>3860</v>
      </c>
      <c r="D346" s="1438" t="s">
        <v>2422</v>
      </c>
      <c r="E346" s="1441">
        <v>45553.360405092593</v>
      </c>
      <c r="F346" s="1441">
        <v>45918.916655092595</v>
      </c>
      <c r="G346" s="1438" t="s">
        <v>1758</v>
      </c>
      <c r="H346" s="1438" t="s">
        <v>1759</v>
      </c>
      <c r="I346" s="1438" t="s">
        <v>1761</v>
      </c>
      <c r="J346" s="1438" t="s">
        <v>2423</v>
      </c>
      <c r="K346" s="1438" t="s">
        <v>1804</v>
      </c>
      <c r="L346" s="1438" t="s">
        <v>1828</v>
      </c>
      <c r="M346" s="867" t="s">
        <v>2395</v>
      </c>
      <c r="N346" s="867" t="s">
        <v>3973</v>
      </c>
      <c r="O346" s="873" t="s">
        <v>3974</v>
      </c>
      <c r="P346" s="874">
        <v>11</v>
      </c>
      <c r="Q346" s="874">
        <v>7</v>
      </c>
      <c r="R346" s="875">
        <v>0</v>
      </c>
      <c r="S346" s="876">
        <v>11</v>
      </c>
      <c r="T346" s="876">
        <v>7</v>
      </c>
      <c r="U346" s="877">
        <v>0</v>
      </c>
      <c r="W346" s="877">
        <v>0</v>
      </c>
    </row>
    <row r="347" spans="1:23" ht="36" x14ac:dyDescent="0.2">
      <c r="A347" s="812" t="s">
        <v>3971</v>
      </c>
      <c r="B347" s="866" t="s">
        <v>3972</v>
      </c>
      <c r="C347" s="866" t="s">
        <v>3860</v>
      </c>
      <c r="D347" s="1440"/>
      <c r="E347" s="1443"/>
      <c r="F347" s="1443"/>
      <c r="G347" s="1440"/>
      <c r="H347" s="1440"/>
      <c r="I347" s="1440"/>
      <c r="J347" s="1440"/>
      <c r="K347" s="1440"/>
      <c r="L347" s="1440"/>
      <c r="M347" s="867" t="s">
        <v>2396</v>
      </c>
      <c r="N347" s="867" t="s">
        <v>3879</v>
      </c>
      <c r="O347" s="867" t="s">
        <v>3975</v>
      </c>
      <c r="P347" s="869">
        <v>11</v>
      </c>
      <c r="Q347" s="869">
        <v>7</v>
      </c>
      <c r="R347" s="870">
        <v>0</v>
      </c>
      <c r="S347" s="871">
        <v>11</v>
      </c>
      <c r="T347" s="871">
        <v>7</v>
      </c>
      <c r="U347" s="872">
        <v>0</v>
      </c>
      <c r="W347" s="872">
        <v>0</v>
      </c>
    </row>
    <row r="348" spans="1:23" ht="36" x14ac:dyDescent="0.2">
      <c r="A348" s="812" t="s">
        <v>3971</v>
      </c>
      <c r="B348" s="866" t="s">
        <v>3972</v>
      </c>
      <c r="C348" s="866" t="s">
        <v>3860</v>
      </c>
      <c r="D348" s="867" t="s">
        <v>2424</v>
      </c>
      <c r="E348" s="868">
        <v>45544.279733796298</v>
      </c>
      <c r="F348" s="868">
        <v>45688.958321759259</v>
      </c>
      <c r="G348" s="867" t="s">
        <v>1741</v>
      </c>
      <c r="H348" s="867" t="s">
        <v>1749</v>
      </c>
      <c r="I348" s="867" t="s">
        <v>1749</v>
      </c>
      <c r="J348" s="867" t="s">
        <v>2425</v>
      </c>
      <c r="K348" s="867" t="s">
        <v>1804</v>
      </c>
      <c r="L348" s="867" t="s">
        <v>1869</v>
      </c>
      <c r="M348" s="867" t="s">
        <v>2400</v>
      </c>
      <c r="N348" s="867" t="s">
        <v>3980</v>
      </c>
      <c r="O348" s="873" t="s">
        <v>3981</v>
      </c>
      <c r="P348" s="874">
        <v>13</v>
      </c>
      <c r="Q348" s="874">
        <v>13</v>
      </c>
      <c r="R348" s="875">
        <v>5</v>
      </c>
      <c r="S348" s="876">
        <v>13</v>
      </c>
      <c r="T348" s="876">
        <v>13</v>
      </c>
      <c r="U348" s="877">
        <v>5</v>
      </c>
      <c r="W348" s="877">
        <v>5</v>
      </c>
    </row>
    <row r="349" spans="1:23" ht="48" x14ac:dyDescent="0.2">
      <c r="A349" s="812" t="s">
        <v>3971</v>
      </c>
      <c r="B349" s="866" t="s">
        <v>3972</v>
      </c>
      <c r="C349" s="866" t="s">
        <v>3860</v>
      </c>
      <c r="D349" s="867" t="s">
        <v>2426</v>
      </c>
      <c r="E349" s="868">
        <v>45546.382569444446</v>
      </c>
      <c r="F349" s="868">
        <v>45808.916655092595</v>
      </c>
      <c r="G349" s="867" t="s">
        <v>1758</v>
      </c>
      <c r="H349" s="867" t="s">
        <v>1759</v>
      </c>
      <c r="I349" s="867" t="s">
        <v>1760</v>
      </c>
      <c r="J349" s="867" t="s">
        <v>2427</v>
      </c>
      <c r="K349" s="867" t="s">
        <v>1804</v>
      </c>
      <c r="L349" s="867" t="s">
        <v>1805</v>
      </c>
      <c r="M349" s="867" t="s">
        <v>2398</v>
      </c>
      <c r="N349" s="867" t="s">
        <v>3886</v>
      </c>
      <c r="O349" s="867" t="s">
        <v>3977</v>
      </c>
      <c r="P349" s="869">
        <v>27</v>
      </c>
      <c r="Q349" s="869">
        <v>15</v>
      </c>
      <c r="R349" s="870">
        <v>1</v>
      </c>
      <c r="S349" s="871">
        <v>27</v>
      </c>
      <c r="T349" s="871">
        <v>15</v>
      </c>
      <c r="U349" s="872">
        <v>1</v>
      </c>
      <c r="W349" s="872">
        <v>1</v>
      </c>
    </row>
    <row r="350" spans="1:23" ht="36" x14ac:dyDescent="0.2">
      <c r="A350" s="812" t="s">
        <v>3971</v>
      </c>
      <c r="B350" s="866" t="s">
        <v>3972</v>
      </c>
      <c r="C350" s="866" t="s">
        <v>3860</v>
      </c>
      <c r="D350" s="867" t="s">
        <v>2428</v>
      </c>
      <c r="E350" s="868">
        <v>45535.587442129632</v>
      </c>
      <c r="F350" s="868">
        <v>45899.916655092595</v>
      </c>
      <c r="G350" s="867" t="s">
        <v>1772</v>
      </c>
      <c r="H350" s="867" t="s">
        <v>1782</v>
      </c>
      <c r="I350" s="867" t="s">
        <v>2429</v>
      </c>
      <c r="J350" s="867" t="s">
        <v>2430</v>
      </c>
      <c r="K350" s="867" t="s">
        <v>1804</v>
      </c>
      <c r="L350" s="867" t="s">
        <v>1805</v>
      </c>
      <c r="M350" s="867" t="s">
        <v>2399</v>
      </c>
      <c r="N350" s="867" t="s">
        <v>3978</v>
      </c>
      <c r="O350" s="873" t="s">
        <v>3979</v>
      </c>
      <c r="P350" s="874">
        <v>1</v>
      </c>
      <c r="Q350" s="874">
        <v>1</v>
      </c>
      <c r="R350" s="875">
        <v>0</v>
      </c>
      <c r="S350" s="876">
        <v>1</v>
      </c>
      <c r="T350" s="876">
        <v>1</v>
      </c>
      <c r="U350" s="877">
        <v>0</v>
      </c>
      <c r="W350" s="877">
        <v>0</v>
      </c>
    </row>
    <row r="351" spans="1:23" ht="36" x14ac:dyDescent="0.2">
      <c r="A351" s="812" t="s">
        <v>3971</v>
      </c>
      <c r="B351" s="866" t="s">
        <v>3972</v>
      </c>
      <c r="C351" s="866" t="s">
        <v>3860</v>
      </c>
      <c r="D351" s="867" t="s">
        <v>2431</v>
      </c>
      <c r="E351" s="868">
        <v>45548.335925925923</v>
      </c>
      <c r="F351" s="868">
        <v>45808.916655092595</v>
      </c>
      <c r="G351" s="867" t="s">
        <v>1758</v>
      </c>
      <c r="H351" s="867" t="s">
        <v>1759</v>
      </c>
      <c r="I351" s="867" t="s">
        <v>1762</v>
      </c>
      <c r="J351" s="867" t="s">
        <v>2432</v>
      </c>
      <c r="K351" s="867" t="s">
        <v>1804</v>
      </c>
      <c r="L351" s="867" t="s">
        <v>1828</v>
      </c>
      <c r="M351" s="867" t="s">
        <v>2398</v>
      </c>
      <c r="N351" s="867" t="s">
        <v>3886</v>
      </c>
      <c r="O351" s="867" t="s">
        <v>3977</v>
      </c>
      <c r="P351" s="869">
        <v>10</v>
      </c>
      <c r="Q351" s="869">
        <v>10</v>
      </c>
      <c r="R351" s="870">
        <v>0</v>
      </c>
      <c r="S351" s="871">
        <v>10</v>
      </c>
      <c r="T351" s="871">
        <v>10</v>
      </c>
      <c r="U351" s="872">
        <v>0</v>
      </c>
      <c r="W351" s="872">
        <v>0</v>
      </c>
    </row>
    <row r="352" spans="1:23" ht="36" x14ac:dyDescent="0.2">
      <c r="A352" s="812" t="s">
        <v>3971</v>
      </c>
      <c r="B352" s="866" t="s">
        <v>3972</v>
      </c>
      <c r="C352" s="866" t="s">
        <v>3860</v>
      </c>
      <c r="D352" s="1438" t="s">
        <v>2433</v>
      </c>
      <c r="E352" s="1441">
        <v>45567.32571759259</v>
      </c>
      <c r="F352" s="1441">
        <v>46022.958321759259</v>
      </c>
      <c r="G352" s="1438" t="s">
        <v>1758</v>
      </c>
      <c r="H352" s="1438" t="s">
        <v>1759</v>
      </c>
      <c r="I352" s="1438" t="s">
        <v>1761</v>
      </c>
      <c r="J352" s="1438" t="s">
        <v>2434</v>
      </c>
      <c r="K352" s="1438" t="s">
        <v>1804</v>
      </c>
      <c r="L352" s="1438" t="s">
        <v>1828</v>
      </c>
      <c r="M352" s="867" t="s">
        <v>2395</v>
      </c>
      <c r="N352" s="867" t="s">
        <v>3973</v>
      </c>
      <c r="O352" s="873" t="s">
        <v>3974</v>
      </c>
      <c r="P352" s="874">
        <v>12</v>
      </c>
      <c r="Q352" s="874">
        <v>11</v>
      </c>
      <c r="R352" s="875">
        <v>0</v>
      </c>
      <c r="S352" s="876">
        <v>12</v>
      </c>
      <c r="T352" s="876">
        <v>11</v>
      </c>
      <c r="U352" s="877">
        <v>0</v>
      </c>
      <c r="W352" s="877">
        <v>0</v>
      </c>
    </row>
    <row r="353" spans="1:23" ht="36" x14ac:dyDescent="0.2">
      <c r="A353" s="812" t="s">
        <v>3971</v>
      </c>
      <c r="B353" s="866" t="s">
        <v>3972</v>
      </c>
      <c r="C353" s="866" t="s">
        <v>3860</v>
      </c>
      <c r="D353" s="1440"/>
      <c r="E353" s="1443"/>
      <c r="F353" s="1443"/>
      <c r="G353" s="1440"/>
      <c r="H353" s="1440"/>
      <c r="I353" s="1440"/>
      <c r="J353" s="1440"/>
      <c r="K353" s="1440"/>
      <c r="L353" s="1440"/>
      <c r="M353" s="867" t="s">
        <v>2396</v>
      </c>
      <c r="N353" s="867" t="s">
        <v>3879</v>
      </c>
      <c r="O353" s="867" t="s">
        <v>3975</v>
      </c>
      <c r="P353" s="869">
        <v>12</v>
      </c>
      <c r="Q353" s="869">
        <v>11</v>
      </c>
      <c r="R353" s="870">
        <v>0</v>
      </c>
      <c r="S353" s="871">
        <v>12</v>
      </c>
      <c r="T353" s="871">
        <v>11</v>
      </c>
      <c r="U353" s="872">
        <v>0</v>
      </c>
      <c r="W353" s="872">
        <v>0</v>
      </c>
    </row>
    <row r="354" spans="1:23" ht="36" x14ac:dyDescent="0.2">
      <c r="A354" s="812" t="s">
        <v>3971</v>
      </c>
      <c r="B354" s="866" t="s">
        <v>3972</v>
      </c>
      <c r="C354" s="866" t="s">
        <v>3860</v>
      </c>
      <c r="D354" s="867" t="s">
        <v>2435</v>
      </c>
      <c r="E354" s="868">
        <v>45590.216631944444</v>
      </c>
      <c r="F354" s="868">
        <v>45839.916655092595</v>
      </c>
      <c r="G354" s="867" t="s">
        <v>1758</v>
      </c>
      <c r="H354" s="867" t="s">
        <v>1759</v>
      </c>
      <c r="I354" s="867" t="s">
        <v>1761</v>
      </c>
      <c r="J354" s="867" t="s">
        <v>2436</v>
      </c>
      <c r="K354" s="867" t="s">
        <v>1804</v>
      </c>
      <c r="L354" s="867" t="s">
        <v>1828</v>
      </c>
      <c r="M354" s="867" t="s">
        <v>2398</v>
      </c>
      <c r="N354" s="867" t="s">
        <v>3886</v>
      </c>
      <c r="O354" s="873" t="s">
        <v>3977</v>
      </c>
      <c r="P354" s="874">
        <v>24</v>
      </c>
      <c r="Q354" s="874">
        <v>24</v>
      </c>
      <c r="R354" s="875">
        <v>0</v>
      </c>
      <c r="S354" s="876">
        <v>24</v>
      </c>
      <c r="T354" s="876">
        <v>24</v>
      </c>
      <c r="U354" s="877">
        <v>0</v>
      </c>
      <c r="W354" s="877">
        <v>0</v>
      </c>
    </row>
    <row r="355" spans="1:23" ht="36" x14ac:dyDescent="0.2">
      <c r="A355" s="812" t="s">
        <v>3971</v>
      </c>
      <c r="B355" s="866" t="s">
        <v>3972</v>
      </c>
      <c r="C355" s="866" t="s">
        <v>3860</v>
      </c>
      <c r="D355" s="867" t="s">
        <v>2437</v>
      </c>
      <c r="E355" s="868">
        <v>45630.834039351852</v>
      </c>
      <c r="F355" s="868">
        <v>45660.958321759259</v>
      </c>
      <c r="G355" s="867" t="s">
        <v>1767</v>
      </c>
      <c r="H355" s="867" t="s">
        <v>1765</v>
      </c>
      <c r="I355" s="867" t="s">
        <v>2438</v>
      </c>
      <c r="J355" s="867" t="s">
        <v>2438</v>
      </c>
      <c r="K355" s="867" t="s">
        <v>1804</v>
      </c>
      <c r="L355" s="867" t="s">
        <v>1805</v>
      </c>
      <c r="M355" s="867" t="s">
        <v>2399</v>
      </c>
      <c r="N355" s="867" t="s">
        <v>3978</v>
      </c>
      <c r="O355" s="867" t="s">
        <v>3979</v>
      </c>
      <c r="P355" s="869">
        <v>1</v>
      </c>
      <c r="Q355" s="869">
        <v>1</v>
      </c>
      <c r="R355" s="870">
        <v>0</v>
      </c>
      <c r="S355" s="871">
        <v>1</v>
      </c>
      <c r="T355" s="871">
        <v>1</v>
      </c>
      <c r="U355" s="872">
        <v>0</v>
      </c>
      <c r="W355" s="872">
        <v>0</v>
      </c>
    </row>
    <row r="356" spans="1:23" ht="36" x14ac:dyDescent="0.2">
      <c r="A356" s="812" t="s">
        <v>3971</v>
      </c>
      <c r="B356" s="866" t="s">
        <v>3972</v>
      </c>
      <c r="C356" s="866" t="s">
        <v>3860</v>
      </c>
      <c r="D356" s="867" t="s">
        <v>2439</v>
      </c>
      <c r="E356" s="868">
        <v>45548.371550925927</v>
      </c>
      <c r="F356" s="868">
        <v>45808.916655092595</v>
      </c>
      <c r="G356" s="867" t="s">
        <v>1767</v>
      </c>
      <c r="H356" s="867" t="s">
        <v>1765</v>
      </c>
      <c r="I356" s="867" t="s">
        <v>1769</v>
      </c>
      <c r="J356" s="867" t="s">
        <v>2440</v>
      </c>
      <c r="K356" s="867" t="s">
        <v>1804</v>
      </c>
      <c r="L356" s="867" t="s">
        <v>2097</v>
      </c>
      <c r="M356" s="867" t="s">
        <v>2398</v>
      </c>
      <c r="N356" s="867" t="s">
        <v>3886</v>
      </c>
      <c r="O356" s="873" t="s">
        <v>3977</v>
      </c>
      <c r="P356" s="874">
        <v>15</v>
      </c>
      <c r="Q356" s="874">
        <v>15</v>
      </c>
      <c r="R356" s="875">
        <v>4</v>
      </c>
      <c r="S356" s="876">
        <v>15</v>
      </c>
      <c r="T356" s="876">
        <v>15</v>
      </c>
      <c r="U356" s="877">
        <v>4</v>
      </c>
      <c r="W356" s="877">
        <v>4</v>
      </c>
    </row>
    <row r="357" spans="1:23" ht="36" x14ac:dyDescent="0.2">
      <c r="A357" s="812" t="s">
        <v>3971</v>
      </c>
      <c r="B357" s="866" t="s">
        <v>3972</v>
      </c>
      <c r="C357" s="866" t="s">
        <v>3860</v>
      </c>
      <c r="D357" s="867" t="s">
        <v>2441</v>
      </c>
      <c r="E357" s="868">
        <v>45575.34479166667</v>
      </c>
      <c r="F357" s="868">
        <v>45900.916655092595</v>
      </c>
      <c r="G357" s="867" t="s">
        <v>1758</v>
      </c>
      <c r="H357" s="867" t="s">
        <v>1759</v>
      </c>
      <c r="I357" s="867" t="s">
        <v>1761</v>
      </c>
      <c r="J357" s="867" t="s">
        <v>2442</v>
      </c>
      <c r="K357" s="867" t="s">
        <v>1804</v>
      </c>
      <c r="L357" s="867" t="s">
        <v>1828</v>
      </c>
      <c r="M357" s="867" t="s">
        <v>2395</v>
      </c>
      <c r="N357" s="867" t="s">
        <v>3973</v>
      </c>
      <c r="O357" s="867" t="s">
        <v>3974</v>
      </c>
      <c r="P357" s="869">
        <v>7</v>
      </c>
      <c r="Q357" s="869">
        <v>4</v>
      </c>
      <c r="R357" s="870">
        <v>0</v>
      </c>
      <c r="S357" s="871">
        <v>7</v>
      </c>
      <c r="T357" s="871">
        <v>4</v>
      </c>
      <c r="U357" s="872">
        <v>0</v>
      </c>
      <c r="W357" s="872">
        <v>0</v>
      </c>
    </row>
    <row r="358" spans="1:23" ht="36" x14ac:dyDescent="0.2">
      <c r="A358" s="812" t="s">
        <v>3971</v>
      </c>
      <c r="B358" s="866" t="s">
        <v>3972</v>
      </c>
      <c r="C358" s="866" t="s">
        <v>3860</v>
      </c>
      <c r="D358" s="867" t="s">
        <v>2443</v>
      </c>
      <c r="E358" s="868">
        <v>45548.658518518518</v>
      </c>
      <c r="F358" s="868">
        <v>45912.916655092595</v>
      </c>
      <c r="G358" s="867" t="s">
        <v>1741</v>
      </c>
      <c r="H358" s="867" t="s">
        <v>1752</v>
      </c>
      <c r="I358" s="867" t="s">
        <v>1753</v>
      </c>
      <c r="J358" s="867" t="s">
        <v>1753</v>
      </c>
      <c r="K358" s="867" t="s">
        <v>1804</v>
      </c>
      <c r="L358" s="867" t="s">
        <v>1805</v>
      </c>
      <c r="M358" s="867" t="s">
        <v>2398</v>
      </c>
      <c r="N358" s="867" t="s">
        <v>3886</v>
      </c>
      <c r="O358" s="873" t="s">
        <v>3977</v>
      </c>
      <c r="P358" s="874">
        <v>1</v>
      </c>
      <c r="Q358" s="874">
        <v>0</v>
      </c>
      <c r="R358" s="875">
        <v>0</v>
      </c>
      <c r="S358" s="876">
        <v>1</v>
      </c>
      <c r="T358" s="876">
        <v>0</v>
      </c>
      <c r="U358" s="877">
        <v>0</v>
      </c>
      <c r="W358" s="877">
        <v>0</v>
      </c>
    </row>
    <row r="359" spans="1:23" ht="36" x14ac:dyDescent="0.2">
      <c r="A359" s="812" t="s">
        <v>3971</v>
      </c>
      <c r="B359" s="866" t="s">
        <v>3972</v>
      </c>
      <c r="C359" s="866" t="s">
        <v>3860</v>
      </c>
      <c r="D359" s="867" t="s">
        <v>2444</v>
      </c>
      <c r="E359" s="868">
        <v>45588.445451388892</v>
      </c>
      <c r="F359" s="868">
        <v>45900.916655092595</v>
      </c>
      <c r="G359" s="867" t="s">
        <v>1758</v>
      </c>
      <c r="H359" s="867" t="s">
        <v>1759</v>
      </c>
      <c r="I359" s="867" t="s">
        <v>1761</v>
      </c>
      <c r="J359" s="867" t="s">
        <v>2445</v>
      </c>
      <c r="K359" s="867" t="s">
        <v>1804</v>
      </c>
      <c r="L359" s="867" t="s">
        <v>1828</v>
      </c>
      <c r="M359" s="867" t="s">
        <v>2398</v>
      </c>
      <c r="N359" s="867" t="s">
        <v>3886</v>
      </c>
      <c r="O359" s="867" t="s">
        <v>3977</v>
      </c>
      <c r="P359" s="869">
        <v>23</v>
      </c>
      <c r="Q359" s="869">
        <v>23</v>
      </c>
      <c r="R359" s="870">
        <v>0</v>
      </c>
      <c r="S359" s="871">
        <v>23</v>
      </c>
      <c r="T359" s="871">
        <v>23</v>
      </c>
      <c r="U359" s="872">
        <v>0</v>
      </c>
      <c r="W359" s="872">
        <v>0</v>
      </c>
    </row>
    <row r="360" spans="1:23" ht="36" x14ac:dyDescent="0.2">
      <c r="A360" s="812" t="s">
        <v>3971</v>
      </c>
      <c r="B360" s="866" t="s">
        <v>3972</v>
      </c>
      <c r="C360" s="866" t="s">
        <v>3860</v>
      </c>
      <c r="D360" s="867" t="s">
        <v>2446</v>
      </c>
      <c r="E360" s="868">
        <v>45548.333055555559</v>
      </c>
      <c r="F360" s="868">
        <v>45808.916655092595</v>
      </c>
      <c r="G360" s="867" t="s">
        <v>1758</v>
      </c>
      <c r="H360" s="867" t="s">
        <v>1759</v>
      </c>
      <c r="I360" s="867" t="s">
        <v>1761</v>
      </c>
      <c r="J360" s="867" t="s">
        <v>2447</v>
      </c>
      <c r="K360" s="867" t="s">
        <v>1804</v>
      </c>
      <c r="L360" s="867" t="s">
        <v>1828</v>
      </c>
      <c r="M360" s="867" t="s">
        <v>2398</v>
      </c>
      <c r="N360" s="867" t="s">
        <v>3886</v>
      </c>
      <c r="O360" s="873" t="s">
        <v>3977</v>
      </c>
      <c r="P360" s="874">
        <v>10</v>
      </c>
      <c r="Q360" s="874">
        <v>10</v>
      </c>
      <c r="R360" s="875">
        <v>0</v>
      </c>
      <c r="S360" s="876">
        <v>10</v>
      </c>
      <c r="T360" s="876">
        <v>10</v>
      </c>
      <c r="U360" s="877">
        <v>0</v>
      </c>
      <c r="W360" s="877">
        <v>0</v>
      </c>
    </row>
    <row r="361" spans="1:23" ht="36" x14ac:dyDescent="0.2">
      <c r="A361" s="812" t="s">
        <v>3971</v>
      </c>
      <c r="B361" s="866" t="s">
        <v>3972</v>
      </c>
      <c r="C361" s="866" t="s">
        <v>3860</v>
      </c>
      <c r="D361" s="867" t="s">
        <v>2448</v>
      </c>
      <c r="E361" s="868">
        <v>45531.659178240741</v>
      </c>
      <c r="F361" s="868">
        <v>45864.916655092595</v>
      </c>
      <c r="G361" s="867" t="s">
        <v>1777</v>
      </c>
      <c r="H361" s="867" t="s">
        <v>1779</v>
      </c>
      <c r="I361" s="867" t="s">
        <v>1780</v>
      </c>
      <c r="J361" s="867" t="s">
        <v>1780</v>
      </c>
      <c r="K361" s="867" t="s">
        <v>1804</v>
      </c>
      <c r="L361" s="867" t="s">
        <v>1805</v>
      </c>
      <c r="M361" s="867" t="s">
        <v>2399</v>
      </c>
      <c r="N361" s="867" t="s">
        <v>3978</v>
      </c>
      <c r="O361" s="867" t="s">
        <v>3979</v>
      </c>
      <c r="P361" s="869">
        <v>1</v>
      </c>
      <c r="Q361" s="869">
        <v>1</v>
      </c>
      <c r="R361" s="870">
        <v>0</v>
      </c>
      <c r="S361" s="871">
        <v>1</v>
      </c>
      <c r="T361" s="871">
        <v>1</v>
      </c>
      <c r="U361" s="872">
        <v>0</v>
      </c>
      <c r="W361" s="872">
        <v>0</v>
      </c>
    </row>
    <row r="362" spans="1:23" ht="36" x14ac:dyDescent="0.2">
      <c r="A362" s="812" t="s">
        <v>3971</v>
      </c>
      <c r="B362" s="866" t="s">
        <v>3972</v>
      </c>
      <c r="C362" s="866" t="s">
        <v>3860</v>
      </c>
      <c r="D362" s="867" t="s">
        <v>2449</v>
      </c>
      <c r="E362" s="868">
        <v>45630.831585648149</v>
      </c>
      <c r="F362" s="868">
        <v>45660.958321759259</v>
      </c>
      <c r="G362" s="867" t="s">
        <v>1741</v>
      </c>
      <c r="H362" s="867" t="s">
        <v>1752</v>
      </c>
      <c r="I362" s="867" t="s">
        <v>1754</v>
      </c>
      <c r="J362" s="867" t="s">
        <v>1754</v>
      </c>
      <c r="K362" s="867" t="s">
        <v>1804</v>
      </c>
      <c r="L362" s="867" t="s">
        <v>1930</v>
      </c>
      <c r="M362" s="867" t="s">
        <v>2399</v>
      </c>
      <c r="N362" s="867" t="s">
        <v>3978</v>
      </c>
      <c r="O362" s="873" t="s">
        <v>3979</v>
      </c>
      <c r="P362" s="874">
        <v>1</v>
      </c>
      <c r="Q362" s="874">
        <v>0</v>
      </c>
      <c r="R362" s="875">
        <v>0</v>
      </c>
      <c r="S362" s="876">
        <v>1</v>
      </c>
      <c r="T362" s="876">
        <v>0</v>
      </c>
      <c r="U362" s="877">
        <v>0</v>
      </c>
      <c r="W362" s="877">
        <v>0</v>
      </c>
    </row>
    <row r="363" spans="1:23" ht="36" x14ac:dyDescent="0.2">
      <c r="A363" s="812" t="s">
        <v>3971</v>
      </c>
      <c r="B363" s="866" t="s">
        <v>3972</v>
      </c>
      <c r="C363" s="866" t="s">
        <v>3860</v>
      </c>
      <c r="D363" s="867" t="s">
        <v>2450</v>
      </c>
      <c r="E363" s="868">
        <v>45531.665509259263</v>
      </c>
      <c r="F363" s="868">
        <v>45895.916655092595</v>
      </c>
      <c r="G363" s="867" t="s">
        <v>1758</v>
      </c>
      <c r="H363" s="867" t="s">
        <v>1759</v>
      </c>
      <c r="I363" s="867" t="s">
        <v>1761</v>
      </c>
      <c r="J363" s="867" t="s">
        <v>1761</v>
      </c>
      <c r="K363" s="867" t="s">
        <v>1804</v>
      </c>
      <c r="L363" s="867" t="s">
        <v>1828</v>
      </c>
      <c r="M363" s="867" t="s">
        <v>2399</v>
      </c>
      <c r="N363" s="867" t="s">
        <v>3978</v>
      </c>
      <c r="O363" s="867" t="s">
        <v>3979</v>
      </c>
      <c r="P363" s="869">
        <v>2</v>
      </c>
      <c r="Q363" s="869">
        <v>1</v>
      </c>
      <c r="R363" s="870">
        <v>0</v>
      </c>
      <c r="S363" s="871">
        <v>2</v>
      </c>
      <c r="T363" s="871">
        <v>1</v>
      </c>
      <c r="U363" s="872">
        <v>0</v>
      </c>
      <c r="W363" s="872">
        <v>0</v>
      </c>
    </row>
    <row r="364" spans="1:23" ht="36" x14ac:dyDescent="0.2">
      <c r="A364" s="812" t="s">
        <v>3971</v>
      </c>
      <c r="B364" s="866" t="s">
        <v>3972</v>
      </c>
      <c r="C364" s="866" t="s">
        <v>3860</v>
      </c>
      <c r="D364" s="867" t="s">
        <v>2451</v>
      </c>
      <c r="E364" s="868">
        <v>45553.36309027778</v>
      </c>
      <c r="F364" s="868">
        <v>45917.916655092595</v>
      </c>
      <c r="G364" s="867" t="s">
        <v>1741</v>
      </c>
      <c r="H364" s="867" t="s">
        <v>1752</v>
      </c>
      <c r="I364" s="867" t="s">
        <v>1754</v>
      </c>
      <c r="J364" s="867" t="s">
        <v>1754</v>
      </c>
      <c r="K364" s="867" t="s">
        <v>1804</v>
      </c>
      <c r="L364" s="867" t="s">
        <v>1930</v>
      </c>
      <c r="M364" s="867" t="s">
        <v>2398</v>
      </c>
      <c r="N364" s="867" t="s">
        <v>3886</v>
      </c>
      <c r="O364" s="873" t="s">
        <v>3977</v>
      </c>
      <c r="P364" s="874">
        <v>1</v>
      </c>
      <c r="Q364" s="874">
        <v>0</v>
      </c>
      <c r="R364" s="875">
        <v>0</v>
      </c>
      <c r="S364" s="876">
        <v>1</v>
      </c>
      <c r="T364" s="876">
        <v>0</v>
      </c>
      <c r="U364" s="877">
        <v>0</v>
      </c>
      <c r="W364" s="877">
        <v>0</v>
      </c>
    </row>
    <row r="365" spans="1:23" ht="36" x14ac:dyDescent="0.2">
      <c r="A365" s="812" t="s">
        <v>3971</v>
      </c>
      <c r="B365" s="866" t="s">
        <v>3972</v>
      </c>
      <c r="C365" s="866" t="s">
        <v>3860</v>
      </c>
      <c r="D365" s="867" t="s">
        <v>2452</v>
      </c>
      <c r="E365" s="868">
        <v>45551.429120370369</v>
      </c>
      <c r="F365" s="868">
        <v>45688.958321759259</v>
      </c>
      <c r="G365" s="867" t="s">
        <v>1741</v>
      </c>
      <c r="H365" s="867" t="s">
        <v>1749</v>
      </c>
      <c r="I365" s="867" t="s">
        <v>1749</v>
      </c>
      <c r="J365" s="867" t="s">
        <v>2453</v>
      </c>
      <c r="K365" s="867" t="s">
        <v>1804</v>
      </c>
      <c r="L365" s="867" t="s">
        <v>1869</v>
      </c>
      <c r="M365" s="867" t="s">
        <v>2400</v>
      </c>
      <c r="N365" s="867" t="s">
        <v>3980</v>
      </c>
      <c r="O365" s="867" t="s">
        <v>3981</v>
      </c>
      <c r="P365" s="869">
        <v>10</v>
      </c>
      <c r="Q365" s="869">
        <v>10</v>
      </c>
      <c r="R365" s="870">
        <v>9</v>
      </c>
      <c r="S365" s="871">
        <v>10</v>
      </c>
      <c r="T365" s="871">
        <v>10</v>
      </c>
      <c r="U365" s="872">
        <v>9</v>
      </c>
      <c r="W365" s="872">
        <v>9</v>
      </c>
    </row>
    <row r="366" spans="1:23" ht="36" x14ac:dyDescent="0.2">
      <c r="A366" s="812" t="s">
        <v>3971</v>
      </c>
      <c r="B366" s="866" t="s">
        <v>3972</v>
      </c>
      <c r="C366" s="866" t="s">
        <v>3860</v>
      </c>
      <c r="D366" s="1438" t="s">
        <v>2454</v>
      </c>
      <c r="E366" s="1441">
        <v>45589.478530092594</v>
      </c>
      <c r="F366" s="1441">
        <v>46014.958321759259</v>
      </c>
      <c r="G366" s="1438" t="s">
        <v>1758</v>
      </c>
      <c r="H366" s="1438" t="s">
        <v>1759</v>
      </c>
      <c r="I366" s="1438" t="s">
        <v>1761</v>
      </c>
      <c r="J366" s="1438" t="s">
        <v>2455</v>
      </c>
      <c r="K366" s="1438" t="s">
        <v>1804</v>
      </c>
      <c r="L366" s="1438" t="s">
        <v>1828</v>
      </c>
      <c r="M366" s="867" t="s">
        <v>2395</v>
      </c>
      <c r="N366" s="867" t="s">
        <v>3973</v>
      </c>
      <c r="O366" s="873" t="s">
        <v>3974</v>
      </c>
      <c r="P366" s="874">
        <v>10</v>
      </c>
      <c r="Q366" s="874">
        <v>10</v>
      </c>
      <c r="R366" s="875">
        <v>0</v>
      </c>
      <c r="S366" s="876">
        <v>10</v>
      </c>
      <c r="T366" s="876">
        <v>10</v>
      </c>
      <c r="U366" s="877">
        <v>0</v>
      </c>
      <c r="W366" s="877">
        <v>0</v>
      </c>
    </row>
    <row r="367" spans="1:23" ht="36" x14ac:dyDescent="0.2">
      <c r="A367" s="812" t="s">
        <v>3971</v>
      </c>
      <c r="B367" s="866" t="s">
        <v>3972</v>
      </c>
      <c r="C367" s="866" t="s">
        <v>3860</v>
      </c>
      <c r="D367" s="1440"/>
      <c r="E367" s="1443"/>
      <c r="F367" s="1443"/>
      <c r="G367" s="1440"/>
      <c r="H367" s="1440"/>
      <c r="I367" s="1440"/>
      <c r="J367" s="1440"/>
      <c r="K367" s="1440"/>
      <c r="L367" s="1440"/>
      <c r="M367" s="867" t="s">
        <v>2397</v>
      </c>
      <c r="N367" s="867" t="s">
        <v>3886</v>
      </c>
      <c r="O367" s="867" t="s">
        <v>3976</v>
      </c>
      <c r="P367" s="869">
        <v>10</v>
      </c>
      <c r="Q367" s="869">
        <v>10</v>
      </c>
      <c r="R367" s="870">
        <v>0</v>
      </c>
      <c r="S367" s="871">
        <v>10</v>
      </c>
      <c r="T367" s="871">
        <v>10</v>
      </c>
      <c r="U367" s="872">
        <v>0</v>
      </c>
      <c r="W367" s="872">
        <v>0</v>
      </c>
    </row>
    <row r="368" spans="1:23" ht="36" x14ac:dyDescent="0.2">
      <c r="A368" s="812" t="s">
        <v>3971</v>
      </c>
      <c r="B368" s="866" t="s">
        <v>3972</v>
      </c>
      <c r="C368" s="866" t="s">
        <v>3860</v>
      </c>
      <c r="D368" s="867" t="s">
        <v>2456</v>
      </c>
      <c r="E368" s="868">
        <v>45545.347627314812</v>
      </c>
      <c r="F368" s="868">
        <v>45813.916655092595</v>
      </c>
      <c r="G368" s="867" t="s">
        <v>1777</v>
      </c>
      <c r="H368" s="867" t="s">
        <v>1765</v>
      </c>
      <c r="I368" s="867" t="s">
        <v>1778</v>
      </c>
      <c r="J368" s="867" t="s">
        <v>2457</v>
      </c>
      <c r="K368" s="867" t="s">
        <v>1804</v>
      </c>
      <c r="L368" s="867" t="s">
        <v>2221</v>
      </c>
      <c r="M368" s="867" t="s">
        <v>2398</v>
      </c>
      <c r="N368" s="867" t="s">
        <v>3886</v>
      </c>
      <c r="O368" s="873" t="s">
        <v>3977</v>
      </c>
      <c r="P368" s="874">
        <v>29</v>
      </c>
      <c r="Q368" s="874">
        <v>26</v>
      </c>
      <c r="R368" s="875">
        <v>11</v>
      </c>
      <c r="S368" s="876">
        <v>29</v>
      </c>
      <c r="T368" s="876">
        <v>26</v>
      </c>
      <c r="U368" s="877">
        <v>11</v>
      </c>
      <c r="W368" s="877">
        <v>11</v>
      </c>
    </row>
    <row r="369" spans="1:23" ht="48" x14ac:dyDescent="0.2">
      <c r="A369" s="812" t="s">
        <v>3971</v>
      </c>
      <c r="B369" s="866" t="s">
        <v>3972</v>
      </c>
      <c r="C369" s="866" t="s">
        <v>3860</v>
      </c>
      <c r="D369" s="867" t="s">
        <v>2458</v>
      </c>
      <c r="E369" s="868">
        <v>45548.337094907409</v>
      </c>
      <c r="F369" s="868">
        <v>45808.916655092595</v>
      </c>
      <c r="G369" s="867" t="s">
        <v>1758</v>
      </c>
      <c r="H369" s="867" t="s">
        <v>1759</v>
      </c>
      <c r="I369" s="867" t="s">
        <v>1760</v>
      </c>
      <c r="J369" s="867" t="s">
        <v>2459</v>
      </c>
      <c r="K369" s="867" t="s">
        <v>1804</v>
      </c>
      <c r="L369" s="867" t="s">
        <v>1805</v>
      </c>
      <c r="M369" s="867" t="s">
        <v>2398</v>
      </c>
      <c r="N369" s="867" t="s">
        <v>3886</v>
      </c>
      <c r="O369" s="867" t="s">
        <v>3977</v>
      </c>
      <c r="P369" s="869">
        <v>11</v>
      </c>
      <c r="Q369" s="869">
        <v>11</v>
      </c>
      <c r="R369" s="870">
        <v>0</v>
      </c>
      <c r="S369" s="871">
        <v>11</v>
      </c>
      <c r="T369" s="871">
        <v>11</v>
      </c>
      <c r="U369" s="872">
        <v>0</v>
      </c>
      <c r="W369" s="872">
        <v>0</v>
      </c>
    </row>
    <row r="370" spans="1:23" ht="36" x14ac:dyDescent="0.2">
      <c r="A370" s="812" t="s">
        <v>3971</v>
      </c>
      <c r="B370" s="866" t="s">
        <v>3972</v>
      </c>
      <c r="C370" s="866" t="s">
        <v>3860</v>
      </c>
      <c r="D370" s="867" t="s">
        <v>2460</v>
      </c>
      <c r="E370" s="868">
        <v>45545.41547453704</v>
      </c>
      <c r="F370" s="868">
        <v>45909.916655092595</v>
      </c>
      <c r="G370" s="867" t="s">
        <v>1758</v>
      </c>
      <c r="H370" s="867" t="s">
        <v>1759</v>
      </c>
      <c r="I370" s="867" t="s">
        <v>1762</v>
      </c>
      <c r="J370" s="867" t="s">
        <v>2461</v>
      </c>
      <c r="K370" s="867" t="s">
        <v>1804</v>
      </c>
      <c r="L370" s="867" t="s">
        <v>1828</v>
      </c>
      <c r="M370" s="867" t="s">
        <v>2398</v>
      </c>
      <c r="N370" s="867" t="s">
        <v>3886</v>
      </c>
      <c r="O370" s="873" t="s">
        <v>3977</v>
      </c>
      <c r="P370" s="874">
        <v>26</v>
      </c>
      <c r="Q370" s="874">
        <v>26</v>
      </c>
      <c r="R370" s="875">
        <v>0</v>
      </c>
      <c r="S370" s="876">
        <v>26</v>
      </c>
      <c r="T370" s="876">
        <v>26</v>
      </c>
      <c r="U370" s="877">
        <v>0</v>
      </c>
      <c r="W370" s="877">
        <v>0</v>
      </c>
    </row>
    <row r="371" spans="1:23" ht="36" x14ac:dyDescent="0.2">
      <c r="A371" s="812" t="s">
        <v>3971</v>
      </c>
      <c r="B371" s="866" t="s">
        <v>3972</v>
      </c>
      <c r="C371" s="866" t="s">
        <v>3860</v>
      </c>
      <c r="D371" s="867" t="s">
        <v>2462</v>
      </c>
      <c r="E371" s="868">
        <v>45554.374837962961</v>
      </c>
      <c r="F371" s="868">
        <v>45919.916655092595</v>
      </c>
      <c r="G371" s="867" t="s">
        <v>1758</v>
      </c>
      <c r="H371" s="867" t="s">
        <v>1759</v>
      </c>
      <c r="I371" s="867" t="s">
        <v>1761</v>
      </c>
      <c r="J371" s="867" t="s">
        <v>2463</v>
      </c>
      <c r="K371" s="867" t="s">
        <v>1804</v>
      </c>
      <c r="L371" s="867" t="s">
        <v>1828</v>
      </c>
      <c r="M371" s="867" t="s">
        <v>2396</v>
      </c>
      <c r="N371" s="867" t="s">
        <v>3879</v>
      </c>
      <c r="O371" s="867" t="s">
        <v>3975</v>
      </c>
      <c r="P371" s="869">
        <v>16</v>
      </c>
      <c r="Q371" s="869">
        <v>14</v>
      </c>
      <c r="R371" s="870">
        <v>0</v>
      </c>
      <c r="S371" s="871">
        <v>16</v>
      </c>
      <c r="T371" s="871">
        <v>14</v>
      </c>
      <c r="U371" s="872">
        <v>0</v>
      </c>
      <c r="W371" s="872">
        <v>0</v>
      </c>
    </row>
    <row r="372" spans="1:23" ht="36" x14ac:dyDescent="0.2">
      <c r="A372" s="812" t="s">
        <v>3971</v>
      </c>
      <c r="B372" s="866" t="s">
        <v>3972</v>
      </c>
      <c r="C372" s="866" t="s">
        <v>3860</v>
      </c>
      <c r="D372" s="1438" t="s">
        <v>2464</v>
      </c>
      <c r="E372" s="1441">
        <v>45630.827962962961</v>
      </c>
      <c r="F372" s="1441">
        <v>45660.958321759259</v>
      </c>
      <c r="G372" s="1438" t="s">
        <v>1741</v>
      </c>
      <c r="H372" s="1438" t="s">
        <v>1745</v>
      </c>
      <c r="I372" s="1438" t="s">
        <v>1746</v>
      </c>
      <c r="J372" s="1438" t="s">
        <v>1746</v>
      </c>
      <c r="K372" s="1438" t="s">
        <v>1804</v>
      </c>
      <c r="L372" s="1438" t="s">
        <v>1805</v>
      </c>
      <c r="M372" s="867" t="s">
        <v>2465</v>
      </c>
      <c r="N372" s="867" t="s">
        <v>3904</v>
      </c>
      <c r="O372" s="873" t="s">
        <v>3983</v>
      </c>
      <c r="P372" s="874">
        <v>1</v>
      </c>
      <c r="Q372" s="874">
        <v>0</v>
      </c>
      <c r="R372" s="875">
        <v>0</v>
      </c>
      <c r="S372" s="876">
        <v>1</v>
      </c>
      <c r="T372" s="876">
        <v>0</v>
      </c>
      <c r="U372" s="877">
        <v>0</v>
      </c>
      <c r="W372" s="877">
        <v>0</v>
      </c>
    </row>
    <row r="373" spans="1:23" ht="36" x14ac:dyDescent="0.2">
      <c r="A373" s="812" t="s">
        <v>3971</v>
      </c>
      <c r="B373" s="866" t="s">
        <v>3972</v>
      </c>
      <c r="C373" s="866" t="s">
        <v>3860</v>
      </c>
      <c r="D373" s="1439"/>
      <c r="E373" s="1442"/>
      <c r="F373" s="1442"/>
      <c r="G373" s="1439"/>
      <c r="H373" s="1439"/>
      <c r="I373" s="1439"/>
      <c r="J373" s="1439"/>
      <c r="K373" s="1439"/>
      <c r="L373" s="1439"/>
      <c r="M373" s="867" t="s">
        <v>2399</v>
      </c>
      <c r="N373" s="867" t="s">
        <v>3978</v>
      </c>
      <c r="O373" s="867" t="s">
        <v>3979</v>
      </c>
      <c r="P373" s="869">
        <v>1</v>
      </c>
      <c r="Q373" s="869">
        <v>0</v>
      </c>
      <c r="R373" s="870">
        <v>0</v>
      </c>
      <c r="S373" s="871">
        <v>1</v>
      </c>
      <c r="T373" s="871">
        <v>0</v>
      </c>
      <c r="U373" s="872">
        <v>0</v>
      </c>
      <c r="W373" s="872">
        <v>0</v>
      </c>
    </row>
    <row r="374" spans="1:23" ht="36" x14ac:dyDescent="0.2">
      <c r="A374" s="812" t="s">
        <v>3971</v>
      </c>
      <c r="B374" s="866" t="s">
        <v>3972</v>
      </c>
      <c r="C374" s="866" t="s">
        <v>3860</v>
      </c>
      <c r="D374" s="1440"/>
      <c r="E374" s="1443"/>
      <c r="F374" s="1443"/>
      <c r="G374" s="1440"/>
      <c r="H374" s="1440"/>
      <c r="I374" s="1440"/>
      <c r="J374" s="1440"/>
      <c r="K374" s="1440"/>
      <c r="L374" s="1440"/>
      <c r="M374" s="867" t="s">
        <v>2401</v>
      </c>
      <c r="N374" s="867" t="s">
        <v>3861</v>
      </c>
      <c r="O374" s="873" t="s">
        <v>3982</v>
      </c>
      <c r="P374" s="874">
        <v>1</v>
      </c>
      <c r="Q374" s="874">
        <v>0</v>
      </c>
      <c r="R374" s="875">
        <v>0</v>
      </c>
      <c r="S374" s="876">
        <v>1</v>
      </c>
      <c r="T374" s="876">
        <v>0</v>
      </c>
      <c r="U374" s="877">
        <v>0</v>
      </c>
      <c r="W374" s="877">
        <v>0</v>
      </c>
    </row>
    <row r="375" spans="1:23" ht="36" x14ac:dyDescent="0.2">
      <c r="A375" s="812" t="s">
        <v>3971</v>
      </c>
      <c r="B375" s="866" t="s">
        <v>3972</v>
      </c>
      <c r="C375" s="866" t="s">
        <v>3860</v>
      </c>
      <c r="D375" s="867" t="s">
        <v>2466</v>
      </c>
      <c r="E375" s="868">
        <v>45536.714745370373</v>
      </c>
      <c r="F375" s="868">
        <v>45900.916655092595</v>
      </c>
      <c r="G375" s="867" t="s">
        <v>1772</v>
      </c>
      <c r="H375" s="867" t="s">
        <v>1765</v>
      </c>
      <c r="I375" s="867" t="s">
        <v>1773</v>
      </c>
      <c r="J375" s="867" t="s">
        <v>1773</v>
      </c>
      <c r="K375" s="867" t="s">
        <v>1804</v>
      </c>
      <c r="L375" s="867" t="s">
        <v>1805</v>
      </c>
      <c r="M375" s="867" t="s">
        <v>2399</v>
      </c>
      <c r="N375" s="867" t="s">
        <v>3978</v>
      </c>
      <c r="O375" s="867" t="s">
        <v>3979</v>
      </c>
      <c r="P375" s="869">
        <v>1</v>
      </c>
      <c r="Q375" s="869">
        <v>1</v>
      </c>
      <c r="R375" s="870">
        <v>0</v>
      </c>
      <c r="S375" s="871">
        <v>1</v>
      </c>
      <c r="T375" s="871">
        <v>1</v>
      </c>
      <c r="U375" s="872">
        <v>0</v>
      </c>
      <c r="W375" s="872">
        <v>0</v>
      </c>
    </row>
    <row r="376" spans="1:23" ht="36" x14ac:dyDescent="0.2">
      <c r="A376" s="812" t="s">
        <v>3971</v>
      </c>
      <c r="B376" s="866" t="s">
        <v>3972</v>
      </c>
      <c r="C376" s="866" t="s">
        <v>3860</v>
      </c>
      <c r="D376" s="867" t="s">
        <v>2467</v>
      </c>
      <c r="E376" s="868">
        <v>45545.412974537037</v>
      </c>
      <c r="F376" s="868">
        <v>45909.916655092595</v>
      </c>
      <c r="G376" s="867" t="s">
        <v>1758</v>
      </c>
      <c r="H376" s="867" t="s">
        <v>1759</v>
      </c>
      <c r="I376" s="867" t="s">
        <v>1761</v>
      </c>
      <c r="J376" s="867" t="s">
        <v>2468</v>
      </c>
      <c r="K376" s="867" t="s">
        <v>1804</v>
      </c>
      <c r="L376" s="867" t="s">
        <v>1828</v>
      </c>
      <c r="M376" s="867" t="s">
        <v>2398</v>
      </c>
      <c r="N376" s="867" t="s">
        <v>3886</v>
      </c>
      <c r="O376" s="873" t="s">
        <v>3977</v>
      </c>
      <c r="P376" s="874">
        <v>28</v>
      </c>
      <c r="Q376" s="874">
        <v>27</v>
      </c>
      <c r="R376" s="875">
        <v>23</v>
      </c>
      <c r="S376" s="876">
        <v>28</v>
      </c>
      <c r="T376" s="876">
        <v>27</v>
      </c>
      <c r="U376" s="877">
        <v>23</v>
      </c>
      <c r="W376" s="877">
        <v>23</v>
      </c>
    </row>
    <row r="377" spans="1:23" ht="36" x14ac:dyDescent="0.2">
      <c r="A377" s="812" t="s">
        <v>3971</v>
      </c>
      <c r="B377" s="866" t="s">
        <v>3972</v>
      </c>
      <c r="C377" s="866" t="s">
        <v>3860</v>
      </c>
      <c r="D377" s="867" t="s">
        <v>2469</v>
      </c>
      <c r="E377" s="868">
        <v>45548.369166666664</v>
      </c>
      <c r="F377" s="868">
        <v>45839.916655092595</v>
      </c>
      <c r="G377" s="867" t="s">
        <v>1777</v>
      </c>
      <c r="H377" s="867" t="s">
        <v>1765</v>
      </c>
      <c r="I377" s="867" t="s">
        <v>1778</v>
      </c>
      <c r="J377" s="867" t="s">
        <v>2470</v>
      </c>
      <c r="K377" s="867" t="s">
        <v>1804</v>
      </c>
      <c r="L377" s="867" t="s">
        <v>2221</v>
      </c>
      <c r="M377" s="867" t="s">
        <v>2398</v>
      </c>
      <c r="N377" s="867" t="s">
        <v>3886</v>
      </c>
      <c r="O377" s="867" t="s">
        <v>3977</v>
      </c>
      <c r="P377" s="869">
        <v>17</v>
      </c>
      <c r="Q377" s="869">
        <v>17</v>
      </c>
      <c r="R377" s="870">
        <v>16</v>
      </c>
      <c r="S377" s="871">
        <v>17</v>
      </c>
      <c r="T377" s="871">
        <v>17</v>
      </c>
      <c r="U377" s="872">
        <v>16</v>
      </c>
      <c r="W377" s="872">
        <v>16</v>
      </c>
    </row>
    <row r="378" spans="1:23" ht="36" x14ac:dyDescent="0.2">
      <c r="A378" s="812" t="s">
        <v>3971</v>
      </c>
      <c r="B378" s="866" t="s">
        <v>3972</v>
      </c>
      <c r="C378" s="866" t="s">
        <v>3860</v>
      </c>
      <c r="D378" s="867" t="s">
        <v>2471</v>
      </c>
      <c r="E378" s="868">
        <v>45547.298645833333</v>
      </c>
      <c r="F378" s="868">
        <v>45912.916655092595</v>
      </c>
      <c r="G378" s="867" t="s">
        <v>1758</v>
      </c>
      <c r="H378" s="867" t="s">
        <v>1759</v>
      </c>
      <c r="I378" s="867" t="s">
        <v>1761</v>
      </c>
      <c r="J378" s="867" t="s">
        <v>2472</v>
      </c>
      <c r="K378" s="867" t="s">
        <v>1804</v>
      </c>
      <c r="L378" s="867" t="s">
        <v>1828</v>
      </c>
      <c r="M378" s="867" t="s">
        <v>2400</v>
      </c>
      <c r="N378" s="867" t="s">
        <v>3980</v>
      </c>
      <c r="O378" s="873" t="s">
        <v>3981</v>
      </c>
      <c r="P378" s="874">
        <v>12</v>
      </c>
      <c r="Q378" s="874">
        <v>11</v>
      </c>
      <c r="R378" s="875">
        <v>0</v>
      </c>
      <c r="S378" s="876">
        <v>12</v>
      </c>
      <c r="T378" s="876">
        <v>11</v>
      </c>
      <c r="U378" s="877">
        <v>0</v>
      </c>
      <c r="W378" s="877">
        <v>0</v>
      </c>
    </row>
    <row r="379" spans="1:23" ht="36" x14ac:dyDescent="0.2">
      <c r="A379" s="812" t="s">
        <v>3971</v>
      </c>
      <c r="B379" s="866" t="s">
        <v>3972</v>
      </c>
      <c r="C379" s="866" t="s">
        <v>3860</v>
      </c>
      <c r="D379" s="1438" t="s">
        <v>2473</v>
      </c>
      <c r="E379" s="1441">
        <v>45630.82984953704</v>
      </c>
      <c r="F379" s="1441">
        <v>45660.958321759259</v>
      </c>
      <c r="G379" s="1438" t="s">
        <v>1758</v>
      </c>
      <c r="H379" s="1438" t="s">
        <v>1759</v>
      </c>
      <c r="I379" s="1438" t="s">
        <v>1760</v>
      </c>
      <c r="J379" s="1438" t="s">
        <v>1760</v>
      </c>
      <c r="K379" s="1438" t="s">
        <v>1804</v>
      </c>
      <c r="L379" s="1438" t="s">
        <v>1805</v>
      </c>
      <c r="M379" s="867" t="s">
        <v>2465</v>
      </c>
      <c r="N379" s="867" t="s">
        <v>3904</v>
      </c>
      <c r="O379" s="867" t="s">
        <v>3983</v>
      </c>
      <c r="P379" s="869">
        <v>1</v>
      </c>
      <c r="Q379" s="869">
        <v>0</v>
      </c>
      <c r="R379" s="870">
        <v>0</v>
      </c>
      <c r="S379" s="871">
        <v>1</v>
      </c>
      <c r="T379" s="871">
        <v>0</v>
      </c>
      <c r="U379" s="872">
        <v>0</v>
      </c>
      <c r="W379" s="872">
        <v>0</v>
      </c>
    </row>
    <row r="380" spans="1:23" ht="36" x14ac:dyDescent="0.2">
      <c r="A380" s="812" t="s">
        <v>3971</v>
      </c>
      <c r="B380" s="866" t="s">
        <v>3972</v>
      </c>
      <c r="C380" s="866" t="s">
        <v>3860</v>
      </c>
      <c r="D380" s="1439"/>
      <c r="E380" s="1442"/>
      <c r="F380" s="1442"/>
      <c r="G380" s="1439"/>
      <c r="H380" s="1439"/>
      <c r="I380" s="1439"/>
      <c r="J380" s="1439"/>
      <c r="K380" s="1439"/>
      <c r="L380" s="1439"/>
      <c r="M380" s="867" t="s">
        <v>2399</v>
      </c>
      <c r="N380" s="867" t="s">
        <v>3978</v>
      </c>
      <c r="O380" s="873" t="s">
        <v>3979</v>
      </c>
      <c r="P380" s="874">
        <v>1</v>
      </c>
      <c r="Q380" s="874">
        <v>0</v>
      </c>
      <c r="R380" s="875">
        <v>0</v>
      </c>
      <c r="S380" s="876">
        <v>1</v>
      </c>
      <c r="T380" s="876">
        <v>0</v>
      </c>
      <c r="U380" s="877">
        <v>0</v>
      </c>
      <c r="W380" s="877">
        <v>0</v>
      </c>
    </row>
    <row r="381" spans="1:23" ht="36" x14ac:dyDescent="0.2">
      <c r="A381" s="812" t="s">
        <v>3971</v>
      </c>
      <c r="B381" s="866" t="s">
        <v>3972</v>
      </c>
      <c r="C381" s="866" t="s">
        <v>3860</v>
      </c>
      <c r="D381" s="1440"/>
      <c r="E381" s="1443"/>
      <c r="F381" s="1443"/>
      <c r="G381" s="1440"/>
      <c r="H381" s="1440"/>
      <c r="I381" s="1440"/>
      <c r="J381" s="1440"/>
      <c r="K381" s="1440"/>
      <c r="L381" s="1440"/>
      <c r="M381" s="867" t="s">
        <v>2401</v>
      </c>
      <c r="N381" s="867" t="s">
        <v>3861</v>
      </c>
      <c r="O381" s="867" t="s">
        <v>3982</v>
      </c>
      <c r="P381" s="869">
        <v>1</v>
      </c>
      <c r="Q381" s="869">
        <v>0</v>
      </c>
      <c r="R381" s="870">
        <v>0</v>
      </c>
      <c r="S381" s="871">
        <v>1</v>
      </c>
      <c r="T381" s="871">
        <v>0</v>
      </c>
      <c r="U381" s="872">
        <v>0</v>
      </c>
      <c r="W381" s="872">
        <v>0</v>
      </c>
    </row>
    <row r="382" spans="1:23" ht="36" x14ac:dyDescent="0.2">
      <c r="A382" s="812" t="s">
        <v>3971</v>
      </c>
      <c r="B382" s="866" t="s">
        <v>3972</v>
      </c>
      <c r="C382" s="866" t="s">
        <v>3860</v>
      </c>
      <c r="D382" s="1438" t="s">
        <v>2474</v>
      </c>
      <c r="E382" s="1441">
        <v>45569.267951388887</v>
      </c>
      <c r="F382" s="1441">
        <v>46022.958321759259</v>
      </c>
      <c r="G382" s="1438" t="s">
        <v>1758</v>
      </c>
      <c r="H382" s="1438" t="s">
        <v>1759</v>
      </c>
      <c r="I382" s="1438" t="s">
        <v>1761</v>
      </c>
      <c r="J382" s="1438" t="s">
        <v>2475</v>
      </c>
      <c r="K382" s="1438" t="s">
        <v>1804</v>
      </c>
      <c r="L382" s="1438" t="s">
        <v>1828</v>
      </c>
      <c r="M382" s="867" t="s">
        <v>2395</v>
      </c>
      <c r="N382" s="867" t="s">
        <v>3973</v>
      </c>
      <c r="O382" s="873" t="s">
        <v>3974</v>
      </c>
      <c r="P382" s="874">
        <v>12</v>
      </c>
      <c r="Q382" s="874">
        <v>12</v>
      </c>
      <c r="R382" s="875">
        <v>0</v>
      </c>
      <c r="S382" s="876">
        <v>12</v>
      </c>
      <c r="T382" s="876">
        <v>12</v>
      </c>
      <c r="U382" s="877">
        <v>0</v>
      </c>
      <c r="W382" s="877">
        <v>0</v>
      </c>
    </row>
    <row r="383" spans="1:23" ht="36" x14ac:dyDescent="0.2">
      <c r="A383" s="812" t="s">
        <v>3971</v>
      </c>
      <c r="B383" s="866" t="s">
        <v>3972</v>
      </c>
      <c r="C383" s="866" t="s">
        <v>3860</v>
      </c>
      <c r="D383" s="1440"/>
      <c r="E383" s="1443"/>
      <c r="F383" s="1443"/>
      <c r="G383" s="1440"/>
      <c r="H383" s="1440"/>
      <c r="I383" s="1440"/>
      <c r="J383" s="1440"/>
      <c r="K383" s="1440"/>
      <c r="L383" s="1440"/>
      <c r="M383" s="867" t="s">
        <v>2396</v>
      </c>
      <c r="N383" s="867" t="s">
        <v>3879</v>
      </c>
      <c r="O383" s="867" t="s">
        <v>3975</v>
      </c>
      <c r="P383" s="869">
        <v>12</v>
      </c>
      <c r="Q383" s="869">
        <v>12</v>
      </c>
      <c r="R383" s="870">
        <v>0</v>
      </c>
      <c r="S383" s="871">
        <v>12</v>
      </c>
      <c r="T383" s="871">
        <v>12</v>
      </c>
      <c r="U383" s="872">
        <v>0</v>
      </c>
      <c r="W383" s="872">
        <v>0</v>
      </c>
    </row>
    <row r="384" spans="1:23" ht="36" x14ac:dyDescent="0.2">
      <c r="A384" s="812" t="s">
        <v>3971</v>
      </c>
      <c r="B384" s="866" t="s">
        <v>3972</v>
      </c>
      <c r="C384" s="866" t="s">
        <v>3860</v>
      </c>
      <c r="D384" s="1438" t="s">
        <v>2476</v>
      </c>
      <c r="E384" s="1441">
        <v>45562.256655092591</v>
      </c>
      <c r="F384" s="1441">
        <v>45926.916655092595</v>
      </c>
      <c r="G384" s="1438" t="s">
        <v>1758</v>
      </c>
      <c r="H384" s="1438" t="s">
        <v>1759</v>
      </c>
      <c r="I384" s="1438" t="s">
        <v>1761</v>
      </c>
      <c r="J384" s="1438" t="s">
        <v>2477</v>
      </c>
      <c r="K384" s="1438" t="s">
        <v>1804</v>
      </c>
      <c r="L384" s="1438" t="s">
        <v>1828</v>
      </c>
      <c r="M384" s="867" t="s">
        <v>2395</v>
      </c>
      <c r="N384" s="867" t="s">
        <v>3973</v>
      </c>
      <c r="O384" s="873" t="s">
        <v>3974</v>
      </c>
      <c r="P384" s="874">
        <v>10</v>
      </c>
      <c r="Q384" s="874">
        <v>1</v>
      </c>
      <c r="R384" s="875">
        <v>0</v>
      </c>
      <c r="S384" s="876">
        <v>10</v>
      </c>
      <c r="T384" s="876">
        <v>1</v>
      </c>
      <c r="U384" s="877">
        <v>0</v>
      </c>
      <c r="W384" s="877">
        <v>0</v>
      </c>
    </row>
    <row r="385" spans="1:23" ht="36" x14ac:dyDescent="0.2">
      <c r="A385" s="812" t="s">
        <v>3971</v>
      </c>
      <c r="B385" s="866" t="s">
        <v>3972</v>
      </c>
      <c r="C385" s="866" t="s">
        <v>3860</v>
      </c>
      <c r="D385" s="1440"/>
      <c r="E385" s="1443"/>
      <c r="F385" s="1443"/>
      <c r="G385" s="1440"/>
      <c r="H385" s="1440"/>
      <c r="I385" s="1440"/>
      <c r="J385" s="1440"/>
      <c r="K385" s="1440"/>
      <c r="L385" s="1440"/>
      <c r="M385" s="867" t="s">
        <v>2396</v>
      </c>
      <c r="N385" s="867" t="s">
        <v>3879</v>
      </c>
      <c r="O385" s="867" t="s">
        <v>3975</v>
      </c>
      <c r="P385" s="869">
        <v>10</v>
      </c>
      <c r="Q385" s="869">
        <v>1</v>
      </c>
      <c r="R385" s="870">
        <v>0</v>
      </c>
      <c r="S385" s="871">
        <v>10</v>
      </c>
      <c r="T385" s="871">
        <v>1</v>
      </c>
      <c r="U385" s="872">
        <v>0</v>
      </c>
      <c r="W385" s="872">
        <v>0</v>
      </c>
    </row>
    <row r="386" spans="1:23" ht="36" x14ac:dyDescent="0.2">
      <c r="A386" s="812" t="s">
        <v>3971</v>
      </c>
      <c r="B386" s="866" t="s">
        <v>3972</v>
      </c>
      <c r="C386" s="866" t="s">
        <v>3860</v>
      </c>
      <c r="D386" s="867" t="s">
        <v>2478</v>
      </c>
      <c r="E386" s="868">
        <v>45562.257534722223</v>
      </c>
      <c r="F386" s="868">
        <v>45688.958321759259</v>
      </c>
      <c r="G386" s="867" t="s">
        <v>1741</v>
      </c>
      <c r="H386" s="867" t="s">
        <v>1749</v>
      </c>
      <c r="I386" s="867" t="s">
        <v>1749</v>
      </c>
      <c r="J386" s="867" t="s">
        <v>2479</v>
      </c>
      <c r="K386" s="867" t="s">
        <v>1804</v>
      </c>
      <c r="L386" s="867" t="s">
        <v>1869</v>
      </c>
      <c r="M386" s="867" t="s">
        <v>2400</v>
      </c>
      <c r="N386" s="867" t="s">
        <v>3980</v>
      </c>
      <c r="O386" s="873" t="s">
        <v>3981</v>
      </c>
      <c r="P386" s="874">
        <v>10</v>
      </c>
      <c r="Q386" s="874">
        <v>10</v>
      </c>
      <c r="R386" s="875">
        <v>0</v>
      </c>
      <c r="S386" s="876">
        <v>10</v>
      </c>
      <c r="T386" s="876">
        <v>10</v>
      </c>
      <c r="U386" s="877">
        <v>0</v>
      </c>
      <c r="W386" s="877">
        <v>0</v>
      </c>
    </row>
    <row r="387" spans="1:23" ht="36" x14ac:dyDescent="0.2">
      <c r="A387" s="812" t="s">
        <v>3971</v>
      </c>
      <c r="B387" s="866" t="s">
        <v>3972</v>
      </c>
      <c r="C387" s="866" t="s">
        <v>3860</v>
      </c>
      <c r="D387" s="1438" t="s">
        <v>2480</v>
      </c>
      <c r="E387" s="1441">
        <v>45546.378599537034</v>
      </c>
      <c r="F387" s="1441">
        <v>45808.916655092595</v>
      </c>
      <c r="G387" s="1438" t="s">
        <v>1758</v>
      </c>
      <c r="H387" s="1438" t="s">
        <v>1759</v>
      </c>
      <c r="I387" s="1438" t="s">
        <v>1762</v>
      </c>
      <c r="J387" s="1438" t="s">
        <v>2481</v>
      </c>
      <c r="K387" s="1438" t="s">
        <v>1804</v>
      </c>
      <c r="L387" s="1438" t="s">
        <v>1828</v>
      </c>
      <c r="M387" s="867" t="s">
        <v>2398</v>
      </c>
      <c r="N387" s="867" t="s">
        <v>3886</v>
      </c>
      <c r="O387" s="867" t="s">
        <v>3977</v>
      </c>
      <c r="P387" s="869">
        <v>30</v>
      </c>
      <c r="Q387" s="869">
        <v>30</v>
      </c>
      <c r="R387" s="870">
        <v>29</v>
      </c>
      <c r="S387" s="871">
        <v>30</v>
      </c>
      <c r="T387" s="871">
        <v>30</v>
      </c>
      <c r="U387" s="872">
        <v>29</v>
      </c>
      <c r="W387" s="872">
        <v>29</v>
      </c>
    </row>
    <row r="388" spans="1:23" ht="36" x14ac:dyDescent="0.2">
      <c r="A388" s="812" t="s">
        <v>3971</v>
      </c>
      <c r="B388" s="866" t="s">
        <v>3972</v>
      </c>
      <c r="C388" s="866" t="s">
        <v>3860</v>
      </c>
      <c r="D388" s="1440"/>
      <c r="E388" s="1443"/>
      <c r="F388" s="1443"/>
      <c r="G388" s="1440"/>
      <c r="H388" s="1440"/>
      <c r="I388" s="1440"/>
      <c r="J388" s="1440"/>
      <c r="K388" s="1440"/>
      <c r="L388" s="1440"/>
      <c r="M388" s="867" t="s">
        <v>2401</v>
      </c>
      <c r="N388" s="867" t="s">
        <v>3861</v>
      </c>
      <c r="O388" s="873" t="s">
        <v>3982</v>
      </c>
      <c r="P388" s="874">
        <v>30</v>
      </c>
      <c r="Q388" s="874">
        <v>30</v>
      </c>
      <c r="R388" s="875">
        <v>29</v>
      </c>
      <c r="S388" s="876">
        <v>30</v>
      </c>
      <c r="T388" s="876">
        <v>30</v>
      </c>
      <c r="U388" s="877">
        <v>29</v>
      </c>
      <c r="W388" s="877">
        <v>29</v>
      </c>
    </row>
    <row r="389" spans="1:23" ht="36" x14ac:dyDescent="0.2">
      <c r="A389" s="812" t="s">
        <v>3971</v>
      </c>
      <c r="B389" s="866" t="s">
        <v>3972</v>
      </c>
      <c r="C389" s="866" t="s">
        <v>3860</v>
      </c>
      <c r="D389" s="1438" t="s">
        <v>2482</v>
      </c>
      <c r="E389" s="1441">
        <v>45574.497442129628</v>
      </c>
      <c r="F389" s="1441">
        <v>45838.916655092595</v>
      </c>
      <c r="G389" s="1438" t="s">
        <v>1758</v>
      </c>
      <c r="H389" s="1438" t="s">
        <v>1759</v>
      </c>
      <c r="I389" s="1438" t="s">
        <v>1762</v>
      </c>
      <c r="J389" s="1438" t="s">
        <v>2483</v>
      </c>
      <c r="K389" s="1438" t="s">
        <v>1804</v>
      </c>
      <c r="L389" s="1438" t="s">
        <v>1828</v>
      </c>
      <c r="M389" s="867" t="s">
        <v>2396</v>
      </c>
      <c r="N389" s="867" t="s">
        <v>3879</v>
      </c>
      <c r="O389" s="867" t="s">
        <v>3975</v>
      </c>
      <c r="P389" s="869">
        <v>9</v>
      </c>
      <c r="Q389" s="869">
        <v>9</v>
      </c>
      <c r="R389" s="870">
        <v>6</v>
      </c>
      <c r="S389" s="871">
        <v>9</v>
      </c>
      <c r="T389" s="871">
        <v>9</v>
      </c>
      <c r="U389" s="872">
        <v>6</v>
      </c>
      <c r="W389" s="872">
        <v>6</v>
      </c>
    </row>
    <row r="390" spans="1:23" ht="36" x14ac:dyDescent="0.2">
      <c r="A390" s="812" t="s">
        <v>3971</v>
      </c>
      <c r="B390" s="866" t="s">
        <v>3972</v>
      </c>
      <c r="C390" s="866" t="s">
        <v>3860</v>
      </c>
      <c r="D390" s="1440"/>
      <c r="E390" s="1443"/>
      <c r="F390" s="1443"/>
      <c r="G390" s="1440"/>
      <c r="H390" s="1440"/>
      <c r="I390" s="1440"/>
      <c r="J390" s="1440"/>
      <c r="K390" s="1440"/>
      <c r="L390" s="1440"/>
      <c r="M390" s="867" t="s">
        <v>2397</v>
      </c>
      <c r="N390" s="867" t="s">
        <v>3886</v>
      </c>
      <c r="O390" s="873" t="s">
        <v>3976</v>
      </c>
      <c r="P390" s="874">
        <v>9</v>
      </c>
      <c r="Q390" s="874">
        <v>9</v>
      </c>
      <c r="R390" s="875">
        <v>6</v>
      </c>
      <c r="S390" s="876">
        <v>9</v>
      </c>
      <c r="T390" s="876">
        <v>9</v>
      </c>
      <c r="U390" s="877">
        <v>6</v>
      </c>
      <c r="W390" s="877">
        <v>6</v>
      </c>
    </row>
    <row r="391" spans="1:23" ht="36" x14ac:dyDescent="0.2">
      <c r="A391" s="812" t="s">
        <v>3984</v>
      </c>
      <c r="B391" s="866">
        <v>42039371</v>
      </c>
      <c r="C391" s="866" t="s">
        <v>3876</v>
      </c>
      <c r="D391" s="867" t="s">
        <v>2484</v>
      </c>
      <c r="E391" s="868">
        <v>45544.279930555553</v>
      </c>
      <c r="F391" s="868">
        <v>45837.916655092595</v>
      </c>
      <c r="G391" s="867" t="s">
        <v>1758</v>
      </c>
      <c r="H391" s="867" t="s">
        <v>1759</v>
      </c>
      <c r="I391" s="867" t="s">
        <v>1762</v>
      </c>
      <c r="J391" s="867" t="s">
        <v>2485</v>
      </c>
      <c r="K391" s="867" t="s">
        <v>1804</v>
      </c>
      <c r="L391" s="867" t="s">
        <v>1828</v>
      </c>
      <c r="M391" s="867" t="s">
        <v>2486</v>
      </c>
      <c r="N391" s="867" t="s">
        <v>3985</v>
      </c>
      <c r="O391" s="867" t="s">
        <v>3986</v>
      </c>
      <c r="P391" s="869">
        <v>27</v>
      </c>
      <c r="Q391" s="869">
        <v>27</v>
      </c>
      <c r="R391" s="870">
        <v>26</v>
      </c>
      <c r="S391" s="871">
        <v>27</v>
      </c>
      <c r="T391" s="871">
        <v>27</v>
      </c>
      <c r="U391" s="872">
        <v>26</v>
      </c>
      <c r="W391" s="872"/>
    </row>
    <row r="392" spans="1:23" ht="36" x14ac:dyDescent="0.2">
      <c r="A392" s="812" t="s">
        <v>3984</v>
      </c>
      <c r="B392" s="866">
        <v>42039371</v>
      </c>
      <c r="C392" s="866" t="s">
        <v>3876</v>
      </c>
      <c r="D392" s="867" t="s">
        <v>2487</v>
      </c>
      <c r="E392" s="868">
        <v>45301</v>
      </c>
      <c r="F392" s="868">
        <v>45665</v>
      </c>
      <c r="G392" s="867" t="s">
        <v>1758</v>
      </c>
      <c r="H392" s="867" t="s">
        <v>1759</v>
      </c>
      <c r="I392" s="867" t="s">
        <v>1823</v>
      </c>
      <c r="J392" s="867" t="s">
        <v>2488</v>
      </c>
      <c r="K392" s="867" t="s">
        <v>1804</v>
      </c>
      <c r="L392" s="867" t="s">
        <v>1819</v>
      </c>
      <c r="M392" s="867" t="s">
        <v>2489</v>
      </c>
      <c r="N392" s="867" t="s">
        <v>3987</v>
      </c>
      <c r="O392" s="873" t="s">
        <v>3988</v>
      </c>
      <c r="P392" s="874">
        <v>29</v>
      </c>
      <c r="Q392" s="874">
        <v>29</v>
      </c>
      <c r="R392" s="875">
        <v>29</v>
      </c>
      <c r="S392" s="876">
        <v>29</v>
      </c>
      <c r="T392" s="876">
        <v>29</v>
      </c>
      <c r="U392" s="877">
        <v>29</v>
      </c>
      <c r="W392" s="877"/>
    </row>
    <row r="393" spans="1:23" ht="36" x14ac:dyDescent="0.2">
      <c r="A393" s="812" t="s">
        <v>3984</v>
      </c>
      <c r="B393" s="866">
        <v>42039371</v>
      </c>
      <c r="C393" s="866" t="s">
        <v>3876</v>
      </c>
      <c r="D393" s="867" t="s">
        <v>2490</v>
      </c>
      <c r="E393" s="868">
        <v>45378</v>
      </c>
      <c r="F393" s="868">
        <v>45559</v>
      </c>
      <c r="G393" s="867" t="s">
        <v>1758</v>
      </c>
      <c r="H393" s="867" t="s">
        <v>1759</v>
      </c>
      <c r="I393" s="867" t="s">
        <v>1823</v>
      </c>
      <c r="J393" s="867" t="s">
        <v>2491</v>
      </c>
      <c r="K393" s="867" t="s">
        <v>1804</v>
      </c>
      <c r="L393" s="867" t="s">
        <v>1819</v>
      </c>
      <c r="M393" s="867" t="s">
        <v>2489</v>
      </c>
      <c r="N393" s="867" t="s">
        <v>3987</v>
      </c>
      <c r="O393" s="867" t="s">
        <v>3988</v>
      </c>
      <c r="P393" s="869">
        <v>29</v>
      </c>
      <c r="Q393" s="869">
        <v>3</v>
      </c>
      <c r="R393" s="870">
        <v>0</v>
      </c>
      <c r="S393" s="871">
        <v>29</v>
      </c>
      <c r="T393" s="871">
        <v>3</v>
      </c>
      <c r="U393" s="872">
        <v>0</v>
      </c>
      <c r="W393" s="872"/>
    </row>
    <row r="394" spans="1:23" ht="48" x14ac:dyDescent="0.2">
      <c r="A394" s="812" t="s">
        <v>3984</v>
      </c>
      <c r="B394" s="866">
        <v>42039371</v>
      </c>
      <c r="C394" s="866" t="s">
        <v>3876</v>
      </c>
      <c r="D394" s="867" t="s">
        <v>2492</v>
      </c>
      <c r="E394" s="868">
        <v>45544.298495370371</v>
      </c>
      <c r="F394" s="868">
        <v>45908.916655092595</v>
      </c>
      <c r="G394" s="867" t="s">
        <v>1758</v>
      </c>
      <c r="H394" s="867" t="s">
        <v>1759</v>
      </c>
      <c r="I394" s="867" t="s">
        <v>1760</v>
      </c>
      <c r="J394" s="867" t="s">
        <v>2493</v>
      </c>
      <c r="K394" s="867" t="s">
        <v>1804</v>
      </c>
      <c r="L394" s="867" t="s">
        <v>1805</v>
      </c>
      <c r="M394" s="867" t="s">
        <v>2489</v>
      </c>
      <c r="N394" s="867" t="s">
        <v>3987</v>
      </c>
      <c r="O394" s="873" t="s">
        <v>3988</v>
      </c>
      <c r="P394" s="874">
        <v>18</v>
      </c>
      <c r="Q394" s="874">
        <v>18</v>
      </c>
      <c r="R394" s="875">
        <v>9</v>
      </c>
      <c r="S394" s="876">
        <v>18</v>
      </c>
      <c r="T394" s="876">
        <v>18</v>
      </c>
      <c r="U394" s="877">
        <v>9</v>
      </c>
      <c r="W394" s="877"/>
    </row>
    <row r="395" spans="1:23" ht="36" x14ac:dyDescent="0.2">
      <c r="A395" s="812" t="s">
        <v>3984</v>
      </c>
      <c r="B395" s="866">
        <v>42039371</v>
      </c>
      <c r="C395" s="866" t="s">
        <v>3876</v>
      </c>
      <c r="D395" s="867" t="s">
        <v>2494</v>
      </c>
      <c r="E395" s="868">
        <v>45544.916666666664</v>
      </c>
      <c r="F395" s="868">
        <v>45837.916655092595</v>
      </c>
      <c r="G395" s="867" t="s">
        <v>1741</v>
      </c>
      <c r="H395" s="867" t="s">
        <v>1749</v>
      </c>
      <c r="I395" s="867" t="s">
        <v>1749</v>
      </c>
      <c r="J395" s="867" t="s">
        <v>2495</v>
      </c>
      <c r="K395" s="867" t="s">
        <v>1804</v>
      </c>
      <c r="L395" s="867" t="s">
        <v>1869</v>
      </c>
      <c r="M395" s="867" t="s">
        <v>2486</v>
      </c>
      <c r="N395" s="867" t="s">
        <v>3985</v>
      </c>
      <c r="O395" s="867" t="s">
        <v>3986</v>
      </c>
      <c r="P395" s="869">
        <v>32</v>
      </c>
      <c r="Q395" s="869">
        <v>31</v>
      </c>
      <c r="R395" s="870">
        <v>30</v>
      </c>
      <c r="S395" s="871">
        <v>32</v>
      </c>
      <c r="T395" s="871">
        <v>31</v>
      </c>
      <c r="U395" s="872">
        <v>30</v>
      </c>
      <c r="W395" s="872"/>
    </row>
    <row r="396" spans="1:23" ht="36" x14ac:dyDescent="0.2">
      <c r="A396" s="812" t="s">
        <v>3984</v>
      </c>
      <c r="B396" s="866">
        <v>42039371</v>
      </c>
      <c r="C396" s="866" t="s">
        <v>3876</v>
      </c>
      <c r="D396" s="867" t="s">
        <v>2496</v>
      </c>
      <c r="E396" s="868">
        <v>45538.362222222226</v>
      </c>
      <c r="F396" s="868">
        <v>45838.916655092595</v>
      </c>
      <c r="G396" s="867" t="s">
        <v>1758</v>
      </c>
      <c r="H396" s="867" t="s">
        <v>1759</v>
      </c>
      <c r="I396" s="867" t="s">
        <v>1761</v>
      </c>
      <c r="J396" s="867" t="s">
        <v>2497</v>
      </c>
      <c r="K396" s="867" t="s">
        <v>1804</v>
      </c>
      <c r="L396" s="867" t="s">
        <v>1828</v>
      </c>
      <c r="M396" s="867" t="s">
        <v>2486</v>
      </c>
      <c r="N396" s="867" t="s">
        <v>3985</v>
      </c>
      <c r="O396" s="873" t="s">
        <v>3986</v>
      </c>
      <c r="P396" s="874">
        <v>30</v>
      </c>
      <c r="Q396" s="874">
        <v>30</v>
      </c>
      <c r="R396" s="875">
        <v>28</v>
      </c>
      <c r="S396" s="876">
        <v>30</v>
      </c>
      <c r="T396" s="876">
        <v>30</v>
      </c>
      <c r="U396" s="877">
        <v>28</v>
      </c>
      <c r="W396" s="877"/>
    </row>
    <row r="397" spans="1:23" ht="36" x14ac:dyDescent="0.2">
      <c r="A397" s="812" t="s">
        <v>3984</v>
      </c>
      <c r="B397" s="866">
        <v>42039371</v>
      </c>
      <c r="C397" s="866" t="s">
        <v>3876</v>
      </c>
      <c r="D397" s="867" t="s">
        <v>2498</v>
      </c>
      <c r="E397" s="868">
        <v>45544.297500000001</v>
      </c>
      <c r="F397" s="868">
        <v>45908.916655092595</v>
      </c>
      <c r="G397" s="867" t="s">
        <v>1758</v>
      </c>
      <c r="H397" s="867" t="s">
        <v>1759</v>
      </c>
      <c r="I397" s="867" t="s">
        <v>1762</v>
      </c>
      <c r="J397" s="867" t="s">
        <v>2499</v>
      </c>
      <c r="K397" s="867" t="s">
        <v>1804</v>
      </c>
      <c r="L397" s="867" t="s">
        <v>1828</v>
      </c>
      <c r="M397" s="867" t="s">
        <v>2489</v>
      </c>
      <c r="N397" s="867" t="s">
        <v>3987</v>
      </c>
      <c r="O397" s="867" t="s">
        <v>3988</v>
      </c>
      <c r="P397" s="869">
        <v>76</v>
      </c>
      <c r="Q397" s="869">
        <v>76</v>
      </c>
      <c r="R397" s="870">
        <v>38</v>
      </c>
      <c r="S397" s="871">
        <v>76</v>
      </c>
      <c r="T397" s="871">
        <v>76</v>
      </c>
      <c r="U397" s="872">
        <v>38</v>
      </c>
      <c r="W397" s="872"/>
    </row>
    <row r="398" spans="1:23" ht="36" x14ac:dyDescent="0.2">
      <c r="A398" s="812" t="s">
        <v>3984</v>
      </c>
      <c r="B398" s="866">
        <v>42039371</v>
      </c>
      <c r="C398" s="866" t="s">
        <v>3876</v>
      </c>
      <c r="D398" s="867" t="s">
        <v>2500</v>
      </c>
      <c r="E398" s="868">
        <v>45546.474930555552</v>
      </c>
      <c r="F398" s="868">
        <v>45910.916655092595</v>
      </c>
      <c r="G398" s="867" t="s">
        <v>1758</v>
      </c>
      <c r="H398" s="867" t="s">
        <v>1759</v>
      </c>
      <c r="I398" s="867" t="s">
        <v>1761</v>
      </c>
      <c r="J398" s="867" t="s">
        <v>2501</v>
      </c>
      <c r="K398" s="867" t="s">
        <v>1804</v>
      </c>
      <c r="L398" s="867" t="s">
        <v>1828</v>
      </c>
      <c r="M398" s="867" t="s">
        <v>2489</v>
      </c>
      <c r="N398" s="867" t="s">
        <v>3987</v>
      </c>
      <c r="O398" s="873" t="s">
        <v>3988</v>
      </c>
      <c r="P398" s="874">
        <v>31</v>
      </c>
      <c r="Q398" s="874">
        <v>31</v>
      </c>
      <c r="R398" s="875">
        <v>0</v>
      </c>
      <c r="S398" s="876">
        <v>31</v>
      </c>
      <c r="T398" s="876">
        <v>31</v>
      </c>
      <c r="U398" s="877">
        <v>0</v>
      </c>
      <c r="W398" s="877"/>
    </row>
    <row r="399" spans="1:23" ht="36" x14ac:dyDescent="0.2">
      <c r="A399" s="812" t="s">
        <v>3984</v>
      </c>
      <c r="B399" s="866">
        <v>42039371</v>
      </c>
      <c r="C399" s="866" t="s">
        <v>3876</v>
      </c>
      <c r="D399" s="867" t="s">
        <v>2502</v>
      </c>
      <c r="E399" s="868">
        <v>45544.916666666664</v>
      </c>
      <c r="F399" s="868">
        <v>45837.916655092595</v>
      </c>
      <c r="G399" s="867" t="s">
        <v>1741</v>
      </c>
      <c r="H399" s="867" t="s">
        <v>1749</v>
      </c>
      <c r="I399" s="867" t="s">
        <v>1749</v>
      </c>
      <c r="J399" s="867" t="s">
        <v>2503</v>
      </c>
      <c r="K399" s="867" t="s">
        <v>1804</v>
      </c>
      <c r="L399" s="867" t="s">
        <v>1869</v>
      </c>
      <c r="M399" s="867" t="s">
        <v>2486</v>
      </c>
      <c r="N399" s="867" t="s">
        <v>3985</v>
      </c>
      <c r="O399" s="867" t="s">
        <v>3986</v>
      </c>
      <c r="P399" s="869">
        <v>35</v>
      </c>
      <c r="Q399" s="869">
        <v>33</v>
      </c>
      <c r="R399" s="870">
        <v>30</v>
      </c>
      <c r="S399" s="871">
        <v>35</v>
      </c>
      <c r="T399" s="871">
        <v>33</v>
      </c>
      <c r="U399" s="872">
        <v>30</v>
      </c>
      <c r="W399" s="872"/>
    </row>
    <row r="400" spans="1:23" ht="48" x14ac:dyDescent="0.2">
      <c r="A400" s="812" t="s">
        <v>3984</v>
      </c>
      <c r="B400" s="866">
        <v>42039371</v>
      </c>
      <c r="C400" s="866" t="s">
        <v>3876</v>
      </c>
      <c r="D400" s="867" t="s">
        <v>2504</v>
      </c>
      <c r="E400" s="868">
        <v>45540.43986111111</v>
      </c>
      <c r="F400" s="868">
        <v>45808.916655092595</v>
      </c>
      <c r="G400" s="867" t="s">
        <v>1758</v>
      </c>
      <c r="H400" s="867" t="s">
        <v>1759</v>
      </c>
      <c r="I400" s="867" t="s">
        <v>1760</v>
      </c>
      <c r="J400" s="867" t="s">
        <v>2505</v>
      </c>
      <c r="K400" s="867" t="s">
        <v>1804</v>
      </c>
      <c r="L400" s="867" t="s">
        <v>1805</v>
      </c>
      <c r="M400" s="867" t="s">
        <v>2486</v>
      </c>
      <c r="N400" s="867" t="s">
        <v>3985</v>
      </c>
      <c r="O400" s="873" t="s">
        <v>3986</v>
      </c>
      <c r="P400" s="874">
        <v>27</v>
      </c>
      <c r="Q400" s="874">
        <v>27</v>
      </c>
      <c r="R400" s="875">
        <v>27</v>
      </c>
      <c r="S400" s="876">
        <v>27</v>
      </c>
      <c r="T400" s="876">
        <v>27</v>
      </c>
      <c r="U400" s="877">
        <v>27</v>
      </c>
      <c r="W400" s="877"/>
    </row>
    <row r="401" spans="1:23" ht="36" x14ac:dyDescent="0.2">
      <c r="A401" s="867" t="s">
        <v>2506</v>
      </c>
      <c r="B401" s="866" t="s">
        <v>3890</v>
      </c>
      <c r="C401" s="879" t="s">
        <v>3890</v>
      </c>
      <c r="D401" s="867" t="s">
        <v>2507</v>
      </c>
      <c r="E401" s="868">
        <v>45472.916666666664</v>
      </c>
      <c r="F401" s="868">
        <v>45564.916666666664</v>
      </c>
      <c r="G401" s="867" t="s">
        <v>1758</v>
      </c>
      <c r="H401" s="867" t="s">
        <v>1759</v>
      </c>
      <c r="I401" s="867" t="s">
        <v>1823</v>
      </c>
      <c r="J401" s="867" t="s">
        <v>2508</v>
      </c>
      <c r="K401" s="867" t="s">
        <v>1804</v>
      </c>
      <c r="L401" s="867" t="s">
        <v>1819</v>
      </c>
      <c r="M401" s="867" t="s">
        <v>2509</v>
      </c>
      <c r="N401" s="867" t="s">
        <v>3934</v>
      </c>
      <c r="O401" s="867" t="s">
        <v>3989</v>
      </c>
      <c r="P401" s="869">
        <v>1</v>
      </c>
      <c r="Q401" s="869">
        <v>1</v>
      </c>
      <c r="R401" s="870">
        <v>0</v>
      </c>
      <c r="S401" s="871"/>
      <c r="T401" s="871"/>
      <c r="U401" s="872"/>
      <c r="W401" s="872"/>
    </row>
    <row r="402" spans="1:23" ht="24" x14ac:dyDescent="0.2">
      <c r="A402" s="865" t="s">
        <v>2510</v>
      </c>
      <c r="B402" s="866" t="s">
        <v>3990</v>
      </c>
      <c r="C402" s="866" t="s">
        <v>3867</v>
      </c>
      <c r="D402" s="867" t="s">
        <v>2511</v>
      </c>
      <c r="E402" s="868">
        <v>45561.523599537039</v>
      </c>
      <c r="F402" s="868">
        <v>45808.916655092595</v>
      </c>
      <c r="G402" s="867" t="s">
        <v>1758</v>
      </c>
      <c r="H402" s="867" t="s">
        <v>1759</v>
      </c>
      <c r="I402" s="867" t="s">
        <v>1761</v>
      </c>
      <c r="J402" s="867" t="s">
        <v>1761</v>
      </c>
      <c r="K402" s="867" t="s">
        <v>1804</v>
      </c>
      <c r="L402" s="867" t="s">
        <v>1828</v>
      </c>
      <c r="M402" s="867" t="s">
        <v>2512</v>
      </c>
      <c r="N402" s="867" t="s">
        <v>3991</v>
      </c>
      <c r="O402" s="873" t="s">
        <v>3992</v>
      </c>
      <c r="P402" s="874">
        <v>2</v>
      </c>
      <c r="Q402" s="874">
        <v>2</v>
      </c>
      <c r="R402" s="875">
        <v>1</v>
      </c>
      <c r="S402" s="876">
        <v>2</v>
      </c>
      <c r="T402" s="876">
        <v>2</v>
      </c>
      <c r="U402" s="877">
        <v>1</v>
      </c>
      <c r="W402" s="877">
        <v>1</v>
      </c>
    </row>
    <row r="403" spans="1:23" ht="36" x14ac:dyDescent="0.2">
      <c r="A403" s="865" t="s">
        <v>2510</v>
      </c>
      <c r="B403" s="866" t="s">
        <v>3990</v>
      </c>
      <c r="C403" s="866" t="s">
        <v>3867</v>
      </c>
      <c r="D403" s="867" t="s">
        <v>2513</v>
      </c>
      <c r="E403" s="868">
        <v>45560.916666666664</v>
      </c>
      <c r="F403" s="868">
        <v>45833.916655092595</v>
      </c>
      <c r="G403" s="867" t="s">
        <v>1772</v>
      </c>
      <c r="H403" s="867" t="s">
        <v>1782</v>
      </c>
      <c r="I403" s="867" t="s">
        <v>2429</v>
      </c>
      <c r="J403" s="867" t="s">
        <v>2430</v>
      </c>
      <c r="K403" s="867" t="s">
        <v>1804</v>
      </c>
      <c r="L403" s="867" t="s">
        <v>1805</v>
      </c>
      <c r="M403" s="867" t="s">
        <v>2512</v>
      </c>
      <c r="N403" s="867" t="s">
        <v>3991</v>
      </c>
      <c r="O403" s="867" t="s">
        <v>3992</v>
      </c>
      <c r="P403" s="869">
        <v>2</v>
      </c>
      <c r="Q403" s="869">
        <v>1</v>
      </c>
      <c r="R403" s="870">
        <v>0</v>
      </c>
      <c r="S403" s="871">
        <v>2</v>
      </c>
      <c r="T403" s="871">
        <v>1</v>
      </c>
      <c r="U403" s="872">
        <v>0</v>
      </c>
      <c r="W403" s="872">
        <v>0</v>
      </c>
    </row>
    <row r="404" spans="1:23" ht="36" x14ac:dyDescent="0.2">
      <c r="A404" s="865" t="s">
        <v>2510</v>
      </c>
      <c r="B404" s="866" t="s">
        <v>3990</v>
      </c>
      <c r="C404" s="866" t="s">
        <v>3867</v>
      </c>
      <c r="D404" s="867" t="s">
        <v>2514</v>
      </c>
      <c r="E404" s="868">
        <v>45572.504525462966</v>
      </c>
      <c r="F404" s="868">
        <v>45833.916655092595</v>
      </c>
      <c r="G404" s="867" t="s">
        <v>1741</v>
      </c>
      <c r="H404" s="867" t="s">
        <v>1742</v>
      </c>
      <c r="I404" s="867" t="s">
        <v>1743</v>
      </c>
      <c r="J404" s="867" t="s">
        <v>1743</v>
      </c>
      <c r="K404" s="867" t="s">
        <v>1804</v>
      </c>
      <c r="L404" s="867" t="s">
        <v>1805</v>
      </c>
      <c r="M404" s="867" t="s">
        <v>2512</v>
      </c>
      <c r="N404" s="867" t="s">
        <v>3991</v>
      </c>
      <c r="O404" s="873" t="s">
        <v>3992</v>
      </c>
      <c r="P404" s="874">
        <v>3</v>
      </c>
      <c r="Q404" s="874">
        <v>2</v>
      </c>
      <c r="R404" s="875">
        <v>1</v>
      </c>
      <c r="S404" s="876">
        <v>3</v>
      </c>
      <c r="T404" s="876">
        <v>2</v>
      </c>
      <c r="U404" s="877">
        <v>1</v>
      </c>
      <c r="W404" s="877">
        <v>1</v>
      </c>
    </row>
    <row r="405" spans="1:23" ht="48" x14ac:dyDescent="0.2">
      <c r="A405" s="865" t="s">
        <v>2515</v>
      </c>
      <c r="B405" s="866" t="s">
        <v>3993</v>
      </c>
      <c r="C405" s="866" t="s">
        <v>3860</v>
      </c>
      <c r="D405" s="867" t="s">
        <v>2516</v>
      </c>
      <c r="E405" s="868">
        <v>45567.756527777776</v>
      </c>
      <c r="F405" s="868">
        <v>45900.916655092595</v>
      </c>
      <c r="G405" s="867" t="s">
        <v>1758</v>
      </c>
      <c r="H405" s="867" t="s">
        <v>1759</v>
      </c>
      <c r="I405" s="867" t="s">
        <v>1760</v>
      </c>
      <c r="J405" s="867" t="s">
        <v>2517</v>
      </c>
      <c r="K405" s="867" t="s">
        <v>1804</v>
      </c>
      <c r="L405" s="867" t="s">
        <v>1805</v>
      </c>
      <c r="M405" s="867" t="s">
        <v>2518</v>
      </c>
      <c r="N405" s="867" t="s">
        <v>3994</v>
      </c>
      <c r="O405" s="867" t="s">
        <v>3995</v>
      </c>
      <c r="P405" s="869">
        <v>17</v>
      </c>
      <c r="Q405" s="869">
        <v>1</v>
      </c>
      <c r="R405" s="870">
        <v>0</v>
      </c>
      <c r="S405" s="871">
        <v>17</v>
      </c>
      <c r="T405" s="871">
        <v>1</v>
      </c>
      <c r="U405" s="872">
        <v>0</v>
      </c>
      <c r="W405" s="872">
        <v>0</v>
      </c>
    </row>
    <row r="406" spans="1:23" ht="36" x14ac:dyDescent="0.2">
      <c r="A406" s="865" t="s">
        <v>2515</v>
      </c>
      <c r="B406" s="866" t="s">
        <v>3993</v>
      </c>
      <c r="C406" s="866" t="s">
        <v>3860</v>
      </c>
      <c r="D406" s="867" t="s">
        <v>2519</v>
      </c>
      <c r="E406" s="868">
        <v>45567.749467592592</v>
      </c>
      <c r="F406" s="868">
        <v>45900.916655092595</v>
      </c>
      <c r="G406" s="867" t="s">
        <v>1758</v>
      </c>
      <c r="H406" s="867" t="s">
        <v>1759</v>
      </c>
      <c r="I406" s="867" t="s">
        <v>1762</v>
      </c>
      <c r="J406" s="867" t="s">
        <v>2520</v>
      </c>
      <c r="K406" s="867" t="s">
        <v>1804</v>
      </c>
      <c r="L406" s="867" t="s">
        <v>1828</v>
      </c>
      <c r="M406" s="867" t="s">
        <v>2518</v>
      </c>
      <c r="N406" s="867" t="s">
        <v>3994</v>
      </c>
      <c r="O406" s="873" t="s">
        <v>3995</v>
      </c>
      <c r="P406" s="874">
        <v>63</v>
      </c>
      <c r="Q406" s="874">
        <v>24</v>
      </c>
      <c r="R406" s="875">
        <v>0</v>
      </c>
      <c r="S406" s="876">
        <v>63</v>
      </c>
      <c r="T406" s="876">
        <v>24</v>
      </c>
      <c r="U406" s="877">
        <v>0</v>
      </c>
      <c r="W406" s="877">
        <v>0</v>
      </c>
    </row>
    <row r="407" spans="1:23" ht="24" x14ac:dyDescent="0.2">
      <c r="A407" s="865" t="s">
        <v>2515</v>
      </c>
      <c r="B407" s="866" t="s">
        <v>3993</v>
      </c>
      <c r="C407" s="866" t="s">
        <v>3860</v>
      </c>
      <c r="D407" s="867" t="s">
        <v>2521</v>
      </c>
      <c r="E407" s="868">
        <v>45567.701608796298</v>
      </c>
      <c r="F407" s="868">
        <v>45900.916655092595</v>
      </c>
      <c r="G407" s="867" t="s">
        <v>1758</v>
      </c>
      <c r="H407" s="867" t="s">
        <v>1759</v>
      </c>
      <c r="I407" s="867" t="s">
        <v>1761</v>
      </c>
      <c r="J407" s="867" t="s">
        <v>2522</v>
      </c>
      <c r="K407" s="867" t="s">
        <v>1804</v>
      </c>
      <c r="L407" s="867" t="s">
        <v>1828</v>
      </c>
      <c r="M407" s="867" t="s">
        <v>2518</v>
      </c>
      <c r="N407" s="867" t="s">
        <v>3994</v>
      </c>
      <c r="O407" s="867" t="s">
        <v>3995</v>
      </c>
      <c r="P407" s="869">
        <v>47</v>
      </c>
      <c r="Q407" s="869">
        <v>46</v>
      </c>
      <c r="R407" s="870">
        <v>0</v>
      </c>
      <c r="S407" s="871">
        <v>47</v>
      </c>
      <c r="T407" s="871">
        <v>46</v>
      </c>
      <c r="U407" s="872">
        <v>0</v>
      </c>
      <c r="W407" s="872">
        <v>0</v>
      </c>
    </row>
    <row r="408" spans="1:23" ht="24" x14ac:dyDescent="0.2">
      <c r="A408" s="865" t="s">
        <v>2523</v>
      </c>
      <c r="B408" s="866" t="s">
        <v>3996</v>
      </c>
      <c r="C408" s="866" t="s">
        <v>3966</v>
      </c>
      <c r="D408" s="1438" t="s">
        <v>2524</v>
      </c>
      <c r="E408" s="1441">
        <v>45299.958333333336</v>
      </c>
      <c r="F408" s="1441">
        <v>45665.958333333336</v>
      </c>
      <c r="G408" s="1438" t="s">
        <v>1758</v>
      </c>
      <c r="H408" s="1438" t="s">
        <v>1759</v>
      </c>
      <c r="I408" s="1438" t="s">
        <v>1823</v>
      </c>
      <c r="J408" s="1438" t="s">
        <v>2525</v>
      </c>
      <c r="K408" s="1438" t="s">
        <v>1804</v>
      </c>
      <c r="L408" s="1438" t="s">
        <v>1819</v>
      </c>
      <c r="M408" s="867" t="s">
        <v>2526</v>
      </c>
      <c r="N408" s="867" t="s">
        <v>3879</v>
      </c>
      <c r="O408" s="873" t="s">
        <v>3997</v>
      </c>
      <c r="P408" s="874">
        <v>21</v>
      </c>
      <c r="Q408" s="874">
        <v>21</v>
      </c>
      <c r="R408" s="875">
        <v>21</v>
      </c>
      <c r="S408" s="876">
        <v>21</v>
      </c>
      <c r="T408" s="876">
        <v>21</v>
      </c>
      <c r="U408" s="877">
        <v>21</v>
      </c>
      <c r="W408" s="877">
        <v>21</v>
      </c>
    </row>
    <row r="409" spans="1:23" ht="24" x14ac:dyDescent="0.2">
      <c r="A409" s="865" t="s">
        <v>2523</v>
      </c>
      <c r="B409" s="866" t="s">
        <v>3996</v>
      </c>
      <c r="C409" s="866" t="s">
        <v>3966</v>
      </c>
      <c r="D409" s="1440"/>
      <c r="E409" s="1443"/>
      <c r="F409" s="1443"/>
      <c r="G409" s="1440"/>
      <c r="H409" s="1440"/>
      <c r="I409" s="1440"/>
      <c r="J409" s="1440"/>
      <c r="K409" s="1440"/>
      <c r="L409" s="1440"/>
      <c r="M409" s="867" t="s">
        <v>2527</v>
      </c>
      <c r="N409" s="867" t="s">
        <v>3998</v>
      </c>
      <c r="O409" s="867" t="s">
        <v>3999</v>
      </c>
      <c r="P409" s="869">
        <v>21</v>
      </c>
      <c r="Q409" s="869">
        <v>21</v>
      </c>
      <c r="R409" s="870">
        <v>21</v>
      </c>
      <c r="S409" s="871">
        <v>21</v>
      </c>
      <c r="T409" s="871">
        <v>21</v>
      </c>
      <c r="U409" s="872">
        <v>21</v>
      </c>
      <c r="W409" s="872">
        <v>21</v>
      </c>
    </row>
    <row r="410" spans="1:23" ht="24" x14ac:dyDescent="0.2">
      <c r="A410" s="865" t="s">
        <v>2523</v>
      </c>
      <c r="B410" s="866" t="s">
        <v>3996</v>
      </c>
      <c r="C410" s="866" t="s">
        <v>3966</v>
      </c>
      <c r="D410" s="1438" t="s">
        <v>2528</v>
      </c>
      <c r="E410" s="1441">
        <v>45299.958333333336</v>
      </c>
      <c r="F410" s="1441">
        <v>45665.958333333336</v>
      </c>
      <c r="G410" s="1438" t="s">
        <v>1758</v>
      </c>
      <c r="H410" s="1438" t="s">
        <v>1759</v>
      </c>
      <c r="I410" s="1438" t="s">
        <v>1817</v>
      </c>
      <c r="J410" s="1438" t="s">
        <v>2529</v>
      </c>
      <c r="K410" s="1438" t="s">
        <v>1804</v>
      </c>
      <c r="L410" s="1438" t="s">
        <v>1819</v>
      </c>
      <c r="M410" s="867" t="s">
        <v>2526</v>
      </c>
      <c r="N410" s="867" t="s">
        <v>3879</v>
      </c>
      <c r="O410" s="873" t="s">
        <v>3997</v>
      </c>
      <c r="P410" s="874">
        <v>23</v>
      </c>
      <c r="Q410" s="874">
        <v>22</v>
      </c>
      <c r="R410" s="875">
        <v>21</v>
      </c>
      <c r="S410" s="876">
        <v>23</v>
      </c>
      <c r="T410" s="876">
        <v>22</v>
      </c>
      <c r="U410" s="877">
        <v>21</v>
      </c>
      <c r="W410" s="877">
        <v>21</v>
      </c>
    </row>
    <row r="411" spans="1:23" ht="24" x14ac:dyDescent="0.2">
      <c r="A411" s="865" t="s">
        <v>2523</v>
      </c>
      <c r="B411" s="866" t="s">
        <v>3996</v>
      </c>
      <c r="C411" s="866" t="s">
        <v>3966</v>
      </c>
      <c r="D411" s="1440"/>
      <c r="E411" s="1443"/>
      <c r="F411" s="1443"/>
      <c r="G411" s="1440"/>
      <c r="H411" s="1440"/>
      <c r="I411" s="1440"/>
      <c r="J411" s="1440"/>
      <c r="K411" s="1440"/>
      <c r="L411" s="1440"/>
      <c r="M411" s="867" t="s">
        <v>2527</v>
      </c>
      <c r="N411" s="867" t="s">
        <v>3998</v>
      </c>
      <c r="O411" s="867" t="s">
        <v>3999</v>
      </c>
      <c r="P411" s="869">
        <v>23</v>
      </c>
      <c r="Q411" s="869">
        <v>22</v>
      </c>
      <c r="R411" s="870">
        <v>21</v>
      </c>
      <c r="S411" s="871">
        <v>23</v>
      </c>
      <c r="T411" s="871">
        <v>22</v>
      </c>
      <c r="U411" s="872">
        <v>21</v>
      </c>
      <c r="W411" s="872">
        <v>21</v>
      </c>
    </row>
    <row r="412" spans="1:23" ht="24" x14ac:dyDescent="0.2">
      <c r="A412" s="865" t="s">
        <v>2523</v>
      </c>
      <c r="B412" s="866" t="s">
        <v>3996</v>
      </c>
      <c r="C412" s="866" t="s">
        <v>3966</v>
      </c>
      <c r="D412" s="1438" t="s">
        <v>2530</v>
      </c>
      <c r="E412" s="1441">
        <v>45299.958333333336</v>
      </c>
      <c r="F412" s="1441">
        <v>45665.958333333336</v>
      </c>
      <c r="G412" s="1438" t="s">
        <v>1758</v>
      </c>
      <c r="H412" s="1438" t="s">
        <v>1759</v>
      </c>
      <c r="I412" s="1438" t="s">
        <v>1858</v>
      </c>
      <c r="J412" s="1438" t="s">
        <v>2531</v>
      </c>
      <c r="K412" s="1438" t="s">
        <v>1804</v>
      </c>
      <c r="L412" s="1438" t="s">
        <v>1819</v>
      </c>
      <c r="M412" s="867" t="s">
        <v>2526</v>
      </c>
      <c r="N412" s="867" t="s">
        <v>3879</v>
      </c>
      <c r="O412" s="873" t="s">
        <v>3997</v>
      </c>
      <c r="P412" s="874">
        <v>21</v>
      </c>
      <c r="Q412" s="874">
        <v>21</v>
      </c>
      <c r="R412" s="875">
        <v>21</v>
      </c>
      <c r="S412" s="876">
        <v>21</v>
      </c>
      <c r="T412" s="876">
        <v>21</v>
      </c>
      <c r="U412" s="877">
        <v>21</v>
      </c>
      <c r="W412" s="877">
        <v>21</v>
      </c>
    </row>
    <row r="413" spans="1:23" ht="24" x14ac:dyDescent="0.2">
      <c r="A413" s="865" t="s">
        <v>2523</v>
      </c>
      <c r="B413" s="866" t="s">
        <v>3996</v>
      </c>
      <c r="C413" s="866" t="s">
        <v>3966</v>
      </c>
      <c r="D413" s="1440"/>
      <c r="E413" s="1443"/>
      <c r="F413" s="1443"/>
      <c r="G413" s="1440"/>
      <c r="H413" s="1440"/>
      <c r="I413" s="1440"/>
      <c r="J413" s="1440"/>
      <c r="K413" s="1440"/>
      <c r="L413" s="1440"/>
      <c r="M413" s="867" t="s">
        <v>2527</v>
      </c>
      <c r="N413" s="867" t="s">
        <v>3998</v>
      </c>
      <c r="O413" s="867" t="s">
        <v>3999</v>
      </c>
      <c r="P413" s="869">
        <v>21</v>
      </c>
      <c r="Q413" s="869">
        <v>21</v>
      </c>
      <c r="R413" s="870">
        <v>21</v>
      </c>
      <c r="S413" s="871">
        <v>21</v>
      </c>
      <c r="T413" s="871">
        <v>21</v>
      </c>
      <c r="U413" s="872">
        <v>21</v>
      </c>
      <c r="W413" s="872">
        <v>21</v>
      </c>
    </row>
    <row r="414" spans="1:23" ht="24" x14ac:dyDescent="0.2">
      <c r="A414" s="865" t="s">
        <v>2523</v>
      </c>
      <c r="B414" s="866" t="s">
        <v>3996</v>
      </c>
      <c r="C414" s="866" t="s">
        <v>3966</v>
      </c>
      <c r="D414" s="867" t="s">
        <v>2532</v>
      </c>
      <c r="E414" s="868">
        <v>45614.543275462966</v>
      </c>
      <c r="F414" s="868">
        <v>46112.916655092595</v>
      </c>
      <c r="G414" s="867" t="s">
        <v>1758</v>
      </c>
      <c r="H414" s="867" t="s">
        <v>1759</v>
      </c>
      <c r="I414" s="867" t="s">
        <v>1761</v>
      </c>
      <c r="J414" s="867" t="s">
        <v>2533</v>
      </c>
      <c r="K414" s="867" t="s">
        <v>1804</v>
      </c>
      <c r="L414" s="867" t="s">
        <v>1828</v>
      </c>
      <c r="M414" s="867" t="s">
        <v>2526</v>
      </c>
      <c r="N414" s="867" t="s">
        <v>3879</v>
      </c>
      <c r="O414" s="873" t="s">
        <v>3997</v>
      </c>
      <c r="P414" s="874">
        <v>1</v>
      </c>
      <c r="Q414" s="874">
        <v>1</v>
      </c>
      <c r="R414" s="875">
        <v>0</v>
      </c>
      <c r="S414" s="876">
        <v>1</v>
      </c>
      <c r="T414" s="876">
        <v>1</v>
      </c>
      <c r="U414" s="877">
        <v>0</v>
      </c>
      <c r="W414" s="877">
        <v>0</v>
      </c>
    </row>
    <row r="415" spans="1:23" ht="24" x14ac:dyDescent="0.2">
      <c r="A415" s="865" t="s">
        <v>2523</v>
      </c>
      <c r="B415" s="866" t="s">
        <v>3996</v>
      </c>
      <c r="C415" s="866" t="s">
        <v>3966</v>
      </c>
      <c r="D415" s="1438" t="s">
        <v>2534</v>
      </c>
      <c r="E415" s="1441">
        <v>45572.481041666666</v>
      </c>
      <c r="F415" s="1441">
        <v>45692.958321759259</v>
      </c>
      <c r="G415" s="1438" t="s">
        <v>1758</v>
      </c>
      <c r="H415" s="1438" t="s">
        <v>1759</v>
      </c>
      <c r="I415" s="1438" t="s">
        <v>1761</v>
      </c>
      <c r="J415" s="1438" t="s">
        <v>2535</v>
      </c>
      <c r="K415" s="1438" t="s">
        <v>1804</v>
      </c>
      <c r="L415" s="1438" t="s">
        <v>1828</v>
      </c>
      <c r="M415" s="867" t="s">
        <v>2526</v>
      </c>
      <c r="N415" s="867" t="s">
        <v>3879</v>
      </c>
      <c r="O415" s="867" t="s">
        <v>3997</v>
      </c>
      <c r="P415" s="869">
        <v>1</v>
      </c>
      <c r="Q415" s="869">
        <v>1</v>
      </c>
      <c r="R415" s="870">
        <v>1</v>
      </c>
      <c r="S415" s="871">
        <v>1</v>
      </c>
      <c r="T415" s="871">
        <v>1</v>
      </c>
      <c r="U415" s="872">
        <v>1</v>
      </c>
      <c r="W415" s="872">
        <v>1</v>
      </c>
    </row>
    <row r="416" spans="1:23" ht="24" x14ac:dyDescent="0.2">
      <c r="A416" s="865" t="s">
        <v>2523</v>
      </c>
      <c r="B416" s="866" t="s">
        <v>3996</v>
      </c>
      <c r="C416" s="866" t="s">
        <v>3966</v>
      </c>
      <c r="D416" s="1440"/>
      <c r="E416" s="1443"/>
      <c r="F416" s="1443"/>
      <c r="G416" s="1440"/>
      <c r="H416" s="1440"/>
      <c r="I416" s="1440"/>
      <c r="J416" s="1440"/>
      <c r="K416" s="1440"/>
      <c r="L416" s="1440"/>
      <c r="M416" s="867" t="s">
        <v>2527</v>
      </c>
      <c r="N416" s="867" t="s">
        <v>3998</v>
      </c>
      <c r="O416" s="873" t="s">
        <v>3999</v>
      </c>
      <c r="P416" s="874">
        <v>1</v>
      </c>
      <c r="Q416" s="874">
        <v>1</v>
      </c>
      <c r="R416" s="875">
        <v>1</v>
      </c>
      <c r="S416" s="876">
        <v>1</v>
      </c>
      <c r="T416" s="876">
        <v>1</v>
      </c>
      <c r="U416" s="877">
        <v>1</v>
      </c>
      <c r="W416" s="877">
        <v>1</v>
      </c>
    </row>
    <row r="417" spans="1:23" ht="24" x14ac:dyDescent="0.2">
      <c r="A417" s="865" t="s">
        <v>2523</v>
      </c>
      <c r="B417" s="866" t="s">
        <v>3996</v>
      </c>
      <c r="C417" s="866" t="s">
        <v>3966</v>
      </c>
      <c r="D417" s="1438" t="s">
        <v>2536</v>
      </c>
      <c r="E417" s="1441">
        <v>45572.489942129629</v>
      </c>
      <c r="F417" s="1441">
        <v>45692.958321759259</v>
      </c>
      <c r="G417" s="1438" t="s">
        <v>1758</v>
      </c>
      <c r="H417" s="1438" t="s">
        <v>1759</v>
      </c>
      <c r="I417" s="1438" t="s">
        <v>1762</v>
      </c>
      <c r="J417" s="1438" t="s">
        <v>2537</v>
      </c>
      <c r="K417" s="1438" t="s">
        <v>1804</v>
      </c>
      <c r="L417" s="1438" t="s">
        <v>1828</v>
      </c>
      <c r="M417" s="867" t="s">
        <v>2526</v>
      </c>
      <c r="N417" s="867" t="s">
        <v>3879</v>
      </c>
      <c r="O417" s="867" t="s">
        <v>3997</v>
      </c>
      <c r="P417" s="869">
        <v>1</v>
      </c>
      <c r="Q417" s="869">
        <v>1</v>
      </c>
      <c r="R417" s="870">
        <v>1</v>
      </c>
      <c r="S417" s="871">
        <v>1</v>
      </c>
      <c r="T417" s="871">
        <v>1</v>
      </c>
      <c r="U417" s="872">
        <v>1</v>
      </c>
      <c r="W417" s="872">
        <v>1</v>
      </c>
    </row>
    <row r="418" spans="1:23" ht="24" x14ac:dyDescent="0.2">
      <c r="A418" s="865" t="s">
        <v>2523</v>
      </c>
      <c r="B418" s="866" t="s">
        <v>3996</v>
      </c>
      <c r="C418" s="866" t="s">
        <v>3966</v>
      </c>
      <c r="D418" s="1440"/>
      <c r="E418" s="1443"/>
      <c r="F418" s="1443"/>
      <c r="G418" s="1440"/>
      <c r="H418" s="1440"/>
      <c r="I418" s="1440"/>
      <c r="J418" s="1440"/>
      <c r="K418" s="1440"/>
      <c r="L418" s="1440"/>
      <c r="M418" s="867" t="s">
        <v>2527</v>
      </c>
      <c r="N418" s="867" t="s">
        <v>3998</v>
      </c>
      <c r="O418" s="873" t="s">
        <v>3999</v>
      </c>
      <c r="P418" s="874">
        <v>1</v>
      </c>
      <c r="Q418" s="874">
        <v>1</v>
      </c>
      <c r="R418" s="875">
        <v>1</v>
      </c>
      <c r="S418" s="876">
        <v>1</v>
      </c>
      <c r="T418" s="876">
        <v>1</v>
      </c>
      <c r="U418" s="877">
        <v>1</v>
      </c>
      <c r="W418" s="877">
        <v>1</v>
      </c>
    </row>
    <row r="419" spans="1:23" ht="24" x14ac:dyDescent="0.2">
      <c r="A419" s="865" t="s">
        <v>2523</v>
      </c>
      <c r="B419" s="866" t="s">
        <v>3996</v>
      </c>
      <c r="C419" s="866" t="s">
        <v>3966</v>
      </c>
      <c r="D419" s="1438" t="s">
        <v>2538</v>
      </c>
      <c r="E419" s="1441">
        <v>45572.490902777776</v>
      </c>
      <c r="F419" s="1441">
        <v>45692.958321759259</v>
      </c>
      <c r="G419" s="1438" t="s">
        <v>1758</v>
      </c>
      <c r="H419" s="1438" t="s">
        <v>1759</v>
      </c>
      <c r="I419" s="1438" t="s">
        <v>1760</v>
      </c>
      <c r="J419" s="1438" t="s">
        <v>2539</v>
      </c>
      <c r="K419" s="1438" t="s">
        <v>1804</v>
      </c>
      <c r="L419" s="1438" t="s">
        <v>1805</v>
      </c>
      <c r="M419" s="867" t="s">
        <v>2526</v>
      </c>
      <c r="N419" s="867" t="s">
        <v>3879</v>
      </c>
      <c r="O419" s="867" t="s">
        <v>3997</v>
      </c>
      <c r="P419" s="869">
        <v>1</v>
      </c>
      <c r="Q419" s="869">
        <v>1</v>
      </c>
      <c r="R419" s="870">
        <v>1</v>
      </c>
      <c r="S419" s="871">
        <v>1</v>
      </c>
      <c r="T419" s="871">
        <v>1</v>
      </c>
      <c r="U419" s="872">
        <v>1</v>
      </c>
      <c r="W419" s="872">
        <v>1</v>
      </c>
    </row>
    <row r="420" spans="1:23" ht="24" x14ac:dyDescent="0.2">
      <c r="A420" s="865" t="s">
        <v>2523</v>
      </c>
      <c r="B420" s="866" t="s">
        <v>3996</v>
      </c>
      <c r="C420" s="866" t="s">
        <v>3966</v>
      </c>
      <c r="D420" s="1440"/>
      <c r="E420" s="1443"/>
      <c r="F420" s="1443"/>
      <c r="G420" s="1440"/>
      <c r="H420" s="1440"/>
      <c r="I420" s="1440"/>
      <c r="J420" s="1440"/>
      <c r="K420" s="1440"/>
      <c r="L420" s="1440"/>
      <c r="M420" s="867" t="s">
        <v>2527</v>
      </c>
      <c r="N420" s="867" t="s">
        <v>3998</v>
      </c>
      <c r="O420" s="873" t="s">
        <v>3999</v>
      </c>
      <c r="P420" s="874">
        <v>1</v>
      </c>
      <c r="Q420" s="874">
        <v>1</v>
      </c>
      <c r="R420" s="875">
        <v>1</v>
      </c>
      <c r="S420" s="876">
        <v>1</v>
      </c>
      <c r="T420" s="876">
        <v>1</v>
      </c>
      <c r="U420" s="877">
        <v>1</v>
      </c>
      <c r="W420" s="877">
        <v>1</v>
      </c>
    </row>
    <row r="421" spans="1:23" ht="24" x14ac:dyDescent="0.2">
      <c r="A421" s="865" t="s">
        <v>2523</v>
      </c>
      <c r="B421" s="866" t="s">
        <v>3996</v>
      </c>
      <c r="C421" s="866" t="s">
        <v>3966</v>
      </c>
      <c r="D421" s="867" t="s">
        <v>2540</v>
      </c>
      <c r="E421" s="868">
        <v>45572.553680555553</v>
      </c>
      <c r="F421" s="868">
        <v>45900.916655092595</v>
      </c>
      <c r="G421" s="867" t="s">
        <v>1777</v>
      </c>
      <c r="H421" s="867" t="s">
        <v>1765</v>
      </c>
      <c r="I421" s="867" t="s">
        <v>1778</v>
      </c>
      <c r="J421" s="867" t="s">
        <v>2541</v>
      </c>
      <c r="K421" s="867" t="s">
        <v>1804</v>
      </c>
      <c r="L421" s="867" t="s">
        <v>2221</v>
      </c>
      <c r="M421" s="867" t="s">
        <v>2526</v>
      </c>
      <c r="N421" s="867" t="s">
        <v>3879</v>
      </c>
      <c r="O421" s="867" t="s">
        <v>3997</v>
      </c>
      <c r="P421" s="869">
        <v>1</v>
      </c>
      <c r="Q421" s="869">
        <v>1</v>
      </c>
      <c r="R421" s="870">
        <v>1</v>
      </c>
      <c r="S421" s="871">
        <v>1</v>
      </c>
      <c r="T421" s="871">
        <v>1</v>
      </c>
      <c r="U421" s="872">
        <v>1</v>
      </c>
      <c r="W421" s="872">
        <v>1</v>
      </c>
    </row>
    <row r="422" spans="1:23" x14ac:dyDescent="0.2">
      <c r="A422" s="865" t="s">
        <v>2542</v>
      </c>
      <c r="B422" s="866" t="s">
        <v>4000</v>
      </c>
      <c r="C422" s="866" t="s">
        <v>4001</v>
      </c>
      <c r="D422" s="1438" t="s">
        <v>2543</v>
      </c>
      <c r="E422" s="1441">
        <v>45559.302442129629</v>
      </c>
      <c r="F422" s="1441">
        <v>45712.958321759259</v>
      </c>
      <c r="G422" s="1438" t="s">
        <v>1758</v>
      </c>
      <c r="H422" s="1438" t="s">
        <v>1759</v>
      </c>
      <c r="I422" s="1438" t="s">
        <v>1762</v>
      </c>
      <c r="J422" s="1438" t="s">
        <v>2544</v>
      </c>
      <c r="K422" s="1438" t="s">
        <v>1804</v>
      </c>
      <c r="L422" s="1438" t="s">
        <v>1828</v>
      </c>
      <c r="M422" s="867" t="s">
        <v>2545</v>
      </c>
      <c r="N422" s="867" t="s">
        <v>4002</v>
      </c>
      <c r="O422" s="873" t="s">
        <v>4003</v>
      </c>
      <c r="P422" s="874">
        <v>18</v>
      </c>
      <c r="Q422" s="874">
        <v>18</v>
      </c>
      <c r="R422" s="875">
        <v>17</v>
      </c>
      <c r="S422" s="876">
        <v>18</v>
      </c>
      <c r="T422" s="876">
        <v>18</v>
      </c>
      <c r="U422" s="877">
        <v>17</v>
      </c>
      <c r="W422" s="877"/>
    </row>
    <row r="423" spans="1:23" x14ac:dyDescent="0.2">
      <c r="A423" s="865" t="s">
        <v>2542</v>
      </c>
      <c r="B423" s="866" t="s">
        <v>4000</v>
      </c>
      <c r="C423" s="866" t="s">
        <v>4001</v>
      </c>
      <c r="D423" s="1439"/>
      <c r="E423" s="1442"/>
      <c r="F423" s="1442"/>
      <c r="G423" s="1439"/>
      <c r="H423" s="1439"/>
      <c r="I423" s="1439"/>
      <c r="J423" s="1439"/>
      <c r="K423" s="1439"/>
      <c r="L423" s="1439"/>
      <c r="M423" s="867" t="s">
        <v>2546</v>
      </c>
      <c r="N423" s="867" t="s">
        <v>3886</v>
      </c>
      <c r="O423" s="867" t="s">
        <v>4004</v>
      </c>
      <c r="P423" s="869">
        <v>18</v>
      </c>
      <c r="Q423" s="869">
        <v>18</v>
      </c>
      <c r="R423" s="870">
        <v>17</v>
      </c>
      <c r="S423" s="871">
        <v>18</v>
      </c>
      <c r="T423" s="871">
        <v>18</v>
      </c>
      <c r="U423" s="872">
        <v>17</v>
      </c>
      <c r="W423" s="872"/>
    </row>
    <row r="424" spans="1:23" x14ac:dyDescent="0.2">
      <c r="A424" s="865" t="s">
        <v>2542</v>
      </c>
      <c r="B424" s="866" t="s">
        <v>4000</v>
      </c>
      <c r="C424" s="866" t="s">
        <v>4001</v>
      </c>
      <c r="D424" s="1440"/>
      <c r="E424" s="1443"/>
      <c r="F424" s="1443"/>
      <c r="G424" s="1440"/>
      <c r="H424" s="1440"/>
      <c r="I424" s="1440"/>
      <c r="J424" s="1440"/>
      <c r="K424" s="1440"/>
      <c r="L424" s="1440"/>
      <c r="M424" s="867" t="s">
        <v>2547</v>
      </c>
      <c r="N424" s="867" t="s">
        <v>3870</v>
      </c>
      <c r="O424" s="873" t="s">
        <v>4005</v>
      </c>
      <c r="P424" s="874">
        <v>18</v>
      </c>
      <c r="Q424" s="874">
        <v>18</v>
      </c>
      <c r="R424" s="875">
        <v>17</v>
      </c>
      <c r="S424" s="876">
        <v>18</v>
      </c>
      <c r="T424" s="876">
        <v>18</v>
      </c>
      <c r="U424" s="877">
        <v>17</v>
      </c>
      <c r="W424" s="877"/>
    </row>
    <row r="425" spans="1:23" ht="24" x14ac:dyDescent="0.2">
      <c r="A425" s="865" t="s">
        <v>2542</v>
      </c>
      <c r="B425" s="866" t="s">
        <v>4000</v>
      </c>
      <c r="C425" s="866" t="s">
        <v>4001</v>
      </c>
      <c r="D425" s="867" t="s">
        <v>2548</v>
      </c>
      <c r="E425" s="868">
        <v>45558.325196759259</v>
      </c>
      <c r="F425" s="868">
        <v>45688.958321759259</v>
      </c>
      <c r="G425" s="867" t="s">
        <v>1777</v>
      </c>
      <c r="H425" s="867" t="s">
        <v>1765</v>
      </c>
      <c r="I425" s="867" t="s">
        <v>1778</v>
      </c>
      <c r="J425" s="867" t="s">
        <v>2549</v>
      </c>
      <c r="K425" s="867" t="s">
        <v>1804</v>
      </c>
      <c r="L425" s="867" t="s">
        <v>2221</v>
      </c>
      <c r="M425" s="867" t="s">
        <v>2550</v>
      </c>
      <c r="N425" s="867" t="s">
        <v>3884</v>
      </c>
      <c r="O425" s="867" t="s">
        <v>4006</v>
      </c>
      <c r="P425" s="869">
        <v>18</v>
      </c>
      <c r="Q425" s="869">
        <v>18</v>
      </c>
      <c r="R425" s="870">
        <v>11</v>
      </c>
      <c r="S425" s="871">
        <v>18</v>
      </c>
      <c r="T425" s="871">
        <v>18</v>
      </c>
      <c r="U425" s="872">
        <v>11</v>
      </c>
      <c r="W425" s="872"/>
    </row>
    <row r="426" spans="1:23" x14ac:dyDescent="0.2">
      <c r="A426" s="865" t="s">
        <v>2542</v>
      </c>
      <c r="B426" s="866" t="s">
        <v>4000</v>
      </c>
      <c r="C426" s="866" t="s">
        <v>4001</v>
      </c>
      <c r="D426" s="1438" t="s">
        <v>2551</v>
      </c>
      <c r="E426" s="1441">
        <v>45554.356458333335</v>
      </c>
      <c r="F426" s="1441">
        <v>45716.958321759259</v>
      </c>
      <c r="G426" s="1438" t="s">
        <v>1741</v>
      </c>
      <c r="H426" s="1438" t="s">
        <v>1752</v>
      </c>
      <c r="I426" s="1438" t="s">
        <v>1754</v>
      </c>
      <c r="J426" s="1438" t="s">
        <v>2552</v>
      </c>
      <c r="K426" s="1438" t="s">
        <v>1804</v>
      </c>
      <c r="L426" s="1438" t="s">
        <v>1930</v>
      </c>
      <c r="M426" s="867" t="s">
        <v>2553</v>
      </c>
      <c r="N426" s="867" t="s">
        <v>3861</v>
      </c>
      <c r="O426" s="873" t="s">
        <v>4007</v>
      </c>
      <c r="P426" s="874">
        <v>28</v>
      </c>
      <c r="Q426" s="874">
        <v>22</v>
      </c>
      <c r="R426" s="875">
        <v>14</v>
      </c>
      <c r="S426" s="876">
        <v>28</v>
      </c>
      <c r="T426" s="876">
        <v>22</v>
      </c>
      <c r="U426" s="877">
        <v>14</v>
      </c>
      <c r="W426" s="877"/>
    </row>
    <row r="427" spans="1:23" x14ac:dyDescent="0.2">
      <c r="A427" s="865" t="s">
        <v>2542</v>
      </c>
      <c r="B427" s="866" t="s">
        <v>4000</v>
      </c>
      <c r="C427" s="866" t="s">
        <v>4001</v>
      </c>
      <c r="D427" s="1440"/>
      <c r="E427" s="1443"/>
      <c r="F427" s="1443"/>
      <c r="G427" s="1440"/>
      <c r="H427" s="1440"/>
      <c r="I427" s="1440"/>
      <c r="J427" s="1440"/>
      <c r="K427" s="1440"/>
      <c r="L427" s="1440"/>
      <c r="M427" s="867" t="s">
        <v>2547</v>
      </c>
      <c r="N427" s="867" t="s">
        <v>3870</v>
      </c>
      <c r="O427" s="867" t="s">
        <v>4005</v>
      </c>
      <c r="P427" s="869">
        <v>28</v>
      </c>
      <c r="Q427" s="869">
        <v>22</v>
      </c>
      <c r="R427" s="870">
        <v>14</v>
      </c>
      <c r="S427" s="871">
        <v>28</v>
      </c>
      <c r="T427" s="871">
        <v>22</v>
      </c>
      <c r="U427" s="872">
        <v>14</v>
      </c>
      <c r="W427" s="872"/>
    </row>
    <row r="428" spans="1:23" ht="24" x14ac:dyDescent="0.2">
      <c r="A428" s="865" t="s">
        <v>2542</v>
      </c>
      <c r="B428" s="866" t="s">
        <v>4000</v>
      </c>
      <c r="C428" s="866" t="s">
        <v>4001</v>
      </c>
      <c r="D428" s="867" t="s">
        <v>2554</v>
      </c>
      <c r="E428" s="868">
        <v>45569.443935185183</v>
      </c>
      <c r="F428" s="868">
        <v>45657.958321759259</v>
      </c>
      <c r="G428" s="867" t="s">
        <v>1777</v>
      </c>
      <c r="H428" s="867" t="s">
        <v>1765</v>
      </c>
      <c r="I428" s="867" t="s">
        <v>1778</v>
      </c>
      <c r="J428" s="867" t="s">
        <v>2555</v>
      </c>
      <c r="K428" s="867" t="s">
        <v>1804</v>
      </c>
      <c r="L428" s="867" t="s">
        <v>2221</v>
      </c>
      <c r="M428" s="867" t="s">
        <v>2556</v>
      </c>
      <c r="N428" s="867" t="s">
        <v>4008</v>
      </c>
      <c r="O428" s="873" t="s">
        <v>4009</v>
      </c>
      <c r="P428" s="874">
        <v>11</v>
      </c>
      <c r="Q428" s="874">
        <v>11</v>
      </c>
      <c r="R428" s="875">
        <v>7</v>
      </c>
      <c r="S428" s="876">
        <v>11</v>
      </c>
      <c r="T428" s="876">
        <v>11</v>
      </c>
      <c r="U428" s="877">
        <v>7</v>
      </c>
      <c r="W428" s="877"/>
    </row>
    <row r="429" spans="1:23" ht="36" x14ac:dyDescent="0.2">
      <c r="A429" s="865" t="s">
        <v>2542</v>
      </c>
      <c r="B429" s="866" t="s">
        <v>4000</v>
      </c>
      <c r="C429" s="866" t="s">
        <v>4001</v>
      </c>
      <c r="D429" s="867" t="s">
        <v>2557</v>
      </c>
      <c r="E429" s="868">
        <v>45567.245254629626</v>
      </c>
      <c r="F429" s="868">
        <v>45716.958321759259</v>
      </c>
      <c r="G429" s="867" t="s">
        <v>1741</v>
      </c>
      <c r="H429" s="867" t="s">
        <v>1745</v>
      </c>
      <c r="I429" s="867" t="s">
        <v>1747</v>
      </c>
      <c r="J429" s="867" t="s">
        <v>2558</v>
      </c>
      <c r="K429" s="867" t="s">
        <v>1804</v>
      </c>
      <c r="L429" s="867" t="s">
        <v>1805</v>
      </c>
      <c r="M429" s="867" t="s">
        <v>2559</v>
      </c>
      <c r="N429" s="867" t="s">
        <v>4010</v>
      </c>
      <c r="O429" s="867" t="s">
        <v>4011</v>
      </c>
      <c r="P429" s="869">
        <v>1</v>
      </c>
      <c r="Q429" s="869">
        <v>1</v>
      </c>
      <c r="R429" s="870">
        <v>1</v>
      </c>
      <c r="S429" s="871">
        <v>1</v>
      </c>
      <c r="T429" s="871">
        <v>1</v>
      </c>
      <c r="U429" s="872">
        <v>1</v>
      </c>
      <c r="W429" s="872"/>
    </row>
    <row r="430" spans="1:23" x14ac:dyDescent="0.2">
      <c r="A430" s="865" t="s">
        <v>2542</v>
      </c>
      <c r="B430" s="866" t="s">
        <v>4000</v>
      </c>
      <c r="C430" s="866" t="s">
        <v>4001</v>
      </c>
      <c r="D430" s="1438" t="s">
        <v>2560</v>
      </c>
      <c r="E430" s="1441">
        <v>45559.315185185187</v>
      </c>
      <c r="F430" s="1441">
        <v>45716.958321759259</v>
      </c>
      <c r="G430" s="1438" t="s">
        <v>1741</v>
      </c>
      <c r="H430" s="1438" t="s">
        <v>1755</v>
      </c>
      <c r="I430" s="1438" t="s">
        <v>1757</v>
      </c>
      <c r="J430" s="1438" t="s">
        <v>2561</v>
      </c>
      <c r="K430" s="1438" t="s">
        <v>1804</v>
      </c>
      <c r="L430" s="1438" t="s">
        <v>1805</v>
      </c>
      <c r="M430" s="867" t="s">
        <v>2553</v>
      </c>
      <c r="N430" s="867" t="s">
        <v>3861</v>
      </c>
      <c r="O430" s="873" t="s">
        <v>4007</v>
      </c>
      <c r="P430" s="874">
        <v>16</v>
      </c>
      <c r="Q430" s="874">
        <v>16</v>
      </c>
      <c r="R430" s="875">
        <v>10</v>
      </c>
      <c r="S430" s="876">
        <v>16</v>
      </c>
      <c r="T430" s="876">
        <v>16</v>
      </c>
      <c r="U430" s="877">
        <v>10</v>
      </c>
      <c r="W430" s="877"/>
    </row>
    <row r="431" spans="1:23" x14ac:dyDescent="0.2">
      <c r="A431" s="865" t="s">
        <v>2542</v>
      </c>
      <c r="B431" s="866" t="s">
        <v>4000</v>
      </c>
      <c r="C431" s="866" t="s">
        <v>4001</v>
      </c>
      <c r="D431" s="1440"/>
      <c r="E431" s="1443"/>
      <c r="F431" s="1443"/>
      <c r="G431" s="1440"/>
      <c r="H431" s="1440"/>
      <c r="I431" s="1440"/>
      <c r="J431" s="1440"/>
      <c r="K431" s="1440"/>
      <c r="L431" s="1440"/>
      <c r="M431" s="867" t="s">
        <v>2547</v>
      </c>
      <c r="N431" s="867" t="s">
        <v>3870</v>
      </c>
      <c r="O431" s="867" t="s">
        <v>4005</v>
      </c>
      <c r="P431" s="869">
        <v>16</v>
      </c>
      <c r="Q431" s="869">
        <v>16</v>
      </c>
      <c r="R431" s="870">
        <v>10</v>
      </c>
      <c r="S431" s="871">
        <v>16</v>
      </c>
      <c r="T431" s="871">
        <v>16</v>
      </c>
      <c r="U431" s="872">
        <v>10</v>
      </c>
      <c r="W431" s="872"/>
    </row>
    <row r="432" spans="1:23" x14ac:dyDescent="0.2">
      <c r="A432" s="865" t="s">
        <v>2542</v>
      </c>
      <c r="B432" s="866" t="s">
        <v>4000</v>
      </c>
      <c r="C432" s="866" t="s">
        <v>4001</v>
      </c>
      <c r="D432" s="1438" t="s">
        <v>2562</v>
      </c>
      <c r="E432" s="1441">
        <v>45548.354444444441</v>
      </c>
      <c r="F432" s="1441">
        <v>45869.916655092595</v>
      </c>
      <c r="G432" s="1438" t="s">
        <v>1758</v>
      </c>
      <c r="H432" s="1438" t="s">
        <v>1759</v>
      </c>
      <c r="I432" s="1438" t="s">
        <v>1762</v>
      </c>
      <c r="J432" s="1438" t="s">
        <v>2563</v>
      </c>
      <c r="K432" s="1438" t="s">
        <v>1804</v>
      </c>
      <c r="L432" s="1438" t="s">
        <v>1828</v>
      </c>
      <c r="M432" s="867" t="s">
        <v>2564</v>
      </c>
      <c r="N432" s="867" t="s">
        <v>4012</v>
      </c>
      <c r="O432" s="873" t="s">
        <v>4013</v>
      </c>
      <c r="P432" s="874">
        <v>13</v>
      </c>
      <c r="Q432" s="874">
        <v>13</v>
      </c>
      <c r="R432" s="875">
        <v>12</v>
      </c>
      <c r="S432" s="876">
        <v>13</v>
      </c>
      <c r="T432" s="876">
        <v>13</v>
      </c>
      <c r="U432" s="877">
        <v>12</v>
      </c>
      <c r="W432" s="877"/>
    </row>
    <row r="433" spans="1:23" x14ac:dyDescent="0.2">
      <c r="A433" s="865" t="s">
        <v>2542</v>
      </c>
      <c r="B433" s="866" t="s">
        <v>4000</v>
      </c>
      <c r="C433" s="866" t="s">
        <v>4001</v>
      </c>
      <c r="D433" s="1440"/>
      <c r="E433" s="1443"/>
      <c r="F433" s="1443"/>
      <c r="G433" s="1440"/>
      <c r="H433" s="1440"/>
      <c r="I433" s="1440"/>
      <c r="J433" s="1440"/>
      <c r="K433" s="1440"/>
      <c r="L433" s="1440"/>
      <c r="M433" s="867" t="s">
        <v>2546</v>
      </c>
      <c r="N433" s="867" t="s">
        <v>3886</v>
      </c>
      <c r="O433" s="867" t="s">
        <v>4004</v>
      </c>
      <c r="P433" s="869">
        <v>13</v>
      </c>
      <c r="Q433" s="869">
        <v>13</v>
      </c>
      <c r="R433" s="870">
        <v>12</v>
      </c>
      <c r="S433" s="871">
        <v>13</v>
      </c>
      <c r="T433" s="871">
        <v>13</v>
      </c>
      <c r="U433" s="872">
        <v>12</v>
      </c>
      <c r="W433" s="872"/>
    </row>
    <row r="434" spans="1:23" x14ac:dyDescent="0.2">
      <c r="A434" s="865" t="s">
        <v>2542</v>
      </c>
      <c r="B434" s="866" t="s">
        <v>4000</v>
      </c>
      <c r="C434" s="866" t="s">
        <v>4001</v>
      </c>
      <c r="D434" s="1438" t="s">
        <v>2565</v>
      </c>
      <c r="E434" s="1441">
        <v>45556.916666666664</v>
      </c>
      <c r="F434" s="1441">
        <v>45747.916655092595</v>
      </c>
      <c r="G434" s="1438" t="s">
        <v>1758</v>
      </c>
      <c r="H434" s="1438" t="s">
        <v>1759</v>
      </c>
      <c r="I434" s="1438" t="s">
        <v>1762</v>
      </c>
      <c r="J434" s="1438" t="s">
        <v>2566</v>
      </c>
      <c r="K434" s="1438" t="s">
        <v>1804</v>
      </c>
      <c r="L434" s="1438" t="s">
        <v>1828</v>
      </c>
      <c r="M434" s="867" t="s">
        <v>2559</v>
      </c>
      <c r="N434" s="867" t="s">
        <v>4010</v>
      </c>
      <c r="O434" s="873" t="s">
        <v>4011</v>
      </c>
      <c r="P434" s="874">
        <v>8</v>
      </c>
      <c r="Q434" s="874">
        <v>8</v>
      </c>
      <c r="R434" s="875">
        <v>6</v>
      </c>
      <c r="S434" s="876">
        <v>8</v>
      </c>
      <c r="T434" s="876">
        <v>8</v>
      </c>
      <c r="U434" s="877">
        <v>6</v>
      </c>
      <c r="W434" s="877"/>
    </row>
    <row r="435" spans="1:23" x14ac:dyDescent="0.2">
      <c r="A435" s="865" t="s">
        <v>2542</v>
      </c>
      <c r="B435" s="866" t="s">
        <v>4000</v>
      </c>
      <c r="C435" s="866" t="s">
        <v>4001</v>
      </c>
      <c r="D435" s="1440"/>
      <c r="E435" s="1443"/>
      <c r="F435" s="1443"/>
      <c r="G435" s="1440"/>
      <c r="H435" s="1440"/>
      <c r="I435" s="1440"/>
      <c r="J435" s="1440"/>
      <c r="K435" s="1440"/>
      <c r="L435" s="1440"/>
      <c r="M435" s="867" t="s">
        <v>2567</v>
      </c>
      <c r="N435" s="867" t="s">
        <v>4014</v>
      </c>
      <c r="O435" s="867" t="s">
        <v>4015</v>
      </c>
      <c r="P435" s="869">
        <v>8</v>
      </c>
      <c r="Q435" s="869">
        <v>8</v>
      </c>
      <c r="R435" s="870">
        <v>6</v>
      </c>
      <c r="S435" s="871">
        <v>8</v>
      </c>
      <c r="T435" s="871">
        <v>8</v>
      </c>
      <c r="U435" s="872">
        <v>6</v>
      </c>
      <c r="W435" s="872"/>
    </row>
    <row r="436" spans="1:23" x14ac:dyDescent="0.2">
      <c r="A436" s="865" t="s">
        <v>2542</v>
      </c>
      <c r="B436" s="866" t="s">
        <v>4000</v>
      </c>
      <c r="C436" s="866" t="s">
        <v>4001</v>
      </c>
      <c r="D436" s="1438" t="s">
        <v>2568</v>
      </c>
      <c r="E436" s="1441">
        <v>45319.958333333336</v>
      </c>
      <c r="F436" s="1441">
        <v>45656.958333333336</v>
      </c>
      <c r="G436" s="1438" t="s">
        <v>1758</v>
      </c>
      <c r="H436" s="1438" t="s">
        <v>1759</v>
      </c>
      <c r="I436" s="1438" t="s">
        <v>1823</v>
      </c>
      <c r="J436" s="1438" t="s">
        <v>2569</v>
      </c>
      <c r="K436" s="1438" t="s">
        <v>1804</v>
      </c>
      <c r="L436" s="1438" t="s">
        <v>1819</v>
      </c>
      <c r="M436" s="867" t="s">
        <v>2570</v>
      </c>
      <c r="N436" s="867" t="s">
        <v>3947</v>
      </c>
      <c r="O436" s="873" t="s">
        <v>4016</v>
      </c>
      <c r="P436" s="874">
        <v>251</v>
      </c>
      <c r="Q436" s="874">
        <v>232</v>
      </c>
      <c r="R436" s="875">
        <v>211</v>
      </c>
      <c r="S436" s="876">
        <v>251</v>
      </c>
      <c r="T436" s="876">
        <v>232</v>
      </c>
      <c r="U436" s="877">
        <v>211</v>
      </c>
      <c r="W436" s="877"/>
    </row>
    <row r="437" spans="1:23" x14ac:dyDescent="0.2">
      <c r="A437" s="865" t="s">
        <v>2542</v>
      </c>
      <c r="B437" s="866" t="s">
        <v>4000</v>
      </c>
      <c r="C437" s="866" t="s">
        <v>4001</v>
      </c>
      <c r="D437" s="1439"/>
      <c r="E437" s="1442"/>
      <c r="F437" s="1442"/>
      <c r="G437" s="1439"/>
      <c r="H437" s="1439"/>
      <c r="I437" s="1439"/>
      <c r="J437" s="1439"/>
      <c r="K437" s="1439"/>
      <c r="L437" s="1439"/>
      <c r="M437" s="867" t="s">
        <v>2564</v>
      </c>
      <c r="N437" s="867" t="s">
        <v>4012</v>
      </c>
      <c r="O437" s="867" t="s">
        <v>4013</v>
      </c>
      <c r="P437" s="869">
        <v>251</v>
      </c>
      <c r="Q437" s="869">
        <v>232</v>
      </c>
      <c r="R437" s="870">
        <v>211</v>
      </c>
      <c r="S437" s="871">
        <v>251</v>
      </c>
      <c r="T437" s="871">
        <v>232</v>
      </c>
      <c r="U437" s="872">
        <v>211</v>
      </c>
      <c r="W437" s="872"/>
    </row>
    <row r="438" spans="1:23" x14ac:dyDescent="0.2">
      <c r="A438" s="865" t="s">
        <v>2542</v>
      </c>
      <c r="B438" s="866" t="s">
        <v>4000</v>
      </c>
      <c r="C438" s="866" t="s">
        <v>4001</v>
      </c>
      <c r="D438" s="1439"/>
      <c r="E438" s="1442"/>
      <c r="F438" s="1442"/>
      <c r="G438" s="1439"/>
      <c r="H438" s="1439"/>
      <c r="I438" s="1439"/>
      <c r="J438" s="1439"/>
      <c r="K438" s="1439"/>
      <c r="L438" s="1439"/>
      <c r="M438" s="867" t="s">
        <v>2571</v>
      </c>
      <c r="N438" s="867" t="s">
        <v>3863</v>
      </c>
      <c r="O438" s="873" t="s">
        <v>4017</v>
      </c>
      <c r="P438" s="874">
        <v>251</v>
      </c>
      <c r="Q438" s="874">
        <v>232</v>
      </c>
      <c r="R438" s="875">
        <v>211</v>
      </c>
      <c r="S438" s="876">
        <v>251</v>
      </c>
      <c r="T438" s="876">
        <v>232</v>
      </c>
      <c r="U438" s="877">
        <v>211</v>
      </c>
      <c r="W438" s="877"/>
    </row>
    <row r="439" spans="1:23" x14ac:dyDescent="0.2">
      <c r="A439" s="865" t="s">
        <v>2542</v>
      </c>
      <c r="B439" s="866" t="s">
        <v>4000</v>
      </c>
      <c r="C439" s="866" t="s">
        <v>4001</v>
      </c>
      <c r="D439" s="1439"/>
      <c r="E439" s="1442"/>
      <c r="F439" s="1442"/>
      <c r="G439" s="1439"/>
      <c r="H439" s="1439"/>
      <c r="I439" s="1439"/>
      <c r="J439" s="1439"/>
      <c r="K439" s="1439"/>
      <c r="L439" s="1439"/>
      <c r="M439" s="867" t="s">
        <v>2546</v>
      </c>
      <c r="N439" s="867" t="s">
        <v>3886</v>
      </c>
      <c r="O439" s="867" t="s">
        <v>4004</v>
      </c>
      <c r="P439" s="869">
        <v>251</v>
      </c>
      <c r="Q439" s="869">
        <v>232</v>
      </c>
      <c r="R439" s="870">
        <v>211</v>
      </c>
      <c r="S439" s="871">
        <v>251</v>
      </c>
      <c r="T439" s="871">
        <v>232</v>
      </c>
      <c r="U439" s="872">
        <v>211</v>
      </c>
      <c r="W439" s="872"/>
    </row>
    <row r="440" spans="1:23" x14ac:dyDescent="0.2">
      <c r="A440" s="865" t="s">
        <v>2542</v>
      </c>
      <c r="B440" s="866" t="s">
        <v>4000</v>
      </c>
      <c r="C440" s="866" t="s">
        <v>4001</v>
      </c>
      <c r="D440" s="1440"/>
      <c r="E440" s="1443"/>
      <c r="F440" s="1443"/>
      <c r="G440" s="1440"/>
      <c r="H440" s="1440"/>
      <c r="I440" s="1440"/>
      <c r="J440" s="1440"/>
      <c r="K440" s="1440"/>
      <c r="L440" s="1440"/>
      <c r="M440" s="867" t="s">
        <v>2572</v>
      </c>
      <c r="N440" s="867" t="s">
        <v>3877</v>
      </c>
      <c r="O440" s="873" t="s">
        <v>4018</v>
      </c>
      <c r="P440" s="874">
        <v>251</v>
      </c>
      <c r="Q440" s="874">
        <v>232</v>
      </c>
      <c r="R440" s="875">
        <v>211</v>
      </c>
      <c r="S440" s="876">
        <v>251</v>
      </c>
      <c r="T440" s="876">
        <v>232</v>
      </c>
      <c r="U440" s="877">
        <v>211</v>
      </c>
      <c r="W440" s="877"/>
    </row>
    <row r="441" spans="1:23" x14ac:dyDescent="0.2">
      <c r="A441" s="865" t="s">
        <v>2542</v>
      </c>
      <c r="B441" s="866" t="s">
        <v>4000</v>
      </c>
      <c r="C441" s="866" t="s">
        <v>4001</v>
      </c>
      <c r="D441" s="1438" t="s">
        <v>2573</v>
      </c>
      <c r="E441" s="1441">
        <v>45324.958333333336</v>
      </c>
      <c r="F441" s="1441">
        <v>45564.916666666664</v>
      </c>
      <c r="G441" s="1438" t="s">
        <v>1758</v>
      </c>
      <c r="H441" s="1438" t="s">
        <v>1759</v>
      </c>
      <c r="I441" s="1438" t="s">
        <v>1823</v>
      </c>
      <c r="J441" s="1438" t="s">
        <v>2574</v>
      </c>
      <c r="K441" s="1438" t="s">
        <v>1804</v>
      </c>
      <c r="L441" s="1438" t="s">
        <v>1819</v>
      </c>
      <c r="M441" s="867" t="s">
        <v>2559</v>
      </c>
      <c r="N441" s="867" t="s">
        <v>4010</v>
      </c>
      <c r="O441" s="867" t="s">
        <v>4011</v>
      </c>
      <c r="P441" s="869">
        <v>19</v>
      </c>
      <c r="Q441" s="869">
        <v>13</v>
      </c>
      <c r="R441" s="870">
        <v>8</v>
      </c>
      <c r="S441" s="871">
        <v>19</v>
      </c>
      <c r="T441" s="871">
        <v>13</v>
      </c>
      <c r="U441" s="872">
        <v>8</v>
      </c>
      <c r="W441" s="872"/>
    </row>
    <row r="442" spans="1:23" x14ac:dyDescent="0.2">
      <c r="A442" s="865" t="s">
        <v>2542</v>
      </c>
      <c r="B442" s="866" t="s">
        <v>4000</v>
      </c>
      <c r="C442" s="866" t="s">
        <v>4001</v>
      </c>
      <c r="D442" s="1440"/>
      <c r="E442" s="1443"/>
      <c r="F442" s="1443"/>
      <c r="G442" s="1440"/>
      <c r="H442" s="1440"/>
      <c r="I442" s="1440"/>
      <c r="J442" s="1440"/>
      <c r="K442" s="1440"/>
      <c r="L442" s="1440"/>
      <c r="M442" s="867" t="s">
        <v>2567</v>
      </c>
      <c r="N442" s="867" t="s">
        <v>4014</v>
      </c>
      <c r="O442" s="873" t="s">
        <v>4015</v>
      </c>
      <c r="P442" s="874">
        <v>19</v>
      </c>
      <c r="Q442" s="874">
        <v>13</v>
      </c>
      <c r="R442" s="875">
        <v>8</v>
      </c>
      <c r="S442" s="876">
        <v>19</v>
      </c>
      <c r="T442" s="876">
        <v>13</v>
      </c>
      <c r="U442" s="877">
        <v>8</v>
      </c>
      <c r="W442" s="877"/>
    </row>
    <row r="443" spans="1:23" x14ac:dyDescent="0.2">
      <c r="A443" s="865" t="s">
        <v>2542</v>
      </c>
      <c r="B443" s="866" t="s">
        <v>4000</v>
      </c>
      <c r="C443" s="866" t="s">
        <v>4001</v>
      </c>
      <c r="D443" s="1438" t="s">
        <v>2575</v>
      </c>
      <c r="E443" s="1441">
        <v>45340.958333333336</v>
      </c>
      <c r="F443" s="1441">
        <v>45534.916666666664</v>
      </c>
      <c r="G443" s="1438" t="s">
        <v>1741</v>
      </c>
      <c r="H443" s="1438" t="s">
        <v>1752</v>
      </c>
      <c r="I443" s="1438" t="s">
        <v>1964</v>
      </c>
      <c r="J443" s="1438" t="s">
        <v>2576</v>
      </c>
      <c r="K443" s="1438" t="s">
        <v>1804</v>
      </c>
      <c r="L443" s="1438" t="s">
        <v>2577</v>
      </c>
      <c r="M443" s="867" t="s">
        <v>2553</v>
      </c>
      <c r="N443" s="867" t="s">
        <v>3861</v>
      </c>
      <c r="O443" s="867" t="s">
        <v>4007</v>
      </c>
      <c r="P443" s="869">
        <v>284</v>
      </c>
      <c r="Q443" s="869">
        <v>279</v>
      </c>
      <c r="R443" s="870">
        <v>231</v>
      </c>
      <c r="S443" s="871">
        <v>284</v>
      </c>
      <c r="T443" s="871">
        <v>279</v>
      </c>
      <c r="U443" s="872">
        <v>231</v>
      </c>
      <c r="W443" s="872"/>
    </row>
    <row r="444" spans="1:23" x14ac:dyDescent="0.2">
      <c r="A444" s="865" t="s">
        <v>2542</v>
      </c>
      <c r="B444" s="866" t="s">
        <v>4000</v>
      </c>
      <c r="C444" s="866" t="s">
        <v>4001</v>
      </c>
      <c r="D444" s="1440"/>
      <c r="E444" s="1443"/>
      <c r="F444" s="1443"/>
      <c r="G444" s="1440"/>
      <c r="H444" s="1440"/>
      <c r="I444" s="1440"/>
      <c r="J444" s="1440"/>
      <c r="K444" s="1440"/>
      <c r="L444" s="1440"/>
      <c r="M444" s="867" t="s">
        <v>2547</v>
      </c>
      <c r="N444" s="867" t="s">
        <v>3870</v>
      </c>
      <c r="O444" s="873" t="s">
        <v>4005</v>
      </c>
      <c r="P444" s="874">
        <v>284</v>
      </c>
      <c r="Q444" s="874">
        <v>279</v>
      </c>
      <c r="R444" s="875">
        <v>231</v>
      </c>
      <c r="S444" s="876">
        <v>284</v>
      </c>
      <c r="T444" s="876">
        <v>279</v>
      </c>
      <c r="U444" s="877">
        <v>231</v>
      </c>
      <c r="W444" s="877"/>
    </row>
    <row r="445" spans="1:23" ht="24" x14ac:dyDescent="0.2">
      <c r="A445" s="865" t="s">
        <v>2542</v>
      </c>
      <c r="B445" s="866" t="s">
        <v>4000</v>
      </c>
      <c r="C445" s="866" t="s">
        <v>4001</v>
      </c>
      <c r="D445" s="867" t="s">
        <v>2578</v>
      </c>
      <c r="E445" s="868">
        <v>45335.958333333336</v>
      </c>
      <c r="F445" s="868">
        <v>45564.916666666664</v>
      </c>
      <c r="G445" s="867" t="s">
        <v>1777</v>
      </c>
      <c r="H445" s="867" t="s">
        <v>1765</v>
      </c>
      <c r="I445" s="867" t="s">
        <v>2405</v>
      </c>
      <c r="J445" s="867" t="s">
        <v>2579</v>
      </c>
      <c r="K445" s="867" t="s">
        <v>1804</v>
      </c>
      <c r="L445" s="867" t="s">
        <v>2407</v>
      </c>
      <c r="M445" s="867" t="s">
        <v>2550</v>
      </c>
      <c r="N445" s="867" t="s">
        <v>3884</v>
      </c>
      <c r="O445" s="867" t="s">
        <v>4006</v>
      </c>
      <c r="P445" s="869">
        <v>5</v>
      </c>
      <c r="Q445" s="869">
        <v>5</v>
      </c>
      <c r="R445" s="870">
        <v>4</v>
      </c>
      <c r="S445" s="871">
        <v>5</v>
      </c>
      <c r="T445" s="871">
        <v>5</v>
      </c>
      <c r="U445" s="872">
        <v>4</v>
      </c>
      <c r="W445" s="872"/>
    </row>
    <row r="446" spans="1:23" ht="36" x14ac:dyDescent="0.2">
      <c r="A446" s="865" t="s">
        <v>2542</v>
      </c>
      <c r="B446" s="866" t="s">
        <v>4000</v>
      </c>
      <c r="C446" s="866" t="s">
        <v>4001</v>
      </c>
      <c r="D446" s="867" t="s">
        <v>2580</v>
      </c>
      <c r="E446" s="868">
        <v>45336.958333333336</v>
      </c>
      <c r="F446" s="868">
        <v>45656.958333333336</v>
      </c>
      <c r="G446" s="867" t="s">
        <v>1758</v>
      </c>
      <c r="H446" s="867" t="s">
        <v>1759</v>
      </c>
      <c r="I446" s="867" t="s">
        <v>1823</v>
      </c>
      <c r="J446" s="867" t="s">
        <v>2581</v>
      </c>
      <c r="K446" s="867" t="s">
        <v>1804</v>
      </c>
      <c r="L446" s="867" t="s">
        <v>1819</v>
      </c>
      <c r="M446" s="867" t="s">
        <v>2564</v>
      </c>
      <c r="N446" s="867" t="s">
        <v>4012</v>
      </c>
      <c r="O446" s="873" t="s">
        <v>4013</v>
      </c>
      <c r="P446" s="874">
        <v>1</v>
      </c>
      <c r="Q446" s="874">
        <v>1</v>
      </c>
      <c r="R446" s="875">
        <v>0</v>
      </c>
      <c r="S446" s="876">
        <v>1</v>
      </c>
      <c r="T446" s="876">
        <v>1</v>
      </c>
      <c r="U446" s="877">
        <v>0</v>
      </c>
      <c r="W446" s="877"/>
    </row>
    <row r="447" spans="1:23" x14ac:dyDescent="0.2">
      <c r="A447" s="865" t="s">
        <v>2542</v>
      </c>
      <c r="B447" s="866" t="s">
        <v>4000</v>
      </c>
      <c r="C447" s="866" t="s">
        <v>4001</v>
      </c>
      <c r="D447" s="1438" t="s">
        <v>2582</v>
      </c>
      <c r="E447" s="1441">
        <v>45339.958333333336</v>
      </c>
      <c r="F447" s="1441">
        <v>45555.916666666664</v>
      </c>
      <c r="G447" s="1438" t="s">
        <v>1758</v>
      </c>
      <c r="H447" s="1438" t="s">
        <v>1759</v>
      </c>
      <c r="I447" s="1438" t="s">
        <v>1858</v>
      </c>
      <c r="J447" s="1438" t="s">
        <v>2583</v>
      </c>
      <c r="K447" s="1438" t="s">
        <v>1804</v>
      </c>
      <c r="L447" s="1438" t="s">
        <v>1819</v>
      </c>
      <c r="M447" s="867" t="s">
        <v>2564</v>
      </c>
      <c r="N447" s="867" t="s">
        <v>4012</v>
      </c>
      <c r="O447" s="867" t="s">
        <v>4013</v>
      </c>
      <c r="P447" s="869">
        <v>20</v>
      </c>
      <c r="Q447" s="869">
        <v>19</v>
      </c>
      <c r="R447" s="870">
        <v>19</v>
      </c>
      <c r="S447" s="871">
        <v>20</v>
      </c>
      <c r="T447" s="871">
        <v>19</v>
      </c>
      <c r="U447" s="872">
        <v>19</v>
      </c>
      <c r="W447" s="872"/>
    </row>
    <row r="448" spans="1:23" x14ac:dyDescent="0.2">
      <c r="A448" s="865" t="s">
        <v>2542</v>
      </c>
      <c r="B448" s="866" t="s">
        <v>4000</v>
      </c>
      <c r="C448" s="866" t="s">
        <v>4001</v>
      </c>
      <c r="D448" s="1440"/>
      <c r="E448" s="1443"/>
      <c r="F448" s="1443"/>
      <c r="G448" s="1440"/>
      <c r="H448" s="1440"/>
      <c r="I448" s="1440"/>
      <c r="J448" s="1440"/>
      <c r="K448" s="1440"/>
      <c r="L448" s="1440"/>
      <c r="M448" s="867" t="s">
        <v>2546</v>
      </c>
      <c r="N448" s="867" t="s">
        <v>3886</v>
      </c>
      <c r="O448" s="873" t="s">
        <v>4004</v>
      </c>
      <c r="P448" s="874">
        <v>20</v>
      </c>
      <c r="Q448" s="874">
        <v>19</v>
      </c>
      <c r="R448" s="875">
        <v>19</v>
      </c>
      <c r="S448" s="876">
        <v>20</v>
      </c>
      <c r="T448" s="876">
        <v>19</v>
      </c>
      <c r="U448" s="877">
        <v>19</v>
      </c>
      <c r="W448" s="877"/>
    </row>
    <row r="449" spans="1:23" x14ac:dyDescent="0.2">
      <c r="A449" s="865" t="s">
        <v>2542</v>
      </c>
      <c r="B449" s="866" t="s">
        <v>4000</v>
      </c>
      <c r="C449" s="866" t="s">
        <v>4001</v>
      </c>
      <c r="D449" s="1438" t="s">
        <v>2584</v>
      </c>
      <c r="E449" s="1441">
        <v>45340.958333333336</v>
      </c>
      <c r="F449" s="1441">
        <v>45534.916666666664</v>
      </c>
      <c r="G449" s="1438" t="s">
        <v>1758</v>
      </c>
      <c r="H449" s="1438" t="s">
        <v>1759</v>
      </c>
      <c r="I449" s="1438" t="s">
        <v>1858</v>
      </c>
      <c r="J449" s="1438" t="s">
        <v>2585</v>
      </c>
      <c r="K449" s="1438" t="s">
        <v>1804</v>
      </c>
      <c r="L449" s="1438" t="s">
        <v>1819</v>
      </c>
      <c r="M449" s="867" t="s">
        <v>2553</v>
      </c>
      <c r="N449" s="867" t="s">
        <v>3861</v>
      </c>
      <c r="O449" s="867" t="s">
        <v>4007</v>
      </c>
      <c r="P449" s="869">
        <v>15</v>
      </c>
      <c r="Q449" s="869">
        <v>15</v>
      </c>
      <c r="R449" s="870">
        <v>15</v>
      </c>
      <c r="S449" s="871">
        <v>15</v>
      </c>
      <c r="T449" s="871">
        <v>15</v>
      </c>
      <c r="U449" s="872">
        <v>15</v>
      </c>
      <c r="W449" s="872"/>
    </row>
    <row r="450" spans="1:23" x14ac:dyDescent="0.2">
      <c r="A450" s="865" t="s">
        <v>2542</v>
      </c>
      <c r="B450" s="866" t="s">
        <v>4000</v>
      </c>
      <c r="C450" s="866" t="s">
        <v>4001</v>
      </c>
      <c r="D450" s="1439"/>
      <c r="E450" s="1442"/>
      <c r="F450" s="1442"/>
      <c r="G450" s="1439"/>
      <c r="H450" s="1439"/>
      <c r="I450" s="1439"/>
      <c r="J450" s="1439"/>
      <c r="K450" s="1439"/>
      <c r="L450" s="1439"/>
      <c r="M450" s="867" t="s">
        <v>2564</v>
      </c>
      <c r="N450" s="867" t="s">
        <v>4012</v>
      </c>
      <c r="O450" s="873" t="s">
        <v>4013</v>
      </c>
      <c r="P450" s="874">
        <v>15</v>
      </c>
      <c r="Q450" s="874">
        <v>15</v>
      </c>
      <c r="R450" s="875">
        <v>15</v>
      </c>
      <c r="S450" s="876">
        <v>15</v>
      </c>
      <c r="T450" s="876">
        <v>15</v>
      </c>
      <c r="U450" s="877">
        <v>15</v>
      </c>
      <c r="W450" s="877"/>
    </row>
    <row r="451" spans="1:23" x14ac:dyDescent="0.2">
      <c r="A451" s="865" t="s">
        <v>2542</v>
      </c>
      <c r="B451" s="866" t="s">
        <v>4000</v>
      </c>
      <c r="C451" s="866" t="s">
        <v>4001</v>
      </c>
      <c r="D451" s="1440"/>
      <c r="E451" s="1443"/>
      <c r="F451" s="1443"/>
      <c r="G451" s="1440"/>
      <c r="H451" s="1440"/>
      <c r="I451" s="1440"/>
      <c r="J451" s="1440"/>
      <c r="K451" s="1440"/>
      <c r="L451" s="1440"/>
      <c r="M451" s="867" t="s">
        <v>2547</v>
      </c>
      <c r="N451" s="867" t="s">
        <v>3870</v>
      </c>
      <c r="O451" s="867" t="s">
        <v>4005</v>
      </c>
      <c r="P451" s="869">
        <v>15</v>
      </c>
      <c r="Q451" s="869">
        <v>15</v>
      </c>
      <c r="R451" s="870">
        <v>15</v>
      </c>
      <c r="S451" s="871">
        <v>15</v>
      </c>
      <c r="T451" s="871">
        <v>15</v>
      </c>
      <c r="U451" s="872">
        <v>15</v>
      </c>
      <c r="W451" s="872"/>
    </row>
    <row r="452" spans="1:23" x14ac:dyDescent="0.2">
      <c r="A452" s="865" t="s">
        <v>2542</v>
      </c>
      <c r="B452" s="866" t="s">
        <v>4000</v>
      </c>
      <c r="C452" s="866" t="s">
        <v>4001</v>
      </c>
      <c r="D452" s="1438" t="s">
        <v>2586</v>
      </c>
      <c r="E452" s="1441">
        <v>45340.958333333336</v>
      </c>
      <c r="F452" s="1441">
        <v>45534.916666666664</v>
      </c>
      <c r="G452" s="1438" t="s">
        <v>1758</v>
      </c>
      <c r="H452" s="1438" t="s">
        <v>1759</v>
      </c>
      <c r="I452" s="1438" t="s">
        <v>1858</v>
      </c>
      <c r="J452" s="1438" t="s">
        <v>2587</v>
      </c>
      <c r="K452" s="1438" t="s">
        <v>1804</v>
      </c>
      <c r="L452" s="1438" t="s">
        <v>1819</v>
      </c>
      <c r="M452" s="867" t="s">
        <v>2553</v>
      </c>
      <c r="N452" s="867" t="s">
        <v>3861</v>
      </c>
      <c r="O452" s="873" t="s">
        <v>4007</v>
      </c>
      <c r="P452" s="874">
        <v>26</v>
      </c>
      <c r="Q452" s="874">
        <v>24</v>
      </c>
      <c r="R452" s="875">
        <v>24</v>
      </c>
      <c r="S452" s="876">
        <v>26</v>
      </c>
      <c r="T452" s="876">
        <v>24</v>
      </c>
      <c r="U452" s="877">
        <v>24</v>
      </c>
      <c r="W452" s="877"/>
    </row>
    <row r="453" spans="1:23" x14ac:dyDescent="0.2">
      <c r="A453" s="865" t="s">
        <v>2542</v>
      </c>
      <c r="B453" s="866" t="s">
        <v>4000</v>
      </c>
      <c r="C453" s="866" t="s">
        <v>4001</v>
      </c>
      <c r="D453" s="1439"/>
      <c r="E453" s="1442"/>
      <c r="F453" s="1442"/>
      <c r="G453" s="1439"/>
      <c r="H453" s="1439"/>
      <c r="I453" s="1439"/>
      <c r="J453" s="1439"/>
      <c r="K453" s="1439"/>
      <c r="L453" s="1439"/>
      <c r="M453" s="867" t="s">
        <v>2564</v>
      </c>
      <c r="N453" s="867" t="s">
        <v>4012</v>
      </c>
      <c r="O453" s="867" t="s">
        <v>4013</v>
      </c>
      <c r="P453" s="869">
        <v>26</v>
      </c>
      <c r="Q453" s="869">
        <v>24</v>
      </c>
      <c r="R453" s="870">
        <v>24</v>
      </c>
      <c r="S453" s="871">
        <v>26</v>
      </c>
      <c r="T453" s="871">
        <v>24</v>
      </c>
      <c r="U453" s="872">
        <v>24</v>
      </c>
      <c r="W453" s="872"/>
    </row>
    <row r="454" spans="1:23" x14ac:dyDescent="0.2">
      <c r="A454" s="865" t="s">
        <v>2542</v>
      </c>
      <c r="B454" s="866" t="s">
        <v>4000</v>
      </c>
      <c r="C454" s="866" t="s">
        <v>4001</v>
      </c>
      <c r="D454" s="1440"/>
      <c r="E454" s="1443"/>
      <c r="F454" s="1443"/>
      <c r="G454" s="1440"/>
      <c r="H454" s="1440"/>
      <c r="I454" s="1440"/>
      <c r="J454" s="1440"/>
      <c r="K454" s="1440"/>
      <c r="L454" s="1440"/>
      <c r="M454" s="867" t="s">
        <v>2547</v>
      </c>
      <c r="N454" s="867" t="s">
        <v>3870</v>
      </c>
      <c r="O454" s="873" t="s">
        <v>4005</v>
      </c>
      <c r="P454" s="874">
        <v>26</v>
      </c>
      <c r="Q454" s="874">
        <v>24</v>
      </c>
      <c r="R454" s="875">
        <v>24</v>
      </c>
      <c r="S454" s="876">
        <v>26</v>
      </c>
      <c r="T454" s="876">
        <v>24</v>
      </c>
      <c r="U454" s="877">
        <v>24</v>
      </c>
      <c r="W454" s="877"/>
    </row>
    <row r="455" spans="1:23" x14ac:dyDescent="0.2">
      <c r="A455" s="865" t="s">
        <v>2542</v>
      </c>
      <c r="B455" s="866" t="s">
        <v>4000</v>
      </c>
      <c r="C455" s="866" t="s">
        <v>4001</v>
      </c>
      <c r="D455" s="1438" t="s">
        <v>2588</v>
      </c>
      <c r="E455" s="1441">
        <v>45340.958333333336</v>
      </c>
      <c r="F455" s="1441">
        <v>45595.958333333336</v>
      </c>
      <c r="G455" s="1438" t="s">
        <v>1758</v>
      </c>
      <c r="H455" s="1438" t="s">
        <v>1759</v>
      </c>
      <c r="I455" s="1438" t="s">
        <v>1823</v>
      </c>
      <c r="J455" s="1438" t="s">
        <v>2589</v>
      </c>
      <c r="K455" s="1438" t="s">
        <v>1804</v>
      </c>
      <c r="L455" s="1438" t="s">
        <v>1819</v>
      </c>
      <c r="M455" s="867" t="s">
        <v>2559</v>
      </c>
      <c r="N455" s="867" t="s">
        <v>4010</v>
      </c>
      <c r="O455" s="867" t="s">
        <v>4011</v>
      </c>
      <c r="P455" s="869">
        <v>61</v>
      </c>
      <c r="Q455" s="869">
        <v>29</v>
      </c>
      <c r="R455" s="870">
        <v>18</v>
      </c>
      <c r="S455" s="871">
        <v>61</v>
      </c>
      <c r="T455" s="871">
        <v>29</v>
      </c>
      <c r="U455" s="872">
        <v>18</v>
      </c>
      <c r="W455" s="872"/>
    </row>
    <row r="456" spans="1:23" x14ac:dyDescent="0.2">
      <c r="A456" s="865" t="s">
        <v>2542</v>
      </c>
      <c r="B456" s="866" t="s">
        <v>4000</v>
      </c>
      <c r="C456" s="866" t="s">
        <v>4001</v>
      </c>
      <c r="D456" s="1440"/>
      <c r="E456" s="1443"/>
      <c r="F456" s="1443"/>
      <c r="G456" s="1440"/>
      <c r="H456" s="1440"/>
      <c r="I456" s="1440"/>
      <c r="J456" s="1440"/>
      <c r="K456" s="1440"/>
      <c r="L456" s="1440"/>
      <c r="M456" s="867" t="s">
        <v>2567</v>
      </c>
      <c r="N456" s="867" t="s">
        <v>4014</v>
      </c>
      <c r="O456" s="873" t="s">
        <v>4015</v>
      </c>
      <c r="P456" s="874">
        <v>61</v>
      </c>
      <c r="Q456" s="874">
        <v>29</v>
      </c>
      <c r="R456" s="875">
        <v>18</v>
      </c>
      <c r="S456" s="876">
        <v>61</v>
      </c>
      <c r="T456" s="876">
        <v>29</v>
      </c>
      <c r="U456" s="877">
        <v>18</v>
      </c>
      <c r="W456" s="877"/>
    </row>
    <row r="457" spans="1:23" x14ac:dyDescent="0.2">
      <c r="A457" s="865" t="s">
        <v>2542</v>
      </c>
      <c r="B457" s="866" t="s">
        <v>4000</v>
      </c>
      <c r="C457" s="866" t="s">
        <v>4001</v>
      </c>
      <c r="D457" s="1438" t="s">
        <v>2590</v>
      </c>
      <c r="E457" s="1441">
        <v>45342.958333333336</v>
      </c>
      <c r="F457" s="1441">
        <v>45687.958333333336</v>
      </c>
      <c r="G457" s="1438" t="s">
        <v>1758</v>
      </c>
      <c r="H457" s="1438" t="s">
        <v>1759</v>
      </c>
      <c r="I457" s="1438" t="s">
        <v>1858</v>
      </c>
      <c r="J457" s="1438" t="s">
        <v>2591</v>
      </c>
      <c r="K457" s="1438" t="s">
        <v>1804</v>
      </c>
      <c r="L457" s="1438" t="s">
        <v>1819</v>
      </c>
      <c r="M457" s="867" t="s">
        <v>2553</v>
      </c>
      <c r="N457" s="867" t="s">
        <v>3861</v>
      </c>
      <c r="O457" s="867" t="s">
        <v>4007</v>
      </c>
      <c r="P457" s="869">
        <v>18</v>
      </c>
      <c r="Q457" s="869">
        <v>18</v>
      </c>
      <c r="R457" s="870">
        <v>17</v>
      </c>
      <c r="S457" s="871">
        <v>18</v>
      </c>
      <c r="T457" s="871">
        <v>18</v>
      </c>
      <c r="U457" s="872">
        <v>17</v>
      </c>
      <c r="W457" s="872"/>
    </row>
    <row r="458" spans="1:23" x14ac:dyDescent="0.2">
      <c r="A458" s="865" t="s">
        <v>2542</v>
      </c>
      <c r="B458" s="866" t="s">
        <v>4000</v>
      </c>
      <c r="C458" s="866" t="s">
        <v>4001</v>
      </c>
      <c r="D458" s="1439"/>
      <c r="E458" s="1442"/>
      <c r="F458" s="1442"/>
      <c r="G458" s="1439"/>
      <c r="H458" s="1439"/>
      <c r="I458" s="1439"/>
      <c r="J458" s="1439"/>
      <c r="K458" s="1439"/>
      <c r="L458" s="1439"/>
      <c r="M458" s="867" t="s">
        <v>2564</v>
      </c>
      <c r="N458" s="867" t="s">
        <v>4012</v>
      </c>
      <c r="O458" s="873" t="s">
        <v>4013</v>
      </c>
      <c r="P458" s="874">
        <v>18</v>
      </c>
      <c r="Q458" s="874">
        <v>18</v>
      </c>
      <c r="R458" s="875">
        <v>17</v>
      </c>
      <c r="S458" s="876">
        <v>18</v>
      </c>
      <c r="T458" s="876">
        <v>18</v>
      </c>
      <c r="U458" s="877">
        <v>17</v>
      </c>
      <c r="W458" s="877"/>
    </row>
    <row r="459" spans="1:23" x14ac:dyDescent="0.2">
      <c r="A459" s="865" t="s">
        <v>2542</v>
      </c>
      <c r="B459" s="866" t="s">
        <v>4000</v>
      </c>
      <c r="C459" s="866" t="s">
        <v>4001</v>
      </c>
      <c r="D459" s="1439"/>
      <c r="E459" s="1442"/>
      <c r="F459" s="1442"/>
      <c r="G459" s="1439"/>
      <c r="H459" s="1439"/>
      <c r="I459" s="1439"/>
      <c r="J459" s="1439"/>
      <c r="K459" s="1439"/>
      <c r="L459" s="1439"/>
      <c r="M459" s="867" t="s">
        <v>2546</v>
      </c>
      <c r="N459" s="867" t="s">
        <v>3886</v>
      </c>
      <c r="O459" s="867" t="s">
        <v>4004</v>
      </c>
      <c r="P459" s="869">
        <v>18</v>
      </c>
      <c r="Q459" s="869">
        <v>18</v>
      </c>
      <c r="R459" s="870">
        <v>17</v>
      </c>
      <c r="S459" s="871">
        <v>18</v>
      </c>
      <c r="T459" s="871">
        <v>18</v>
      </c>
      <c r="U459" s="872">
        <v>17</v>
      </c>
      <c r="W459" s="872"/>
    </row>
    <row r="460" spans="1:23" x14ac:dyDescent="0.2">
      <c r="A460" s="865" t="s">
        <v>2542</v>
      </c>
      <c r="B460" s="866" t="s">
        <v>4000</v>
      </c>
      <c r="C460" s="866" t="s">
        <v>4001</v>
      </c>
      <c r="D460" s="1440"/>
      <c r="E460" s="1443"/>
      <c r="F460" s="1443"/>
      <c r="G460" s="1440"/>
      <c r="H460" s="1440"/>
      <c r="I460" s="1440"/>
      <c r="J460" s="1440"/>
      <c r="K460" s="1440"/>
      <c r="L460" s="1440"/>
      <c r="M460" s="867" t="s">
        <v>2547</v>
      </c>
      <c r="N460" s="867" t="s">
        <v>3870</v>
      </c>
      <c r="O460" s="873" t="s">
        <v>4005</v>
      </c>
      <c r="P460" s="874">
        <v>18</v>
      </c>
      <c r="Q460" s="874">
        <v>18</v>
      </c>
      <c r="R460" s="875">
        <v>17</v>
      </c>
      <c r="S460" s="876">
        <v>18</v>
      </c>
      <c r="T460" s="876">
        <v>18</v>
      </c>
      <c r="U460" s="877">
        <v>17</v>
      </c>
      <c r="W460" s="877"/>
    </row>
    <row r="461" spans="1:23" x14ac:dyDescent="0.2">
      <c r="A461" s="865" t="s">
        <v>2542</v>
      </c>
      <c r="B461" s="866" t="s">
        <v>4000</v>
      </c>
      <c r="C461" s="866" t="s">
        <v>4001</v>
      </c>
      <c r="D461" s="1438" t="s">
        <v>2592</v>
      </c>
      <c r="E461" s="1441">
        <v>45342.958333333336</v>
      </c>
      <c r="F461" s="1441">
        <v>45534.916666666664</v>
      </c>
      <c r="G461" s="1438" t="s">
        <v>1758</v>
      </c>
      <c r="H461" s="1438" t="s">
        <v>1759</v>
      </c>
      <c r="I461" s="1438" t="s">
        <v>1858</v>
      </c>
      <c r="J461" s="1438" t="s">
        <v>2593</v>
      </c>
      <c r="K461" s="1438" t="s">
        <v>1804</v>
      </c>
      <c r="L461" s="1438" t="s">
        <v>1819</v>
      </c>
      <c r="M461" s="867" t="s">
        <v>2553</v>
      </c>
      <c r="N461" s="867" t="s">
        <v>3861</v>
      </c>
      <c r="O461" s="867" t="s">
        <v>4007</v>
      </c>
      <c r="P461" s="869">
        <v>6</v>
      </c>
      <c r="Q461" s="869">
        <v>6</v>
      </c>
      <c r="R461" s="870">
        <v>6</v>
      </c>
      <c r="S461" s="871">
        <v>6</v>
      </c>
      <c r="T461" s="871">
        <v>6</v>
      </c>
      <c r="U461" s="872">
        <v>6</v>
      </c>
      <c r="W461" s="872"/>
    </row>
    <row r="462" spans="1:23" x14ac:dyDescent="0.2">
      <c r="A462" s="865" t="s">
        <v>2542</v>
      </c>
      <c r="B462" s="866" t="s">
        <v>4000</v>
      </c>
      <c r="C462" s="866" t="s">
        <v>4001</v>
      </c>
      <c r="D462" s="1440"/>
      <c r="E462" s="1443"/>
      <c r="F462" s="1443"/>
      <c r="G462" s="1440"/>
      <c r="H462" s="1440"/>
      <c r="I462" s="1440"/>
      <c r="J462" s="1440"/>
      <c r="K462" s="1440"/>
      <c r="L462" s="1440"/>
      <c r="M462" s="867" t="s">
        <v>2547</v>
      </c>
      <c r="N462" s="867" t="s">
        <v>3870</v>
      </c>
      <c r="O462" s="873" t="s">
        <v>4005</v>
      </c>
      <c r="P462" s="874">
        <v>6</v>
      </c>
      <c r="Q462" s="874">
        <v>6</v>
      </c>
      <c r="R462" s="875">
        <v>6</v>
      </c>
      <c r="S462" s="876">
        <v>6</v>
      </c>
      <c r="T462" s="876">
        <v>6</v>
      </c>
      <c r="U462" s="877">
        <v>6</v>
      </c>
      <c r="W462" s="877"/>
    </row>
    <row r="463" spans="1:23" ht="24" x14ac:dyDescent="0.2">
      <c r="A463" s="865" t="s">
        <v>2542</v>
      </c>
      <c r="B463" s="866" t="s">
        <v>4000</v>
      </c>
      <c r="C463" s="866" t="s">
        <v>4001</v>
      </c>
      <c r="D463" s="867" t="s">
        <v>2594</v>
      </c>
      <c r="E463" s="868">
        <v>45347.958333333336</v>
      </c>
      <c r="F463" s="868">
        <v>45564.916666666664</v>
      </c>
      <c r="G463" s="867" t="s">
        <v>1777</v>
      </c>
      <c r="H463" s="867" t="s">
        <v>1765</v>
      </c>
      <c r="I463" s="867" t="s">
        <v>1778</v>
      </c>
      <c r="J463" s="867" t="s">
        <v>2595</v>
      </c>
      <c r="K463" s="867" t="s">
        <v>1804</v>
      </c>
      <c r="L463" s="867" t="s">
        <v>2596</v>
      </c>
      <c r="M463" s="867" t="s">
        <v>2550</v>
      </c>
      <c r="N463" s="867" t="s">
        <v>3884</v>
      </c>
      <c r="O463" s="867" t="s">
        <v>4006</v>
      </c>
      <c r="P463" s="869">
        <v>17</v>
      </c>
      <c r="Q463" s="869">
        <v>17</v>
      </c>
      <c r="R463" s="870">
        <v>17</v>
      </c>
      <c r="S463" s="871">
        <v>17</v>
      </c>
      <c r="T463" s="871">
        <v>17</v>
      </c>
      <c r="U463" s="872">
        <v>17</v>
      </c>
      <c r="W463" s="872"/>
    </row>
    <row r="464" spans="1:23" x14ac:dyDescent="0.2">
      <c r="A464" s="865" t="s">
        <v>2542</v>
      </c>
      <c r="B464" s="866" t="s">
        <v>4000</v>
      </c>
      <c r="C464" s="866" t="s">
        <v>4001</v>
      </c>
      <c r="D464" s="1438" t="s">
        <v>2597</v>
      </c>
      <c r="E464" s="1441">
        <v>45347.958333333336</v>
      </c>
      <c r="F464" s="1441">
        <v>45595.958333333336</v>
      </c>
      <c r="G464" s="1438" t="s">
        <v>1758</v>
      </c>
      <c r="H464" s="1438" t="s">
        <v>1759</v>
      </c>
      <c r="I464" s="1438" t="s">
        <v>1823</v>
      </c>
      <c r="J464" s="1438" t="s">
        <v>2598</v>
      </c>
      <c r="K464" s="1438" t="s">
        <v>1804</v>
      </c>
      <c r="L464" s="1438" t="s">
        <v>1819</v>
      </c>
      <c r="M464" s="867" t="s">
        <v>2559</v>
      </c>
      <c r="N464" s="867" t="s">
        <v>4010</v>
      </c>
      <c r="O464" s="873" t="s">
        <v>4011</v>
      </c>
      <c r="P464" s="874">
        <v>28</v>
      </c>
      <c r="Q464" s="874">
        <v>25</v>
      </c>
      <c r="R464" s="875">
        <v>16</v>
      </c>
      <c r="S464" s="876">
        <v>28</v>
      </c>
      <c r="T464" s="876">
        <v>25</v>
      </c>
      <c r="U464" s="877">
        <v>16</v>
      </c>
      <c r="W464" s="877"/>
    </row>
    <row r="465" spans="1:23" x14ac:dyDescent="0.2">
      <c r="A465" s="865" t="s">
        <v>2542</v>
      </c>
      <c r="B465" s="866" t="s">
        <v>4000</v>
      </c>
      <c r="C465" s="866" t="s">
        <v>4001</v>
      </c>
      <c r="D465" s="1440"/>
      <c r="E465" s="1443"/>
      <c r="F465" s="1443"/>
      <c r="G465" s="1440"/>
      <c r="H465" s="1440"/>
      <c r="I465" s="1440"/>
      <c r="J465" s="1440"/>
      <c r="K465" s="1440"/>
      <c r="L465" s="1440"/>
      <c r="M465" s="867" t="s">
        <v>2567</v>
      </c>
      <c r="N465" s="867" t="s">
        <v>4014</v>
      </c>
      <c r="O465" s="867" t="s">
        <v>4015</v>
      </c>
      <c r="P465" s="869">
        <v>28</v>
      </c>
      <c r="Q465" s="869">
        <v>25</v>
      </c>
      <c r="R465" s="870">
        <v>16</v>
      </c>
      <c r="S465" s="871">
        <v>28</v>
      </c>
      <c r="T465" s="871">
        <v>25</v>
      </c>
      <c r="U465" s="872">
        <v>16</v>
      </c>
      <c r="W465" s="872"/>
    </row>
    <row r="466" spans="1:23" ht="24" x14ac:dyDescent="0.2">
      <c r="A466" s="865" t="s">
        <v>2542</v>
      </c>
      <c r="B466" s="866" t="s">
        <v>4000</v>
      </c>
      <c r="C466" s="866" t="s">
        <v>4001</v>
      </c>
      <c r="D466" s="867" t="s">
        <v>2599</v>
      </c>
      <c r="E466" s="868">
        <v>45410.916666666664</v>
      </c>
      <c r="F466" s="868">
        <v>45595.958333333336</v>
      </c>
      <c r="G466" s="867" t="s">
        <v>1758</v>
      </c>
      <c r="H466" s="867" t="s">
        <v>1765</v>
      </c>
      <c r="I466" s="867" t="s">
        <v>1766</v>
      </c>
      <c r="J466" s="867" t="s">
        <v>2600</v>
      </c>
      <c r="K466" s="867" t="s">
        <v>1804</v>
      </c>
      <c r="L466" s="867" t="s">
        <v>2601</v>
      </c>
      <c r="M466" s="867" t="s">
        <v>2546</v>
      </c>
      <c r="N466" s="867" t="s">
        <v>3886</v>
      </c>
      <c r="O466" s="873" t="s">
        <v>4004</v>
      </c>
      <c r="P466" s="874">
        <v>6</v>
      </c>
      <c r="Q466" s="874">
        <v>6</v>
      </c>
      <c r="R466" s="875">
        <v>6</v>
      </c>
      <c r="S466" s="876">
        <v>6</v>
      </c>
      <c r="T466" s="876">
        <v>6</v>
      </c>
      <c r="U466" s="877">
        <v>6</v>
      </c>
      <c r="W466" s="877"/>
    </row>
    <row r="467" spans="1:23" ht="48" x14ac:dyDescent="0.2">
      <c r="A467" s="865" t="s">
        <v>2542</v>
      </c>
      <c r="B467" s="866" t="s">
        <v>4000</v>
      </c>
      <c r="C467" s="866" t="s">
        <v>4001</v>
      </c>
      <c r="D467" s="867" t="s">
        <v>2602</v>
      </c>
      <c r="E467" s="868">
        <v>45417.916666666664</v>
      </c>
      <c r="F467" s="868">
        <v>45523.916666666664</v>
      </c>
      <c r="G467" s="867" t="s">
        <v>1758</v>
      </c>
      <c r="H467" s="867" t="s">
        <v>1759</v>
      </c>
      <c r="I467" s="867" t="s">
        <v>1858</v>
      </c>
      <c r="J467" s="867" t="s">
        <v>2603</v>
      </c>
      <c r="K467" s="867" t="s">
        <v>1804</v>
      </c>
      <c r="L467" s="867" t="s">
        <v>1819</v>
      </c>
      <c r="M467" s="867" t="s">
        <v>2567</v>
      </c>
      <c r="N467" s="867" t="s">
        <v>4014</v>
      </c>
      <c r="O467" s="867" t="s">
        <v>4015</v>
      </c>
      <c r="P467" s="869">
        <v>2</v>
      </c>
      <c r="Q467" s="869">
        <v>2</v>
      </c>
      <c r="R467" s="870">
        <v>1</v>
      </c>
      <c r="S467" s="871">
        <v>2</v>
      </c>
      <c r="T467" s="871">
        <v>2</v>
      </c>
      <c r="U467" s="872">
        <v>1</v>
      </c>
      <c r="W467" s="872"/>
    </row>
    <row r="468" spans="1:23" ht="24" x14ac:dyDescent="0.2">
      <c r="A468" s="865" t="s">
        <v>2542</v>
      </c>
      <c r="B468" s="866" t="s">
        <v>4000</v>
      </c>
      <c r="C468" s="866" t="s">
        <v>4001</v>
      </c>
      <c r="D468" s="867" t="s">
        <v>2604</v>
      </c>
      <c r="E468" s="868">
        <v>45431.916666666664</v>
      </c>
      <c r="F468" s="868">
        <v>45711.958333333336</v>
      </c>
      <c r="G468" s="867" t="s">
        <v>1777</v>
      </c>
      <c r="H468" s="867" t="s">
        <v>1765</v>
      </c>
      <c r="I468" s="867" t="s">
        <v>1778</v>
      </c>
      <c r="J468" s="867" t="s">
        <v>2605</v>
      </c>
      <c r="K468" s="867" t="s">
        <v>1804</v>
      </c>
      <c r="L468" s="867" t="s">
        <v>2596</v>
      </c>
      <c r="M468" s="867" t="s">
        <v>2559</v>
      </c>
      <c r="N468" s="867" t="s">
        <v>4010</v>
      </c>
      <c r="O468" s="873" t="s">
        <v>4011</v>
      </c>
      <c r="P468" s="874">
        <v>1</v>
      </c>
      <c r="Q468" s="874">
        <v>1</v>
      </c>
      <c r="R468" s="875">
        <v>0</v>
      </c>
      <c r="S468" s="876">
        <v>1</v>
      </c>
      <c r="T468" s="876">
        <v>1</v>
      </c>
      <c r="U468" s="877">
        <v>0</v>
      </c>
      <c r="W468" s="877"/>
    </row>
    <row r="469" spans="1:23" x14ac:dyDescent="0.2">
      <c r="A469" s="865" t="s">
        <v>2542</v>
      </c>
      <c r="B469" s="866" t="s">
        <v>4000</v>
      </c>
      <c r="C469" s="866" t="s">
        <v>4001</v>
      </c>
      <c r="D469" s="1438" t="s">
        <v>2606</v>
      </c>
      <c r="E469" s="1441">
        <v>45444.916666666664</v>
      </c>
      <c r="F469" s="1441">
        <v>45536.916666666664</v>
      </c>
      <c r="G469" s="1438" t="s">
        <v>1758</v>
      </c>
      <c r="H469" s="1438" t="s">
        <v>1759</v>
      </c>
      <c r="I469" s="1438" t="s">
        <v>1858</v>
      </c>
      <c r="J469" s="1438" t="s">
        <v>2607</v>
      </c>
      <c r="K469" s="1438" t="s">
        <v>1804</v>
      </c>
      <c r="L469" s="1438" t="s">
        <v>1819</v>
      </c>
      <c r="M469" s="867" t="s">
        <v>2553</v>
      </c>
      <c r="N469" s="867" t="s">
        <v>3861</v>
      </c>
      <c r="O469" s="867" t="s">
        <v>4007</v>
      </c>
      <c r="P469" s="869">
        <v>8</v>
      </c>
      <c r="Q469" s="869">
        <v>8</v>
      </c>
      <c r="R469" s="870">
        <v>8</v>
      </c>
      <c r="S469" s="871">
        <v>8</v>
      </c>
      <c r="T469" s="871">
        <v>8</v>
      </c>
      <c r="U469" s="872">
        <v>8</v>
      </c>
      <c r="W469" s="872"/>
    </row>
    <row r="470" spans="1:23" x14ac:dyDescent="0.2">
      <c r="A470" s="865" t="s">
        <v>2542</v>
      </c>
      <c r="B470" s="866" t="s">
        <v>4000</v>
      </c>
      <c r="C470" s="866" t="s">
        <v>4001</v>
      </c>
      <c r="D470" s="1439"/>
      <c r="E470" s="1442"/>
      <c r="F470" s="1442"/>
      <c r="G470" s="1439"/>
      <c r="H470" s="1439"/>
      <c r="I470" s="1439"/>
      <c r="J470" s="1439"/>
      <c r="K470" s="1439"/>
      <c r="L470" s="1439"/>
      <c r="M470" s="867" t="s">
        <v>2564</v>
      </c>
      <c r="N470" s="867" t="s">
        <v>4012</v>
      </c>
      <c r="O470" s="873" t="s">
        <v>4013</v>
      </c>
      <c r="P470" s="874">
        <v>8</v>
      </c>
      <c r="Q470" s="874">
        <v>8</v>
      </c>
      <c r="R470" s="875">
        <v>8</v>
      </c>
      <c r="S470" s="876">
        <v>8</v>
      </c>
      <c r="T470" s="876">
        <v>8</v>
      </c>
      <c r="U470" s="877">
        <v>8</v>
      </c>
      <c r="W470" s="877"/>
    </row>
    <row r="471" spans="1:23" x14ac:dyDescent="0.2">
      <c r="A471" s="865" t="s">
        <v>2542</v>
      </c>
      <c r="B471" s="866" t="s">
        <v>4000</v>
      </c>
      <c r="C471" s="866" t="s">
        <v>4001</v>
      </c>
      <c r="D471" s="1439"/>
      <c r="E471" s="1442"/>
      <c r="F471" s="1442"/>
      <c r="G471" s="1439"/>
      <c r="H471" s="1439"/>
      <c r="I471" s="1439"/>
      <c r="J471" s="1439"/>
      <c r="K471" s="1439"/>
      <c r="L471" s="1439"/>
      <c r="M471" s="867" t="s">
        <v>2545</v>
      </c>
      <c r="N471" s="867" t="s">
        <v>4002</v>
      </c>
      <c r="O471" s="867" t="s">
        <v>4003</v>
      </c>
      <c r="P471" s="869">
        <v>8</v>
      </c>
      <c r="Q471" s="869">
        <v>8</v>
      </c>
      <c r="R471" s="870">
        <v>8</v>
      </c>
      <c r="S471" s="871">
        <v>8</v>
      </c>
      <c r="T471" s="871">
        <v>8</v>
      </c>
      <c r="U471" s="872">
        <v>8</v>
      </c>
      <c r="W471" s="872"/>
    </row>
    <row r="472" spans="1:23" x14ac:dyDescent="0.2">
      <c r="A472" s="865" t="s">
        <v>2542</v>
      </c>
      <c r="B472" s="866" t="s">
        <v>4000</v>
      </c>
      <c r="C472" s="866" t="s">
        <v>4001</v>
      </c>
      <c r="D472" s="1439"/>
      <c r="E472" s="1442"/>
      <c r="F472" s="1442"/>
      <c r="G472" s="1439"/>
      <c r="H472" s="1439"/>
      <c r="I472" s="1439"/>
      <c r="J472" s="1439"/>
      <c r="K472" s="1439"/>
      <c r="L472" s="1439"/>
      <c r="M472" s="867" t="s">
        <v>2546</v>
      </c>
      <c r="N472" s="867" t="s">
        <v>3886</v>
      </c>
      <c r="O472" s="873" t="s">
        <v>4004</v>
      </c>
      <c r="P472" s="874">
        <v>8</v>
      </c>
      <c r="Q472" s="874">
        <v>8</v>
      </c>
      <c r="R472" s="875">
        <v>8</v>
      </c>
      <c r="S472" s="876">
        <v>8</v>
      </c>
      <c r="T472" s="876">
        <v>8</v>
      </c>
      <c r="U472" s="877">
        <v>8</v>
      </c>
      <c r="W472" s="877"/>
    </row>
    <row r="473" spans="1:23" x14ac:dyDescent="0.2">
      <c r="A473" s="865" t="s">
        <v>2542</v>
      </c>
      <c r="B473" s="866" t="s">
        <v>4000</v>
      </c>
      <c r="C473" s="866" t="s">
        <v>4001</v>
      </c>
      <c r="D473" s="1440"/>
      <c r="E473" s="1443"/>
      <c r="F473" s="1443"/>
      <c r="G473" s="1440"/>
      <c r="H473" s="1440"/>
      <c r="I473" s="1440"/>
      <c r="J473" s="1440"/>
      <c r="K473" s="1440"/>
      <c r="L473" s="1440"/>
      <c r="M473" s="867" t="s">
        <v>2547</v>
      </c>
      <c r="N473" s="867" t="s">
        <v>3870</v>
      </c>
      <c r="O473" s="867" t="s">
        <v>4005</v>
      </c>
      <c r="P473" s="869">
        <v>8</v>
      </c>
      <c r="Q473" s="869">
        <v>8</v>
      </c>
      <c r="R473" s="870">
        <v>8</v>
      </c>
      <c r="S473" s="871">
        <v>8</v>
      </c>
      <c r="T473" s="871">
        <v>8</v>
      </c>
      <c r="U473" s="872">
        <v>8</v>
      </c>
      <c r="W473" s="872"/>
    </row>
    <row r="474" spans="1:23" x14ac:dyDescent="0.2">
      <c r="A474" s="865" t="s">
        <v>2542</v>
      </c>
      <c r="B474" s="866" t="s">
        <v>4000</v>
      </c>
      <c r="C474" s="866" t="s">
        <v>4001</v>
      </c>
      <c r="D474" s="1438" t="s">
        <v>2608</v>
      </c>
      <c r="E474" s="1441">
        <v>45444.916666666664</v>
      </c>
      <c r="F474" s="1441">
        <v>45536.916666666664</v>
      </c>
      <c r="G474" s="1438" t="s">
        <v>1758</v>
      </c>
      <c r="H474" s="1438" t="s">
        <v>1759</v>
      </c>
      <c r="I474" s="1438" t="s">
        <v>1817</v>
      </c>
      <c r="J474" s="1438" t="s">
        <v>2609</v>
      </c>
      <c r="K474" s="1438" t="s">
        <v>1804</v>
      </c>
      <c r="L474" s="1438" t="s">
        <v>1819</v>
      </c>
      <c r="M474" s="867" t="s">
        <v>2553</v>
      </c>
      <c r="N474" s="867" t="s">
        <v>3861</v>
      </c>
      <c r="O474" s="873" t="s">
        <v>4007</v>
      </c>
      <c r="P474" s="874">
        <v>8</v>
      </c>
      <c r="Q474" s="874">
        <v>8</v>
      </c>
      <c r="R474" s="875">
        <v>8</v>
      </c>
      <c r="S474" s="876">
        <v>8</v>
      </c>
      <c r="T474" s="876">
        <v>8</v>
      </c>
      <c r="U474" s="877">
        <v>8</v>
      </c>
      <c r="W474" s="877"/>
    </row>
    <row r="475" spans="1:23" x14ac:dyDescent="0.2">
      <c r="A475" s="865" t="s">
        <v>2542</v>
      </c>
      <c r="B475" s="866" t="s">
        <v>4000</v>
      </c>
      <c r="C475" s="866" t="s">
        <v>4001</v>
      </c>
      <c r="D475" s="1439"/>
      <c r="E475" s="1442"/>
      <c r="F475" s="1442"/>
      <c r="G475" s="1439"/>
      <c r="H475" s="1439"/>
      <c r="I475" s="1439"/>
      <c r="J475" s="1439"/>
      <c r="K475" s="1439"/>
      <c r="L475" s="1439"/>
      <c r="M475" s="867" t="s">
        <v>2564</v>
      </c>
      <c r="N475" s="867" t="s">
        <v>4012</v>
      </c>
      <c r="O475" s="867" t="s">
        <v>4013</v>
      </c>
      <c r="P475" s="869">
        <v>8</v>
      </c>
      <c r="Q475" s="869">
        <v>8</v>
      </c>
      <c r="R475" s="870">
        <v>8</v>
      </c>
      <c r="S475" s="871">
        <v>8</v>
      </c>
      <c r="T475" s="871">
        <v>8</v>
      </c>
      <c r="U475" s="872">
        <v>8</v>
      </c>
      <c r="W475" s="872"/>
    </row>
    <row r="476" spans="1:23" x14ac:dyDescent="0.2">
      <c r="A476" s="865" t="s">
        <v>2542</v>
      </c>
      <c r="B476" s="866" t="s">
        <v>4000</v>
      </c>
      <c r="C476" s="866" t="s">
        <v>4001</v>
      </c>
      <c r="D476" s="1439"/>
      <c r="E476" s="1442"/>
      <c r="F476" s="1442"/>
      <c r="G476" s="1439"/>
      <c r="H476" s="1439"/>
      <c r="I476" s="1439"/>
      <c r="J476" s="1439"/>
      <c r="K476" s="1439"/>
      <c r="L476" s="1439"/>
      <c r="M476" s="867" t="s">
        <v>2545</v>
      </c>
      <c r="N476" s="867" t="s">
        <v>4002</v>
      </c>
      <c r="O476" s="873" t="s">
        <v>4003</v>
      </c>
      <c r="P476" s="874">
        <v>8</v>
      </c>
      <c r="Q476" s="874">
        <v>8</v>
      </c>
      <c r="R476" s="875">
        <v>8</v>
      </c>
      <c r="S476" s="876">
        <v>8</v>
      </c>
      <c r="T476" s="876">
        <v>8</v>
      </c>
      <c r="U476" s="877">
        <v>8</v>
      </c>
      <c r="W476" s="877"/>
    </row>
    <row r="477" spans="1:23" x14ac:dyDescent="0.2">
      <c r="A477" s="865" t="s">
        <v>2542</v>
      </c>
      <c r="B477" s="866" t="s">
        <v>4000</v>
      </c>
      <c r="C477" s="866" t="s">
        <v>4001</v>
      </c>
      <c r="D477" s="1439"/>
      <c r="E477" s="1442"/>
      <c r="F477" s="1442"/>
      <c r="G477" s="1439"/>
      <c r="H477" s="1439"/>
      <c r="I477" s="1439"/>
      <c r="J477" s="1439"/>
      <c r="K477" s="1439"/>
      <c r="L477" s="1439"/>
      <c r="M477" s="867" t="s">
        <v>2546</v>
      </c>
      <c r="N477" s="867" t="s">
        <v>3886</v>
      </c>
      <c r="O477" s="867" t="s">
        <v>4004</v>
      </c>
      <c r="P477" s="869">
        <v>8</v>
      </c>
      <c r="Q477" s="869">
        <v>8</v>
      </c>
      <c r="R477" s="870">
        <v>8</v>
      </c>
      <c r="S477" s="871">
        <v>8</v>
      </c>
      <c r="T477" s="871">
        <v>8</v>
      </c>
      <c r="U477" s="872">
        <v>8</v>
      </c>
      <c r="W477" s="872"/>
    </row>
    <row r="478" spans="1:23" x14ac:dyDescent="0.2">
      <c r="A478" s="865" t="s">
        <v>2542</v>
      </c>
      <c r="B478" s="866" t="s">
        <v>4000</v>
      </c>
      <c r="C478" s="866" t="s">
        <v>4001</v>
      </c>
      <c r="D478" s="1440"/>
      <c r="E478" s="1443"/>
      <c r="F478" s="1443"/>
      <c r="G478" s="1440"/>
      <c r="H478" s="1440"/>
      <c r="I478" s="1440"/>
      <c r="J478" s="1440"/>
      <c r="K478" s="1440"/>
      <c r="L478" s="1440"/>
      <c r="M478" s="867" t="s">
        <v>2547</v>
      </c>
      <c r="N478" s="867" t="s">
        <v>3870</v>
      </c>
      <c r="O478" s="873" t="s">
        <v>4005</v>
      </c>
      <c r="P478" s="874">
        <v>8</v>
      </c>
      <c r="Q478" s="874">
        <v>8</v>
      </c>
      <c r="R478" s="875">
        <v>8</v>
      </c>
      <c r="S478" s="876">
        <v>8</v>
      </c>
      <c r="T478" s="876">
        <v>8</v>
      </c>
      <c r="U478" s="877">
        <v>8</v>
      </c>
      <c r="W478" s="877"/>
    </row>
    <row r="479" spans="1:23" ht="24" x14ac:dyDescent="0.2">
      <c r="A479" s="865" t="s">
        <v>2542</v>
      </c>
      <c r="B479" s="866" t="s">
        <v>4000</v>
      </c>
      <c r="C479" s="866" t="s">
        <v>4001</v>
      </c>
      <c r="D479" s="867" t="s">
        <v>2610</v>
      </c>
      <c r="E479" s="868">
        <v>45442.916666666664</v>
      </c>
      <c r="F479" s="868">
        <v>45534.916666666664</v>
      </c>
      <c r="G479" s="867" t="s">
        <v>1777</v>
      </c>
      <c r="H479" s="867" t="s">
        <v>1765</v>
      </c>
      <c r="I479" s="867" t="s">
        <v>2405</v>
      </c>
      <c r="J479" s="867" t="s">
        <v>2611</v>
      </c>
      <c r="K479" s="867" t="s">
        <v>1804</v>
      </c>
      <c r="L479" s="867" t="s">
        <v>2407</v>
      </c>
      <c r="M479" s="867" t="s">
        <v>2556</v>
      </c>
      <c r="N479" s="867" t="s">
        <v>4008</v>
      </c>
      <c r="O479" s="867" t="s">
        <v>4009</v>
      </c>
      <c r="P479" s="869">
        <v>2</v>
      </c>
      <c r="Q479" s="869">
        <v>2</v>
      </c>
      <c r="R479" s="870">
        <v>1</v>
      </c>
      <c r="S479" s="871">
        <v>2</v>
      </c>
      <c r="T479" s="871">
        <v>2</v>
      </c>
      <c r="U479" s="872">
        <v>1</v>
      </c>
      <c r="W479" s="872"/>
    </row>
    <row r="480" spans="1:23" x14ac:dyDescent="0.2">
      <c r="A480" s="865" t="s">
        <v>2542</v>
      </c>
      <c r="B480" s="866" t="s">
        <v>4000</v>
      </c>
      <c r="C480" s="866" t="s">
        <v>4001</v>
      </c>
      <c r="D480" s="1438" t="s">
        <v>2612</v>
      </c>
      <c r="E480" s="1441">
        <v>45444.916666666664</v>
      </c>
      <c r="F480" s="1441">
        <v>45536.916666666664</v>
      </c>
      <c r="G480" s="1438" t="s">
        <v>1758</v>
      </c>
      <c r="H480" s="1438" t="s">
        <v>1759</v>
      </c>
      <c r="I480" s="1438" t="s">
        <v>1823</v>
      </c>
      <c r="J480" s="1438" t="s">
        <v>2613</v>
      </c>
      <c r="K480" s="1438" t="s">
        <v>1804</v>
      </c>
      <c r="L480" s="1438" t="s">
        <v>1819</v>
      </c>
      <c r="M480" s="867" t="s">
        <v>2553</v>
      </c>
      <c r="N480" s="867" t="s">
        <v>3861</v>
      </c>
      <c r="O480" s="873" t="s">
        <v>4007</v>
      </c>
      <c r="P480" s="874">
        <v>8</v>
      </c>
      <c r="Q480" s="874">
        <v>8</v>
      </c>
      <c r="R480" s="875">
        <v>8</v>
      </c>
      <c r="S480" s="876">
        <v>8</v>
      </c>
      <c r="T480" s="876">
        <v>8</v>
      </c>
      <c r="U480" s="877">
        <v>8</v>
      </c>
      <c r="W480" s="877"/>
    </row>
    <row r="481" spans="1:23" x14ac:dyDescent="0.2">
      <c r="A481" s="865" t="s">
        <v>2542</v>
      </c>
      <c r="B481" s="866" t="s">
        <v>4000</v>
      </c>
      <c r="C481" s="866" t="s">
        <v>4001</v>
      </c>
      <c r="D481" s="1439"/>
      <c r="E481" s="1442"/>
      <c r="F481" s="1442"/>
      <c r="G481" s="1439"/>
      <c r="H481" s="1439"/>
      <c r="I481" s="1439"/>
      <c r="J481" s="1439"/>
      <c r="K481" s="1439"/>
      <c r="L481" s="1439"/>
      <c r="M481" s="867" t="s">
        <v>2564</v>
      </c>
      <c r="N481" s="867" t="s">
        <v>4012</v>
      </c>
      <c r="O481" s="867" t="s">
        <v>4013</v>
      </c>
      <c r="P481" s="869">
        <v>8</v>
      </c>
      <c r="Q481" s="869">
        <v>8</v>
      </c>
      <c r="R481" s="870">
        <v>8</v>
      </c>
      <c r="S481" s="871">
        <v>8</v>
      </c>
      <c r="T481" s="871">
        <v>8</v>
      </c>
      <c r="U481" s="872">
        <v>8</v>
      </c>
      <c r="W481" s="872"/>
    </row>
    <row r="482" spans="1:23" x14ac:dyDescent="0.2">
      <c r="A482" s="865" t="s">
        <v>2542</v>
      </c>
      <c r="B482" s="866" t="s">
        <v>4000</v>
      </c>
      <c r="C482" s="866" t="s">
        <v>4001</v>
      </c>
      <c r="D482" s="1439"/>
      <c r="E482" s="1442"/>
      <c r="F482" s="1442"/>
      <c r="G482" s="1439"/>
      <c r="H482" s="1439"/>
      <c r="I482" s="1439"/>
      <c r="J482" s="1439"/>
      <c r="K482" s="1439"/>
      <c r="L482" s="1439"/>
      <c r="M482" s="867" t="s">
        <v>2545</v>
      </c>
      <c r="N482" s="867" t="s">
        <v>4002</v>
      </c>
      <c r="O482" s="873" t="s">
        <v>4003</v>
      </c>
      <c r="P482" s="874">
        <v>8</v>
      </c>
      <c r="Q482" s="874">
        <v>8</v>
      </c>
      <c r="R482" s="875">
        <v>8</v>
      </c>
      <c r="S482" s="876">
        <v>8</v>
      </c>
      <c r="T482" s="876">
        <v>8</v>
      </c>
      <c r="U482" s="877">
        <v>8</v>
      </c>
      <c r="W482" s="877"/>
    </row>
    <row r="483" spans="1:23" x14ac:dyDescent="0.2">
      <c r="A483" s="865" t="s">
        <v>2542</v>
      </c>
      <c r="B483" s="866" t="s">
        <v>4000</v>
      </c>
      <c r="C483" s="866" t="s">
        <v>4001</v>
      </c>
      <c r="D483" s="1439"/>
      <c r="E483" s="1442"/>
      <c r="F483" s="1442"/>
      <c r="G483" s="1439"/>
      <c r="H483" s="1439"/>
      <c r="I483" s="1439"/>
      <c r="J483" s="1439"/>
      <c r="K483" s="1439"/>
      <c r="L483" s="1439"/>
      <c r="M483" s="867" t="s">
        <v>2546</v>
      </c>
      <c r="N483" s="867" t="s">
        <v>3886</v>
      </c>
      <c r="O483" s="867" t="s">
        <v>4004</v>
      </c>
      <c r="P483" s="869">
        <v>8</v>
      </c>
      <c r="Q483" s="869">
        <v>8</v>
      </c>
      <c r="R483" s="870">
        <v>8</v>
      </c>
      <c r="S483" s="871">
        <v>8</v>
      </c>
      <c r="T483" s="871">
        <v>8</v>
      </c>
      <c r="U483" s="872">
        <v>8</v>
      </c>
      <c r="W483" s="872"/>
    </row>
    <row r="484" spans="1:23" x14ac:dyDescent="0.2">
      <c r="A484" s="865" t="s">
        <v>2542</v>
      </c>
      <c r="B484" s="866" t="s">
        <v>4000</v>
      </c>
      <c r="C484" s="866" t="s">
        <v>4001</v>
      </c>
      <c r="D484" s="1440"/>
      <c r="E484" s="1443"/>
      <c r="F484" s="1443"/>
      <c r="G484" s="1440"/>
      <c r="H484" s="1440"/>
      <c r="I484" s="1440"/>
      <c r="J484" s="1440"/>
      <c r="K484" s="1440"/>
      <c r="L484" s="1440"/>
      <c r="M484" s="867" t="s">
        <v>2547</v>
      </c>
      <c r="N484" s="867" t="s">
        <v>3870</v>
      </c>
      <c r="O484" s="873" t="s">
        <v>4005</v>
      </c>
      <c r="P484" s="874">
        <v>8</v>
      </c>
      <c r="Q484" s="874">
        <v>8</v>
      </c>
      <c r="R484" s="875">
        <v>8</v>
      </c>
      <c r="S484" s="876">
        <v>8</v>
      </c>
      <c r="T484" s="876">
        <v>8</v>
      </c>
      <c r="U484" s="877">
        <v>8</v>
      </c>
      <c r="W484" s="877"/>
    </row>
    <row r="485" spans="1:23" ht="48" x14ac:dyDescent="0.2">
      <c r="A485" s="865" t="s">
        <v>2542</v>
      </c>
      <c r="B485" s="866" t="s">
        <v>4000</v>
      </c>
      <c r="C485" s="866" t="s">
        <v>4001</v>
      </c>
      <c r="D485" s="867" t="s">
        <v>2614</v>
      </c>
      <c r="E485" s="868">
        <v>45483.916666666664</v>
      </c>
      <c r="F485" s="868">
        <v>45711.958333333336</v>
      </c>
      <c r="G485" s="867" t="s">
        <v>1758</v>
      </c>
      <c r="H485" s="867" t="s">
        <v>1759</v>
      </c>
      <c r="I485" s="867" t="s">
        <v>1858</v>
      </c>
      <c r="J485" s="867" t="s">
        <v>2615</v>
      </c>
      <c r="K485" s="867" t="s">
        <v>1804</v>
      </c>
      <c r="L485" s="867" t="s">
        <v>1819</v>
      </c>
      <c r="M485" s="867" t="s">
        <v>2567</v>
      </c>
      <c r="N485" s="867" t="s">
        <v>4014</v>
      </c>
      <c r="O485" s="867" t="s">
        <v>4015</v>
      </c>
      <c r="P485" s="869">
        <v>1</v>
      </c>
      <c r="Q485" s="869">
        <v>1</v>
      </c>
      <c r="R485" s="870">
        <v>0</v>
      </c>
      <c r="S485" s="871">
        <v>1</v>
      </c>
      <c r="T485" s="871">
        <v>1</v>
      </c>
      <c r="U485" s="872">
        <v>0</v>
      </c>
      <c r="W485" s="872"/>
    </row>
    <row r="486" spans="1:23" ht="36" x14ac:dyDescent="0.2">
      <c r="A486" s="865" t="s">
        <v>2542</v>
      </c>
      <c r="B486" s="866" t="s">
        <v>4000</v>
      </c>
      <c r="C486" s="866" t="s">
        <v>4001</v>
      </c>
      <c r="D486" s="867" t="s">
        <v>2616</v>
      </c>
      <c r="E486" s="868">
        <v>45510.916666666664</v>
      </c>
      <c r="F486" s="868">
        <v>45656.958333333336</v>
      </c>
      <c r="G486" s="867" t="s">
        <v>1741</v>
      </c>
      <c r="H486" s="867" t="s">
        <v>1752</v>
      </c>
      <c r="I486" s="867" t="s">
        <v>1964</v>
      </c>
      <c r="J486" s="867" t="s">
        <v>2617</v>
      </c>
      <c r="K486" s="867" t="s">
        <v>1804</v>
      </c>
      <c r="L486" s="867" t="s">
        <v>2577</v>
      </c>
      <c r="M486" s="867" t="s">
        <v>2559</v>
      </c>
      <c r="N486" s="867" t="s">
        <v>4010</v>
      </c>
      <c r="O486" s="873" t="s">
        <v>4011</v>
      </c>
      <c r="P486" s="874">
        <v>1</v>
      </c>
      <c r="Q486" s="874">
        <v>1</v>
      </c>
      <c r="R486" s="875">
        <v>0</v>
      </c>
      <c r="S486" s="876">
        <v>1</v>
      </c>
      <c r="T486" s="876">
        <v>1</v>
      </c>
      <c r="U486" s="877">
        <v>0</v>
      </c>
      <c r="W486" s="877"/>
    </row>
    <row r="487" spans="1:23" ht="24" x14ac:dyDescent="0.2">
      <c r="A487" s="865" t="s">
        <v>2542</v>
      </c>
      <c r="B487" s="866" t="s">
        <v>4000</v>
      </c>
      <c r="C487" s="866" t="s">
        <v>4001</v>
      </c>
      <c r="D487" s="867" t="s">
        <v>2618</v>
      </c>
      <c r="E487" s="868">
        <v>45498.916666666664</v>
      </c>
      <c r="F487" s="868">
        <v>45656.958321759259</v>
      </c>
      <c r="G487" s="867" t="s">
        <v>1777</v>
      </c>
      <c r="H487" s="867" t="s">
        <v>1765</v>
      </c>
      <c r="I487" s="867" t="s">
        <v>1778</v>
      </c>
      <c r="J487" s="867" t="s">
        <v>2619</v>
      </c>
      <c r="K487" s="867" t="s">
        <v>1804</v>
      </c>
      <c r="L487" s="867" t="s">
        <v>2221</v>
      </c>
      <c r="M487" s="867" t="s">
        <v>2545</v>
      </c>
      <c r="N487" s="867" t="s">
        <v>4002</v>
      </c>
      <c r="O487" s="867" t="s">
        <v>4003</v>
      </c>
      <c r="P487" s="869">
        <v>1</v>
      </c>
      <c r="Q487" s="869">
        <v>1</v>
      </c>
      <c r="R487" s="870">
        <v>0</v>
      </c>
      <c r="S487" s="871">
        <v>1</v>
      </c>
      <c r="T487" s="871">
        <v>1</v>
      </c>
      <c r="U487" s="872">
        <v>0</v>
      </c>
      <c r="W487" s="872"/>
    </row>
    <row r="488" spans="1:23" x14ac:dyDescent="0.2">
      <c r="A488" s="865" t="s">
        <v>2542</v>
      </c>
      <c r="B488" s="866" t="s">
        <v>4000</v>
      </c>
      <c r="C488" s="866" t="s">
        <v>4001</v>
      </c>
      <c r="D488" s="1438" t="s">
        <v>2620</v>
      </c>
      <c r="E488" s="1441">
        <v>45566.613912037035</v>
      </c>
      <c r="F488" s="1441">
        <v>45777.916655092595</v>
      </c>
      <c r="G488" s="1438" t="s">
        <v>1758</v>
      </c>
      <c r="H488" s="1438" t="s">
        <v>1759</v>
      </c>
      <c r="I488" s="1438" t="s">
        <v>1761</v>
      </c>
      <c r="J488" s="1438" t="s">
        <v>2621</v>
      </c>
      <c r="K488" s="1438" t="s">
        <v>1804</v>
      </c>
      <c r="L488" s="1438" t="s">
        <v>1828</v>
      </c>
      <c r="M488" s="867" t="s">
        <v>2564</v>
      </c>
      <c r="N488" s="867" t="s">
        <v>4012</v>
      </c>
      <c r="O488" s="873" t="s">
        <v>4013</v>
      </c>
      <c r="P488" s="874">
        <v>5</v>
      </c>
      <c r="Q488" s="874">
        <v>5</v>
      </c>
      <c r="R488" s="875">
        <v>2</v>
      </c>
      <c r="S488" s="876">
        <v>5</v>
      </c>
      <c r="T488" s="876">
        <v>5</v>
      </c>
      <c r="U488" s="877">
        <v>2</v>
      </c>
      <c r="W488" s="877"/>
    </row>
    <row r="489" spans="1:23" x14ac:dyDescent="0.2">
      <c r="A489" s="865" t="s">
        <v>2542</v>
      </c>
      <c r="B489" s="866" t="s">
        <v>4000</v>
      </c>
      <c r="C489" s="866" t="s">
        <v>4001</v>
      </c>
      <c r="D489" s="1440"/>
      <c r="E489" s="1443"/>
      <c r="F489" s="1443"/>
      <c r="G489" s="1440"/>
      <c r="H489" s="1440"/>
      <c r="I489" s="1440"/>
      <c r="J489" s="1440"/>
      <c r="K489" s="1440"/>
      <c r="L489" s="1440"/>
      <c r="M489" s="867" t="s">
        <v>2546</v>
      </c>
      <c r="N489" s="867" t="s">
        <v>3886</v>
      </c>
      <c r="O489" s="867" t="s">
        <v>4004</v>
      </c>
      <c r="P489" s="869">
        <v>5</v>
      </c>
      <c r="Q489" s="869">
        <v>5</v>
      </c>
      <c r="R489" s="870">
        <v>2</v>
      </c>
      <c r="S489" s="871">
        <v>5</v>
      </c>
      <c r="T489" s="871">
        <v>5</v>
      </c>
      <c r="U489" s="872">
        <v>2</v>
      </c>
      <c r="W489" s="872"/>
    </row>
    <row r="490" spans="1:23" x14ac:dyDescent="0.2">
      <c r="A490" s="865" t="s">
        <v>2542</v>
      </c>
      <c r="B490" s="866" t="s">
        <v>4000</v>
      </c>
      <c r="C490" s="866" t="s">
        <v>4001</v>
      </c>
      <c r="D490" s="1438" t="s">
        <v>2622</v>
      </c>
      <c r="E490" s="1441">
        <v>45559.31181712963</v>
      </c>
      <c r="F490" s="1441">
        <v>45716.958321759259</v>
      </c>
      <c r="G490" s="1438" t="s">
        <v>1741</v>
      </c>
      <c r="H490" s="1438" t="s">
        <v>1755</v>
      </c>
      <c r="I490" s="1438" t="s">
        <v>1756</v>
      </c>
      <c r="J490" s="1438" t="s">
        <v>2623</v>
      </c>
      <c r="K490" s="1438" t="s">
        <v>1804</v>
      </c>
      <c r="L490" s="1438" t="s">
        <v>1805</v>
      </c>
      <c r="M490" s="867" t="s">
        <v>2553</v>
      </c>
      <c r="N490" s="867" t="s">
        <v>3861</v>
      </c>
      <c r="O490" s="873" t="s">
        <v>4007</v>
      </c>
      <c r="P490" s="874">
        <v>31</v>
      </c>
      <c r="Q490" s="874">
        <v>30</v>
      </c>
      <c r="R490" s="875">
        <v>15</v>
      </c>
      <c r="S490" s="876">
        <v>31</v>
      </c>
      <c r="T490" s="876">
        <v>30</v>
      </c>
      <c r="U490" s="877">
        <v>15</v>
      </c>
      <c r="W490" s="877"/>
    </row>
    <row r="491" spans="1:23" x14ac:dyDescent="0.2">
      <c r="A491" s="865" t="s">
        <v>2542</v>
      </c>
      <c r="B491" s="866" t="s">
        <v>4000</v>
      </c>
      <c r="C491" s="866" t="s">
        <v>4001</v>
      </c>
      <c r="D491" s="1440"/>
      <c r="E491" s="1443"/>
      <c r="F491" s="1443"/>
      <c r="G491" s="1440"/>
      <c r="H491" s="1440"/>
      <c r="I491" s="1440"/>
      <c r="J491" s="1440"/>
      <c r="K491" s="1440"/>
      <c r="L491" s="1440"/>
      <c r="M491" s="867" t="s">
        <v>2547</v>
      </c>
      <c r="N491" s="867" t="s">
        <v>3870</v>
      </c>
      <c r="O491" s="867" t="s">
        <v>4005</v>
      </c>
      <c r="P491" s="869">
        <v>31</v>
      </c>
      <c r="Q491" s="869">
        <v>30</v>
      </c>
      <c r="R491" s="870">
        <v>15</v>
      </c>
      <c r="S491" s="871">
        <v>31</v>
      </c>
      <c r="T491" s="871">
        <v>30</v>
      </c>
      <c r="U491" s="872">
        <v>15</v>
      </c>
      <c r="W491" s="872"/>
    </row>
    <row r="492" spans="1:23" x14ac:dyDescent="0.2">
      <c r="A492" s="865" t="s">
        <v>2542</v>
      </c>
      <c r="B492" s="866" t="s">
        <v>4000</v>
      </c>
      <c r="C492" s="866" t="s">
        <v>4001</v>
      </c>
      <c r="D492" s="1438" t="s">
        <v>2624</v>
      </c>
      <c r="E492" s="1441">
        <v>45567.43954861111</v>
      </c>
      <c r="F492" s="1441">
        <v>45730.958321759259</v>
      </c>
      <c r="G492" s="1438" t="s">
        <v>1758</v>
      </c>
      <c r="H492" s="1438" t="s">
        <v>1759</v>
      </c>
      <c r="I492" s="1438" t="s">
        <v>1761</v>
      </c>
      <c r="J492" s="1438" t="s">
        <v>2625</v>
      </c>
      <c r="K492" s="1438" t="s">
        <v>1804</v>
      </c>
      <c r="L492" s="1438" t="s">
        <v>1828</v>
      </c>
      <c r="M492" s="867" t="s">
        <v>2626</v>
      </c>
      <c r="N492" s="867" t="s">
        <v>4019</v>
      </c>
      <c r="O492" s="873" t="s">
        <v>4020</v>
      </c>
      <c r="P492" s="874">
        <v>2</v>
      </c>
      <c r="Q492" s="874">
        <v>2</v>
      </c>
      <c r="R492" s="875">
        <v>1</v>
      </c>
      <c r="S492" s="876">
        <v>2</v>
      </c>
      <c r="T492" s="876">
        <v>2</v>
      </c>
      <c r="U492" s="877">
        <v>1</v>
      </c>
      <c r="W492" s="877"/>
    </row>
    <row r="493" spans="1:23" x14ac:dyDescent="0.2">
      <c r="A493" s="865" t="s">
        <v>2542</v>
      </c>
      <c r="B493" s="866" t="s">
        <v>4000</v>
      </c>
      <c r="C493" s="866" t="s">
        <v>4001</v>
      </c>
      <c r="D493" s="1440"/>
      <c r="E493" s="1443"/>
      <c r="F493" s="1443"/>
      <c r="G493" s="1440"/>
      <c r="H493" s="1440"/>
      <c r="I493" s="1440"/>
      <c r="J493" s="1440"/>
      <c r="K493" s="1440"/>
      <c r="L493" s="1440"/>
      <c r="M493" s="867" t="s">
        <v>2627</v>
      </c>
      <c r="N493" s="867" t="s">
        <v>3938</v>
      </c>
      <c r="O493" s="867" t="s">
        <v>4021</v>
      </c>
      <c r="P493" s="869">
        <v>2</v>
      </c>
      <c r="Q493" s="869">
        <v>2</v>
      </c>
      <c r="R493" s="870">
        <v>1</v>
      </c>
      <c r="S493" s="871">
        <v>2</v>
      </c>
      <c r="T493" s="871">
        <v>2</v>
      </c>
      <c r="U493" s="872">
        <v>1</v>
      </c>
      <c r="W493" s="872"/>
    </row>
    <row r="494" spans="1:23" ht="24" x14ac:dyDescent="0.2">
      <c r="A494" s="865" t="s">
        <v>2542</v>
      </c>
      <c r="B494" s="866" t="s">
        <v>4000</v>
      </c>
      <c r="C494" s="866" t="s">
        <v>4001</v>
      </c>
      <c r="D494" s="867" t="s">
        <v>2628</v>
      </c>
      <c r="E494" s="868">
        <v>45558.328738425924</v>
      </c>
      <c r="F494" s="868">
        <v>45923.916655092595</v>
      </c>
      <c r="G494" s="867" t="s">
        <v>1767</v>
      </c>
      <c r="H494" s="867" t="s">
        <v>1765</v>
      </c>
      <c r="I494" s="867" t="s">
        <v>1768</v>
      </c>
      <c r="J494" s="867" t="s">
        <v>2629</v>
      </c>
      <c r="K494" s="867" t="s">
        <v>1804</v>
      </c>
      <c r="L494" s="867" t="s">
        <v>1805</v>
      </c>
      <c r="M494" s="867" t="s">
        <v>2550</v>
      </c>
      <c r="N494" s="867" t="s">
        <v>3884</v>
      </c>
      <c r="O494" s="873" t="s">
        <v>4006</v>
      </c>
      <c r="P494" s="874">
        <v>1</v>
      </c>
      <c r="Q494" s="874">
        <v>1</v>
      </c>
      <c r="R494" s="875">
        <v>0</v>
      </c>
      <c r="S494" s="876">
        <v>1</v>
      </c>
      <c r="T494" s="876">
        <v>1</v>
      </c>
      <c r="U494" s="877">
        <v>0</v>
      </c>
      <c r="W494" s="877"/>
    </row>
    <row r="495" spans="1:23" x14ac:dyDescent="0.2">
      <c r="A495" s="865" t="s">
        <v>2542</v>
      </c>
      <c r="B495" s="866" t="s">
        <v>4000</v>
      </c>
      <c r="C495" s="866" t="s">
        <v>4001</v>
      </c>
      <c r="D495" s="1438" t="s">
        <v>2630</v>
      </c>
      <c r="E495" s="1441">
        <v>45545.476076388892</v>
      </c>
      <c r="F495" s="1441">
        <v>45930.916655092595</v>
      </c>
      <c r="G495" s="1438" t="s">
        <v>1758</v>
      </c>
      <c r="H495" s="1438" t="s">
        <v>1759</v>
      </c>
      <c r="I495" s="1438" t="s">
        <v>1760</v>
      </c>
      <c r="J495" s="1438" t="s">
        <v>2631</v>
      </c>
      <c r="K495" s="1438" t="s">
        <v>1804</v>
      </c>
      <c r="L495" s="1438" t="s">
        <v>1805</v>
      </c>
      <c r="M495" s="867" t="s">
        <v>2564</v>
      </c>
      <c r="N495" s="867" t="s">
        <v>4012</v>
      </c>
      <c r="O495" s="867" t="s">
        <v>4013</v>
      </c>
      <c r="P495" s="869">
        <v>68</v>
      </c>
      <c r="Q495" s="869">
        <v>62</v>
      </c>
      <c r="R495" s="870">
        <v>0</v>
      </c>
      <c r="S495" s="871">
        <v>68</v>
      </c>
      <c r="T495" s="871">
        <v>62</v>
      </c>
      <c r="U495" s="872">
        <v>0</v>
      </c>
      <c r="W495" s="872"/>
    </row>
    <row r="496" spans="1:23" x14ac:dyDescent="0.2">
      <c r="A496" s="865" t="s">
        <v>2542</v>
      </c>
      <c r="B496" s="866" t="s">
        <v>4000</v>
      </c>
      <c r="C496" s="866" t="s">
        <v>4001</v>
      </c>
      <c r="D496" s="1439"/>
      <c r="E496" s="1442"/>
      <c r="F496" s="1442"/>
      <c r="G496" s="1439"/>
      <c r="H496" s="1439"/>
      <c r="I496" s="1439"/>
      <c r="J496" s="1439"/>
      <c r="K496" s="1439"/>
      <c r="L496" s="1439"/>
      <c r="M496" s="867" t="s">
        <v>2545</v>
      </c>
      <c r="N496" s="867" t="s">
        <v>4002</v>
      </c>
      <c r="O496" s="873" t="s">
        <v>4003</v>
      </c>
      <c r="P496" s="874">
        <v>68</v>
      </c>
      <c r="Q496" s="874">
        <v>62</v>
      </c>
      <c r="R496" s="875">
        <v>0</v>
      </c>
      <c r="S496" s="876">
        <v>68</v>
      </c>
      <c r="T496" s="876">
        <v>62</v>
      </c>
      <c r="U496" s="877">
        <v>0</v>
      </c>
      <c r="W496" s="877"/>
    </row>
    <row r="497" spans="1:23" x14ac:dyDescent="0.2">
      <c r="A497" s="865" t="s">
        <v>2542</v>
      </c>
      <c r="B497" s="866" t="s">
        <v>4000</v>
      </c>
      <c r="C497" s="866" t="s">
        <v>4001</v>
      </c>
      <c r="D497" s="1440"/>
      <c r="E497" s="1443"/>
      <c r="F497" s="1443"/>
      <c r="G497" s="1440"/>
      <c r="H497" s="1440"/>
      <c r="I497" s="1440"/>
      <c r="J497" s="1440"/>
      <c r="K497" s="1440"/>
      <c r="L497" s="1440"/>
      <c r="M497" s="867" t="s">
        <v>2546</v>
      </c>
      <c r="N497" s="867" t="s">
        <v>3886</v>
      </c>
      <c r="O497" s="867" t="s">
        <v>4004</v>
      </c>
      <c r="P497" s="869">
        <v>68</v>
      </c>
      <c r="Q497" s="869">
        <v>62</v>
      </c>
      <c r="R497" s="870">
        <v>0</v>
      </c>
      <c r="S497" s="871">
        <v>68</v>
      </c>
      <c r="T497" s="871">
        <v>62</v>
      </c>
      <c r="U497" s="872">
        <v>0</v>
      </c>
      <c r="W497" s="872"/>
    </row>
    <row r="498" spans="1:23" ht="24" x14ac:dyDescent="0.2">
      <c r="A498" s="865" t="s">
        <v>2542</v>
      </c>
      <c r="B498" s="866" t="s">
        <v>4000</v>
      </c>
      <c r="C498" s="866" t="s">
        <v>4001</v>
      </c>
      <c r="D498" s="867" t="s">
        <v>2632</v>
      </c>
      <c r="E498" s="868">
        <v>45555.348124999997</v>
      </c>
      <c r="F498" s="868">
        <v>45688.958321759259</v>
      </c>
      <c r="G498" s="867" t="s">
        <v>1777</v>
      </c>
      <c r="H498" s="867" t="s">
        <v>1765</v>
      </c>
      <c r="I498" s="867" t="s">
        <v>1778</v>
      </c>
      <c r="J498" s="867" t="s">
        <v>2633</v>
      </c>
      <c r="K498" s="867" t="s">
        <v>1804</v>
      </c>
      <c r="L498" s="867" t="s">
        <v>2221</v>
      </c>
      <c r="M498" s="867" t="s">
        <v>2550</v>
      </c>
      <c r="N498" s="867" t="s">
        <v>3884</v>
      </c>
      <c r="O498" s="873" t="s">
        <v>4006</v>
      </c>
      <c r="P498" s="874">
        <v>30</v>
      </c>
      <c r="Q498" s="874">
        <v>26</v>
      </c>
      <c r="R498" s="875">
        <v>17</v>
      </c>
      <c r="S498" s="876">
        <v>30</v>
      </c>
      <c r="T498" s="876">
        <v>26</v>
      </c>
      <c r="U498" s="877">
        <v>17</v>
      </c>
      <c r="W498" s="877"/>
    </row>
    <row r="499" spans="1:23" ht="24" x14ac:dyDescent="0.2">
      <c r="A499" s="865" t="s">
        <v>2542</v>
      </c>
      <c r="B499" s="866" t="s">
        <v>4000</v>
      </c>
      <c r="C499" s="866" t="s">
        <v>4001</v>
      </c>
      <c r="D499" s="867" t="s">
        <v>2634</v>
      </c>
      <c r="E499" s="868">
        <v>45554.355104166665</v>
      </c>
      <c r="F499" s="868">
        <v>45716.958321759259</v>
      </c>
      <c r="G499" s="867" t="s">
        <v>1758</v>
      </c>
      <c r="H499" s="867" t="s">
        <v>2635</v>
      </c>
      <c r="I499" s="867" t="s">
        <v>2635</v>
      </c>
      <c r="J499" s="867" t="s">
        <v>2636</v>
      </c>
      <c r="K499" s="867" t="s">
        <v>1804</v>
      </c>
      <c r="L499" s="867" t="s">
        <v>1805</v>
      </c>
      <c r="M499" s="867" t="s">
        <v>2553</v>
      </c>
      <c r="N499" s="867" t="s">
        <v>3861</v>
      </c>
      <c r="O499" s="867" t="s">
        <v>4007</v>
      </c>
      <c r="P499" s="869">
        <v>27</v>
      </c>
      <c r="Q499" s="869">
        <v>27</v>
      </c>
      <c r="R499" s="870">
        <v>23</v>
      </c>
      <c r="S499" s="871">
        <v>27</v>
      </c>
      <c r="T499" s="871">
        <v>27</v>
      </c>
      <c r="U499" s="872">
        <v>23</v>
      </c>
      <c r="W499" s="872"/>
    </row>
    <row r="500" spans="1:23" x14ac:dyDescent="0.2">
      <c r="A500" s="865" t="s">
        <v>2542</v>
      </c>
      <c r="B500" s="866" t="s">
        <v>4000</v>
      </c>
      <c r="C500" s="866" t="s">
        <v>4001</v>
      </c>
      <c r="D500" s="1438" t="s">
        <v>2637</v>
      </c>
      <c r="E500" s="1441">
        <v>45552.318472222221</v>
      </c>
      <c r="F500" s="1441">
        <v>45930.916655092595</v>
      </c>
      <c r="G500" s="1438" t="s">
        <v>1758</v>
      </c>
      <c r="H500" s="1438" t="s">
        <v>1759</v>
      </c>
      <c r="I500" s="1438" t="s">
        <v>1762</v>
      </c>
      <c r="J500" s="1438" t="s">
        <v>2638</v>
      </c>
      <c r="K500" s="1438" t="s">
        <v>1804</v>
      </c>
      <c r="L500" s="1438" t="s">
        <v>1828</v>
      </c>
      <c r="M500" s="867" t="s">
        <v>2570</v>
      </c>
      <c r="N500" s="867" t="s">
        <v>3947</v>
      </c>
      <c r="O500" s="873" t="s">
        <v>4016</v>
      </c>
      <c r="P500" s="874">
        <v>23</v>
      </c>
      <c r="Q500" s="874">
        <v>23</v>
      </c>
      <c r="R500" s="875">
        <v>20</v>
      </c>
      <c r="S500" s="876">
        <v>23</v>
      </c>
      <c r="T500" s="876">
        <v>23</v>
      </c>
      <c r="U500" s="877">
        <v>20</v>
      </c>
      <c r="W500" s="877"/>
    </row>
    <row r="501" spans="1:23" x14ac:dyDescent="0.2">
      <c r="A501" s="865" t="s">
        <v>2542</v>
      </c>
      <c r="B501" s="866" t="s">
        <v>4000</v>
      </c>
      <c r="C501" s="866" t="s">
        <v>4001</v>
      </c>
      <c r="D501" s="1439"/>
      <c r="E501" s="1442"/>
      <c r="F501" s="1442"/>
      <c r="G501" s="1439"/>
      <c r="H501" s="1439"/>
      <c r="I501" s="1439"/>
      <c r="J501" s="1439"/>
      <c r="K501" s="1439"/>
      <c r="L501" s="1439"/>
      <c r="M501" s="867" t="s">
        <v>2564</v>
      </c>
      <c r="N501" s="867" t="s">
        <v>4012</v>
      </c>
      <c r="O501" s="867" t="s">
        <v>4013</v>
      </c>
      <c r="P501" s="869">
        <v>23</v>
      </c>
      <c r="Q501" s="869">
        <v>23</v>
      </c>
      <c r="R501" s="870">
        <v>20</v>
      </c>
      <c r="S501" s="871">
        <v>23</v>
      </c>
      <c r="T501" s="871">
        <v>23</v>
      </c>
      <c r="U501" s="872">
        <v>20</v>
      </c>
      <c r="W501" s="872"/>
    </row>
    <row r="502" spans="1:23" x14ac:dyDescent="0.2">
      <c r="A502" s="865" t="s">
        <v>2542</v>
      </c>
      <c r="B502" s="866" t="s">
        <v>4000</v>
      </c>
      <c r="C502" s="866" t="s">
        <v>4001</v>
      </c>
      <c r="D502" s="1439"/>
      <c r="E502" s="1442"/>
      <c r="F502" s="1442"/>
      <c r="G502" s="1439"/>
      <c r="H502" s="1439"/>
      <c r="I502" s="1439"/>
      <c r="J502" s="1439"/>
      <c r="K502" s="1439"/>
      <c r="L502" s="1439"/>
      <c r="M502" s="867" t="s">
        <v>2545</v>
      </c>
      <c r="N502" s="867" t="s">
        <v>4002</v>
      </c>
      <c r="O502" s="873" t="s">
        <v>4003</v>
      </c>
      <c r="P502" s="874">
        <v>23</v>
      </c>
      <c r="Q502" s="874">
        <v>23</v>
      </c>
      <c r="R502" s="875">
        <v>20</v>
      </c>
      <c r="S502" s="876">
        <v>23</v>
      </c>
      <c r="T502" s="876">
        <v>23</v>
      </c>
      <c r="U502" s="877">
        <v>20</v>
      </c>
      <c r="W502" s="877"/>
    </row>
    <row r="503" spans="1:23" x14ac:dyDescent="0.2">
      <c r="A503" s="865" t="s">
        <v>2542</v>
      </c>
      <c r="B503" s="866" t="s">
        <v>4000</v>
      </c>
      <c r="C503" s="866" t="s">
        <v>4001</v>
      </c>
      <c r="D503" s="1440"/>
      <c r="E503" s="1443"/>
      <c r="F503" s="1443"/>
      <c r="G503" s="1440"/>
      <c r="H503" s="1440"/>
      <c r="I503" s="1440"/>
      <c r="J503" s="1440"/>
      <c r="K503" s="1440"/>
      <c r="L503" s="1440"/>
      <c r="M503" s="867" t="s">
        <v>2546</v>
      </c>
      <c r="N503" s="867" t="s">
        <v>3886</v>
      </c>
      <c r="O503" s="867" t="s">
        <v>4004</v>
      </c>
      <c r="P503" s="869">
        <v>23</v>
      </c>
      <c r="Q503" s="869">
        <v>23</v>
      </c>
      <c r="R503" s="870">
        <v>20</v>
      </c>
      <c r="S503" s="871">
        <v>23</v>
      </c>
      <c r="T503" s="871">
        <v>23</v>
      </c>
      <c r="U503" s="872">
        <v>20</v>
      </c>
      <c r="W503" s="872"/>
    </row>
    <row r="504" spans="1:23" ht="24" x14ac:dyDescent="0.2">
      <c r="A504" s="865" t="s">
        <v>2542</v>
      </c>
      <c r="B504" s="866" t="s">
        <v>4000</v>
      </c>
      <c r="C504" s="866" t="s">
        <v>4001</v>
      </c>
      <c r="D504" s="867" t="s">
        <v>2639</v>
      </c>
      <c r="E504" s="868">
        <v>45558.323483796295</v>
      </c>
      <c r="F504" s="868">
        <v>45688.958321759259</v>
      </c>
      <c r="G504" s="867" t="s">
        <v>1777</v>
      </c>
      <c r="H504" s="867" t="s">
        <v>1765</v>
      </c>
      <c r="I504" s="867" t="s">
        <v>1778</v>
      </c>
      <c r="J504" s="867" t="s">
        <v>2640</v>
      </c>
      <c r="K504" s="867" t="s">
        <v>1804</v>
      </c>
      <c r="L504" s="867" t="s">
        <v>2221</v>
      </c>
      <c r="M504" s="867" t="s">
        <v>2550</v>
      </c>
      <c r="N504" s="867" t="s">
        <v>3884</v>
      </c>
      <c r="O504" s="873" t="s">
        <v>4006</v>
      </c>
      <c r="P504" s="874">
        <v>25</v>
      </c>
      <c r="Q504" s="874">
        <v>25</v>
      </c>
      <c r="R504" s="875">
        <v>21</v>
      </c>
      <c r="S504" s="876">
        <v>25</v>
      </c>
      <c r="T504" s="876">
        <v>25</v>
      </c>
      <c r="U504" s="877">
        <v>21</v>
      </c>
      <c r="W504" s="877"/>
    </row>
    <row r="505" spans="1:23" x14ac:dyDescent="0.2">
      <c r="A505" s="865" t="s">
        <v>2542</v>
      </c>
      <c r="B505" s="866" t="s">
        <v>4000</v>
      </c>
      <c r="C505" s="866" t="s">
        <v>4001</v>
      </c>
      <c r="D505" s="1438" t="s">
        <v>2641</v>
      </c>
      <c r="E505" s="1441">
        <v>45535.916666666664</v>
      </c>
      <c r="F505" s="1441">
        <v>45657.958321759259</v>
      </c>
      <c r="G505" s="1438" t="s">
        <v>1758</v>
      </c>
      <c r="H505" s="1438" t="s">
        <v>1759</v>
      </c>
      <c r="I505" s="1438" t="s">
        <v>1762</v>
      </c>
      <c r="J505" s="1438" t="s">
        <v>2642</v>
      </c>
      <c r="K505" s="1438" t="s">
        <v>1804</v>
      </c>
      <c r="L505" s="1438" t="s">
        <v>1828</v>
      </c>
      <c r="M505" s="867" t="s">
        <v>2559</v>
      </c>
      <c r="N505" s="867" t="s">
        <v>4010</v>
      </c>
      <c r="O505" s="867" t="s">
        <v>4011</v>
      </c>
      <c r="P505" s="869">
        <v>1</v>
      </c>
      <c r="Q505" s="869">
        <v>1</v>
      </c>
      <c r="R505" s="870">
        <v>1</v>
      </c>
      <c r="S505" s="871">
        <v>1</v>
      </c>
      <c r="T505" s="871">
        <v>1</v>
      </c>
      <c r="U505" s="872">
        <v>1</v>
      </c>
      <c r="W505" s="872"/>
    </row>
    <row r="506" spans="1:23" x14ac:dyDescent="0.2">
      <c r="A506" s="865" t="s">
        <v>2542</v>
      </c>
      <c r="B506" s="866" t="s">
        <v>4000</v>
      </c>
      <c r="C506" s="866" t="s">
        <v>4001</v>
      </c>
      <c r="D506" s="1440"/>
      <c r="E506" s="1443"/>
      <c r="F506" s="1443"/>
      <c r="G506" s="1440"/>
      <c r="H506" s="1440"/>
      <c r="I506" s="1440"/>
      <c r="J506" s="1440"/>
      <c r="K506" s="1440"/>
      <c r="L506" s="1440"/>
      <c r="M506" s="867" t="s">
        <v>2567</v>
      </c>
      <c r="N506" s="867" t="s">
        <v>4014</v>
      </c>
      <c r="O506" s="873" t="s">
        <v>4015</v>
      </c>
      <c r="P506" s="874">
        <v>1</v>
      </c>
      <c r="Q506" s="874">
        <v>1</v>
      </c>
      <c r="R506" s="875">
        <v>1</v>
      </c>
      <c r="S506" s="876">
        <v>1</v>
      </c>
      <c r="T506" s="876">
        <v>1</v>
      </c>
      <c r="U506" s="877">
        <v>1</v>
      </c>
      <c r="W506" s="877"/>
    </row>
    <row r="507" spans="1:23" ht="36" x14ac:dyDescent="0.2">
      <c r="A507" s="865" t="s">
        <v>2542</v>
      </c>
      <c r="B507" s="866" t="s">
        <v>4000</v>
      </c>
      <c r="C507" s="866" t="s">
        <v>4001</v>
      </c>
      <c r="D507" s="867" t="s">
        <v>2643</v>
      </c>
      <c r="E507" s="868">
        <v>45615.405138888891</v>
      </c>
      <c r="F507" s="868">
        <v>45747.916655092595</v>
      </c>
      <c r="G507" s="867" t="s">
        <v>1758</v>
      </c>
      <c r="H507" s="867" t="s">
        <v>1759</v>
      </c>
      <c r="I507" s="867" t="s">
        <v>1762</v>
      </c>
      <c r="J507" s="867" t="s">
        <v>2644</v>
      </c>
      <c r="K507" s="867" t="s">
        <v>1804</v>
      </c>
      <c r="L507" s="867" t="s">
        <v>1828</v>
      </c>
      <c r="M507" s="867" t="s">
        <v>2627</v>
      </c>
      <c r="N507" s="867" t="s">
        <v>3938</v>
      </c>
      <c r="O507" s="867" t="s">
        <v>4021</v>
      </c>
      <c r="P507" s="869">
        <v>10</v>
      </c>
      <c r="Q507" s="869">
        <v>10</v>
      </c>
      <c r="R507" s="870">
        <v>8</v>
      </c>
      <c r="S507" s="871">
        <v>10</v>
      </c>
      <c r="T507" s="871">
        <v>10</v>
      </c>
      <c r="U507" s="872">
        <v>8</v>
      </c>
      <c r="W507" s="872"/>
    </row>
    <row r="508" spans="1:23" ht="36" x14ac:dyDescent="0.2">
      <c r="A508" s="865" t="s">
        <v>2542</v>
      </c>
      <c r="B508" s="866" t="s">
        <v>4000</v>
      </c>
      <c r="C508" s="866" t="s">
        <v>4001</v>
      </c>
      <c r="D508" s="867" t="s">
        <v>2645</v>
      </c>
      <c r="E508" s="868">
        <v>45614.523773148147</v>
      </c>
      <c r="F508" s="868">
        <v>45747.916655092595</v>
      </c>
      <c r="G508" s="867" t="s">
        <v>1758</v>
      </c>
      <c r="H508" s="867" t="s">
        <v>1759</v>
      </c>
      <c r="I508" s="867" t="s">
        <v>1762</v>
      </c>
      <c r="J508" s="867" t="s">
        <v>2646</v>
      </c>
      <c r="K508" s="867" t="s">
        <v>1804</v>
      </c>
      <c r="L508" s="867" t="s">
        <v>1828</v>
      </c>
      <c r="M508" s="867" t="s">
        <v>2627</v>
      </c>
      <c r="N508" s="867" t="s">
        <v>3938</v>
      </c>
      <c r="O508" s="873" t="s">
        <v>4021</v>
      </c>
      <c r="P508" s="874">
        <v>11</v>
      </c>
      <c r="Q508" s="874">
        <v>11</v>
      </c>
      <c r="R508" s="875">
        <v>10</v>
      </c>
      <c r="S508" s="876">
        <v>11</v>
      </c>
      <c r="T508" s="876">
        <v>11</v>
      </c>
      <c r="U508" s="877">
        <v>10</v>
      </c>
      <c r="W508" s="877"/>
    </row>
    <row r="509" spans="1:23" ht="24" x14ac:dyDescent="0.2">
      <c r="A509" s="865" t="s">
        <v>2542</v>
      </c>
      <c r="B509" s="866" t="s">
        <v>4000</v>
      </c>
      <c r="C509" s="866" t="s">
        <v>4001</v>
      </c>
      <c r="D509" s="867" t="s">
        <v>2647</v>
      </c>
      <c r="E509" s="868">
        <v>45554.353043981479</v>
      </c>
      <c r="F509" s="868">
        <v>45716.958321759259</v>
      </c>
      <c r="G509" s="867" t="s">
        <v>1758</v>
      </c>
      <c r="H509" s="867" t="s">
        <v>2635</v>
      </c>
      <c r="I509" s="867" t="s">
        <v>2635</v>
      </c>
      <c r="J509" s="867" t="s">
        <v>2648</v>
      </c>
      <c r="K509" s="867" t="s">
        <v>1804</v>
      </c>
      <c r="L509" s="867" t="s">
        <v>1805</v>
      </c>
      <c r="M509" s="867" t="s">
        <v>2553</v>
      </c>
      <c r="N509" s="867" t="s">
        <v>3861</v>
      </c>
      <c r="O509" s="867" t="s">
        <v>4007</v>
      </c>
      <c r="P509" s="869">
        <v>38</v>
      </c>
      <c r="Q509" s="869">
        <v>38</v>
      </c>
      <c r="R509" s="870">
        <v>26</v>
      </c>
      <c r="S509" s="871">
        <v>38</v>
      </c>
      <c r="T509" s="871">
        <v>38</v>
      </c>
      <c r="U509" s="872">
        <v>26</v>
      </c>
      <c r="W509" s="872"/>
    </row>
    <row r="510" spans="1:23" ht="24" x14ac:dyDescent="0.2">
      <c r="A510" s="865" t="s">
        <v>2542</v>
      </c>
      <c r="B510" s="866" t="s">
        <v>4000</v>
      </c>
      <c r="C510" s="866" t="s">
        <v>4001</v>
      </c>
      <c r="D510" s="867" t="s">
        <v>2649</v>
      </c>
      <c r="E510" s="868">
        <v>45538.393622685187</v>
      </c>
      <c r="F510" s="868">
        <v>45675.958321759259</v>
      </c>
      <c r="G510" s="867" t="s">
        <v>1777</v>
      </c>
      <c r="H510" s="867" t="s">
        <v>1765</v>
      </c>
      <c r="I510" s="867" t="s">
        <v>1778</v>
      </c>
      <c r="J510" s="867" t="s">
        <v>1778</v>
      </c>
      <c r="K510" s="867" t="s">
        <v>1804</v>
      </c>
      <c r="L510" s="867" t="s">
        <v>2221</v>
      </c>
      <c r="M510" s="867" t="s">
        <v>2545</v>
      </c>
      <c r="N510" s="867" t="s">
        <v>4002</v>
      </c>
      <c r="O510" s="873" t="s">
        <v>4003</v>
      </c>
      <c r="P510" s="874">
        <v>1</v>
      </c>
      <c r="Q510" s="874">
        <v>1</v>
      </c>
      <c r="R510" s="875">
        <v>0</v>
      </c>
      <c r="S510" s="876">
        <v>1</v>
      </c>
      <c r="T510" s="876">
        <v>1</v>
      </c>
      <c r="U510" s="877">
        <v>0</v>
      </c>
      <c r="W510" s="877"/>
    </row>
    <row r="511" spans="1:23" x14ac:dyDescent="0.2">
      <c r="A511" s="865" t="s">
        <v>2542</v>
      </c>
      <c r="B511" s="866" t="s">
        <v>4000</v>
      </c>
      <c r="C511" s="866" t="s">
        <v>4001</v>
      </c>
      <c r="D511" s="1438" t="s">
        <v>2650</v>
      </c>
      <c r="E511" s="1441">
        <v>45559.314583333333</v>
      </c>
      <c r="F511" s="1441">
        <v>45716.958321759259</v>
      </c>
      <c r="G511" s="1438" t="s">
        <v>1741</v>
      </c>
      <c r="H511" s="1438" t="s">
        <v>1755</v>
      </c>
      <c r="I511" s="1438" t="s">
        <v>1756</v>
      </c>
      <c r="J511" s="1438" t="s">
        <v>2651</v>
      </c>
      <c r="K511" s="1438" t="s">
        <v>1804</v>
      </c>
      <c r="L511" s="1438" t="s">
        <v>1805</v>
      </c>
      <c r="M511" s="867" t="s">
        <v>2553</v>
      </c>
      <c r="N511" s="867" t="s">
        <v>3861</v>
      </c>
      <c r="O511" s="867" t="s">
        <v>4007</v>
      </c>
      <c r="P511" s="869">
        <v>16</v>
      </c>
      <c r="Q511" s="869">
        <v>16</v>
      </c>
      <c r="R511" s="870">
        <v>12</v>
      </c>
      <c r="S511" s="871">
        <v>16</v>
      </c>
      <c r="T511" s="871">
        <v>16</v>
      </c>
      <c r="U511" s="872">
        <v>12</v>
      </c>
      <c r="W511" s="872"/>
    </row>
    <row r="512" spans="1:23" x14ac:dyDescent="0.2">
      <c r="A512" s="865" t="s">
        <v>2542</v>
      </c>
      <c r="B512" s="866" t="s">
        <v>4000</v>
      </c>
      <c r="C512" s="866" t="s">
        <v>4001</v>
      </c>
      <c r="D512" s="1440"/>
      <c r="E512" s="1443"/>
      <c r="F512" s="1443"/>
      <c r="G512" s="1440"/>
      <c r="H512" s="1440"/>
      <c r="I512" s="1440"/>
      <c r="J512" s="1440"/>
      <c r="K512" s="1440"/>
      <c r="L512" s="1440"/>
      <c r="M512" s="867" t="s">
        <v>2547</v>
      </c>
      <c r="N512" s="867" t="s">
        <v>3870</v>
      </c>
      <c r="O512" s="873" t="s">
        <v>4005</v>
      </c>
      <c r="P512" s="874">
        <v>16</v>
      </c>
      <c r="Q512" s="874">
        <v>16</v>
      </c>
      <c r="R512" s="875">
        <v>12</v>
      </c>
      <c r="S512" s="876">
        <v>16</v>
      </c>
      <c r="T512" s="876">
        <v>16</v>
      </c>
      <c r="U512" s="877">
        <v>12</v>
      </c>
      <c r="W512" s="877"/>
    </row>
    <row r="513" spans="1:23" x14ac:dyDescent="0.2">
      <c r="A513" s="865" t="s">
        <v>2542</v>
      </c>
      <c r="B513" s="866" t="s">
        <v>4000</v>
      </c>
      <c r="C513" s="866" t="s">
        <v>4001</v>
      </c>
      <c r="D513" s="1438" t="s">
        <v>2652</v>
      </c>
      <c r="E513" s="1441">
        <v>45540.446504629632</v>
      </c>
      <c r="F513" s="1441">
        <v>45930.916655092595</v>
      </c>
      <c r="G513" s="1438" t="s">
        <v>1758</v>
      </c>
      <c r="H513" s="1438" t="s">
        <v>1759</v>
      </c>
      <c r="I513" s="1438" t="s">
        <v>1762</v>
      </c>
      <c r="J513" s="1438" t="s">
        <v>2653</v>
      </c>
      <c r="K513" s="1438" t="s">
        <v>1804</v>
      </c>
      <c r="L513" s="1438" t="s">
        <v>1828</v>
      </c>
      <c r="M513" s="867" t="s">
        <v>2564</v>
      </c>
      <c r="N513" s="867" t="s">
        <v>4012</v>
      </c>
      <c r="O513" s="867" t="s">
        <v>4013</v>
      </c>
      <c r="P513" s="869">
        <v>17</v>
      </c>
      <c r="Q513" s="869">
        <v>16</v>
      </c>
      <c r="R513" s="870">
        <v>11</v>
      </c>
      <c r="S513" s="871">
        <v>17</v>
      </c>
      <c r="T513" s="871">
        <v>16</v>
      </c>
      <c r="U513" s="872">
        <v>11</v>
      </c>
      <c r="W513" s="872"/>
    </row>
    <row r="514" spans="1:23" x14ac:dyDescent="0.2">
      <c r="A514" s="865" t="s">
        <v>2542</v>
      </c>
      <c r="B514" s="866" t="s">
        <v>4000</v>
      </c>
      <c r="C514" s="866" t="s">
        <v>4001</v>
      </c>
      <c r="D514" s="1439"/>
      <c r="E514" s="1442"/>
      <c r="F514" s="1442"/>
      <c r="G514" s="1439"/>
      <c r="H514" s="1439"/>
      <c r="I514" s="1439"/>
      <c r="J514" s="1439"/>
      <c r="K514" s="1439"/>
      <c r="L514" s="1439"/>
      <c r="M514" s="867" t="s">
        <v>2545</v>
      </c>
      <c r="N514" s="867" t="s">
        <v>4002</v>
      </c>
      <c r="O514" s="873" t="s">
        <v>4003</v>
      </c>
      <c r="P514" s="874">
        <v>17</v>
      </c>
      <c r="Q514" s="874">
        <v>16</v>
      </c>
      <c r="R514" s="875">
        <v>11</v>
      </c>
      <c r="S514" s="876">
        <v>17</v>
      </c>
      <c r="T514" s="876">
        <v>16</v>
      </c>
      <c r="U514" s="877">
        <v>11</v>
      </c>
      <c r="W514" s="877"/>
    </row>
    <row r="515" spans="1:23" x14ac:dyDescent="0.2">
      <c r="A515" s="865" t="s">
        <v>2542</v>
      </c>
      <c r="B515" s="866" t="s">
        <v>4000</v>
      </c>
      <c r="C515" s="866" t="s">
        <v>4001</v>
      </c>
      <c r="D515" s="1439"/>
      <c r="E515" s="1442"/>
      <c r="F515" s="1442"/>
      <c r="G515" s="1439"/>
      <c r="H515" s="1439"/>
      <c r="I515" s="1439"/>
      <c r="J515" s="1439"/>
      <c r="K515" s="1439"/>
      <c r="L515" s="1439"/>
      <c r="M515" s="867" t="s">
        <v>2546</v>
      </c>
      <c r="N515" s="867" t="s">
        <v>3886</v>
      </c>
      <c r="O515" s="867" t="s">
        <v>4004</v>
      </c>
      <c r="P515" s="869">
        <v>17</v>
      </c>
      <c r="Q515" s="869">
        <v>16</v>
      </c>
      <c r="R515" s="870">
        <v>11</v>
      </c>
      <c r="S515" s="871">
        <v>17</v>
      </c>
      <c r="T515" s="871">
        <v>16</v>
      </c>
      <c r="U515" s="872">
        <v>11</v>
      </c>
      <c r="W515" s="872"/>
    </row>
    <row r="516" spans="1:23" x14ac:dyDescent="0.2">
      <c r="A516" s="865" t="s">
        <v>2542</v>
      </c>
      <c r="B516" s="866" t="s">
        <v>4000</v>
      </c>
      <c r="C516" s="866" t="s">
        <v>4001</v>
      </c>
      <c r="D516" s="1440"/>
      <c r="E516" s="1443"/>
      <c r="F516" s="1443"/>
      <c r="G516" s="1440"/>
      <c r="H516" s="1440"/>
      <c r="I516" s="1440"/>
      <c r="J516" s="1440"/>
      <c r="K516" s="1440"/>
      <c r="L516" s="1440"/>
      <c r="M516" s="867" t="s">
        <v>2547</v>
      </c>
      <c r="N516" s="867" t="s">
        <v>3870</v>
      </c>
      <c r="O516" s="873" t="s">
        <v>4005</v>
      </c>
      <c r="P516" s="874">
        <v>17</v>
      </c>
      <c r="Q516" s="874">
        <v>16</v>
      </c>
      <c r="R516" s="875">
        <v>11</v>
      </c>
      <c r="S516" s="876">
        <v>17</v>
      </c>
      <c r="T516" s="876">
        <v>16</v>
      </c>
      <c r="U516" s="877">
        <v>11</v>
      </c>
      <c r="W516" s="877"/>
    </row>
    <row r="517" spans="1:23" x14ac:dyDescent="0.2">
      <c r="A517" s="865" t="s">
        <v>2542</v>
      </c>
      <c r="B517" s="866" t="s">
        <v>4000</v>
      </c>
      <c r="C517" s="866" t="s">
        <v>4001</v>
      </c>
      <c r="D517" s="1438" t="s">
        <v>2654</v>
      </c>
      <c r="E517" s="1441">
        <v>45559.313668981478</v>
      </c>
      <c r="F517" s="1441">
        <v>45716.958321759259</v>
      </c>
      <c r="G517" s="1438" t="s">
        <v>1741</v>
      </c>
      <c r="H517" s="1438" t="s">
        <v>1755</v>
      </c>
      <c r="I517" s="1438" t="s">
        <v>1757</v>
      </c>
      <c r="J517" s="1438" t="s">
        <v>2655</v>
      </c>
      <c r="K517" s="1438" t="s">
        <v>1804</v>
      </c>
      <c r="L517" s="1438" t="s">
        <v>1805</v>
      </c>
      <c r="M517" s="867" t="s">
        <v>2553</v>
      </c>
      <c r="N517" s="867" t="s">
        <v>3861</v>
      </c>
      <c r="O517" s="867" t="s">
        <v>4007</v>
      </c>
      <c r="P517" s="869">
        <v>30</v>
      </c>
      <c r="Q517" s="869">
        <v>30</v>
      </c>
      <c r="R517" s="870">
        <v>19</v>
      </c>
      <c r="S517" s="871">
        <v>30</v>
      </c>
      <c r="T517" s="871">
        <v>30</v>
      </c>
      <c r="U517" s="872">
        <v>19</v>
      </c>
      <c r="W517" s="872"/>
    </row>
    <row r="518" spans="1:23" x14ac:dyDescent="0.2">
      <c r="A518" s="865" t="s">
        <v>2542</v>
      </c>
      <c r="B518" s="866" t="s">
        <v>4000</v>
      </c>
      <c r="C518" s="866" t="s">
        <v>4001</v>
      </c>
      <c r="D518" s="1440"/>
      <c r="E518" s="1443"/>
      <c r="F518" s="1443"/>
      <c r="G518" s="1440"/>
      <c r="H518" s="1440"/>
      <c r="I518" s="1440"/>
      <c r="J518" s="1440"/>
      <c r="K518" s="1440"/>
      <c r="L518" s="1440"/>
      <c r="M518" s="867" t="s">
        <v>2547</v>
      </c>
      <c r="N518" s="867" t="s">
        <v>3870</v>
      </c>
      <c r="O518" s="873" t="s">
        <v>4005</v>
      </c>
      <c r="P518" s="874">
        <v>30</v>
      </c>
      <c r="Q518" s="874">
        <v>30</v>
      </c>
      <c r="R518" s="875">
        <v>19</v>
      </c>
      <c r="S518" s="876">
        <v>30</v>
      </c>
      <c r="T518" s="876">
        <v>30</v>
      </c>
      <c r="U518" s="877">
        <v>19</v>
      </c>
      <c r="W518" s="877"/>
    </row>
    <row r="519" spans="1:23" ht="48" x14ac:dyDescent="0.2">
      <c r="A519" s="865" t="s">
        <v>2542</v>
      </c>
      <c r="B519" s="866" t="s">
        <v>4000</v>
      </c>
      <c r="C519" s="866" t="s">
        <v>4001</v>
      </c>
      <c r="D519" s="867" t="s">
        <v>2656</v>
      </c>
      <c r="E519" s="868">
        <v>45635.481898148151</v>
      </c>
      <c r="F519" s="868">
        <v>45777.916655092595</v>
      </c>
      <c r="G519" s="867" t="s">
        <v>1758</v>
      </c>
      <c r="H519" s="867" t="s">
        <v>1759</v>
      </c>
      <c r="I519" s="867" t="s">
        <v>1760</v>
      </c>
      <c r="J519" s="867" t="s">
        <v>2657</v>
      </c>
      <c r="K519" s="867" t="s">
        <v>1804</v>
      </c>
      <c r="L519" s="867" t="s">
        <v>1805</v>
      </c>
      <c r="M519" s="867" t="s">
        <v>2627</v>
      </c>
      <c r="N519" s="867" t="s">
        <v>3938</v>
      </c>
      <c r="O519" s="867" t="s">
        <v>4021</v>
      </c>
      <c r="P519" s="869">
        <v>7</v>
      </c>
      <c r="Q519" s="869">
        <v>7</v>
      </c>
      <c r="R519" s="870">
        <v>7</v>
      </c>
      <c r="S519" s="871">
        <v>7</v>
      </c>
      <c r="T519" s="871">
        <v>7</v>
      </c>
      <c r="U519" s="872">
        <v>7</v>
      </c>
      <c r="W519" s="872"/>
    </row>
    <row r="520" spans="1:23" x14ac:dyDescent="0.2">
      <c r="A520" s="865" t="s">
        <v>2542</v>
      </c>
      <c r="B520" s="866" t="s">
        <v>4000</v>
      </c>
      <c r="C520" s="866" t="s">
        <v>4001</v>
      </c>
      <c r="D520" s="1438" t="s">
        <v>2658</v>
      </c>
      <c r="E520" s="1441">
        <v>45554.311886574076</v>
      </c>
      <c r="F520" s="1441">
        <v>45716.958321759259</v>
      </c>
      <c r="G520" s="1438" t="s">
        <v>1741</v>
      </c>
      <c r="H520" s="1438" t="s">
        <v>1755</v>
      </c>
      <c r="I520" s="1438" t="s">
        <v>1757</v>
      </c>
      <c r="J520" s="1438" t="s">
        <v>2561</v>
      </c>
      <c r="K520" s="1438" t="s">
        <v>1804</v>
      </c>
      <c r="L520" s="1438" t="s">
        <v>1805</v>
      </c>
      <c r="M520" s="867" t="s">
        <v>2553</v>
      </c>
      <c r="N520" s="867" t="s">
        <v>3861</v>
      </c>
      <c r="O520" s="873" t="s">
        <v>4007</v>
      </c>
      <c r="P520" s="874">
        <v>11</v>
      </c>
      <c r="Q520" s="874">
        <v>10</v>
      </c>
      <c r="R520" s="875">
        <v>0</v>
      </c>
      <c r="S520" s="876">
        <v>11</v>
      </c>
      <c r="T520" s="876">
        <v>10</v>
      </c>
      <c r="U520" s="877">
        <v>0</v>
      </c>
      <c r="W520" s="877"/>
    </row>
    <row r="521" spans="1:23" x14ac:dyDescent="0.2">
      <c r="A521" s="865" t="s">
        <v>2542</v>
      </c>
      <c r="B521" s="866" t="s">
        <v>4000</v>
      </c>
      <c r="C521" s="866" t="s">
        <v>4001</v>
      </c>
      <c r="D521" s="1440"/>
      <c r="E521" s="1443"/>
      <c r="F521" s="1443"/>
      <c r="G521" s="1440"/>
      <c r="H521" s="1440"/>
      <c r="I521" s="1440"/>
      <c r="J521" s="1440"/>
      <c r="K521" s="1440"/>
      <c r="L521" s="1440"/>
      <c r="M521" s="867" t="s">
        <v>2547</v>
      </c>
      <c r="N521" s="867" t="s">
        <v>3870</v>
      </c>
      <c r="O521" s="867" t="s">
        <v>4005</v>
      </c>
      <c r="P521" s="869">
        <v>11</v>
      </c>
      <c r="Q521" s="869">
        <v>10</v>
      </c>
      <c r="R521" s="870">
        <v>0</v>
      </c>
      <c r="S521" s="871">
        <v>11</v>
      </c>
      <c r="T521" s="871">
        <v>10</v>
      </c>
      <c r="U521" s="872">
        <v>0</v>
      </c>
      <c r="W521" s="872"/>
    </row>
    <row r="522" spans="1:23" x14ac:dyDescent="0.2">
      <c r="A522" s="865" t="s">
        <v>2542</v>
      </c>
      <c r="B522" s="866" t="s">
        <v>4000</v>
      </c>
      <c r="C522" s="866" t="s">
        <v>4001</v>
      </c>
      <c r="D522" s="1438" t="s">
        <v>2659</v>
      </c>
      <c r="E522" s="1441">
        <v>45559.688761574071</v>
      </c>
      <c r="F522" s="1441">
        <v>45716.958321759259</v>
      </c>
      <c r="G522" s="1438" t="s">
        <v>1772</v>
      </c>
      <c r="H522" s="1438" t="s">
        <v>1765</v>
      </c>
      <c r="I522" s="1438" t="s">
        <v>1774</v>
      </c>
      <c r="J522" s="1438" t="s">
        <v>2660</v>
      </c>
      <c r="K522" s="1438" t="s">
        <v>1804</v>
      </c>
      <c r="L522" s="1438" t="s">
        <v>1805</v>
      </c>
      <c r="M522" s="867" t="s">
        <v>2545</v>
      </c>
      <c r="N522" s="867" t="s">
        <v>4002</v>
      </c>
      <c r="O522" s="873" t="s">
        <v>4003</v>
      </c>
      <c r="P522" s="874">
        <v>30</v>
      </c>
      <c r="Q522" s="874">
        <v>30</v>
      </c>
      <c r="R522" s="875">
        <v>29</v>
      </c>
      <c r="S522" s="876">
        <v>30</v>
      </c>
      <c r="T522" s="876">
        <v>30</v>
      </c>
      <c r="U522" s="877">
        <v>29</v>
      </c>
      <c r="W522" s="877"/>
    </row>
    <row r="523" spans="1:23" x14ac:dyDescent="0.2">
      <c r="A523" s="865" t="s">
        <v>2542</v>
      </c>
      <c r="B523" s="866" t="s">
        <v>4000</v>
      </c>
      <c r="C523" s="866" t="s">
        <v>4001</v>
      </c>
      <c r="D523" s="1440"/>
      <c r="E523" s="1443"/>
      <c r="F523" s="1443"/>
      <c r="G523" s="1440"/>
      <c r="H523" s="1440"/>
      <c r="I523" s="1440"/>
      <c r="J523" s="1440"/>
      <c r="K523" s="1440"/>
      <c r="L523" s="1440"/>
      <c r="M523" s="867" t="s">
        <v>2546</v>
      </c>
      <c r="N523" s="867" t="s">
        <v>3886</v>
      </c>
      <c r="O523" s="867" t="s">
        <v>4004</v>
      </c>
      <c r="P523" s="869">
        <v>30</v>
      </c>
      <c r="Q523" s="869">
        <v>30</v>
      </c>
      <c r="R523" s="870">
        <v>29</v>
      </c>
      <c r="S523" s="871">
        <v>30</v>
      </c>
      <c r="T523" s="871">
        <v>30</v>
      </c>
      <c r="U523" s="872">
        <v>29</v>
      </c>
      <c r="W523" s="872"/>
    </row>
    <row r="524" spans="1:23" ht="24" x14ac:dyDescent="0.2">
      <c r="A524" s="865" t="s">
        <v>2542</v>
      </c>
      <c r="B524" s="866" t="s">
        <v>4000</v>
      </c>
      <c r="C524" s="866" t="s">
        <v>4001</v>
      </c>
      <c r="D524" s="867" t="s">
        <v>2661</v>
      </c>
      <c r="E524" s="868">
        <v>45630.398958333331</v>
      </c>
      <c r="F524" s="868">
        <v>45900.916655092595</v>
      </c>
      <c r="G524" s="867" t="s">
        <v>1758</v>
      </c>
      <c r="H524" s="867" t="s">
        <v>1759</v>
      </c>
      <c r="I524" s="867" t="s">
        <v>1761</v>
      </c>
      <c r="J524" s="867" t="s">
        <v>2662</v>
      </c>
      <c r="K524" s="867" t="s">
        <v>1804</v>
      </c>
      <c r="L524" s="867" t="s">
        <v>1828</v>
      </c>
      <c r="M524" s="867" t="s">
        <v>2550</v>
      </c>
      <c r="N524" s="867" t="s">
        <v>3884</v>
      </c>
      <c r="O524" s="873" t="s">
        <v>4006</v>
      </c>
      <c r="P524" s="874">
        <v>1</v>
      </c>
      <c r="Q524" s="874">
        <v>1</v>
      </c>
      <c r="R524" s="875">
        <v>0</v>
      </c>
      <c r="S524" s="876">
        <v>1</v>
      </c>
      <c r="T524" s="876">
        <v>1</v>
      </c>
      <c r="U524" s="877">
        <v>0</v>
      </c>
      <c r="W524" s="877"/>
    </row>
    <row r="525" spans="1:23" x14ac:dyDescent="0.2">
      <c r="A525" s="865" t="s">
        <v>2542</v>
      </c>
      <c r="B525" s="866" t="s">
        <v>4000</v>
      </c>
      <c r="C525" s="866" t="s">
        <v>4001</v>
      </c>
      <c r="D525" s="1438" t="s">
        <v>2663</v>
      </c>
      <c r="E525" s="1441">
        <v>45554.307303240741</v>
      </c>
      <c r="F525" s="1441">
        <v>45716.958321759259</v>
      </c>
      <c r="G525" s="1438" t="s">
        <v>1741</v>
      </c>
      <c r="H525" s="1438" t="s">
        <v>1755</v>
      </c>
      <c r="I525" s="1438" t="s">
        <v>1756</v>
      </c>
      <c r="J525" s="1438" t="s">
        <v>2651</v>
      </c>
      <c r="K525" s="1438" t="s">
        <v>1804</v>
      </c>
      <c r="L525" s="1438" t="s">
        <v>1805</v>
      </c>
      <c r="M525" s="867" t="s">
        <v>2553</v>
      </c>
      <c r="N525" s="867" t="s">
        <v>3861</v>
      </c>
      <c r="O525" s="867" t="s">
        <v>4007</v>
      </c>
      <c r="P525" s="869">
        <v>11</v>
      </c>
      <c r="Q525" s="869">
        <v>11</v>
      </c>
      <c r="R525" s="870">
        <v>0</v>
      </c>
      <c r="S525" s="871">
        <v>11</v>
      </c>
      <c r="T525" s="871">
        <v>11</v>
      </c>
      <c r="U525" s="872">
        <v>0</v>
      </c>
      <c r="W525" s="872"/>
    </row>
    <row r="526" spans="1:23" x14ac:dyDescent="0.2">
      <c r="A526" s="865" t="s">
        <v>2542</v>
      </c>
      <c r="B526" s="866" t="s">
        <v>4000</v>
      </c>
      <c r="C526" s="866" t="s">
        <v>4001</v>
      </c>
      <c r="D526" s="1440"/>
      <c r="E526" s="1443"/>
      <c r="F526" s="1443"/>
      <c r="G526" s="1440"/>
      <c r="H526" s="1440"/>
      <c r="I526" s="1440"/>
      <c r="J526" s="1440"/>
      <c r="K526" s="1440"/>
      <c r="L526" s="1440"/>
      <c r="M526" s="867" t="s">
        <v>2547</v>
      </c>
      <c r="N526" s="867" t="s">
        <v>3870</v>
      </c>
      <c r="O526" s="873" t="s">
        <v>4005</v>
      </c>
      <c r="P526" s="874">
        <v>11</v>
      </c>
      <c r="Q526" s="874">
        <v>11</v>
      </c>
      <c r="R526" s="875">
        <v>0</v>
      </c>
      <c r="S526" s="876">
        <v>11</v>
      </c>
      <c r="T526" s="876">
        <v>11</v>
      </c>
      <c r="U526" s="877">
        <v>0</v>
      </c>
      <c r="W526" s="877"/>
    </row>
    <row r="527" spans="1:23" ht="24" x14ac:dyDescent="0.2">
      <c r="A527" s="865" t="s">
        <v>2542</v>
      </c>
      <c r="B527" s="866" t="s">
        <v>4000</v>
      </c>
      <c r="C527" s="866" t="s">
        <v>4001</v>
      </c>
      <c r="D527" s="867" t="s">
        <v>2664</v>
      </c>
      <c r="E527" s="868">
        <v>45558.318657407406</v>
      </c>
      <c r="F527" s="868">
        <v>45923.916655092595</v>
      </c>
      <c r="G527" s="867" t="s">
        <v>1767</v>
      </c>
      <c r="H527" s="867" t="s">
        <v>1765</v>
      </c>
      <c r="I527" s="867" t="s">
        <v>1769</v>
      </c>
      <c r="J527" s="867" t="s">
        <v>2665</v>
      </c>
      <c r="K527" s="867" t="s">
        <v>1804</v>
      </c>
      <c r="L527" s="867" t="s">
        <v>2097</v>
      </c>
      <c r="M527" s="867" t="s">
        <v>2550</v>
      </c>
      <c r="N527" s="867" t="s">
        <v>3884</v>
      </c>
      <c r="O527" s="867" t="s">
        <v>4006</v>
      </c>
      <c r="P527" s="869">
        <v>2</v>
      </c>
      <c r="Q527" s="869">
        <v>2</v>
      </c>
      <c r="R527" s="870">
        <v>0</v>
      </c>
      <c r="S527" s="871">
        <v>2</v>
      </c>
      <c r="T527" s="871">
        <v>2</v>
      </c>
      <c r="U527" s="872">
        <v>0</v>
      </c>
      <c r="W527" s="872"/>
    </row>
    <row r="528" spans="1:23" ht="36" x14ac:dyDescent="0.2">
      <c r="A528" s="865" t="s">
        <v>2542</v>
      </c>
      <c r="B528" s="866" t="s">
        <v>4000</v>
      </c>
      <c r="C528" s="866" t="s">
        <v>4001</v>
      </c>
      <c r="D528" s="867" t="s">
        <v>2666</v>
      </c>
      <c r="E528" s="868">
        <v>45615.408645833333</v>
      </c>
      <c r="F528" s="868">
        <v>45747.916655092595</v>
      </c>
      <c r="G528" s="867" t="s">
        <v>1758</v>
      </c>
      <c r="H528" s="867" t="s">
        <v>1759</v>
      </c>
      <c r="I528" s="867" t="s">
        <v>1762</v>
      </c>
      <c r="J528" s="867" t="s">
        <v>2667</v>
      </c>
      <c r="K528" s="867" t="s">
        <v>1804</v>
      </c>
      <c r="L528" s="867" t="s">
        <v>1828</v>
      </c>
      <c r="M528" s="867" t="s">
        <v>2627</v>
      </c>
      <c r="N528" s="867" t="s">
        <v>3938</v>
      </c>
      <c r="O528" s="873" t="s">
        <v>4021</v>
      </c>
      <c r="P528" s="874">
        <v>7</v>
      </c>
      <c r="Q528" s="874">
        <v>6</v>
      </c>
      <c r="R528" s="875">
        <v>5</v>
      </c>
      <c r="S528" s="876">
        <v>7</v>
      </c>
      <c r="T528" s="876">
        <v>6</v>
      </c>
      <c r="U528" s="877">
        <v>5</v>
      </c>
      <c r="W528" s="877"/>
    </row>
    <row r="529" spans="1:23" ht="24" x14ac:dyDescent="0.2">
      <c r="A529" s="865" t="s">
        <v>2542</v>
      </c>
      <c r="B529" s="866" t="s">
        <v>4000</v>
      </c>
      <c r="C529" s="866" t="s">
        <v>4001</v>
      </c>
      <c r="D529" s="867" t="s">
        <v>2668</v>
      </c>
      <c r="E529" s="868">
        <v>45559.281527777777</v>
      </c>
      <c r="F529" s="868">
        <v>45930.916655092595</v>
      </c>
      <c r="G529" s="867" t="s">
        <v>1758</v>
      </c>
      <c r="H529" s="867" t="s">
        <v>1765</v>
      </c>
      <c r="I529" s="867" t="s">
        <v>1766</v>
      </c>
      <c r="J529" s="867" t="s">
        <v>2669</v>
      </c>
      <c r="K529" s="867" t="s">
        <v>1804</v>
      </c>
      <c r="L529" s="867" t="s">
        <v>1805</v>
      </c>
      <c r="M529" s="867" t="s">
        <v>2546</v>
      </c>
      <c r="N529" s="867" t="s">
        <v>3886</v>
      </c>
      <c r="O529" s="867" t="s">
        <v>4004</v>
      </c>
      <c r="P529" s="869">
        <v>41</v>
      </c>
      <c r="Q529" s="869">
        <v>41</v>
      </c>
      <c r="R529" s="870">
        <v>31</v>
      </c>
      <c r="S529" s="871">
        <v>41</v>
      </c>
      <c r="T529" s="871">
        <v>41</v>
      </c>
      <c r="U529" s="872">
        <v>31</v>
      </c>
      <c r="W529" s="872"/>
    </row>
    <row r="530" spans="1:23" ht="24" x14ac:dyDescent="0.2">
      <c r="A530" s="865" t="s">
        <v>2542</v>
      </c>
      <c r="B530" s="866" t="s">
        <v>4000</v>
      </c>
      <c r="C530" s="866" t="s">
        <v>4001</v>
      </c>
      <c r="D530" s="867" t="s">
        <v>2670</v>
      </c>
      <c r="E530" s="868">
        <v>45558.327384259261</v>
      </c>
      <c r="F530" s="868">
        <v>45688.958321759259</v>
      </c>
      <c r="G530" s="867" t="s">
        <v>1777</v>
      </c>
      <c r="H530" s="867" t="s">
        <v>1765</v>
      </c>
      <c r="I530" s="867" t="s">
        <v>1778</v>
      </c>
      <c r="J530" s="867" t="s">
        <v>2671</v>
      </c>
      <c r="K530" s="867" t="s">
        <v>1804</v>
      </c>
      <c r="L530" s="867" t="s">
        <v>2221</v>
      </c>
      <c r="M530" s="867" t="s">
        <v>2550</v>
      </c>
      <c r="N530" s="867" t="s">
        <v>3884</v>
      </c>
      <c r="O530" s="873" t="s">
        <v>4006</v>
      </c>
      <c r="P530" s="874">
        <v>21</v>
      </c>
      <c r="Q530" s="874">
        <v>20</v>
      </c>
      <c r="R530" s="875">
        <v>19</v>
      </c>
      <c r="S530" s="876">
        <v>21</v>
      </c>
      <c r="T530" s="876">
        <v>20</v>
      </c>
      <c r="U530" s="877">
        <v>19</v>
      </c>
      <c r="W530" s="877"/>
    </row>
    <row r="531" spans="1:23" ht="48" x14ac:dyDescent="0.2">
      <c r="A531" s="865" t="s">
        <v>2672</v>
      </c>
      <c r="B531" s="866" t="s">
        <v>4022</v>
      </c>
      <c r="C531" s="866" t="s">
        <v>3860</v>
      </c>
      <c r="D531" s="867" t="s">
        <v>2673</v>
      </c>
      <c r="E531" s="868">
        <v>45547.676377314812</v>
      </c>
      <c r="F531" s="868">
        <v>45912.916655092595</v>
      </c>
      <c r="G531" s="867" t="s">
        <v>1758</v>
      </c>
      <c r="H531" s="867" t="s">
        <v>1759</v>
      </c>
      <c r="I531" s="867" t="s">
        <v>1760</v>
      </c>
      <c r="J531" s="867" t="s">
        <v>2674</v>
      </c>
      <c r="K531" s="867" t="s">
        <v>1804</v>
      </c>
      <c r="L531" s="867" t="s">
        <v>1805</v>
      </c>
      <c r="M531" s="867" t="s">
        <v>2675</v>
      </c>
      <c r="N531" s="867" t="s">
        <v>4023</v>
      </c>
      <c r="O531" s="867" t="s">
        <v>4024</v>
      </c>
      <c r="P531" s="869">
        <v>2</v>
      </c>
      <c r="Q531" s="869">
        <v>2</v>
      </c>
      <c r="R531" s="870">
        <v>0</v>
      </c>
      <c r="S531" s="871">
        <v>2</v>
      </c>
      <c r="T531" s="871">
        <v>2</v>
      </c>
      <c r="U531" s="872">
        <v>0</v>
      </c>
      <c r="W531" s="872">
        <v>0</v>
      </c>
    </row>
    <row r="532" spans="1:23" ht="36" x14ac:dyDescent="0.2">
      <c r="A532" s="865" t="s">
        <v>2672</v>
      </c>
      <c r="B532" s="866" t="s">
        <v>4022</v>
      </c>
      <c r="C532" s="866" t="s">
        <v>3860</v>
      </c>
      <c r="D532" s="867" t="s">
        <v>2676</v>
      </c>
      <c r="E532" s="868">
        <v>45300.958333333336</v>
      </c>
      <c r="F532" s="868">
        <v>45564.916666666664</v>
      </c>
      <c r="G532" s="867" t="s">
        <v>1758</v>
      </c>
      <c r="H532" s="867" t="s">
        <v>1759</v>
      </c>
      <c r="I532" s="867" t="s">
        <v>1817</v>
      </c>
      <c r="J532" s="867" t="s">
        <v>2677</v>
      </c>
      <c r="K532" s="867" t="s">
        <v>1804</v>
      </c>
      <c r="L532" s="867" t="s">
        <v>1819</v>
      </c>
      <c r="M532" s="867" t="s">
        <v>2675</v>
      </c>
      <c r="N532" s="867" t="s">
        <v>4023</v>
      </c>
      <c r="O532" s="873" t="s">
        <v>4024</v>
      </c>
      <c r="P532" s="874">
        <v>28</v>
      </c>
      <c r="Q532" s="874">
        <v>16</v>
      </c>
      <c r="R532" s="875">
        <v>0</v>
      </c>
      <c r="S532" s="876">
        <v>28</v>
      </c>
      <c r="T532" s="876">
        <v>16</v>
      </c>
      <c r="U532" s="877">
        <v>0</v>
      </c>
      <c r="W532" s="877">
        <v>0</v>
      </c>
    </row>
    <row r="533" spans="1:23" ht="36" x14ac:dyDescent="0.2">
      <c r="A533" s="865" t="s">
        <v>2672</v>
      </c>
      <c r="B533" s="866" t="s">
        <v>4022</v>
      </c>
      <c r="C533" s="866" t="s">
        <v>3860</v>
      </c>
      <c r="D533" s="867" t="s">
        <v>2678</v>
      </c>
      <c r="E533" s="868">
        <v>45300.958333333336</v>
      </c>
      <c r="F533" s="868">
        <v>45535.916666666664</v>
      </c>
      <c r="G533" s="867" t="s">
        <v>1758</v>
      </c>
      <c r="H533" s="867" t="s">
        <v>1759</v>
      </c>
      <c r="I533" s="867" t="s">
        <v>1817</v>
      </c>
      <c r="J533" s="867" t="s">
        <v>2679</v>
      </c>
      <c r="K533" s="867" t="s">
        <v>1804</v>
      </c>
      <c r="L533" s="867" t="s">
        <v>1819</v>
      </c>
      <c r="M533" s="867" t="s">
        <v>2675</v>
      </c>
      <c r="N533" s="867" t="s">
        <v>4023</v>
      </c>
      <c r="O533" s="867" t="s">
        <v>4024</v>
      </c>
      <c r="P533" s="869">
        <v>11</v>
      </c>
      <c r="Q533" s="869">
        <v>11</v>
      </c>
      <c r="R533" s="870">
        <v>0</v>
      </c>
      <c r="S533" s="871">
        <v>11</v>
      </c>
      <c r="T533" s="871">
        <v>11</v>
      </c>
      <c r="U533" s="872">
        <v>0</v>
      </c>
      <c r="W533" s="872">
        <v>0</v>
      </c>
    </row>
    <row r="534" spans="1:23" ht="36" x14ac:dyDescent="0.2">
      <c r="A534" s="865" t="s">
        <v>2672</v>
      </c>
      <c r="B534" s="866" t="s">
        <v>4022</v>
      </c>
      <c r="C534" s="866" t="s">
        <v>3860</v>
      </c>
      <c r="D534" s="867" t="s">
        <v>2680</v>
      </c>
      <c r="E534" s="868">
        <v>45349.958333333336</v>
      </c>
      <c r="F534" s="868">
        <v>45712</v>
      </c>
      <c r="G534" s="867" t="s">
        <v>1758</v>
      </c>
      <c r="H534" s="867" t="s">
        <v>1759</v>
      </c>
      <c r="I534" s="867" t="s">
        <v>1817</v>
      </c>
      <c r="J534" s="867" t="s">
        <v>2681</v>
      </c>
      <c r="K534" s="867" t="s">
        <v>1804</v>
      </c>
      <c r="L534" s="867" t="s">
        <v>1819</v>
      </c>
      <c r="M534" s="867" t="s">
        <v>2675</v>
      </c>
      <c r="N534" s="867" t="s">
        <v>4023</v>
      </c>
      <c r="O534" s="873" t="s">
        <v>4024</v>
      </c>
      <c r="P534" s="874">
        <v>2</v>
      </c>
      <c r="Q534" s="874">
        <v>1</v>
      </c>
      <c r="R534" s="875">
        <v>0</v>
      </c>
      <c r="S534" s="876">
        <v>2</v>
      </c>
      <c r="T534" s="876">
        <v>1</v>
      </c>
      <c r="U534" s="877">
        <v>0</v>
      </c>
      <c r="W534" s="877">
        <v>0</v>
      </c>
    </row>
    <row r="535" spans="1:23" ht="36" x14ac:dyDescent="0.2">
      <c r="A535" s="865" t="s">
        <v>2672</v>
      </c>
      <c r="B535" s="866" t="s">
        <v>4022</v>
      </c>
      <c r="C535" s="866" t="s">
        <v>3860</v>
      </c>
      <c r="D535" s="867" t="s">
        <v>2682</v>
      </c>
      <c r="E535" s="868">
        <v>45349.958333333336</v>
      </c>
      <c r="F535" s="868">
        <v>45712</v>
      </c>
      <c r="G535" s="867" t="s">
        <v>1758</v>
      </c>
      <c r="H535" s="867" t="s">
        <v>1759</v>
      </c>
      <c r="I535" s="867" t="s">
        <v>1823</v>
      </c>
      <c r="J535" s="867" t="s">
        <v>2683</v>
      </c>
      <c r="K535" s="867" t="s">
        <v>1804</v>
      </c>
      <c r="L535" s="867" t="s">
        <v>1819</v>
      </c>
      <c r="M535" s="867" t="s">
        <v>2675</v>
      </c>
      <c r="N535" s="867" t="s">
        <v>4023</v>
      </c>
      <c r="O535" s="867" t="s">
        <v>4024</v>
      </c>
      <c r="P535" s="869">
        <v>2</v>
      </c>
      <c r="Q535" s="869">
        <v>2</v>
      </c>
      <c r="R535" s="870">
        <v>0</v>
      </c>
      <c r="S535" s="871">
        <v>2</v>
      </c>
      <c r="T535" s="871">
        <v>2</v>
      </c>
      <c r="U535" s="872">
        <v>0</v>
      </c>
      <c r="W535" s="872">
        <v>0</v>
      </c>
    </row>
    <row r="536" spans="1:23" ht="36" x14ac:dyDescent="0.2">
      <c r="A536" s="865" t="s">
        <v>2672</v>
      </c>
      <c r="B536" s="866" t="s">
        <v>4022</v>
      </c>
      <c r="C536" s="866" t="s">
        <v>3860</v>
      </c>
      <c r="D536" s="867" t="s">
        <v>2684</v>
      </c>
      <c r="E536" s="868">
        <v>45544.546296296299</v>
      </c>
      <c r="F536" s="868">
        <v>45909.916655092595</v>
      </c>
      <c r="G536" s="867" t="s">
        <v>1758</v>
      </c>
      <c r="H536" s="867" t="s">
        <v>1759</v>
      </c>
      <c r="I536" s="867" t="s">
        <v>1762</v>
      </c>
      <c r="J536" s="867" t="s">
        <v>2685</v>
      </c>
      <c r="K536" s="867" t="s">
        <v>1804</v>
      </c>
      <c r="L536" s="867" t="s">
        <v>1828</v>
      </c>
      <c r="M536" s="867" t="s">
        <v>2675</v>
      </c>
      <c r="N536" s="867" t="s">
        <v>4023</v>
      </c>
      <c r="O536" s="873" t="s">
        <v>4024</v>
      </c>
      <c r="P536" s="874">
        <v>11</v>
      </c>
      <c r="Q536" s="874">
        <v>11</v>
      </c>
      <c r="R536" s="875">
        <v>6</v>
      </c>
      <c r="S536" s="876">
        <v>11</v>
      </c>
      <c r="T536" s="876">
        <v>11</v>
      </c>
      <c r="U536" s="877">
        <v>6</v>
      </c>
      <c r="W536" s="877">
        <v>6</v>
      </c>
    </row>
    <row r="537" spans="1:23" x14ac:dyDescent="0.2">
      <c r="A537" s="865" t="s">
        <v>2672</v>
      </c>
      <c r="B537" s="866" t="s">
        <v>4022</v>
      </c>
      <c r="C537" s="866" t="s">
        <v>3860</v>
      </c>
      <c r="D537" s="1438" t="s">
        <v>2686</v>
      </c>
      <c r="E537" s="1441">
        <v>45544.235150462962</v>
      </c>
      <c r="F537" s="1441">
        <v>46295.916655092595</v>
      </c>
      <c r="G537" s="1438" t="s">
        <v>1758</v>
      </c>
      <c r="H537" s="1438" t="s">
        <v>1759</v>
      </c>
      <c r="I537" s="1438" t="s">
        <v>1761</v>
      </c>
      <c r="J537" s="1438" t="s">
        <v>2687</v>
      </c>
      <c r="K537" s="1438" t="s">
        <v>1804</v>
      </c>
      <c r="L537" s="1438" t="s">
        <v>1828</v>
      </c>
      <c r="M537" s="867" t="s">
        <v>2675</v>
      </c>
      <c r="N537" s="867" t="s">
        <v>4023</v>
      </c>
      <c r="O537" s="867" t="s">
        <v>4024</v>
      </c>
      <c r="P537" s="869">
        <v>35</v>
      </c>
      <c r="Q537" s="869">
        <v>32</v>
      </c>
      <c r="R537" s="870">
        <v>0</v>
      </c>
      <c r="S537" s="871">
        <v>35</v>
      </c>
      <c r="T537" s="871">
        <v>32</v>
      </c>
      <c r="U537" s="872">
        <v>0</v>
      </c>
      <c r="W537" s="872">
        <v>0</v>
      </c>
    </row>
    <row r="538" spans="1:23" x14ac:dyDescent="0.2">
      <c r="A538" s="865" t="s">
        <v>2672</v>
      </c>
      <c r="B538" s="866" t="s">
        <v>4022</v>
      </c>
      <c r="C538" s="866" t="s">
        <v>3860</v>
      </c>
      <c r="D538" s="1440"/>
      <c r="E538" s="1443"/>
      <c r="F538" s="1443"/>
      <c r="G538" s="1440"/>
      <c r="H538" s="1440"/>
      <c r="I538" s="1440"/>
      <c r="J538" s="1440"/>
      <c r="K538" s="1440"/>
      <c r="L538" s="1440"/>
      <c r="M538" s="867" t="s">
        <v>2688</v>
      </c>
      <c r="N538" s="867" t="s">
        <v>4025</v>
      </c>
      <c r="O538" s="873" t="s">
        <v>4026</v>
      </c>
      <c r="P538" s="874">
        <v>35</v>
      </c>
      <c r="Q538" s="874">
        <v>32</v>
      </c>
      <c r="R538" s="875">
        <v>0</v>
      </c>
      <c r="S538" s="876">
        <v>35</v>
      </c>
      <c r="T538" s="876">
        <v>32</v>
      </c>
      <c r="U538" s="877">
        <v>0</v>
      </c>
      <c r="W538" s="877">
        <v>0</v>
      </c>
    </row>
    <row r="539" spans="1:23" x14ac:dyDescent="0.2">
      <c r="A539" s="865" t="s">
        <v>2672</v>
      </c>
      <c r="B539" s="866" t="s">
        <v>4022</v>
      </c>
      <c r="C539" s="866" t="s">
        <v>3860</v>
      </c>
      <c r="D539" s="1438" t="s">
        <v>2689</v>
      </c>
      <c r="E539" s="1441">
        <v>45540.463055555556</v>
      </c>
      <c r="F539" s="1441">
        <v>46295.916655092595</v>
      </c>
      <c r="G539" s="1438" t="s">
        <v>1758</v>
      </c>
      <c r="H539" s="1438" t="s">
        <v>1759</v>
      </c>
      <c r="I539" s="1438" t="s">
        <v>1761</v>
      </c>
      <c r="J539" s="1438" t="s">
        <v>2690</v>
      </c>
      <c r="K539" s="1438" t="s">
        <v>1804</v>
      </c>
      <c r="L539" s="1438" t="s">
        <v>1828</v>
      </c>
      <c r="M539" s="867" t="s">
        <v>2675</v>
      </c>
      <c r="N539" s="867" t="s">
        <v>4023</v>
      </c>
      <c r="O539" s="867" t="s">
        <v>4024</v>
      </c>
      <c r="P539" s="869">
        <v>51</v>
      </c>
      <c r="Q539" s="869">
        <v>51</v>
      </c>
      <c r="R539" s="870">
        <v>0</v>
      </c>
      <c r="S539" s="871">
        <v>51</v>
      </c>
      <c r="T539" s="871">
        <v>51</v>
      </c>
      <c r="U539" s="872">
        <v>0</v>
      </c>
      <c r="W539" s="872">
        <v>0</v>
      </c>
    </row>
    <row r="540" spans="1:23" x14ac:dyDescent="0.2">
      <c r="A540" s="865" t="s">
        <v>2672</v>
      </c>
      <c r="B540" s="866" t="s">
        <v>4022</v>
      </c>
      <c r="C540" s="866" t="s">
        <v>3860</v>
      </c>
      <c r="D540" s="1440"/>
      <c r="E540" s="1443"/>
      <c r="F540" s="1443"/>
      <c r="G540" s="1440"/>
      <c r="H540" s="1440"/>
      <c r="I540" s="1440"/>
      <c r="J540" s="1440"/>
      <c r="K540" s="1440"/>
      <c r="L540" s="1440"/>
      <c r="M540" s="867" t="s">
        <v>2688</v>
      </c>
      <c r="N540" s="867" t="s">
        <v>4025</v>
      </c>
      <c r="O540" s="873" t="s">
        <v>4026</v>
      </c>
      <c r="P540" s="874">
        <v>51</v>
      </c>
      <c r="Q540" s="874">
        <v>51</v>
      </c>
      <c r="R540" s="875">
        <v>0</v>
      </c>
      <c r="S540" s="876">
        <v>51</v>
      </c>
      <c r="T540" s="876">
        <v>51</v>
      </c>
      <c r="U540" s="877">
        <v>0</v>
      </c>
      <c r="W540" s="877">
        <v>0</v>
      </c>
    </row>
    <row r="541" spans="1:23" ht="36" x14ac:dyDescent="0.2">
      <c r="A541" s="865" t="s">
        <v>2672</v>
      </c>
      <c r="B541" s="866" t="s">
        <v>4022</v>
      </c>
      <c r="C541" s="866" t="s">
        <v>3860</v>
      </c>
      <c r="D541" s="867" t="s">
        <v>2691</v>
      </c>
      <c r="E541" s="868">
        <v>45548.41547453704</v>
      </c>
      <c r="F541" s="868">
        <v>45913.916655092595</v>
      </c>
      <c r="G541" s="867" t="s">
        <v>1758</v>
      </c>
      <c r="H541" s="867" t="s">
        <v>1759</v>
      </c>
      <c r="I541" s="867" t="s">
        <v>1762</v>
      </c>
      <c r="J541" s="867" t="s">
        <v>2692</v>
      </c>
      <c r="K541" s="867" t="s">
        <v>1804</v>
      </c>
      <c r="L541" s="867" t="s">
        <v>1828</v>
      </c>
      <c r="M541" s="867" t="s">
        <v>2675</v>
      </c>
      <c r="N541" s="867" t="s">
        <v>4023</v>
      </c>
      <c r="O541" s="867" t="s">
        <v>4024</v>
      </c>
      <c r="P541" s="869">
        <v>25</v>
      </c>
      <c r="Q541" s="869">
        <v>23</v>
      </c>
      <c r="R541" s="870">
        <v>1</v>
      </c>
      <c r="S541" s="871">
        <v>25</v>
      </c>
      <c r="T541" s="871">
        <v>23</v>
      </c>
      <c r="U541" s="872">
        <v>1</v>
      </c>
      <c r="W541" s="872">
        <v>1</v>
      </c>
    </row>
    <row r="542" spans="1:23" ht="24" x14ac:dyDescent="0.2">
      <c r="A542" s="865" t="s">
        <v>2672</v>
      </c>
      <c r="B542" s="866" t="s">
        <v>4022</v>
      </c>
      <c r="C542" s="866" t="s">
        <v>3860</v>
      </c>
      <c r="D542" s="867" t="s">
        <v>2693</v>
      </c>
      <c r="E542" s="868">
        <v>45548.351921296293</v>
      </c>
      <c r="F542" s="868">
        <v>45913.916655092595</v>
      </c>
      <c r="G542" s="867" t="s">
        <v>1767</v>
      </c>
      <c r="H542" s="867" t="s">
        <v>1765</v>
      </c>
      <c r="I542" s="867" t="s">
        <v>1769</v>
      </c>
      <c r="J542" s="867" t="s">
        <v>2694</v>
      </c>
      <c r="K542" s="867" t="s">
        <v>1804</v>
      </c>
      <c r="L542" s="867" t="s">
        <v>2097</v>
      </c>
      <c r="M542" s="867" t="s">
        <v>2675</v>
      </c>
      <c r="N542" s="867" t="s">
        <v>4023</v>
      </c>
      <c r="O542" s="873" t="s">
        <v>4024</v>
      </c>
      <c r="P542" s="874">
        <v>2</v>
      </c>
      <c r="Q542" s="874">
        <v>2</v>
      </c>
      <c r="R542" s="875">
        <v>0</v>
      </c>
      <c r="S542" s="876">
        <v>2</v>
      </c>
      <c r="T542" s="876">
        <v>2</v>
      </c>
      <c r="U542" s="877">
        <v>0</v>
      </c>
      <c r="W542" s="877">
        <v>0</v>
      </c>
    </row>
    <row r="543" spans="1:23" ht="36" x14ac:dyDescent="0.2">
      <c r="A543" s="865" t="s">
        <v>2672</v>
      </c>
      <c r="B543" s="866" t="s">
        <v>4022</v>
      </c>
      <c r="C543" s="866" t="s">
        <v>3860</v>
      </c>
      <c r="D543" s="867" t="s">
        <v>2695</v>
      </c>
      <c r="E543" s="868">
        <v>45544.561215277776</v>
      </c>
      <c r="F543" s="868">
        <v>45909.916655092595</v>
      </c>
      <c r="G543" s="867" t="s">
        <v>1758</v>
      </c>
      <c r="H543" s="867" t="s">
        <v>1759</v>
      </c>
      <c r="I543" s="867" t="s">
        <v>1762</v>
      </c>
      <c r="J543" s="867" t="s">
        <v>2696</v>
      </c>
      <c r="K543" s="867" t="s">
        <v>1804</v>
      </c>
      <c r="L543" s="867" t="s">
        <v>1828</v>
      </c>
      <c r="M543" s="867" t="s">
        <v>2675</v>
      </c>
      <c r="N543" s="867" t="s">
        <v>4023</v>
      </c>
      <c r="O543" s="867" t="s">
        <v>4024</v>
      </c>
      <c r="P543" s="869">
        <v>30</v>
      </c>
      <c r="Q543" s="869">
        <v>29</v>
      </c>
      <c r="R543" s="870">
        <v>2</v>
      </c>
      <c r="S543" s="871">
        <v>30</v>
      </c>
      <c r="T543" s="871">
        <v>29</v>
      </c>
      <c r="U543" s="872">
        <v>2</v>
      </c>
      <c r="W543" s="872">
        <v>2</v>
      </c>
    </row>
    <row r="544" spans="1:23" ht="36" x14ac:dyDescent="0.2">
      <c r="A544" s="778" t="s">
        <v>4027</v>
      </c>
      <c r="B544" s="866">
        <v>31313833</v>
      </c>
      <c r="C544" s="879" t="s">
        <v>3860</v>
      </c>
      <c r="D544" s="867" t="s">
        <v>2697</v>
      </c>
      <c r="E544" s="868">
        <v>45565.916666666664</v>
      </c>
      <c r="F544" s="868">
        <v>45688.958321759259</v>
      </c>
      <c r="G544" s="867" t="s">
        <v>1758</v>
      </c>
      <c r="H544" s="867" t="s">
        <v>1759</v>
      </c>
      <c r="I544" s="867" t="s">
        <v>1761</v>
      </c>
      <c r="J544" s="867" t="s">
        <v>2698</v>
      </c>
      <c r="K544" s="867" t="s">
        <v>1804</v>
      </c>
      <c r="L544" s="867" t="s">
        <v>1828</v>
      </c>
      <c r="M544" s="867" t="s">
        <v>2699</v>
      </c>
      <c r="N544" s="867" t="s">
        <v>4028</v>
      </c>
      <c r="O544" s="873" t="s">
        <v>4029</v>
      </c>
      <c r="P544" s="874">
        <v>5</v>
      </c>
      <c r="Q544" s="874">
        <v>1</v>
      </c>
      <c r="R544" s="875">
        <v>1</v>
      </c>
      <c r="S544" s="876">
        <v>5</v>
      </c>
      <c r="T544" s="876">
        <v>1</v>
      </c>
      <c r="U544" s="877">
        <v>1</v>
      </c>
      <c r="W544" s="877">
        <v>1</v>
      </c>
    </row>
    <row r="545" spans="1:23" ht="36" x14ac:dyDescent="0.2">
      <c r="A545" s="865" t="s">
        <v>2700</v>
      </c>
      <c r="B545" s="866" t="s">
        <v>4030</v>
      </c>
      <c r="C545" s="866" t="s">
        <v>3876</v>
      </c>
      <c r="D545" s="1438" t="s">
        <v>2701</v>
      </c>
      <c r="E545" s="1441">
        <v>45547.432430555556</v>
      </c>
      <c r="F545" s="1441">
        <v>45900.916655092595</v>
      </c>
      <c r="G545" s="1438" t="s">
        <v>1758</v>
      </c>
      <c r="H545" s="1438" t="s">
        <v>1759</v>
      </c>
      <c r="I545" s="1438" t="s">
        <v>1761</v>
      </c>
      <c r="J545" s="1438" t="s">
        <v>2702</v>
      </c>
      <c r="K545" s="1438" t="s">
        <v>1804</v>
      </c>
      <c r="L545" s="1438" t="s">
        <v>1828</v>
      </c>
      <c r="M545" s="867" t="s">
        <v>2703</v>
      </c>
      <c r="N545" s="867" t="s">
        <v>3861</v>
      </c>
      <c r="O545" s="867" t="s">
        <v>4031</v>
      </c>
      <c r="P545" s="869">
        <v>20</v>
      </c>
      <c r="Q545" s="869">
        <v>20</v>
      </c>
      <c r="R545" s="870">
        <v>19</v>
      </c>
      <c r="S545" s="871">
        <v>20</v>
      </c>
      <c r="T545" s="871">
        <v>20</v>
      </c>
      <c r="U545" s="872">
        <v>19</v>
      </c>
      <c r="W545" s="872">
        <v>19</v>
      </c>
    </row>
    <row r="546" spans="1:23" ht="36" x14ac:dyDescent="0.2">
      <c r="A546" s="865" t="s">
        <v>2700</v>
      </c>
      <c r="B546" s="866" t="s">
        <v>4030</v>
      </c>
      <c r="C546" s="866" t="s">
        <v>3876</v>
      </c>
      <c r="D546" s="1440"/>
      <c r="E546" s="1443"/>
      <c r="F546" s="1443"/>
      <c r="G546" s="1440"/>
      <c r="H546" s="1440"/>
      <c r="I546" s="1440"/>
      <c r="J546" s="1440"/>
      <c r="K546" s="1440"/>
      <c r="L546" s="1440"/>
      <c r="M546" s="867" t="s">
        <v>2704</v>
      </c>
      <c r="N546" s="867" t="s">
        <v>3904</v>
      </c>
      <c r="O546" s="873" t="s">
        <v>4032</v>
      </c>
      <c r="P546" s="874">
        <v>20</v>
      </c>
      <c r="Q546" s="874">
        <v>20</v>
      </c>
      <c r="R546" s="875">
        <v>19</v>
      </c>
      <c r="S546" s="876">
        <v>20</v>
      </c>
      <c r="T546" s="876">
        <v>20</v>
      </c>
      <c r="U546" s="877">
        <v>19</v>
      </c>
      <c r="W546" s="877">
        <v>19</v>
      </c>
    </row>
    <row r="547" spans="1:23" ht="36" x14ac:dyDescent="0.2">
      <c r="A547" s="865" t="s">
        <v>2700</v>
      </c>
      <c r="B547" s="866" t="s">
        <v>4030</v>
      </c>
      <c r="C547" s="866" t="s">
        <v>3876</v>
      </c>
      <c r="D547" s="1438" t="s">
        <v>2705</v>
      </c>
      <c r="E547" s="1441">
        <v>45539.32675925926</v>
      </c>
      <c r="F547" s="1441">
        <v>45838.916655092595</v>
      </c>
      <c r="G547" s="1438" t="s">
        <v>1741</v>
      </c>
      <c r="H547" s="1438" t="s">
        <v>1749</v>
      </c>
      <c r="I547" s="1438" t="s">
        <v>1750</v>
      </c>
      <c r="J547" s="1438" t="s">
        <v>2706</v>
      </c>
      <c r="K547" s="1438" t="s">
        <v>1804</v>
      </c>
      <c r="L547" s="1438" t="s">
        <v>1819</v>
      </c>
      <c r="M547" s="867" t="s">
        <v>2703</v>
      </c>
      <c r="N547" s="867" t="s">
        <v>3861</v>
      </c>
      <c r="O547" s="867" t="s">
        <v>4031</v>
      </c>
      <c r="P547" s="869">
        <v>35</v>
      </c>
      <c r="Q547" s="869">
        <v>32</v>
      </c>
      <c r="R547" s="870">
        <v>29</v>
      </c>
      <c r="S547" s="871">
        <v>35</v>
      </c>
      <c r="T547" s="871">
        <v>32</v>
      </c>
      <c r="U547" s="872">
        <v>29</v>
      </c>
      <c r="W547" s="872"/>
    </row>
    <row r="548" spans="1:23" ht="36" x14ac:dyDescent="0.2">
      <c r="A548" s="865" t="s">
        <v>2700</v>
      </c>
      <c r="B548" s="866" t="s">
        <v>4030</v>
      </c>
      <c r="C548" s="866" t="s">
        <v>3876</v>
      </c>
      <c r="D548" s="1439"/>
      <c r="E548" s="1442"/>
      <c r="F548" s="1442"/>
      <c r="G548" s="1439"/>
      <c r="H548" s="1439"/>
      <c r="I548" s="1439"/>
      <c r="J548" s="1439"/>
      <c r="K548" s="1439"/>
      <c r="L548" s="1439"/>
      <c r="M548" s="867" t="s">
        <v>2707</v>
      </c>
      <c r="N548" s="867" t="s">
        <v>3877</v>
      </c>
      <c r="O548" s="873" t="s">
        <v>4033</v>
      </c>
      <c r="P548" s="874">
        <v>35</v>
      </c>
      <c r="Q548" s="874">
        <v>32</v>
      </c>
      <c r="R548" s="875">
        <v>29</v>
      </c>
      <c r="S548" s="876">
        <v>35</v>
      </c>
      <c r="T548" s="876">
        <v>32</v>
      </c>
      <c r="U548" s="877">
        <v>29</v>
      </c>
      <c r="W548" s="877"/>
    </row>
    <row r="549" spans="1:23" ht="36" x14ac:dyDescent="0.2">
      <c r="A549" s="865" t="s">
        <v>2700</v>
      </c>
      <c r="B549" s="866" t="s">
        <v>4030</v>
      </c>
      <c r="C549" s="866" t="s">
        <v>3876</v>
      </c>
      <c r="D549" s="1440"/>
      <c r="E549" s="1443"/>
      <c r="F549" s="1443"/>
      <c r="G549" s="1440"/>
      <c r="H549" s="1440"/>
      <c r="I549" s="1440"/>
      <c r="J549" s="1440"/>
      <c r="K549" s="1440"/>
      <c r="L549" s="1440"/>
      <c r="M549" s="867" t="s">
        <v>2708</v>
      </c>
      <c r="N549" s="867" t="s">
        <v>3987</v>
      </c>
      <c r="O549" s="867" t="s">
        <v>4034</v>
      </c>
      <c r="P549" s="869">
        <v>35</v>
      </c>
      <c r="Q549" s="869">
        <v>32</v>
      </c>
      <c r="R549" s="870">
        <v>29</v>
      </c>
      <c r="S549" s="871">
        <v>35</v>
      </c>
      <c r="T549" s="871">
        <v>32</v>
      </c>
      <c r="U549" s="872">
        <v>29</v>
      </c>
      <c r="W549" s="872"/>
    </row>
    <row r="550" spans="1:23" ht="36" x14ac:dyDescent="0.2">
      <c r="A550" s="865" t="s">
        <v>2700</v>
      </c>
      <c r="B550" s="866" t="s">
        <v>4030</v>
      </c>
      <c r="C550" s="866" t="s">
        <v>3876</v>
      </c>
      <c r="D550" s="867" t="s">
        <v>2709</v>
      </c>
      <c r="E550" s="868">
        <v>45545.297951388886</v>
      </c>
      <c r="F550" s="868">
        <v>45838.916655092595</v>
      </c>
      <c r="G550" s="867" t="s">
        <v>1741</v>
      </c>
      <c r="H550" s="867" t="s">
        <v>1749</v>
      </c>
      <c r="I550" s="867" t="s">
        <v>1750</v>
      </c>
      <c r="J550" s="867" t="s">
        <v>2710</v>
      </c>
      <c r="K550" s="867" t="s">
        <v>1804</v>
      </c>
      <c r="L550" s="867" t="s">
        <v>1819</v>
      </c>
      <c r="M550" s="867" t="s">
        <v>2711</v>
      </c>
      <c r="N550" s="867" t="s">
        <v>4035</v>
      </c>
      <c r="O550" s="873" t="s">
        <v>4036</v>
      </c>
      <c r="P550" s="874">
        <v>16</v>
      </c>
      <c r="Q550" s="874">
        <v>16</v>
      </c>
      <c r="R550" s="875">
        <v>16</v>
      </c>
      <c r="S550" s="876">
        <v>16</v>
      </c>
      <c r="T550" s="876">
        <v>16</v>
      </c>
      <c r="U550" s="877">
        <v>16</v>
      </c>
      <c r="W550" s="877"/>
    </row>
    <row r="551" spans="1:23" ht="36" x14ac:dyDescent="0.2">
      <c r="A551" s="865" t="s">
        <v>2700</v>
      </c>
      <c r="B551" s="866" t="s">
        <v>4030</v>
      </c>
      <c r="C551" s="866" t="s">
        <v>3876</v>
      </c>
      <c r="D551" s="1438" t="s">
        <v>2712</v>
      </c>
      <c r="E551" s="1441">
        <v>45566.3753125</v>
      </c>
      <c r="F551" s="1441">
        <v>45838.916655092595</v>
      </c>
      <c r="G551" s="1438" t="s">
        <v>1758</v>
      </c>
      <c r="H551" s="1438" t="s">
        <v>1759</v>
      </c>
      <c r="I551" s="1438" t="s">
        <v>1762</v>
      </c>
      <c r="J551" s="1438" t="s">
        <v>2713</v>
      </c>
      <c r="K551" s="1438" t="s">
        <v>1804</v>
      </c>
      <c r="L551" s="1438" t="s">
        <v>1828</v>
      </c>
      <c r="M551" s="867" t="s">
        <v>2703</v>
      </c>
      <c r="N551" s="867" t="s">
        <v>3861</v>
      </c>
      <c r="O551" s="867" t="s">
        <v>4031</v>
      </c>
      <c r="P551" s="869">
        <v>30</v>
      </c>
      <c r="Q551" s="869">
        <v>30</v>
      </c>
      <c r="R551" s="870">
        <v>8</v>
      </c>
      <c r="S551" s="871">
        <v>30</v>
      </c>
      <c r="T551" s="871">
        <v>30</v>
      </c>
      <c r="U551" s="872">
        <v>8</v>
      </c>
      <c r="W551" s="872"/>
    </row>
    <row r="552" spans="1:23" ht="36" x14ac:dyDescent="0.2">
      <c r="A552" s="865" t="s">
        <v>2700</v>
      </c>
      <c r="B552" s="866" t="s">
        <v>4030</v>
      </c>
      <c r="C552" s="866" t="s">
        <v>3876</v>
      </c>
      <c r="D552" s="1439"/>
      <c r="E552" s="1442"/>
      <c r="F552" s="1442"/>
      <c r="G552" s="1439"/>
      <c r="H552" s="1439"/>
      <c r="I552" s="1439"/>
      <c r="J552" s="1439"/>
      <c r="K552" s="1439"/>
      <c r="L552" s="1439"/>
      <c r="M552" s="867" t="s">
        <v>2707</v>
      </c>
      <c r="N552" s="867" t="s">
        <v>3877</v>
      </c>
      <c r="O552" s="873" t="s">
        <v>4033</v>
      </c>
      <c r="P552" s="874">
        <v>30</v>
      </c>
      <c r="Q552" s="874">
        <v>30</v>
      </c>
      <c r="R552" s="875">
        <v>8</v>
      </c>
      <c r="S552" s="876">
        <v>30</v>
      </c>
      <c r="T552" s="876">
        <v>30</v>
      </c>
      <c r="U552" s="877">
        <v>8</v>
      </c>
      <c r="W552" s="877"/>
    </row>
    <row r="553" spans="1:23" ht="36" x14ac:dyDescent="0.2">
      <c r="A553" s="865" t="s">
        <v>2700</v>
      </c>
      <c r="B553" s="866" t="s">
        <v>4030</v>
      </c>
      <c r="C553" s="866" t="s">
        <v>3876</v>
      </c>
      <c r="D553" s="1440"/>
      <c r="E553" s="1443"/>
      <c r="F553" s="1443"/>
      <c r="G553" s="1440"/>
      <c r="H553" s="1440"/>
      <c r="I553" s="1440"/>
      <c r="J553" s="1440"/>
      <c r="K553" s="1440"/>
      <c r="L553" s="1440"/>
      <c r="M553" s="867" t="s">
        <v>2708</v>
      </c>
      <c r="N553" s="867" t="s">
        <v>3987</v>
      </c>
      <c r="O553" s="867" t="s">
        <v>4034</v>
      </c>
      <c r="P553" s="869">
        <v>30</v>
      </c>
      <c r="Q553" s="869">
        <v>30</v>
      </c>
      <c r="R553" s="870">
        <v>8</v>
      </c>
      <c r="S553" s="871">
        <v>30</v>
      </c>
      <c r="T553" s="871">
        <v>30</v>
      </c>
      <c r="U553" s="872">
        <v>8</v>
      </c>
      <c r="W553" s="872"/>
    </row>
    <row r="554" spans="1:23" ht="36" x14ac:dyDescent="0.2">
      <c r="A554" s="865" t="s">
        <v>2700</v>
      </c>
      <c r="B554" s="866" t="s">
        <v>4030</v>
      </c>
      <c r="C554" s="866" t="s">
        <v>3876</v>
      </c>
      <c r="D554" s="1438" t="s">
        <v>2714</v>
      </c>
      <c r="E554" s="1441">
        <v>45547.38076388889</v>
      </c>
      <c r="F554" s="1441">
        <v>45900.916655092595</v>
      </c>
      <c r="G554" s="1438" t="s">
        <v>1758</v>
      </c>
      <c r="H554" s="1438" t="s">
        <v>1759</v>
      </c>
      <c r="I554" s="1438" t="s">
        <v>1761</v>
      </c>
      <c r="J554" s="1438" t="s">
        <v>2715</v>
      </c>
      <c r="K554" s="1438" t="s">
        <v>1804</v>
      </c>
      <c r="L554" s="1438" t="s">
        <v>1828</v>
      </c>
      <c r="M554" s="867" t="s">
        <v>2703</v>
      </c>
      <c r="N554" s="867" t="s">
        <v>3861</v>
      </c>
      <c r="O554" s="873" t="s">
        <v>4031</v>
      </c>
      <c r="P554" s="874">
        <v>31</v>
      </c>
      <c r="Q554" s="874">
        <v>31</v>
      </c>
      <c r="R554" s="875">
        <v>30</v>
      </c>
      <c r="S554" s="876">
        <v>31</v>
      </c>
      <c r="T554" s="876">
        <v>31</v>
      </c>
      <c r="U554" s="877">
        <v>30</v>
      </c>
      <c r="W554" s="877"/>
    </row>
    <row r="555" spans="1:23" ht="36" x14ac:dyDescent="0.2">
      <c r="A555" s="865" t="s">
        <v>2700</v>
      </c>
      <c r="B555" s="866" t="s">
        <v>4030</v>
      </c>
      <c r="C555" s="866" t="s">
        <v>3876</v>
      </c>
      <c r="D555" s="1440"/>
      <c r="E555" s="1443"/>
      <c r="F555" s="1443"/>
      <c r="G555" s="1440"/>
      <c r="H555" s="1440"/>
      <c r="I555" s="1440"/>
      <c r="J555" s="1440"/>
      <c r="K555" s="1440"/>
      <c r="L555" s="1440"/>
      <c r="M555" s="867" t="s">
        <v>2704</v>
      </c>
      <c r="N555" s="867" t="s">
        <v>3904</v>
      </c>
      <c r="O555" s="867" t="s">
        <v>4032</v>
      </c>
      <c r="P555" s="869">
        <v>31</v>
      </c>
      <c r="Q555" s="869">
        <v>31</v>
      </c>
      <c r="R555" s="870">
        <v>30</v>
      </c>
      <c r="S555" s="871">
        <v>31</v>
      </c>
      <c r="T555" s="871">
        <v>31</v>
      </c>
      <c r="U555" s="872">
        <v>30</v>
      </c>
      <c r="W555" s="872"/>
    </row>
    <row r="556" spans="1:23" ht="36" x14ac:dyDescent="0.2">
      <c r="A556" s="865" t="s">
        <v>2700</v>
      </c>
      <c r="B556" s="866" t="s">
        <v>4030</v>
      </c>
      <c r="C556" s="866" t="s">
        <v>3876</v>
      </c>
      <c r="D556" s="1438" t="s">
        <v>2716</v>
      </c>
      <c r="E556" s="1441">
        <v>45545.632048611114</v>
      </c>
      <c r="F556" s="1441">
        <v>45838.916655092595</v>
      </c>
      <c r="G556" s="1438" t="s">
        <v>1758</v>
      </c>
      <c r="H556" s="1438" t="s">
        <v>1759</v>
      </c>
      <c r="I556" s="1438" t="s">
        <v>1762</v>
      </c>
      <c r="J556" s="1438" t="s">
        <v>2717</v>
      </c>
      <c r="K556" s="1438" t="s">
        <v>1804</v>
      </c>
      <c r="L556" s="1438" t="s">
        <v>1828</v>
      </c>
      <c r="M556" s="867" t="s">
        <v>2703</v>
      </c>
      <c r="N556" s="867" t="s">
        <v>3861</v>
      </c>
      <c r="O556" s="873" t="s">
        <v>4031</v>
      </c>
      <c r="P556" s="874">
        <v>30</v>
      </c>
      <c r="Q556" s="874">
        <v>30</v>
      </c>
      <c r="R556" s="875">
        <v>20</v>
      </c>
      <c r="S556" s="876">
        <v>30</v>
      </c>
      <c r="T556" s="876">
        <v>30</v>
      </c>
      <c r="U556" s="877">
        <v>20</v>
      </c>
      <c r="W556" s="877"/>
    </row>
    <row r="557" spans="1:23" ht="36" x14ac:dyDescent="0.2">
      <c r="A557" s="865" t="s">
        <v>2700</v>
      </c>
      <c r="B557" s="866" t="s">
        <v>4030</v>
      </c>
      <c r="C557" s="866" t="s">
        <v>3876</v>
      </c>
      <c r="D557" s="1440"/>
      <c r="E557" s="1443"/>
      <c r="F557" s="1443"/>
      <c r="G557" s="1440"/>
      <c r="H557" s="1440"/>
      <c r="I557" s="1440"/>
      <c r="J557" s="1440"/>
      <c r="K557" s="1440"/>
      <c r="L557" s="1440"/>
      <c r="M557" s="867" t="s">
        <v>2708</v>
      </c>
      <c r="N557" s="867" t="s">
        <v>3987</v>
      </c>
      <c r="O557" s="867" t="s">
        <v>4034</v>
      </c>
      <c r="P557" s="869">
        <v>30</v>
      </c>
      <c r="Q557" s="869">
        <v>30</v>
      </c>
      <c r="R557" s="870">
        <v>20</v>
      </c>
      <c r="S557" s="871">
        <v>30</v>
      </c>
      <c r="T557" s="871">
        <v>30</v>
      </c>
      <c r="U557" s="872">
        <v>20</v>
      </c>
      <c r="W557" s="872"/>
    </row>
    <row r="558" spans="1:23" ht="36" x14ac:dyDescent="0.2">
      <c r="A558" s="865" t="s">
        <v>2700</v>
      </c>
      <c r="B558" s="866" t="s">
        <v>4030</v>
      </c>
      <c r="C558" s="866" t="s">
        <v>3876</v>
      </c>
      <c r="D558" s="1438" t="s">
        <v>2718</v>
      </c>
      <c r="E558" s="1441">
        <v>45547.399687500001</v>
      </c>
      <c r="F558" s="1441">
        <v>45900.916655092595</v>
      </c>
      <c r="G558" s="1438" t="s">
        <v>1758</v>
      </c>
      <c r="H558" s="1438" t="s">
        <v>1759</v>
      </c>
      <c r="I558" s="1438" t="s">
        <v>1761</v>
      </c>
      <c r="J558" s="1438" t="s">
        <v>2719</v>
      </c>
      <c r="K558" s="1438" t="s">
        <v>1804</v>
      </c>
      <c r="L558" s="1438" t="s">
        <v>1828</v>
      </c>
      <c r="M558" s="867" t="s">
        <v>2703</v>
      </c>
      <c r="N558" s="867" t="s">
        <v>3861</v>
      </c>
      <c r="O558" s="873" t="s">
        <v>4031</v>
      </c>
      <c r="P558" s="874">
        <v>28</v>
      </c>
      <c r="Q558" s="874">
        <v>27</v>
      </c>
      <c r="R558" s="875">
        <v>22</v>
      </c>
      <c r="S558" s="876">
        <v>28</v>
      </c>
      <c r="T558" s="876">
        <v>27</v>
      </c>
      <c r="U558" s="877">
        <v>22</v>
      </c>
      <c r="W558" s="877"/>
    </row>
    <row r="559" spans="1:23" ht="36" x14ac:dyDescent="0.2">
      <c r="A559" s="865" t="s">
        <v>2700</v>
      </c>
      <c r="B559" s="866" t="s">
        <v>4030</v>
      </c>
      <c r="C559" s="866" t="s">
        <v>3876</v>
      </c>
      <c r="D559" s="1440"/>
      <c r="E559" s="1443"/>
      <c r="F559" s="1443"/>
      <c r="G559" s="1440"/>
      <c r="H559" s="1440"/>
      <c r="I559" s="1440"/>
      <c r="J559" s="1440"/>
      <c r="K559" s="1440"/>
      <c r="L559" s="1440"/>
      <c r="M559" s="867" t="s">
        <v>2704</v>
      </c>
      <c r="N559" s="867" t="s">
        <v>3904</v>
      </c>
      <c r="O559" s="867" t="s">
        <v>4032</v>
      </c>
      <c r="P559" s="869">
        <v>28</v>
      </c>
      <c r="Q559" s="869">
        <v>27</v>
      </c>
      <c r="R559" s="870">
        <v>22</v>
      </c>
      <c r="S559" s="871">
        <v>28</v>
      </c>
      <c r="T559" s="871">
        <v>27</v>
      </c>
      <c r="U559" s="872">
        <v>22</v>
      </c>
      <c r="W559" s="872"/>
    </row>
    <row r="560" spans="1:23" ht="36" x14ac:dyDescent="0.2">
      <c r="A560" s="865" t="s">
        <v>2700</v>
      </c>
      <c r="B560" s="866" t="s">
        <v>4030</v>
      </c>
      <c r="C560" s="866" t="s">
        <v>3876</v>
      </c>
      <c r="D560" s="1438" t="s">
        <v>2720</v>
      </c>
      <c r="E560" s="1441">
        <v>45555.290219907409</v>
      </c>
      <c r="F560" s="1441">
        <v>45838.916655092595</v>
      </c>
      <c r="G560" s="1438" t="s">
        <v>1758</v>
      </c>
      <c r="H560" s="1438" t="s">
        <v>1759</v>
      </c>
      <c r="I560" s="1438" t="s">
        <v>1762</v>
      </c>
      <c r="J560" s="1438" t="s">
        <v>2721</v>
      </c>
      <c r="K560" s="1438" t="s">
        <v>1804</v>
      </c>
      <c r="L560" s="1438" t="s">
        <v>1828</v>
      </c>
      <c r="M560" s="867" t="s">
        <v>2703</v>
      </c>
      <c r="N560" s="867" t="s">
        <v>3861</v>
      </c>
      <c r="O560" s="873" t="s">
        <v>4031</v>
      </c>
      <c r="P560" s="874">
        <v>30</v>
      </c>
      <c r="Q560" s="874">
        <v>30</v>
      </c>
      <c r="R560" s="875">
        <v>25</v>
      </c>
      <c r="S560" s="876">
        <v>30</v>
      </c>
      <c r="T560" s="876">
        <v>30</v>
      </c>
      <c r="U560" s="877">
        <v>25</v>
      </c>
      <c r="W560" s="877"/>
    </row>
    <row r="561" spans="1:23" ht="36" x14ac:dyDescent="0.2">
      <c r="A561" s="865" t="s">
        <v>2700</v>
      </c>
      <c r="B561" s="866" t="s">
        <v>4030</v>
      </c>
      <c r="C561" s="866" t="s">
        <v>3876</v>
      </c>
      <c r="D561" s="1439"/>
      <c r="E561" s="1442"/>
      <c r="F561" s="1442"/>
      <c r="G561" s="1439"/>
      <c r="H561" s="1439"/>
      <c r="I561" s="1439"/>
      <c r="J561" s="1439"/>
      <c r="K561" s="1439"/>
      <c r="L561" s="1439"/>
      <c r="M561" s="867" t="s">
        <v>2707</v>
      </c>
      <c r="N561" s="867" t="s">
        <v>3877</v>
      </c>
      <c r="O561" s="867" t="s">
        <v>4033</v>
      </c>
      <c r="P561" s="869">
        <v>30</v>
      </c>
      <c r="Q561" s="869">
        <v>30</v>
      </c>
      <c r="R561" s="870">
        <v>25</v>
      </c>
      <c r="S561" s="871">
        <v>30</v>
      </c>
      <c r="T561" s="871">
        <v>30</v>
      </c>
      <c r="U561" s="872">
        <v>25</v>
      </c>
      <c r="W561" s="872"/>
    </row>
    <row r="562" spans="1:23" ht="36" x14ac:dyDescent="0.2">
      <c r="A562" s="865" t="s">
        <v>2700</v>
      </c>
      <c r="B562" s="866" t="s">
        <v>4030</v>
      </c>
      <c r="C562" s="866" t="s">
        <v>3876</v>
      </c>
      <c r="D562" s="1440"/>
      <c r="E562" s="1443"/>
      <c r="F562" s="1443"/>
      <c r="G562" s="1440"/>
      <c r="H562" s="1440"/>
      <c r="I562" s="1440"/>
      <c r="J562" s="1440"/>
      <c r="K562" s="1440"/>
      <c r="L562" s="1440"/>
      <c r="M562" s="867" t="s">
        <v>2708</v>
      </c>
      <c r="N562" s="867" t="s">
        <v>3987</v>
      </c>
      <c r="O562" s="873" t="s">
        <v>4034</v>
      </c>
      <c r="P562" s="874">
        <v>30</v>
      </c>
      <c r="Q562" s="874">
        <v>30</v>
      </c>
      <c r="R562" s="875">
        <v>25</v>
      </c>
      <c r="S562" s="876">
        <v>30</v>
      </c>
      <c r="T562" s="876">
        <v>30</v>
      </c>
      <c r="U562" s="877">
        <v>25</v>
      </c>
      <c r="W562" s="877"/>
    </row>
    <row r="563" spans="1:23" ht="36" x14ac:dyDescent="0.2">
      <c r="A563" s="865" t="s">
        <v>2700</v>
      </c>
      <c r="B563" s="866" t="s">
        <v>4030</v>
      </c>
      <c r="C563" s="866" t="s">
        <v>3876</v>
      </c>
      <c r="D563" s="867" t="s">
        <v>2722</v>
      </c>
      <c r="E563" s="868">
        <v>45545.627256944441</v>
      </c>
      <c r="F563" s="868">
        <v>45808.916655092595</v>
      </c>
      <c r="G563" s="867" t="s">
        <v>1767</v>
      </c>
      <c r="H563" s="867" t="s">
        <v>1765</v>
      </c>
      <c r="I563" s="867" t="s">
        <v>1769</v>
      </c>
      <c r="J563" s="867" t="s">
        <v>2723</v>
      </c>
      <c r="K563" s="867" t="s">
        <v>1804</v>
      </c>
      <c r="L563" s="867" t="s">
        <v>2097</v>
      </c>
      <c r="M563" s="867" t="s">
        <v>2703</v>
      </c>
      <c r="N563" s="867" t="s">
        <v>3861</v>
      </c>
      <c r="O563" s="867" t="s">
        <v>4031</v>
      </c>
      <c r="P563" s="869">
        <v>80</v>
      </c>
      <c r="Q563" s="869">
        <v>79</v>
      </c>
      <c r="R563" s="870">
        <v>71</v>
      </c>
      <c r="S563" s="871">
        <v>80</v>
      </c>
      <c r="T563" s="871">
        <v>79</v>
      </c>
      <c r="U563" s="872">
        <v>71</v>
      </c>
      <c r="W563" s="872"/>
    </row>
    <row r="564" spans="1:23" ht="36" x14ac:dyDescent="0.2">
      <c r="A564" s="865" t="s">
        <v>2700</v>
      </c>
      <c r="B564" s="866" t="s">
        <v>4030</v>
      </c>
      <c r="C564" s="866" t="s">
        <v>3876</v>
      </c>
      <c r="D564" s="1438" t="s">
        <v>2724</v>
      </c>
      <c r="E564" s="1441">
        <v>45561.815486111111</v>
      </c>
      <c r="F564" s="1441">
        <v>45838.916655092595</v>
      </c>
      <c r="G564" s="1438" t="s">
        <v>1758</v>
      </c>
      <c r="H564" s="1438" t="s">
        <v>1759</v>
      </c>
      <c r="I564" s="1438" t="s">
        <v>1762</v>
      </c>
      <c r="J564" s="1438" t="s">
        <v>2725</v>
      </c>
      <c r="K564" s="1438" t="s">
        <v>1804</v>
      </c>
      <c r="L564" s="1438" t="s">
        <v>1828</v>
      </c>
      <c r="M564" s="867" t="s">
        <v>2703</v>
      </c>
      <c r="N564" s="867" t="s">
        <v>3861</v>
      </c>
      <c r="O564" s="873" t="s">
        <v>4031</v>
      </c>
      <c r="P564" s="874">
        <v>31</v>
      </c>
      <c r="Q564" s="874">
        <v>31</v>
      </c>
      <c r="R564" s="875">
        <v>16</v>
      </c>
      <c r="S564" s="876">
        <v>31</v>
      </c>
      <c r="T564" s="876">
        <v>31</v>
      </c>
      <c r="U564" s="877">
        <v>16</v>
      </c>
      <c r="W564" s="877"/>
    </row>
    <row r="565" spans="1:23" ht="36" x14ac:dyDescent="0.2">
      <c r="A565" s="865" t="s">
        <v>2700</v>
      </c>
      <c r="B565" s="866" t="s">
        <v>4030</v>
      </c>
      <c r="C565" s="866" t="s">
        <v>3876</v>
      </c>
      <c r="D565" s="1439"/>
      <c r="E565" s="1442"/>
      <c r="F565" s="1442"/>
      <c r="G565" s="1439"/>
      <c r="H565" s="1439"/>
      <c r="I565" s="1439"/>
      <c r="J565" s="1439"/>
      <c r="K565" s="1439"/>
      <c r="L565" s="1439"/>
      <c r="M565" s="867" t="s">
        <v>2707</v>
      </c>
      <c r="N565" s="867" t="s">
        <v>3877</v>
      </c>
      <c r="O565" s="867" t="s">
        <v>4033</v>
      </c>
      <c r="P565" s="869">
        <v>31</v>
      </c>
      <c r="Q565" s="869">
        <v>31</v>
      </c>
      <c r="R565" s="870">
        <v>16</v>
      </c>
      <c r="S565" s="871">
        <v>31</v>
      </c>
      <c r="T565" s="871">
        <v>31</v>
      </c>
      <c r="U565" s="872">
        <v>16</v>
      </c>
      <c r="W565" s="872"/>
    </row>
    <row r="566" spans="1:23" ht="36" x14ac:dyDescent="0.2">
      <c r="A566" s="865" t="s">
        <v>2700</v>
      </c>
      <c r="B566" s="866" t="s">
        <v>4030</v>
      </c>
      <c r="C566" s="866" t="s">
        <v>3876</v>
      </c>
      <c r="D566" s="1439"/>
      <c r="E566" s="1442"/>
      <c r="F566" s="1442"/>
      <c r="G566" s="1439"/>
      <c r="H566" s="1439"/>
      <c r="I566" s="1439"/>
      <c r="J566" s="1439"/>
      <c r="K566" s="1439"/>
      <c r="L566" s="1439"/>
      <c r="M566" s="867" t="s">
        <v>2711</v>
      </c>
      <c r="N566" s="867" t="s">
        <v>4035</v>
      </c>
      <c r="O566" s="873" t="s">
        <v>4036</v>
      </c>
      <c r="P566" s="874">
        <v>31</v>
      </c>
      <c r="Q566" s="874">
        <v>31</v>
      </c>
      <c r="R566" s="875">
        <v>16</v>
      </c>
      <c r="S566" s="876">
        <v>31</v>
      </c>
      <c r="T566" s="876">
        <v>31</v>
      </c>
      <c r="U566" s="877">
        <v>16</v>
      </c>
      <c r="W566" s="877"/>
    </row>
    <row r="567" spans="1:23" ht="36" x14ac:dyDescent="0.2">
      <c r="A567" s="865" t="s">
        <v>2700</v>
      </c>
      <c r="B567" s="866" t="s">
        <v>4030</v>
      </c>
      <c r="C567" s="866" t="s">
        <v>3876</v>
      </c>
      <c r="D567" s="1440"/>
      <c r="E567" s="1443"/>
      <c r="F567" s="1443"/>
      <c r="G567" s="1440"/>
      <c r="H567" s="1440"/>
      <c r="I567" s="1440"/>
      <c r="J567" s="1440"/>
      <c r="K567" s="1440"/>
      <c r="L567" s="1440"/>
      <c r="M567" s="867" t="s">
        <v>2708</v>
      </c>
      <c r="N567" s="867" t="s">
        <v>3987</v>
      </c>
      <c r="O567" s="867" t="s">
        <v>4034</v>
      </c>
      <c r="P567" s="869">
        <v>31</v>
      </c>
      <c r="Q567" s="869">
        <v>31</v>
      </c>
      <c r="R567" s="870">
        <v>16</v>
      </c>
      <c r="S567" s="871">
        <v>31</v>
      </c>
      <c r="T567" s="871">
        <v>31</v>
      </c>
      <c r="U567" s="872">
        <v>16</v>
      </c>
      <c r="W567" s="872"/>
    </row>
    <row r="568" spans="1:23" ht="36" x14ac:dyDescent="0.2">
      <c r="A568" s="865" t="s">
        <v>2700</v>
      </c>
      <c r="B568" s="866" t="s">
        <v>4030</v>
      </c>
      <c r="C568" s="866" t="s">
        <v>3876</v>
      </c>
      <c r="D568" s="1438" t="s">
        <v>2726</v>
      </c>
      <c r="E568" s="1441">
        <v>45545.603842592594</v>
      </c>
      <c r="F568" s="1441">
        <v>45808.916655092595</v>
      </c>
      <c r="G568" s="1438" t="s">
        <v>1758</v>
      </c>
      <c r="H568" s="1438" t="s">
        <v>1759</v>
      </c>
      <c r="I568" s="1438" t="s">
        <v>1760</v>
      </c>
      <c r="J568" s="1438" t="s">
        <v>2727</v>
      </c>
      <c r="K568" s="1438" t="s">
        <v>1804</v>
      </c>
      <c r="L568" s="1438" t="s">
        <v>1805</v>
      </c>
      <c r="M568" s="867" t="s">
        <v>2703</v>
      </c>
      <c r="N568" s="867" t="s">
        <v>3861</v>
      </c>
      <c r="O568" s="873" t="s">
        <v>4031</v>
      </c>
      <c r="P568" s="874">
        <v>30</v>
      </c>
      <c r="Q568" s="874">
        <v>29</v>
      </c>
      <c r="R568" s="875">
        <v>28</v>
      </c>
      <c r="S568" s="876">
        <v>30</v>
      </c>
      <c r="T568" s="876">
        <v>29</v>
      </c>
      <c r="U568" s="877">
        <v>28</v>
      </c>
      <c r="W568" s="877"/>
    </row>
    <row r="569" spans="1:23" ht="36" x14ac:dyDescent="0.2">
      <c r="A569" s="865" t="s">
        <v>2700</v>
      </c>
      <c r="B569" s="866" t="s">
        <v>4030</v>
      </c>
      <c r="C569" s="866" t="s">
        <v>3876</v>
      </c>
      <c r="D569" s="1440"/>
      <c r="E569" s="1443"/>
      <c r="F569" s="1443"/>
      <c r="G569" s="1440"/>
      <c r="H569" s="1440"/>
      <c r="I569" s="1440"/>
      <c r="J569" s="1440"/>
      <c r="K569" s="1440"/>
      <c r="L569" s="1440"/>
      <c r="M569" s="867" t="s">
        <v>2704</v>
      </c>
      <c r="N569" s="867" t="s">
        <v>3904</v>
      </c>
      <c r="O569" s="867" t="s">
        <v>4032</v>
      </c>
      <c r="P569" s="869">
        <v>30</v>
      </c>
      <c r="Q569" s="869">
        <v>29</v>
      </c>
      <c r="R569" s="870">
        <v>28</v>
      </c>
      <c r="S569" s="871">
        <v>30</v>
      </c>
      <c r="T569" s="871">
        <v>29</v>
      </c>
      <c r="U569" s="872">
        <v>28</v>
      </c>
      <c r="W569" s="872"/>
    </row>
    <row r="570" spans="1:23" ht="36" x14ac:dyDescent="0.2">
      <c r="A570" s="865" t="s">
        <v>2700</v>
      </c>
      <c r="B570" s="866" t="s">
        <v>4030</v>
      </c>
      <c r="C570" s="866" t="s">
        <v>3876</v>
      </c>
      <c r="D570" s="1438" t="s">
        <v>2728</v>
      </c>
      <c r="E570" s="1441">
        <v>45540.252453703702</v>
      </c>
      <c r="F570" s="1441">
        <v>45869.916655092595</v>
      </c>
      <c r="G570" s="1438" t="s">
        <v>1758</v>
      </c>
      <c r="H570" s="1438" t="s">
        <v>1759</v>
      </c>
      <c r="I570" s="1438" t="s">
        <v>1761</v>
      </c>
      <c r="J570" s="1438" t="s">
        <v>2729</v>
      </c>
      <c r="K570" s="1438" t="s">
        <v>1804</v>
      </c>
      <c r="L570" s="1438" t="s">
        <v>1828</v>
      </c>
      <c r="M570" s="867" t="s">
        <v>2703</v>
      </c>
      <c r="N570" s="867" t="s">
        <v>3861</v>
      </c>
      <c r="O570" s="873" t="s">
        <v>4031</v>
      </c>
      <c r="P570" s="874">
        <v>33</v>
      </c>
      <c r="Q570" s="874">
        <v>33</v>
      </c>
      <c r="R570" s="875">
        <v>30</v>
      </c>
      <c r="S570" s="876">
        <v>33</v>
      </c>
      <c r="T570" s="876">
        <v>33</v>
      </c>
      <c r="U570" s="877">
        <v>30</v>
      </c>
      <c r="W570" s="877"/>
    </row>
    <row r="571" spans="1:23" ht="36" x14ac:dyDescent="0.2">
      <c r="A571" s="865" t="s">
        <v>2700</v>
      </c>
      <c r="B571" s="866" t="s">
        <v>4030</v>
      </c>
      <c r="C571" s="866" t="s">
        <v>3876</v>
      </c>
      <c r="D571" s="1440"/>
      <c r="E571" s="1443"/>
      <c r="F571" s="1443"/>
      <c r="G571" s="1440"/>
      <c r="H571" s="1440"/>
      <c r="I571" s="1440"/>
      <c r="J571" s="1440"/>
      <c r="K571" s="1440"/>
      <c r="L571" s="1440"/>
      <c r="M571" s="867" t="s">
        <v>2730</v>
      </c>
      <c r="N571" s="867" t="s">
        <v>4037</v>
      </c>
      <c r="O571" s="867" t="s">
        <v>4038</v>
      </c>
      <c r="P571" s="869">
        <v>33</v>
      </c>
      <c r="Q571" s="869">
        <v>33</v>
      </c>
      <c r="R571" s="870">
        <v>30</v>
      </c>
      <c r="S571" s="871">
        <v>33</v>
      </c>
      <c r="T571" s="871">
        <v>33</v>
      </c>
      <c r="U571" s="872">
        <v>30</v>
      </c>
      <c r="W571" s="872"/>
    </row>
    <row r="572" spans="1:23" ht="36" x14ac:dyDescent="0.2">
      <c r="A572" s="865" t="s">
        <v>2700</v>
      </c>
      <c r="B572" s="866" t="s">
        <v>4030</v>
      </c>
      <c r="C572" s="866" t="s">
        <v>3876</v>
      </c>
      <c r="D572" s="1438" t="s">
        <v>2731</v>
      </c>
      <c r="E572" s="1441">
        <v>45550.776886574073</v>
      </c>
      <c r="F572" s="1441">
        <v>45808.916655092595</v>
      </c>
      <c r="G572" s="1438" t="s">
        <v>1772</v>
      </c>
      <c r="H572" s="1438" t="s">
        <v>1765</v>
      </c>
      <c r="I572" s="1438" t="s">
        <v>1773</v>
      </c>
      <c r="J572" s="1438" t="s">
        <v>2732</v>
      </c>
      <c r="K572" s="1438" t="s">
        <v>1804</v>
      </c>
      <c r="L572" s="1438" t="s">
        <v>1805</v>
      </c>
      <c r="M572" s="867" t="s">
        <v>2703</v>
      </c>
      <c r="N572" s="867" t="s">
        <v>3861</v>
      </c>
      <c r="O572" s="873" t="s">
        <v>4031</v>
      </c>
      <c r="P572" s="874">
        <v>27</v>
      </c>
      <c r="Q572" s="874">
        <v>23</v>
      </c>
      <c r="R572" s="875">
        <v>11</v>
      </c>
      <c r="S572" s="876">
        <v>27</v>
      </c>
      <c r="T572" s="876">
        <v>23</v>
      </c>
      <c r="U572" s="877">
        <v>11</v>
      </c>
      <c r="W572" s="877"/>
    </row>
    <row r="573" spans="1:23" ht="36" x14ac:dyDescent="0.2">
      <c r="A573" s="865" t="s">
        <v>2700</v>
      </c>
      <c r="B573" s="866" t="s">
        <v>4030</v>
      </c>
      <c r="C573" s="866" t="s">
        <v>3876</v>
      </c>
      <c r="D573" s="1440"/>
      <c r="E573" s="1443"/>
      <c r="F573" s="1443"/>
      <c r="G573" s="1440"/>
      <c r="H573" s="1440"/>
      <c r="I573" s="1440"/>
      <c r="J573" s="1440"/>
      <c r="K573" s="1440"/>
      <c r="L573" s="1440"/>
      <c r="M573" s="867" t="s">
        <v>2708</v>
      </c>
      <c r="N573" s="867" t="s">
        <v>3987</v>
      </c>
      <c r="O573" s="867" t="s">
        <v>4034</v>
      </c>
      <c r="P573" s="869">
        <v>27</v>
      </c>
      <c r="Q573" s="869">
        <v>23</v>
      </c>
      <c r="R573" s="870">
        <v>11</v>
      </c>
      <c r="S573" s="871">
        <v>27</v>
      </c>
      <c r="T573" s="871">
        <v>23</v>
      </c>
      <c r="U573" s="872">
        <v>11</v>
      </c>
      <c r="W573" s="872"/>
    </row>
    <row r="574" spans="1:23" ht="36" x14ac:dyDescent="0.2">
      <c r="A574" s="865" t="s">
        <v>2700</v>
      </c>
      <c r="B574" s="866" t="s">
        <v>4030</v>
      </c>
      <c r="C574" s="866" t="s">
        <v>3876</v>
      </c>
      <c r="D574" s="1438" t="s">
        <v>2733</v>
      </c>
      <c r="E574" s="1441">
        <v>45544.337291666663</v>
      </c>
      <c r="F574" s="1441">
        <v>45838.916655092595</v>
      </c>
      <c r="G574" s="1438" t="s">
        <v>1758</v>
      </c>
      <c r="H574" s="1438" t="s">
        <v>1759</v>
      </c>
      <c r="I574" s="1438" t="s">
        <v>1761</v>
      </c>
      <c r="J574" s="1438" t="s">
        <v>2734</v>
      </c>
      <c r="K574" s="1438" t="s">
        <v>1804</v>
      </c>
      <c r="L574" s="1438" t="s">
        <v>1828</v>
      </c>
      <c r="M574" s="867" t="s">
        <v>2703</v>
      </c>
      <c r="N574" s="867" t="s">
        <v>3861</v>
      </c>
      <c r="O574" s="873" t="s">
        <v>4031</v>
      </c>
      <c r="P574" s="874">
        <v>34</v>
      </c>
      <c r="Q574" s="874">
        <v>33</v>
      </c>
      <c r="R574" s="875">
        <v>30</v>
      </c>
      <c r="S574" s="876">
        <v>34</v>
      </c>
      <c r="T574" s="876">
        <v>33</v>
      </c>
      <c r="U574" s="877">
        <v>30</v>
      </c>
      <c r="W574" s="877"/>
    </row>
    <row r="575" spans="1:23" ht="36" x14ac:dyDescent="0.2">
      <c r="A575" s="865" t="s">
        <v>2700</v>
      </c>
      <c r="B575" s="866" t="s">
        <v>4030</v>
      </c>
      <c r="C575" s="866" t="s">
        <v>3876</v>
      </c>
      <c r="D575" s="1439"/>
      <c r="E575" s="1442"/>
      <c r="F575" s="1442"/>
      <c r="G575" s="1439"/>
      <c r="H575" s="1439"/>
      <c r="I575" s="1439"/>
      <c r="J575" s="1439"/>
      <c r="K575" s="1439"/>
      <c r="L575" s="1439"/>
      <c r="M575" s="867" t="s">
        <v>2707</v>
      </c>
      <c r="N575" s="867" t="s">
        <v>3877</v>
      </c>
      <c r="O575" s="867" t="s">
        <v>4033</v>
      </c>
      <c r="P575" s="869">
        <v>34</v>
      </c>
      <c r="Q575" s="869">
        <v>33</v>
      </c>
      <c r="R575" s="870">
        <v>30</v>
      </c>
      <c r="S575" s="871">
        <v>34</v>
      </c>
      <c r="T575" s="871">
        <v>33</v>
      </c>
      <c r="U575" s="872">
        <v>30</v>
      </c>
      <c r="W575" s="872"/>
    </row>
    <row r="576" spans="1:23" ht="36" x14ac:dyDescent="0.2">
      <c r="A576" s="865" t="s">
        <v>2700</v>
      </c>
      <c r="B576" s="866" t="s">
        <v>4030</v>
      </c>
      <c r="C576" s="866" t="s">
        <v>3876</v>
      </c>
      <c r="D576" s="1440"/>
      <c r="E576" s="1443"/>
      <c r="F576" s="1443"/>
      <c r="G576" s="1440"/>
      <c r="H576" s="1440"/>
      <c r="I576" s="1440"/>
      <c r="J576" s="1440"/>
      <c r="K576" s="1440"/>
      <c r="L576" s="1440"/>
      <c r="M576" s="867" t="s">
        <v>2708</v>
      </c>
      <c r="N576" s="867" t="s">
        <v>3987</v>
      </c>
      <c r="O576" s="873" t="s">
        <v>4034</v>
      </c>
      <c r="P576" s="874">
        <v>34</v>
      </c>
      <c r="Q576" s="874">
        <v>33</v>
      </c>
      <c r="R576" s="875">
        <v>30</v>
      </c>
      <c r="S576" s="876">
        <v>34</v>
      </c>
      <c r="T576" s="876">
        <v>33</v>
      </c>
      <c r="U576" s="877">
        <v>30</v>
      </c>
      <c r="W576" s="877"/>
    </row>
    <row r="577" spans="1:23" ht="36" x14ac:dyDescent="0.2">
      <c r="A577" s="865" t="s">
        <v>2700</v>
      </c>
      <c r="B577" s="866" t="s">
        <v>4030</v>
      </c>
      <c r="C577" s="866" t="s">
        <v>3876</v>
      </c>
      <c r="D577" s="1438" t="s">
        <v>2735</v>
      </c>
      <c r="E577" s="1441">
        <v>45539.386342592596</v>
      </c>
      <c r="F577" s="1441">
        <v>45834.916655092595</v>
      </c>
      <c r="G577" s="1438" t="s">
        <v>1758</v>
      </c>
      <c r="H577" s="1438" t="s">
        <v>1759</v>
      </c>
      <c r="I577" s="1438" t="s">
        <v>1762</v>
      </c>
      <c r="J577" s="1438" t="s">
        <v>2736</v>
      </c>
      <c r="K577" s="1438" t="s">
        <v>1804</v>
      </c>
      <c r="L577" s="1438" t="s">
        <v>1828</v>
      </c>
      <c r="M577" s="867" t="s">
        <v>2703</v>
      </c>
      <c r="N577" s="867" t="s">
        <v>3861</v>
      </c>
      <c r="O577" s="867" t="s">
        <v>4031</v>
      </c>
      <c r="P577" s="869">
        <v>29</v>
      </c>
      <c r="Q577" s="869">
        <v>29</v>
      </c>
      <c r="R577" s="870">
        <v>26</v>
      </c>
      <c r="S577" s="871">
        <v>29</v>
      </c>
      <c r="T577" s="871">
        <v>29</v>
      </c>
      <c r="U577" s="872">
        <v>26</v>
      </c>
      <c r="W577" s="872"/>
    </row>
    <row r="578" spans="1:23" ht="36" x14ac:dyDescent="0.2">
      <c r="A578" s="865" t="s">
        <v>2700</v>
      </c>
      <c r="B578" s="866" t="s">
        <v>4030</v>
      </c>
      <c r="C578" s="866" t="s">
        <v>3876</v>
      </c>
      <c r="D578" s="1439"/>
      <c r="E578" s="1442"/>
      <c r="F578" s="1442"/>
      <c r="G578" s="1439"/>
      <c r="H578" s="1439"/>
      <c r="I578" s="1439"/>
      <c r="J578" s="1439"/>
      <c r="K578" s="1439"/>
      <c r="L578" s="1439"/>
      <c r="M578" s="867" t="s">
        <v>2707</v>
      </c>
      <c r="N578" s="867" t="s">
        <v>3877</v>
      </c>
      <c r="O578" s="873" t="s">
        <v>4033</v>
      </c>
      <c r="P578" s="874">
        <v>29</v>
      </c>
      <c r="Q578" s="874">
        <v>29</v>
      </c>
      <c r="R578" s="875">
        <v>26</v>
      </c>
      <c r="S578" s="876">
        <v>29</v>
      </c>
      <c r="T578" s="876">
        <v>29</v>
      </c>
      <c r="U578" s="877">
        <v>26</v>
      </c>
      <c r="W578" s="877"/>
    </row>
    <row r="579" spans="1:23" ht="36" x14ac:dyDescent="0.2">
      <c r="A579" s="865" t="s">
        <v>2700</v>
      </c>
      <c r="B579" s="866" t="s">
        <v>4030</v>
      </c>
      <c r="C579" s="866" t="s">
        <v>3876</v>
      </c>
      <c r="D579" s="1440"/>
      <c r="E579" s="1443"/>
      <c r="F579" s="1443"/>
      <c r="G579" s="1440"/>
      <c r="H579" s="1440"/>
      <c r="I579" s="1440"/>
      <c r="J579" s="1440"/>
      <c r="K579" s="1440"/>
      <c r="L579" s="1440"/>
      <c r="M579" s="867" t="s">
        <v>2708</v>
      </c>
      <c r="N579" s="867" t="s">
        <v>3987</v>
      </c>
      <c r="O579" s="867" t="s">
        <v>4034</v>
      </c>
      <c r="P579" s="869">
        <v>29</v>
      </c>
      <c r="Q579" s="869">
        <v>29</v>
      </c>
      <c r="R579" s="870">
        <v>26</v>
      </c>
      <c r="S579" s="871">
        <v>29</v>
      </c>
      <c r="T579" s="871">
        <v>29</v>
      </c>
      <c r="U579" s="872">
        <v>26</v>
      </c>
      <c r="W579" s="872"/>
    </row>
    <row r="580" spans="1:23" ht="48" x14ac:dyDescent="0.2">
      <c r="A580" s="865" t="s">
        <v>2700</v>
      </c>
      <c r="B580" s="866" t="s">
        <v>4030</v>
      </c>
      <c r="C580" s="866" t="s">
        <v>3876</v>
      </c>
      <c r="D580" s="867" t="s">
        <v>2737</v>
      </c>
      <c r="E580" s="868">
        <v>45545.623680555553</v>
      </c>
      <c r="F580" s="868">
        <v>45808.916655092595</v>
      </c>
      <c r="G580" s="867" t="s">
        <v>1758</v>
      </c>
      <c r="H580" s="867" t="s">
        <v>1759</v>
      </c>
      <c r="I580" s="867" t="s">
        <v>1760</v>
      </c>
      <c r="J580" s="867" t="s">
        <v>2738</v>
      </c>
      <c r="K580" s="867" t="s">
        <v>1804</v>
      </c>
      <c r="L580" s="867" t="s">
        <v>1805</v>
      </c>
      <c r="M580" s="867" t="s">
        <v>2703</v>
      </c>
      <c r="N580" s="867" t="s">
        <v>3861</v>
      </c>
      <c r="O580" s="873" t="s">
        <v>4031</v>
      </c>
      <c r="P580" s="874">
        <v>25</v>
      </c>
      <c r="Q580" s="874">
        <v>23</v>
      </c>
      <c r="R580" s="875">
        <v>22</v>
      </c>
      <c r="S580" s="876">
        <v>25</v>
      </c>
      <c r="T580" s="876">
        <v>23</v>
      </c>
      <c r="U580" s="877">
        <v>22</v>
      </c>
      <c r="W580" s="877"/>
    </row>
    <row r="581" spans="1:23" ht="36" x14ac:dyDescent="0.2">
      <c r="A581" s="865" t="s">
        <v>2700</v>
      </c>
      <c r="B581" s="866" t="s">
        <v>4030</v>
      </c>
      <c r="C581" s="866" t="s">
        <v>3876</v>
      </c>
      <c r="D581" s="1438" t="s">
        <v>2739</v>
      </c>
      <c r="E581" s="1441">
        <v>45545.612175925926</v>
      </c>
      <c r="F581" s="1441">
        <v>45808.916655092595</v>
      </c>
      <c r="G581" s="1438" t="s">
        <v>1777</v>
      </c>
      <c r="H581" s="1438" t="s">
        <v>1765</v>
      </c>
      <c r="I581" s="1438" t="s">
        <v>1778</v>
      </c>
      <c r="J581" s="1438" t="s">
        <v>2740</v>
      </c>
      <c r="K581" s="1438" t="s">
        <v>1804</v>
      </c>
      <c r="L581" s="1438" t="s">
        <v>2221</v>
      </c>
      <c r="M581" s="867" t="s">
        <v>2703</v>
      </c>
      <c r="N581" s="867" t="s">
        <v>3861</v>
      </c>
      <c r="O581" s="867" t="s">
        <v>4031</v>
      </c>
      <c r="P581" s="869">
        <v>80</v>
      </c>
      <c r="Q581" s="869">
        <v>79</v>
      </c>
      <c r="R581" s="870">
        <v>76</v>
      </c>
      <c r="S581" s="871">
        <v>80</v>
      </c>
      <c r="T581" s="871">
        <v>79</v>
      </c>
      <c r="U581" s="872">
        <v>76</v>
      </c>
      <c r="W581" s="872"/>
    </row>
    <row r="582" spans="1:23" ht="36" x14ac:dyDescent="0.2">
      <c r="A582" s="865" t="s">
        <v>2700</v>
      </c>
      <c r="B582" s="866" t="s">
        <v>4030</v>
      </c>
      <c r="C582" s="866" t="s">
        <v>3876</v>
      </c>
      <c r="D582" s="1440"/>
      <c r="E582" s="1443"/>
      <c r="F582" s="1443"/>
      <c r="G582" s="1440"/>
      <c r="H582" s="1440"/>
      <c r="I582" s="1440"/>
      <c r="J582" s="1440"/>
      <c r="K582" s="1440"/>
      <c r="L582" s="1440"/>
      <c r="M582" s="867" t="s">
        <v>2708</v>
      </c>
      <c r="N582" s="867" t="s">
        <v>3987</v>
      </c>
      <c r="O582" s="873" t="s">
        <v>4034</v>
      </c>
      <c r="P582" s="874">
        <v>80</v>
      </c>
      <c r="Q582" s="874">
        <v>79</v>
      </c>
      <c r="R582" s="875">
        <v>76</v>
      </c>
      <c r="S582" s="876">
        <v>80</v>
      </c>
      <c r="T582" s="876">
        <v>79</v>
      </c>
      <c r="U582" s="877">
        <v>76</v>
      </c>
      <c r="W582" s="877"/>
    </row>
    <row r="583" spans="1:23" ht="36" x14ac:dyDescent="0.2">
      <c r="A583" s="865" t="s">
        <v>2700</v>
      </c>
      <c r="B583" s="866" t="s">
        <v>4030</v>
      </c>
      <c r="C583" s="866" t="s">
        <v>3876</v>
      </c>
      <c r="D583" s="867" t="s">
        <v>2741</v>
      </c>
      <c r="E583" s="868">
        <v>45545.630960648145</v>
      </c>
      <c r="F583" s="868">
        <v>45838.916655092595</v>
      </c>
      <c r="G583" s="867" t="s">
        <v>1758</v>
      </c>
      <c r="H583" s="867" t="s">
        <v>1759</v>
      </c>
      <c r="I583" s="867" t="s">
        <v>1762</v>
      </c>
      <c r="J583" s="867" t="s">
        <v>2742</v>
      </c>
      <c r="K583" s="867" t="s">
        <v>1804</v>
      </c>
      <c r="L583" s="867" t="s">
        <v>1828</v>
      </c>
      <c r="M583" s="867" t="s">
        <v>2703</v>
      </c>
      <c r="N583" s="867" t="s">
        <v>3861</v>
      </c>
      <c r="O583" s="867" t="s">
        <v>4031</v>
      </c>
      <c r="P583" s="869">
        <v>28</v>
      </c>
      <c r="Q583" s="869">
        <v>28</v>
      </c>
      <c r="R583" s="870">
        <v>28</v>
      </c>
      <c r="S583" s="871">
        <v>28</v>
      </c>
      <c r="T583" s="871">
        <v>28</v>
      </c>
      <c r="U583" s="872">
        <v>28</v>
      </c>
      <c r="W583" s="872"/>
    </row>
    <row r="584" spans="1:23" ht="36" x14ac:dyDescent="0.2">
      <c r="A584" s="865" t="s">
        <v>2700</v>
      </c>
      <c r="B584" s="866" t="s">
        <v>4030</v>
      </c>
      <c r="C584" s="866" t="s">
        <v>3876</v>
      </c>
      <c r="D584" s="1438" t="s">
        <v>2743</v>
      </c>
      <c r="E584" s="1441">
        <v>45547.257569444446</v>
      </c>
      <c r="F584" s="1441">
        <v>45838.916655092595</v>
      </c>
      <c r="G584" s="1438" t="s">
        <v>1741</v>
      </c>
      <c r="H584" s="1438" t="s">
        <v>1749</v>
      </c>
      <c r="I584" s="1438" t="s">
        <v>1750</v>
      </c>
      <c r="J584" s="1438" t="s">
        <v>2744</v>
      </c>
      <c r="K584" s="1438" t="s">
        <v>1804</v>
      </c>
      <c r="L584" s="1438" t="s">
        <v>1819</v>
      </c>
      <c r="M584" s="867" t="s">
        <v>2703</v>
      </c>
      <c r="N584" s="867" t="s">
        <v>3861</v>
      </c>
      <c r="O584" s="873" t="s">
        <v>4031</v>
      </c>
      <c r="P584" s="874">
        <v>31</v>
      </c>
      <c r="Q584" s="874">
        <v>30</v>
      </c>
      <c r="R584" s="875">
        <v>28</v>
      </c>
      <c r="S584" s="876">
        <v>31</v>
      </c>
      <c r="T584" s="876">
        <v>30</v>
      </c>
      <c r="U584" s="877">
        <v>28</v>
      </c>
      <c r="W584" s="877"/>
    </row>
    <row r="585" spans="1:23" ht="36" x14ac:dyDescent="0.2">
      <c r="A585" s="865" t="s">
        <v>2700</v>
      </c>
      <c r="B585" s="866" t="s">
        <v>4030</v>
      </c>
      <c r="C585" s="866" t="s">
        <v>3876</v>
      </c>
      <c r="D585" s="1439"/>
      <c r="E585" s="1442"/>
      <c r="F585" s="1442"/>
      <c r="G585" s="1439"/>
      <c r="H585" s="1439"/>
      <c r="I585" s="1439"/>
      <c r="J585" s="1439"/>
      <c r="K585" s="1439"/>
      <c r="L585" s="1439"/>
      <c r="M585" s="867" t="s">
        <v>2707</v>
      </c>
      <c r="N585" s="867" t="s">
        <v>3877</v>
      </c>
      <c r="O585" s="867" t="s">
        <v>4033</v>
      </c>
      <c r="P585" s="869">
        <v>31</v>
      </c>
      <c r="Q585" s="869">
        <v>30</v>
      </c>
      <c r="R585" s="870">
        <v>28</v>
      </c>
      <c r="S585" s="871">
        <v>31</v>
      </c>
      <c r="T585" s="871">
        <v>30</v>
      </c>
      <c r="U585" s="872">
        <v>28</v>
      </c>
      <c r="W585" s="872"/>
    </row>
    <row r="586" spans="1:23" ht="36" x14ac:dyDescent="0.2">
      <c r="A586" s="865" t="s">
        <v>2700</v>
      </c>
      <c r="B586" s="866" t="s">
        <v>4030</v>
      </c>
      <c r="C586" s="866" t="s">
        <v>3876</v>
      </c>
      <c r="D586" s="1440"/>
      <c r="E586" s="1443"/>
      <c r="F586" s="1443"/>
      <c r="G586" s="1440"/>
      <c r="H586" s="1440"/>
      <c r="I586" s="1440"/>
      <c r="J586" s="1440"/>
      <c r="K586" s="1440"/>
      <c r="L586" s="1440"/>
      <c r="M586" s="867" t="s">
        <v>2708</v>
      </c>
      <c r="N586" s="867" t="s">
        <v>3987</v>
      </c>
      <c r="O586" s="873" t="s">
        <v>4034</v>
      </c>
      <c r="P586" s="874">
        <v>31</v>
      </c>
      <c r="Q586" s="874">
        <v>30</v>
      </c>
      <c r="R586" s="875">
        <v>28</v>
      </c>
      <c r="S586" s="876">
        <v>31</v>
      </c>
      <c r="T586" s="876">
        <v>30</v>
      </c>
      <c r="U586" s="877">
        <v>28</v>
      </c>
      <c r="W586" s="877"/>
    </row>
    <row r="587" spans="1:23" ht="48" x14ac:dyDescent="0.2">
      <c r="A587" s="865" t="s">
        <v>2700</v>
      </c>
      <c r="B587" s="866" t="s">
        <v>4030</v>
      </c>
      <c r="C587" s="866" t="s">
        <v>3876</v>
      </c>
      <c r="D587" s="867" t="s">
        <v>2745</v>
      </c>
      <c r="E587" s="868">
        <v>45545.622245370374</v>
      </c>
      <c r="F587" s="868">
        <v>45808.916655092595</v>
      </c>
      <c r="G587" s="867" t="s">
        <v>1758</v>
      </c>
      <c r="H587" s="867" t="s">
        <v>1759</v>
      </c>
      <c r="I587" s="867" t="s">
        <v>1760</v>
      </c>
      <c r="J587" s="867" t="s">
        <v>2746</v>
      </c>
      <c r="K587" s="867" t="s">
        <v>1804</v>
      </c>
      <c r="L587" s="867" t="s">
        <v>1805</v>
      </c>
      <c r="M587" s="867" t="s">
        <v>2703</v>
      </c>
      <c r="N587" s="867" t="s">
        <v>3861</v>
      </c>
      <c r="O587" s="867" t="s">
        <v>4031</v>
      </c>
      <c r="P587" s="869">
        <v>27</v>
      </c>
      <c r="Q587" s="869">
        <v>27</v>
      </c>
      <c r="R587" s="870">
        <v>24</v>
      </c>
      <c r="S587" s="871">
        <v>27</v>
      </c>
      <c r="T587" s="871">
        <v>27</v>
      </c>
      <c r="U587" s="872">
        <v>24</v>
      </c>
      <c r="W587" s="872"/>
    </row>
    <row r="588" spans="1:23" ht="36" x14ac:dyDescent="0.2">
      <c r="A588" s="865" t="s">
        <v>2700</v>
      </c>
      <c r="B588" s="866" t="s">
        <v>4030</v>
      </c>
      <c r="C588" s="866" t="s">
        <v>3876</v>
      </c>
      <c r="D588" s="1438" t="s">
        <v>2747</v>
      </c>
      <c r="E588" s="1441">
        <v>45541.273819444446</v>
      </c>
      <c r="F588" s="1441">
        <v>45834.916655092595</v>
      </c>
      <c r="G588" s="1438" t="s">
        <v>1758</v>
      </c>
      <c r="H588" s="1438" t="s">
        <v>1759</v>
      </c>
      <c r="I588" s="1438" t="s">
        <v>1762</v>
      </c>
      <c r="J588" s="1438" t="s">
        <v>2748</v>
      </c>
      <c r="K588" s="1438" t="s">
        <v>1804</v>
      </c>
      <c r="L588" s="1438" t="s">
        <v>1828</v>
      </c>
      <c r="M588" s="867" t="s">
        <v>2703</v>
      </c>
      <c r="N588" s="867" t="s">
        <v>3861</v>
      </c>
      <c r="O588" s="873" t="s">
        <v>4031</v>
      </c>
      <c r="P588" s="874">
        <v>10</v>
      </c>
      <c r="Q588" s="874">
        <v>8</v>
      </c>
      <c r="R588" s="875">
        <v>0</v>
      </c>
      <c r="S588" s="876">
        <v>10</v>
      </c>
      <c r="T588" s="876">
        <v>8</v>
      </c>
      <c r="U588" s="877">
        <v>0</v>
      </c>
      <c r="W588" s="877"/>
    </row>
    <row r="589" spans="1:23" ht="36" x14ac:dyDescent="0.2">
      <c r="A589" s="865" t="s">
        <v>2700</v>
      </c>
      <c r="B589" s="866" t="s">
        <v>4030</v>
      </c>
      <c r="C589" s="866" t="s">
        <v>3876</v>
      </c>
      <c r="D589" s="1439"/>
      <c r="E589" s="1442"/>
      <c r="F589" s="1442"/>
      <c r="G589" s="1439"/>
      <c r="H589" s="1439"/>
      <c r="I589" s="1439"/>
      <c r="J589" s="1439"/>
      <c r="K589" s="1439"/>
      <c r="L589" s="1439"/>
      <c r="M589" s="867" t="s">
        <v>2707</v>
      </c>
      <c r="N589" s="867" t="s">
        <v>3877</v>
      </c>
      <c r="O589" s="867" t="s">
        <v>4033</v>
      </c>
      <c r="P589" s="869">
        <v>10</v>
      </c>
      <c r="Q589" s="869">
        <v>8</v>
      </c>
      <c r="R589" s="870">
        <v>0</v>
      </c>
      <c r="S589" s="871">
        <v>10</v>
      </c>
      <c r="T589" s="871">
        <v>8</v>
      </c>
      <c r="U589" s="872">
        <v>0</v>
      </c>
      <c r="W589" s="872"/>
    </row>
    <row r="590" spans="1:23" ht="36" x14ac:dyDescent="0.2">
      <c r="A590" s="865" t="s">
        <v>2700</v>
      </c>
      <c r="B590" s="866" t="s">
        <v>4030</v>
      </c>
      <c r="C590" s="866" t="s">
        <v>3876</v>
      </c>
      <c r="D590" s="1440"/>
      <c r="E590" s="1443"/>
      <c r="F590" s="1443"/>
      <c r="G590" s="1440"/>
      <c r="H590" s="1440"/>
      <c r="I590" s="1440"/>
      <c r="J590" s="1440"/>
      <c r="K590" s="1440"/>
      <c r="L590" s="1440"/>
      <c r="M590" s="867" t="s">
        <v>2708</v>
      </c>
      <c r="N590" s="867" t="s">
        <v>3987</v>
      </c>
      <c r="O590" s="873" t="s">
        <v>4034</v>
      </c>
      <c r="P590" s="874">
        <v>10</v>
      </c>
      <c r="Q590" s="874">
        <v>8</v>
      </c>
      <c r="R590" s="875">
        <v>0</v>
      </c>
      <c r="S590" s="876">
        <v>10</v>
      </c>
      <c r="T590" s="876">
        <v>8</v>
      </c>
      <c r="U590" s="877">
        <v>0</v>
      </c>
      <c r="W590" s="877"/>
    </row>
    <row r="591" spans="1:23" ht="36" x14ac:dyDescent="0.2">
      <c r="A591" s="865" t="s">
        <v>2700</v>
      </c>
      <c r="B591" s="866" t="s">
        <v>4030</v>
      </c>
      <c r="C591" s="866" t="s">
        <v>3876</v>
      </c>
      <c r="D591" s="1438" t="s">
        <v>2749</v>
      </c>
      <c r="E591" s="1441">
        <v>45539.468645833331</v>
      </c>
      <c r="F591" s="1441">
        <v>45838.916655092595</v>
      </c>
      <c r="G591" s="1438" t="s">
        <v>1741</v>
      </c>
      <c r="H591" s="1438" t="s">
        <v>1749</v>
      </c>
      <c r="I591" s="1438" t="s">
        <v>1750</v>
      </c>
      <c r="J591" s="1438" t="s">
        <v>2750</v>
      </c>
      <c r="K591" s="1438" t="s">
        <v>1804</v>
      </c>
      <c r="L591" s="1438" t="s">
        <v>1819</v>
      </c>
      <c r="M591" s="867" t="s">
        <v>2703</v>
      </c>
      <c r="N591" s="867" t="s">
        <v>3861</v>
      </c>
      <c r="O591" s="867" t="s">
        <v>4031</v>
      </c>
      <c r="P591" s="869">
        <v>15</v>
      </c>
      <c r="Q591" s="869">
        <v>15</v>
      </c>
      <c r="R591" s="870">
        <v>15</v>
      </c>
      <c r="S591" s="871">
        <v>15</v>
      </c>
      <c r="T591" s="871">
        <v>15</v>
      </c>
      <c r="U591" s="872">
        <v>15</v>
      </c>
      <c r="W591" s="872"/>
    </row>
    <row r="592" spans="1:23" ht="36" x14ac:dyDescent="0.2">
      <c r="A592" s="865" t="s">
        <v>2700</v>
      </c>
      <c r="B592" s="866" t="s">
        <v>4030</v>
      </c>
      <c r="C592" s="866" t="s">
        <v>3876</v>
      </c>
      <c r="D592" s="1439"/>
      <c r="E592" s="1442"/>
      <c r="F592" s="1442"/>
      <c r="G592" s="1439"/>
      <c r="H592" s="1439"/>
      <c r="I592" s="1439"/>
      <c r="J592" s="1439"/>
      <c r="K592" s="1439"/>
      <c r="L592" s="1439"/>
      <c r="M592" s="867" t="s">
        <v>2707</v>
      </c>
      <c r="N592" s="867" t="s">
        <v>3877</v>
      </c>
      <c r="O592" s="873" t="s">
        <v>4033</v>
      </c>
      <c r="P592" s="874">
        <v>15</v>
      </c>
      <c r="Q592" s="874">
        <v>15</v>
      </c>
      <c r="R592" s="875">
        <v>15</v>
      </c>
      <c r="S592" s="876">
        <v>15</v>
      </c>
      <c r="T592" s="876">
        <v>15</v>
      </c>
      <c r="U592" s="877">
        <v>15</v>
      </c>
      <c r="W592" s="877"/>
    </row>
    <row r="593" spans="1:23" ht="36" x14ac:dyDescent="0.2">
      <c r="A593" s="865" t="s">
        <v>2700</v>
      </c>
      <c r="B593" s="866" t="s">
        <v>4030</v>
      </c>
      <c r="C593" s="866" t="s">
        <v>3876</v>
      </c>
      <c r="D593" s="1439"/>
      <c r="E593" s="1442"/>
      <c r="F593" s="1442"/>
      <c r="G593" s="1439"/>
      <c r="H593" s="1439"/>
      <c r="I593" s="1439"/>
      <c r="J593" s="1439"/>
      <c r="K593" s="1439"/>
      <c r="L593" s="1439"/>
      <c r="M593" s="867" t="s">
        <v>2711</v>
      </c>
      <c r="N593" s="867" t="s">
        <v>4035</v>
      </c>
      <c r="O593" s="867" t="s">
        <v>4036</v>
      </c>
      <c r="P593" s="869">
        <v>15</v>
      </c>
      <c r="Q593" s="869">
        <v>15</v>
      </c>
      <c r="R593" s="870">
        <v>15</v>
      </c>
      <c r="S593" s="871">
        <v>15</v>
      </c>
      <c r="T593" s="871">
        <v>15</v>
      </c>
      <c r="U593" s="872">
        <v>15</v>
      </c>
      <c r="W593" s="872"/>
    </row>
    <row r="594" spans="1:23" ht="36" x14ac:dyDescent="0.2">
      <c r="A594" s="865" t="s">
        <v>2700</v>
      </c>
      <c r="B594" s="866" t="s">
        <v>4030</v>
      </c>
      <c r="C594" s="866" t="s">
        <v>3876</v>
      </c>
      <c r="D594" s="1440"/>
      <c r="E594" s="1443"/>
      <c r="F594" s="1443"/>
      <c r="G594" s="1440"/>
      <c r="H594" s="1440"/>
      <c r="I594" s="1440"/>
      <c r="J594" s="1440"/>
      <c r="K594" s="1440"/>
      <c r="L594" s="1440"/>
      <c r="M594" s="867" t="s">
        <v>2708</v>
      </c>
      <c r="N594" s="867" t="s">
        <v>3987</v>
      </c>
      <c r="O594" s="873" t="s">
        <v>4034</v>
      </c>
      <c r="P594" s="874">
        <v>15</v>
      </c>
      <c r="Q594" s="874">
        <v>15</v>
      </c>
      <c r="R594" s="875">
        <v>15</v>
      </c>
      <c r="S594" s="876">
        <v>15</v>
      </c>
      <c r="T594" s="876">
        <v>15</v>
      </c>
      <c r="U594" s="877">
        <v>15</v>
      </c>
      <c r="W594" s="877"/>
    </row>
    <row r="595" spans="1:23" ht="36" x14ac:dyDescent="0.2">
      <c r="A595" s="865" t="s">
        <v>2751</v>
      </c>
      <c r="B595" s="866">
        <v>42024471</v>
      </c>
      <c r="C595" s="866" t="s">
        <v>3860</v>
      </c>
      <c r="D595" s="867" t="s">
        <v>2752</v>
      </c>
      <c r="E595" s="868">
        <v>45544.465740740743</v>
      </c>
      <c r="F595" s="868">
        <v>45837.916655092595</v>
      </c>
      <c r="G595" s="867" t="s">
        <v>1758</v>
      </c>
      <c r="H595" s="867" t="s">
        <v>1759</v>
      </c>
      <c r="I595" s="867" t="s">
        <v>1762</v>
      </c>
      <c r="J595" s="867" t="s">
        <v>2753</v>
      </c>
      <c r="K595" s="867" t="s">
        <v>1804</v>
      </c>
      <c r="L595" s="867" t="s">
        <v>1828</v>
      </c>
      <c r="M595" s="867" t="s">
        <v>2754</v>
      </c>
      <c r="N595" s="867" t="s">
        <v>3904</v>
      </c>
      <c r="O595" s="867" t="s">
        <v>4039</v>
      </c>
      <c r="P595" s="869">
        <v>10</v>
      </c>
      <c r="Q595" s="869">
        <v>10</v>
      </c>
      <c r="R595" s="870">
        <v>0</v>
      </c>
      <c r="S595" s="871">
        <v>10</v>
      </c>
      <c r="T595" s="871">
        <v>10</v>
      </c>
      <c r="U595" s="872">
        <v>0</v>
      </c>
      <c r="W595" s="872">
        <v>0</v>
      </c>
    </row>
    <row r="596" spans="1:23" ht="24" x14ac:dyDescent="0.2">
      <c r="A596" s="865" t="s">
        <v>2751</v>
      </c>
      <c r="B596" s="866">
        <v>42024471</v>
      </c>
      <c r="C596" s="866" t="s">
        <v>3860</v>
      </c>
      <c r="D596" s="867" t="s">
        <v>2755</v>
      </c>
      <c r="E596" s="868">
        <v>45552.368402777778</v>
      </c>
      <c r="F596" s="868">
        <v>45837.916655092595</v>
      </c>
      <c r="G596" s="867" t="s">
        <v>1758</v>
      </c>
      <c r="H596" s="867" t="s">
        <v>1759</v>
      </c>
      <c r="I596" s="867" t="s">
        <v>1761</v>
      </c>
      <c r="J596" s="867" t="s">
        <v>2756</v>
      </c>
      <c r="K596" s="867" t="s">
        <v>1804</v>
      </c>
      <c r="L596" s="867" t="s">
        <v>1828</v>
      </c>
      <c r="M596" s="867" t="s">
        <v>2757</v>
      </c>
      <c r="N596" s="867" t="s">
        <v>3985</v>
      </c>
      <c r="O596" s="873" t="s">
        <v>4040</v>
      </c>
      <c r="P596" s="874">
        <v>1</v>
      </c>
      <c r="Q596" s="874">
        <v>1</v>
      </c>
      <c r="R596" s="875">
        <v>0</v>
      </c>
      <c r="S596" s="876">
        <v>1</v>
      </c>
      <c r="T596" s="876">
        <v>1</v>
      </c>
      <c r="U596" s="877">
        <v>0</v>
      </c>
      <c r="W596" s="877">
        <v>0</v>
      </c>
    </row>
    <row r="597" spans="1:23" ht="24" x14ac:dyDescent="0.2">
      <c r="A597" s="865" t="s">
        <v>2751</v>
      </c>
      <c r="B597" s="866">
        <v>42024471</v>
      </c>
      <c r="C597" s="866" t="s">
        <v>3860</v>
      </c>
      <c r="D597" s="867" t="s">
        <v>2758</v>
      </c>
      <c r="E597" s="868">
        <v>45544.459560185183</v>
      </c>
      <c r="F597" s="868">
        <v>45837.916655092595</v>
      </c>
      <c r="G597" s="867" t="s">
        <v>1758</v>
      </c>
      <c r="H597" s="867" t="s">
        <v>1759</v>
      </c>
      <c r="I597" s="867" t="s">
        <v>1761</v>
      </c>
      <c r="J597" s="867" t="s">
        <v>2759</v>
      </c>
      <c r="K597" s="867" t="s">
        <v>1804</v>
      </c>
      <c r="L597" s="867" t="s">
        <v>1828</v>
      </c>
      <c r="M597" s="867" t="s">
        <v>2754</v>
      </c>
      <c r="N597" s="867" t="s">
        <v>3904</v>
      </c>
      <c r="O597" s="867" t="s">
        <v>4039</v>
      </c>
      <c r="P597" s="869">
        <v>9</v>
      </c>
      <c r="Q597" s="869">
        <v>9</v>
      </c>
      <c r="R597" s="870">
        <v>9</v>
      </c>
      <c r="S597" s="871">
        <v>9</v>
      </c>
      <c r="T597" s="871">
        <v>9</v>
      </c>
      <c r="U597" s="872">
        <v>9</v>
      </c>
      <c r="W597" s="872">
        <v>9</v>
      </c>
    </row>
    <row r="598" spans="1:23" x14ac:dyDescent="0.2">
      <c r="A598" s="865" t="s">
        <v>2751</v>
      </c>
      <c r="B598" s="866">
        <v>42024471</v>
      </c>
      <c r="C598" s="866" t="s">
        <v>3860</v>
      </c>
      <c r="D598" s="867" t="s">
        <v>2760</v>
      </c>
      <c r="E598" s="868">
        <v>45575.332789351851</v>
      </c>
      <c r="F598" s="868">
        <v>45688.958321759259</v>
      </c>
      <c r="G598" s="867" t="s">
        <v>1787</v>
      </c>
      <c r="H598" s="867" t="s">
        <v>1788</v>
      </c>
      <c r="I598" s="867" t="s">
        <v>1789</v>
      </c>
      <c r="J598" s="867" t="s">
        <v>1789</v>
      </c>
      <c r="K598" s="867" t="s">
        <v>1804</v>
      </c>
      <c r="L598" s="867" t="s">
        <v>1805</v>
      </c>
      <c r="M598" s="867" t="s">
        <v>2761</v>
      </c>
      <c r="N598" s="867" t="s">
        <v>4041</v>
      </c>
      <c r="O598" s="873" t="s">
        <v>4042</v>
      </c>
      <c r="P598" s="874">
        <v>1</v>
      </c>
      <c r="Q598" s="874">
        <v>1</v>
      </c>
      <c r="R598" s="875">
        <v>0</v>
      </c>
      <c r="S598" s="876">
        <v>1</v>
      </c>
      <c r="T598" s="876">
        <v>1</v>
      </c>
      <c r="U598" s="877">
        <v>0</v>
      </c>
      <c r="W598" s="877">
        <v>0</v>
      </c>
    </row>
    <row r="599" spans="1:23" ht="48" x14ac:dyDescent="0.2">
      <c r="A599" s="865" t="s">
        <v>2751</v>
      </c>
      <c r="B599" s="866">
        <v>42024471</v>
      </c>
      <c r="C599" s="866" t="s">
        <v>3860</v>
      </c>
      <c r="D599" s="867" t="s">
        <v>2762</v>
      </c>
      <c r="E599" s="868">
        <v>45547.270983796298</v>
      </c>
      <c r="F599" s="868">
        <v>45837.916655092595</v>
      </c>
      <c r="G599" s="867" t="s">
        <v>1758</v>
      </c>
      <c r="H599" s="867" t="s">
        <v>1759</v>
      </c>
      <c r="I599" s="867" t="s">
        <v>1760</v>
      </c>
      <c r="J599" s="867" t="s">
        <v>2763</v>
      </c>
      <c r="K599" s="867" t="s">
        <v>1804</v>
      </c>
      <c r="L599" s="867" t="s">
        <v>1805</v>
      </c>
      <c r="M599" s="867" t="s">
        <v>2754</v>
      </c>
      <c r="N599" s="867" t="s">
        <v>3904</v>
      </c>
      <c r="O599" s="867" t="s">
        <v>4039</v>
      </c>
      <c r="P599" s="869">
        <v>9</v>
      </c>
      <c r="Q599" s="869">
        <v>9</v>
      </c>
      <c r="R599" s="870">
        <v>0</v>
      </c>
      <c r="S599" s="871">
        <v>9</v>
      </c>
      <c r="T599" s="871">
        <v>9</v>
      </c>
      <c r="U599" s="872">
        <v>0</v>
      </c>
      <c r="W599" s="872">
        <v>0</v>
      </c>
    </row>
    <row r="600" spans="1:23" ht="24" x14ac:dyDescent="0.2">
      <c r="A600" s="865" t="s">
        <v>2751</v>
      </c>
      <c r="B600" s="866">
        <v>42024471</v>
      </c>
      <c r="C600" s="866" t="s">
        <v>3860</v>
      </c>
      <c r="D600" s="867" t="s">
        <v>2764</v>
      </c>
      <c r="E600" s="868">
        <v>45547.536087962966</v>
      </c>
      <c r="F600" s="868">
        <v>45838.916655092595</v>
      </c>
      <c r="G600" s="867" t="s">
        <v>1767</v>
      </c>
      <c r="H600" s="867" t="s">
        <v>1765</v>
      </c>
      <c r="I600" s="867" t="s">
        <v>1769</v>
      </c>
      <c r="J600" s="867" t="s">
        <v>1769</v>
      </c>
      <c r="K600" s="867" t="s">
        <v>1804</v>
      </c>
      <c r="L600" s="867" t="s">
        <v>2097</v>
      </c>
      <c r="M600" s="867" t="s">
        <v>2761</v>
      </c>
      <c r="N600" s="867" t="s">
        <v>4041</v>
      </c>
      <c r="O600" s="873" t="s">
        <v>4042</v>
      </c>
      <c r="P600" s="874">
        <v>1</v>
      </c>
      <c r="Q600" s="874">
        <v>1</v>
      </c>
      <c r="R600" s="875">
        <v>0</v>
      </c>
      <c r="S600" s="876">
        <v>1</v>
      </c>
      <c r="T600" s="876">
        <v>1</v>
      </c>
      <c r="U600" s="877">
        <v>0</v>
      </c>
      <c r="W600" s="877">
        <v>0</v>
      </c>
    </row>
    <row r="601" spans="1:23" x14ac:dyDescent="0.2">
      <c r="A601" s="865" t="s">
        <v>2751</v>
      </c>
      <c r="B601" s="866">
        <v>42024471</v>
      </c>
      <c r="C601" s="866" t="s">
        <v>3860</v>
      </c>
      <c r="D601" s="1438" t="s">
        <v>2765</v>
      </c>
      <c r="E601" s="1441">
        <v>45312.958333333336</v>
      </c>
      <c r="F601" s="1441">
        <v>45542.916666666664</v>
      </c>
      <c r="G601" s="1438" t="s">
        <v>1758</v>
      </c>
      <c r="H601" s="1438" t="s">
        <v>1759</v>
      </c>
      <c r="I601" s="1438" t="s">
        <v>1823</v>
      </c>
      <c r="J601" s="1438" t="s">
        <v>2766</v>
      </c>
      <c r="K601" s="1438" t="s">
        <v>1804</v>
      </c>
      <c r="L601" s="1438" t="s">
        <v>1819</v>
      </c>
      <c r="M601" s="867" t="s">
        <v>2767</v>
      </c>
      <c r="N601" s="867" t="s">
        <v>4043</v>
      </c>
      <c r="O601" s="867" t="s">
        <v>4044</v>
      </c>
      <c r="P601" s="869">
        <v>8</v>
      </c>
      <c r="Q601" s="869">
        <v>7</v>
      </c>
      <c r="R601" s="870">
        <v>0</v>
      </c>
      <c r="S601" s="871">
        <v>8</v>
      </c>
      <c r="T601" s="871">
        <v>7</v>
      </c>
      <c r="U601" s="872">
        <v>0</v>
      </c>
      <c r="W601" s="872">
        <v>0</v>
      </c>
    </row>
    <row r="602" spans="1:23" x14ac:dyDescent="0.2">
      <c r="A602" s="865" t="s">
        <v>2751</v>
      </c>
      <c r="B602" s="866">
        <v>42024471</v>
      </c>
      <c r="C602" s="866" t="s">
        <v>3860</v>
      </c>
      <c r="D602" s="1440"/>
      <c r="E602" s="1443"/>
      <c r="F602" s="1443"/>
      <c r="G602" s="1440"/>
      <c r="H602" s="1440"/>
      <c r="I602" s="1440"/>
      <c r="J602" s="1440"/>
      <c r="K602" s="1440"/>
      <c r="L602" s="1440"/>
      <c r="M602" s="867" t="s">
        <v>2754</v>
      </c>
      <c r="N602" s="867" t="s">
        <v>3904</v>
      </c>
      <c r="O602" s="873" t="s">
        <v>4039</v>
      </c>
      <c r="P602" s="874">
        <v>8</v>
      </c>
      <c r="Q602" s="874">
        <v>7</v>
      </c>
      <c r="R602" s="875">
        <v>0</v>
      </c>
      <c r="S602" s="876">
        <v>8</v>
      </c>
      <c r="T602" s="876">
        <v>7</v>
      </c>
      <c r="U602" s="877">
        <v>0</v>
      </c>
      <c r="W602" s="877">
        <v>0</v>
      </c>
    </row>
    <row r="603" spans="1:23" x14ac:dyDescent="0.2">
      <c r="A603" s="865" t="s">
        <v>2751</v>
      </c>
      <c r="B603" s="866">
        <v>42024471</v>
      </c>
      <c r="C603" s="866" t="s">
        <v>3860</v>
      </c>
      <c r="D603" s="1438" t="s">
        <v>2768</v>
      </c>
      <c r="E603" s="1441">
        <v>45355.958333333336</v>
      </c>
      <c r="F603" s="1441">
        <v>45712</v>
      </c>
      <c r="G603" s="1438" t="s">
        <v>1758</v>
      </c>
      <c r="H603" s="1438" t="s">
        <v>1759</v>
      </c>
      <c r="I603" s="1438" t="s">
        <v>1817</v>
      </c>
      <c r="J603" s="1438" t="s">
        <v>2769</v>
      </c>
      <c r="K603" s="1438" t="s">
        <v>1804</v>
      </c>
      <c r="L603" s="1438" t="s">
        <v>1819</v>
      </c>
      <c r="M603" s="867" t="s">
        <v>2767</v>
      </c>
      <c r="N603" s="867" t="s">
        <v>4043</v>
      </c>
      <c r="O603" s="867" t="s">
        <v>4044</v>
      </c>
      <c r="P603" s="869">
        <v>11</v>
      </c>
      <c r="Q603" s="869">
        <v>9</v>
      </c>
      <c r="R603" s="870">
        <v>0</v>
      </c>
      <c r="S603" s="871">
        <v>11</v>
      </c>
      <c r="T603" s="871">
        <v>9</v>
      </c>
      <c r="U603" s="872">
        <v>0</v>
      </c>
      <c r="W603" s="872">
        <v>0</v>
      </c>
    </row>
    <row r="604" spans="1:23" x14ac:dyDescent="0.2">
      <c r="A604" s="865" t="s">
        <v>2751</v>
      </c>
      <c r="B604" s="866">
        <v>42024471</v>
      </c>
      <c r="C604" s="866" t="s">
        <v>3860</v>
      </c>
      <c r="D604" s="1440"/>
      <c r="E604" s="1443"/>
      <c r="F604" s="1443"/>
      <c r="G604" s="1440"/>
      <c r="H604" s="1440"/>
      <c r="I604" s="1440"/>
      <c r="J604" s="1440"/>
      <c r="K604" s="1440"/>
      <c r="L604" s="1440"/>
      <c r="M604" s="867" t="s">
        <v>2754</v>
      </c>
      <c r="N604" s="867" t="s">
        <v>3904</v>
      </c>
      <c r="O604" s="873" t="s">
        <v>4039</v>
      </c>
      <c r="P604" s="874">
        <v>11</v>
      </c>
      <c r="Q604" s="874">
        <v>9</v>
      </c>
      <c r="R604" s="875">
        <v>0</v>
      </c>
      <c r="S604" s="876">
        <v>11</v>
      </c>
      <c r="T604" s="876">
        <v>9</v>
      </c>
      <c r="U604" s="877">
        <v>0</v>
      </c>
      <c r="W604" s="877">
        <v>0</v>
      </c>
    </row>
    <row r="605" spans="1:23" ht="48" x14ac:dyDescent="0.2">
      <c r="A605" s="865" t="s">
        <v>2751</v>
      </c>
      <c r="B605" s="866">
        <v>42024471</v>
      </c>
      <c r="C605" s="866" t="s">
        <v>3860</v>
      </c>
      <c r="D605" s="867" t="s">
        <v>2770</v>
      </c>
      <c r="E605" s="868">
        <v>45387</v>
      </c>
      <c r="F605" s="868">
        <v>45657</v>
      </c>
      <c r="G605" s="867" t="s">
        <v>1758</v>
      </c>
      <c r="H605" s="867" t="s">
        <v>1759</v>
      </c>
      <c r="I605" s="867" t="s">
        <v>1858</v>
      </c>
      <c r="J605" s="867" t="s">
        <v>2771</v>
      </c>
      <c r="K605" s="867" t="s">
        <v>1804</v>
      </c>
      <c r="L605" s="867" t="s">
        <v>1819</v>
      </c>
      <c r="M605" s="867" t="s">
        <v>2754</v>
      </c>
      <c r="N605" s="867" t="s">
        <v>3904</v>
      </c>
      <c r="O605" s="867" t="s">
        <v>4039</v>
      </c>
      <c r="P605" s="869">
        <v>4</v>
      </c>
      <c r="Q605" s="869">
        <v>2</v>
      </c>
      <c r="R605" s="870">
        <v>1</v>
      </c>
      <c r="S605" s="871">
        <v>4</v>
      </c>
      <c r="T605" s="871">
        <v>2</v>
      </c>
      <c r="U605" s="872">
        <v>1</v>
      </c>
      <c r="W605" s="872">
        <v>1</v>
      </c>
    </row>
    <row r="606" spans="1:23" ht="48" x14ac:dyDescent="0.2">
      <c r="A606" s="865" t="s">
        <v>2751</v>
      </c>
      <c r="B606" s="866">
        <v>42024471</v>
      </c>
      <c r="C606" s="866" t="s">
        <v>3860</v>
      </c>
      <c r="D606" s="867" t="s">
        <v>2772</v>
      </c>
      <c r="E606" s="868">
        <v>45387</v>
      </c>
      <c r="F606" s="868">
        <v>45535</v>
      </c>
      <c r="G606" s="867" t="s">
        <v>1758</v>
      </c>
      <c r="H606" s="867" t="s">
        <v>1759</v>
      </c>
      <c r="I606" s="867" t="s">
        <v>1858</v>
      </c>
      <c r="J606" s="867" t="s">
        <v>2773</v>
      </c>
      <c r="K606" s="867" t="s">
        <v>1804</v>
      </c>
      <c r="L606" s="867" t="s">
        <v>1819</v>
      </c>
      <c r="M606" s="867" t="s">
        <v>2754</v>
      </c>
      <c r="N606" s="867" t="s">
        <v>3904</v>
      </c>
      <c r="O606" s="873" t="s">
        <v>4039</v>
      </c>
      <c r="P606" s="874">
        <v>1</v>
      </c>
      <c r="Q606" s="874">
        <v>1</v>
      </c>
      <c r="R606" s="875">
        <v>0</v>
      </c>
      <c r="S606" s="876">
        <v>1</v>
      </c>
      <c r="T606" s="876">
        <v>1</v>
      </c>
      <c r="U606" s="877">
        <v>0</v>
      </c>
      <c r="W606" s="877">
        <v>0</v>
      </c>
    </row>
    <row r="607" spans="1:23" ht="36" x14ac:dyDescent="0.2">
      <c r="A607" s="865" t="s">
        <v>2751</v>
      </c>
      <c r="B607" s="866">
        <v>42024471</v>
      </c>
      <c r="C607" s="866" t="s">
        <v>3860</v>
      </c>
      <c r="D607" s="867" t="s">
        <v>2774</v>
      </c>
      <c r="E607" s="868">
        <v>45387</v>
      </c>
      <c r="F607" s="868">
        <v>45657</v>
      </c>
      <c r="G607" s="867" t="s">
        <v>1758</v>
      </c>
      <c r="H607" s="867" t="s">
        <v>1759</v>
      </c>
      <c r="I607" s="867" t="s">
        <v>1817</v>
      </c>
      <c r="J607" s="867" t="s">
        <v>2775</v>
      </c>
      <c r="K607" s="867" t="s">
        <v>1804</v>
      </c>
      <c r="L607" s="867" t="s">
        <v>1819</v>
      </c>
      <c r="M607" s="867" t="s">
        <v>2754</v>
      </c>
      <c r="N607" s="867" t="s">
        <v>3904</v>
      </c>
      <c r="O607" s="867" t="s">
        <v>4039</v>
      </c>
      <c r="P607" s="869">
        <v>6</v>
      </c>
      <c r="Q607" s="869">
        <v>5</v>
      </c>
      <c r="R607" s="870">
        <v>1</v>
      </c>
      <c r="S607" s="871">
        <v>6</v>
      </c>
      <c r="T607" s="871">
        <v>5</v>
      </c>
      <c r="U607" s="872">
        <v>1</v>
      </c>
      <c r="W607" s="872">
        <v>1</v>
      </c>
    </row>
    <row r="608" spans="1:23" ht="36" x14ac:dyDescent="0.2">
      <c r="A608" s="865" t="s">
        <v>2751</v>
      </c>
      <c r="B608" s="866">
        <v>42024471</v>
      </c>
      <c r="C608" s="866" t="s">
        <v>3860</v>
      </c>
      <c r="D608" s="867" t="s">
        <v>2776</v>
      </c>
      <c r="E608" s="868">
        <v>45387</v>
      </c>
      <c r="F608" s="868">
        <v>45535</v>
      </c>
      <c r="G608" s="867" t="s">
        <v>1758</v>
      </c>
      <c r="H608" s="867" t="s">
        <v>1759</v>
      </c>
      <c r="I608" s="867" t="s">
        <v>1817</v>
      </c>
      <c r="J608" s="867" t="s">
        <v>2777</v>
      </c>
      <c r="K608" s="867" t="s">
        <v>1804</v>
      </c>
      <c r="L608" s="867" t="s">
        <v>1819</v>
      </c>
      <c r="M608" s="867" t="s">
        <v>2754</v>
      </c>
      <c r="N608" s="867" t="s">
        <v>3904</v>
      </c>
      <c r="O608" s="873" t="s">
        <v>4039</v>
      </c>
      <c r="P608" s="874">
        <v>1</v>
      </c>
      <c r="Q608" s="874">
        <v>1</v>
      </c>
      <c r="R608" s="875">
        <v>0</v>
      </c>
      <c r="S608" s="876">
        <v>1</v>
      </c>
      <c r="T608" s="876">
        <v>1</v>
      </c>
      <c r="U608" s="877">
        <v>0</v>
      </c>
      <c r="W608" s="877">
        <v>0</v>
      </c>
    </row>
    <row r="609" spans="1:23" ht="36" x14ac:dyDescent="0.2">
      <c r="A609" s="865" t="s">
        <v>2751</v>
      </c>
      <c r="B609" s="866">
        <v>42024471</v>
      </c>
      <c r="C609" s="866" t="s">
        <v>3860</v>
      </c>
      <c r="D609" s="867" t="s">
        <v>2778</v>
      </c>
      <c r="E609" s="868">
        <v>45387</v>
      </c>
      <c r="F609" s="868">
        <v>45535</v>
      </c>
      <c r="G609" s="867" t="s">
        <v>1758</v>
      </c>
      <c r="H609" s="867" t="s">
        <v>1759</v>
      </c>
      <c r="I609" s="867" t="s">
        <v>1823</v>
      </c>
      <c r="J609" s="867" t="s">
        <v>2779</v>
      </c>
      <c r="K609" s="867" t="s">
        <v>1804</v>
      </c>
      <c r="L609" s="867" t="s">
        <v>1819</v>
      </c>
      <c r="M609" s="867" t="s">
        <v>2754</v>
      </c>
      <c r="N609" s="867" t="s">
        <v>3904</v>
      </c>
      <c r="O609" s="867" t="s">
        <v>4039</v>
      </c>
      <c r="P609" s="869">
        <v>1</v>
      </c>
      <c r="Q609" s="869">
        <v>1</v>
      </c>
      <c r="R609" s="870">
        <v>1</v>
      </c>
      <c r="S609" s="871">
        <v>1</v>
      </c>
      <c r="T609" s="871">
        <v>1</v>
      </c>
      <c r="U609" s="872">
        <v>1</v>
      </c>
      <c r="W609" s="872">
        <v>1</v>
      </c>
    </row>
    <row r="610" spans="1:23" ht="36" x14ac:dyDescent="0.2">
      <c r="A610" s="865" t="s">
        <v>2751</v>
      </c>
      <c r="B610" s="866">
        <v>42024471</v>
      </c>
      <c r="C610" s="866" t="s">
        <v>3860</v>
      </c>
      <c r="D610" s="867" t="s">
        <v>2780</v>
      </c>
      <c r="E610" s="868">
        <v>45397.916666666664</v>
      </c>
      <c r="F610" s="868">
        <v>45614.958333333336</v>
      </c>
      <c r="G610" s="867" t="s">
        <v>1758</v>
      </c>
      <c r="H610" s="867" t="s">
        <v>1759</v>
      </c>
      <c r="I610" s="867" t="s">
        <v>1823</v>
      </c>
      <c r="J610" s="867" t="s">
        <v>2781</v>
      </c>
      <c r="K610" s="867" t="s">
        <v>1804</v>
      </c>
      <c r="L610" s="867" t="s">
        <v>1819</v>
      </c>
      <c r="M610" s="867" t="s">
        <v>2757</v>
      </c>
      <c r="N610" s="867" t="s">
        <v>3985</v>
      </c>
      <c r="O610" s="873" t="s">
        <v>4040</v>
      </c>
      <c r="P610" s="874">
        <v>1</v>
      </c>
      <c r="Q610" s="874">
        <v>1</v>
      </c>
      <c r="R610" s="875">
        <v>0</v>
      </c>
      <c r="S610" s="876">
        <v>1</v>
      </c>
      <c r="T610" s="876">
        <v>1</v>
      </c>
      <c r="U610" s="877">
        <v>0</v>
      </c>
      <c r="W610" s="877">
        <v>0</v>
      </c>
    </row>
    <row r="611" spans="1:23" ht="60" x14ac:dyDescent="0.2">
      <c r="A611" s="865" t="s">
        <v>2751</v>
      </c>
      <c r="B611" s="866">
        <v>42024471</v>
      </c>
      <c r="C611" s="866" t="s">
        <v>3860</v>
      </c>
      <c r="D611" s="867" t="s">
        <v>2782</v>
      </c>
      <c r="E611" s="868">
        <v>45453</v>
      </c>
      <c r="F611" s="868">
        <v>45545</v>
      </c>
      <c r="G611" s="867" t="s">
        <v>1772</v>
      </c>
      <c r="H611" s="867" t="s">
        <v>2783</v>
      </c>
      <c r="I611" s="867" t="s">
        <v>2784</v>
      </c>
      <c r="J611" s="867" t="s">
        <v>2785</v>
      </c>
      <c r="K611" s="867" t="s">
        <v>1804</v>
      </c>
      <c r="L611" s="867" t="s">
        <v>2601</v>
      </c>
      <c r="M611" s="867" t="s">
        <v>2754</v>
      </c>
      <c r="N611" s="867" t="s">
        <v>3904</v>
      </c>
      <c r="O611" s="867" t="s">
        <v>4039</v>
      </c>
      <c r="P611" s="869">
        <v>1</v>
      </c>
      <c r="Q611" s="869">
        <v>0</v>
      </c>
      <c r="R611" s="870">
        <v>0</v>
      </c>
      <c r="S611" s="871">
        <v>1</v>
      </c>
      <c r="T611" s="871">
        <v>0</v>
      </c>
      <c r="U611" s="872">
        <v>0</v>
      </c>
      <c r="W611" s="872">
        <v>0</v>
      </c>
    </row>
    <row r="612" spans="1:23" ht="36" x14ac:dyDescent="0.2">
      <c r="A612" s="865" t="s">
        <v>2751</v>
      </c>
      <c r="B612" s="866">
        <v>42024471</v>
      </c>
      <c r="C612" s="866" t="s">
        <v>3860</v>
      </c>
      <c r="D612" s="867" t="s">
        <v>2786</v>
      </c>
      <c r="E612" s="868">
        <v>45419</v>
      </c>
      <c r="F612" s="868">
        <v>45511</v>
      </c>
      <c r="G612" s="867" t="s">
        <v>1758</v>
      </c>
      <c r="H612" s="867" t="s">
        <v>1759</v>
      </c>
      <c r="I612" s="867" t="s">
        <v>1823</v>
      </c>
      <c r="J612" s="867" t="s">
        <v>2787</v>
      </c>
      <c r="K612" s="867" t="s">
        <v>1804</v>
      </c>
      <c r="L612" s="867" t="s">
        <v>1819</v>
      </c>
      <c r="M612" s="867" t="s">
        <v>2754</v>
      </c>
      <c r="N612" s="867" t="s">
        <v>3904</v>
      </c>
      <c r="O612" s="873" t="s">
        <v>4039</v>
      </c>
      <c r="P612" s="874">
        <v>20</v>
      </c>
      <c r="Q612" s="874">
        <v>0</v>
      </c>
      <c r="R612" s="875">
        <v>0</v>
      </c>
      <c r="S612" s="876">
        <v>20</v>
      </c>
      <c r="T612" s="876">
        <v>0</v>
      </c>
      <c r="U612" s="877">
        <v>0</v>
      </c>
      <c r="W612" s="877">
        <v>0</v>
      </c>
    </row>
    <row r="613" spans="1:23" ht="36" x14ac:dyDescent="0.2">
      <c r="A613" s="865" t="s">
        <v>2751</v>
      </c>
      <c r="B613" s="866">
        <v>42024471</v>
      </c>
      <c r="C613" s="866" t="s">
        <v>3860</v>
      </c>
      <c r="D613" s="867" t="s">
        <v>2788</v>
      </c>
      <c r="E613" s="868">
        <v>45419</v>
      </c>
      <c r="F613" s="868">
        <v>45511</v>
      </c>
      <c r="G613" s="867" t="s">
        <v>1758</v>
      </c>
      <c r="H613" s="867" t="s">
        <v>1759</v>
      </c>
      <c r="I613" s="867" t="s">
        <v>1817</v>
      </c>
      <c r="J613" s="867" t="s">
        <v>2789</v>
      </c>
      <c r="K613" s="867" t="s">
        <v>1804</v>
      </c>
      <c r="L613" s="867" t="s">
        <v>1819</v>
      </c>
      <c r="M613" s="867" t="s">
        <v>2754</v>
      </c>
      <c r="N613" s="867" t="s">
        <v>3904</v>
      </c>
      <c r="O613" s="867" t="s">
        <v>4039</v>
      </c>
      <c r="P613" s="869">
        <v>20</v>
      </c>
      <c r="Q613" s="869">
        <v>0</v>
      </c>
      <c r="R613" s="870">
        <v>0</v>
      </c>
      <c r="S613" s="871">
        <v>20</v>
      </c>
      <c r="T613" s="871">
        <v>0</v>
      </c>
      <c r="U613" s="872">
        <v>0</v>
      </c>
      <c r="W613" s="872">
        <v>0</v>
      </c>
    </row>
    <row r="614" spans="1:23" ht="36" x14ac:dyDescent="0.2">
      <c r="A614" s="865" t="s">
        <v>2751</v>
      </c>
      <c r="B614" s="866">
        <v>42024471</v>
      </c>
      <c r="C614" s="866" t="s">
        <v>3860</v>
      </c>
      <c r="D614" s="867" t="s">
        <v>2790</v>
      </c>
      <c r="E614" s="868">
        <v>45436</v>
      </c>
      <c r="F614" s="868">
        <v>45657</v>
      </c>
      <c r="G614" s="867" t="s">
        <v>1758</v>
      </c>
      <c r="H614" s="867" t="s">
        <v>1759</v>
      </c>
      <c r="I614" s="867" t="s">
        <v>1823</v>
      </c>
      <c r="J614" s="867" t="s">
        <v>2791</v>
      </c>
      <c r="K614" s="867" t="s">
        <v>1804</v>
      </c>
      <c r="L614" s="867" t="s">
        <v>1819</v>
      </c>
      <c r="M614" s="867" t="s">
        <v>2754</v>
      </c>
      <c r="N614" s="867" t="s">
        <v>3904</v>
      </c>
      <c r="O614" s="873" t="s">
        <v>4039</v>
      </c>
      <c r="P614" s="874">
        <v>6</v>
      </c>
      <c r="Q614" s="874">
        <v>6</v>
      </c>
      <c r="R614" s="875">
        <v>1</v>
      </c>
      <c r="S614" s="876">
        <v>6</v>
      </c>
      <c r="T614" s="876">
        <v>6</v>
      </c>
      <c r="U614" s="877">
        <v>1</v>
      </c>
      <c r="W614" s="877">
        <v>1</v>
      </c>
    </row>
    <row r="615" spans="1:23" ht="48" x14ac:dyDescent="0.2">
      <c r="A615" s="865" t="s">
        <v>2751</v>
      </c>
      <c r="B615" s="866">
        <v>42024471</v>
      </c>
      <c r="C615" s="866" t="s">
        <v>3860</v>
      </c>
      <c r="D615" s="867" t="s">
        <v>2792</v>
      </c>
      <c r="E615" s="868">
        <v>45545.29482638889</v>
      </c>
      <c r="F615" s="868">
        <v>45837.916655092595</v>
      </c>
      <c r="G615" s="867" t="s">
        <v>1758</v>
      </c>
      <c r="H615" s="867" t="s">
        <v>1759</v>
      </c>
      <c r="I615" s="867" t="s">
        <v>1760</v>
      </c>
      <c r="J615" s="867" t="s">
        <v>2793</v>
      </c>
      <c r="K615" s="867" t="s">
        <v>1804</v>
      </c>
      <c r="L615" s="867" t="s">
        <v>1805</v>
      </c>
      <c r="M615" s="867" t="s">
        <v>2754</v>
      </c>
      <c r="N615" s="867" t="s">
        <v>3904</v>
      </c>
      <c r="O615" s="867" t="s">
        <v>4039</v>
      </c>
      <c r="P615" s="869">
        <v>11</v>
      </c>
      <c r="Q615" s="869">
        <v>11</v>
      </c>
      <c r="R615" s="870">
        <v>0</v>
      </c>
      <c r="S615" s="871">
        <v>11</v>
      </c>
      <c r="T615" s="871">
        <v>11</v>
      </c>
      <c r="U615" s="872">
        <v>0</v>
      </c>
      <c r="W615" s="872">
        <v>0</v>
      </c>
    </row>
    <row r="616" spans="1:23" ht="24" x14ac:dyDescent="0.2">
      <c r="A616" s="865" t="s">
        <v>2751</v>
      </c>
      <c r="B616" s="866">
        <v>42024471</v>
      </c>
      <c r="C616" s="866" t="s">
        <v>3860</v>
      </c>
      <c r="D616" s="867" t="s">
        <v>2794</v>
      </c>
      <c r="E616" s="868">
        <v>45545.284699074073</v>
      </c>
      <c r="F616" s="868">
        <v>45837.916655092595</v>
      </c>
      <c r="G616" s="867" t="s">
        <v>1758</v>
      </c>
      <c r="H616" s="867" t="s">
        <v>1759</v>
      </c>
      <c r="I616" s="867" t="s">
        <v>1761</v>
      </c>
      <c r="J616" s="867" t="s">
        <v>2795</v>
      </c>
      <c r="K616" s="867" t="s">
        <v>1804</v>
      </c>
      <c r="L616" s="867" t="s">
        <v>1828</v>
      </c>
      <c r="M616" s="867" t="s">
        <v>2754</v>
      </c>
      <c r="N616" s="867" t="s">
        <v>3904</v>
      </c>
      <c r="O616" s="873" t="s">
        <v>4039</v>
      </c>
      <c r="P616" s="874">
        <v>10</v>
      </c>
      <c r="Q616" s="874">
        <v>10</v>
      </c>
      <c r="R616" s="875">
        <v>0</v>
      </c>
      <c r="S616" s="876">
        <v>10</v>
      </c>
      <c r="T616" s="876">
        <v>10</v>
      </c>
      <c r="U616" s="877">
        <v>0</v>
      </c>
      <c r="W616" s="877">
        <v>0</v>
      </c>
    </row>
    <row r="617" spans="1:23" ht="24" x14ac:dyDescent="0.2">
      <c r="A617" s="865" t="s">
        <v>2751</v>
      </c>
      <c r="B617" s="866">
        <v>42024471</v>
      </c>
      <c r="C617" s="866" t="s">
        <v>3860</v>
      </c>
      <c r="D617" s="867" t="s">
        <v>2796</v>
      </c>
      <c r="E617" s="868">
        <v>45552.257974537039</v>
      </c>
      <c r="F617" s="868">
        <v>45837.916655092595</v>
      </c>
      <c r="G617" s="867" t="s">
        <v>1758</v>
      </c>
      <c r="H617" s="867" t="s">
        <v>1759</v>
      </c>
      <c r="I617" s="867" t="s">
        <v>1761</v>
      </c>
      <c r="J617" s="867" t="s">
        <v>2797</v>
      </c>
      <c r="K617" s="867" t="s">
        <v>1804</v>
      </c>
      <c r="L617" s="867" t="s">
        <v>1828</v>
      </c>
      <c r="M617" s="867" t="s">
        <v>2757</v>
      </c>
      <c r="N617" s="867" t="s">
        <v>3985</v>
      </c>
      <c r="O617" s="867" t="s">
        <v>4040</v>
      </c>
      <c r="P617" s="869">
        <v>10</v>
      </c>
      <c r="Q617" s="869">
        <v>10</v>
      </c>
      <c r="R617" s="870">
        <v>6</v>
      </c>
      <c r="S617" s="871">
        <v>10</v>
      </c>
      <c r="T617" s="871">
        <v>10</v>
      </c>
      <c r="U617" s="872">
        <v>6</v>
      </c>
      <c r="W617" s="872">
        <v>6</v>
      </c>
    </row>
    <row r="618" spans="1:23" x14ac:dyDescent="0.2">
      <c r="A618" s="865" t="s">
        <v>2751</v>
      </c>
      <c r="B618" s="866">
        <v>42024471</v>
      </c>
      <c r="C618" s="866" t="s">
        <v>3860</v>
      </c>
      <c r="D618" s="1438" t="s">
        <v>2798</v>
      </c>
      <c r="E618" s="1441">
        <v>45552.419340277775</v>
      </c>
      <c r="F618" s="1441">
        <v>45900.916655092595</v>
      </c>
      <c r="G618" s="1438" t="s">
        <v>1758</v>
      </c>
      <c r="H618" s="1438" t="s">
        <v>1759</v>
      </c>
      <c r="I618" s="1438" t="s">
        <v>1762</v>
      </c>
      <c r="J618" s="1438" t="s">
        <v>2799</v>
      </c>
      <c r="K618" s="1438" t="s">
        <v>1804</v>
      </c>
      <c r="L618" s="1438" t="s">
        <v>1828</v>
      </c>
      <c r="M618" s="867" t="s">
        <v>2767</v>
      </c>
      <c r="N618" s="867" t="s">
        <v>4043</v>
      </c>
      <c r="O618" s="873" t="s">
        <v>4044</v>
      </c>
      <c r="P618" s="874">
        <v>19</v>
      </c>
      <c r="Q618" s="874">
        <v>19</v>
      </c>
      <c r="R618" s="875">
        <v>0</v>
      </c>
      <c r="S618" s="876">
        <v>19</v>
      </c>
      <c r="T618" s="876">
        <v>19</v>
      </c>
      <c r="U618" s="877">
        <v>0</v>
      </c>
      <c r="W618" s="877">
        <v>0</v>
      </c>
    </row>
    <row r="619" spans="1:23" x14ac:dyDescent="0.2">
      <c r="A619" s="865" t="s">
        <v>2751</v>
      </c>
      <c r="B619" s="866">
        <v>42024471</v>
      </c>
      <c r="C619" s="866" t="s">
        <v>3860</v>
      </c>
      <c r="D619" s="1440"/>
      <c r="E619" s="1443"/>
      <c r="F619" s="1443"/>
      <c r="G619" s="1440"/>
      <c r="H619" s="1440"/>
      <c r="I619" s="1440"/>
      <c r="J619" s="1440"/>
      <c r="K619" s="1440"/>
      <c r="L619" s="1440"/>
      <c r="M619" s="867" t="s">
        <v>2754</v>
      </c>
      <c r="N619" s="867" t="s">
        <v>3904</v>
      </c>
      <c r="O619" s="867" t="s">
        <v>4039</v>
      </c>
      <c r="P619" s="869">
        <v>19</v>
      </c>
      <c r="Q619" s="869">
        <v>19</v>
      </c>
      <c r="R619" s="870">
        <v>0</v>
      </c>
      <c r="S619" s="871">
        <v>19</v>
      </c>
      <c r="T619" s="871">
        <v>19</v>
      </c>
      <c r="U619" s="872">
        <v>0</v>
      </c>
      <c r="W619" s="872">
        <v>0</v>
      </c>
    </row>
    <row r="620" spans="1:23" ht="24" x14ac:dyDescent="0.2">
      <c r="A620" s="865" t="s">
        <v>2751</v>
      </c>
      <c r="B620" s="866">
        <v>42024471</v>
      </c>
      <c r="C620" s="866" t="s">
        <v>3860</v>
      </c>
      <c r="D620" s="867" t="s">
        <v>2800</v>
      </c>
      <c r="E620" s="868">
        <v>45552.249722222223</v>
      </c>
      <c r="F620" s="868">
        <v>45837.916655092595</v>
      </c>
      <c r="G620" s="867" t="s">
        <v>1758</v>
      </c>
      <c r="H620" s="867" t="s">
        <v>1759</v>
      </c>
      <c r="I620" s="867" t="s">
        <v>1761</v>
      </c>
      <c r="J620" s="867" t="s">
        <v>2801</v>
      </c>
      <c r="K620" s="867" t="s">
        <v>1804</v>
      </c>
      <c r="L620" s="867" t="s">
        <v>1828</v>
      </c>
      <c r="M620" s="867" t="s">
        <v>2757</v>
      </c>
      <c r="N620" s="867" t="s">
        <v>3985</v>
      </c>
      <c r="O620" s="873" t="s">
        <v>4040</v>
      </c>
      <c r="P620" s="874">
        <v>10</v>
      </c>
      <c r="Q620" s="874">
        <v>10</v>
      </c>
      <c r="R620" s="875">
        <v>10</v>
      </c>
      <c r="S620" s="876">
        <v>10</v>
      </c>
      <c r="T620" s="876">
        <v>10</v>
      </c>
      <c r="U620" s="877">
        <v>10</v>
      </c>
      <c r="W620" s="877">
        <v>10</v>
      </c>
    </row>
    <row r="621" spans="1:23" ht="36" x14ac:dyDescent="0.2">
      <c r="A621" s="865" t="s">
        <v>2751</v>
      </c>
      <c r="B621" s="866">
        <v>42024471</v>
      </c>
      <c r="C621" s="866" t="s">
        <v>3860</v>
      </c>
      <c r="D621" s="867" t="s">
        <v>2802</v>
      </c>
      <c r="E621" s="868">
        <v>45565.321956018517</v>
      </c>
      <c r="F621" s="868">
        <v>45837.916655092595</v>
      </c>
      <c r="G621" s="867" t="s">
        <v>1758</v>
      </c>
      <c r="H621" s="867" t="s">
        <v>1759</v>
      </c>
      <c r="I621" s="867" t="s">
        <v>1762</v>
      </c>
      <c r="J621" s="867" t="s">
        <v>2803</v>
      </c>
      <c r="K621" s="867" t="s">
        <v>1804</v>
      </c>
      <c r="L621" s="867" t="s">
        <v>1828</v>
      </c>
      <c r="M621" s="867" t="s">
        <v>2754</v>
      </c>
      <c r="N621" s="867" t="s">
        <v>3904</v>
      </c>
      <c r="O621" s="867" t="s">
        <v>4039</v>
      </c>
      <c r="P621" s="869">
        <v>5</v>
      </c>
      <c r="Q621" s="869">
        <v>5</v>
      </c>
      <c r="R621" s="870">
        <v>0</v>
      </c>
      <c r="S621" s="871">
        <v>5</v>
      </c>
      <c r="T621" s="871">
        <v>5</v>
      </c>
      <c r="U621" s="872">
        <v>0</v>
      </c>
      <c r="W621" s="872">
        <v>0</v>
      </c>
    </row>
    <row r="622" spans="1:23" ht="24" x14ac:dyDescent="0.2">
      <c r="A622" s="865" t="s">
        <v>2751</v>
      </c>
      <c r="B622" s="866">
        <v>42024471</v>
      </c>
      <c r="C622" s="866" t="s">
        <v>3860</v>
      </c>
      <c r="D622" s="867" t="s">
        <v>2804</v>
      </c>
      <c r="E622" s="868">
        <v>45561.292858796296</v>
      </c>
      <c r="F622" s="868">
        <v>45802.916655092595</v>
      </c>
      <c r="G622" s="867" t="s">
        <v>1758</v>
      </c>
      <c r="H622" s="867" t="s">
        <v>1759</v>
      </c>
      <c r="I622" s="867" t="s">
        <v>1761</v>
      </c>
      <c r="J622" s="867" t="s">
        <v>2805</v>
      </c>
      <c r="K622" s="867" t="s">
        <v>1804</v>
      </c>
      <c r="L622" s="867" t="s">
        <v>1828</v>
      </c>
      <c r="M622" s="867" t="s">
        <v>2757</v>
      </c>
      <c r="N622" s="867" t="s">
        <v>3985</v>
      </c>
      <c r="O622" s="873" t="s">
        <v>4040</v>
      </c>
      <c r="P622" s="874">
        <v>8</v>
      </c>
      <c r="Q622" s="874">
        <v>8</v>
      </c>
      <c r="R622" s="875">
        <v>0</v>
      </c>
      <c r="S622" s="876">
        <v>8</v>
      </c>
      <c r="T622" s="876">
        <v>8</v>
      </c>
      <c r="U622" s="877">
        <v>0</v>
      </c>
      <c r="W622" s="877">
        <v>0</v>
      </c>
    </row>
    <row r="623" spans="1:23" ht="24" x14ac:dyDescent="0.2">
      <c r="A623" s="865" t="s">
        <v>2751</v>
      </c>
      <c r="B623" s="866">
        <v>42024471</v>
      </c>
      <c r="C623" s="866" t="s">
        <v>3860</v>
      </c>
      <c r="D623" s="867" t="s">
        <v>2806</v>
      </c>
      <c r="E623" s="868">
        <v>45583.489768518521</v>
      </c>
      <c r="F623" s="868">
        <v>45837.916655092595</v>
      </c>
      <c r="G623" s="867" t="s">
        <v>1758</v>
      </c>
      <c r="H623" s="867" t="s">
        <v>1759</v>
      </c>
      <c r="I623" s="867" t="s">
        <v>1761</v>
      </c>
      <c r="J623" s="867" t="s">
        <v>2807</v>
      </c>
      <c r="K623" s="867" t="s">
        <v>1804</v>
      </c>
      <c r="L623" s="867" t="s">
        <v>1828</v>
      </c>
      <c r="M623" s="867" t="s">
        <v>2754</v>
      </c>
      <c r="N623" s="867" t="s">
        <v>3904</v>
      </c>
      <c r="O623" s="867" t="s">
        <v>4039</v>
      </c>
      <c r="P623" s="869">
        <v>11</v>
      </c>
      <c r="Q623" s="869">
        <v>9</v>
      </c>
      <c r="R623" s="870">
        <v>0</v>
      </c>
      <c r="S623" s="871">
        <v>11</v>
      </c>
      <c r="T623" s="871">
        <v>9</v>
      </c>
      <c r="U623" s="872">
        <v>0</v>
      </c>
      <c r="W623" s="872">
        <v>0</v>
      </c>
    </row>
    <row r="624" spans="1:23" ht="36" x14ac:dyDescent="0.2">
      <c r="A624" s="865" t="s">
        <v>2751</v>
      </c>
      <c r="B624" s="866">
        <v>42024471</v>
      </c>
      <c r="C624" s="866" t="s">
        <v>3860</v>
      </c>
      <c r="D624" s="867" t="s">
        <v>2808</v>
      </c>
      <c r="E624" s="868">
        <v>45544.364791666667</v>
      </c>
      <c r="F624" s="868">
        <v>45837.916655092595</v>
      </c>
      <c r="G624" s="867" t="s">
        <v>1758</v>
      </c>
      <c r="H624" s="867" t="s">
        <v>1759</v>
      </c>
      <c r="I624" s="867" t="s">
        <v>1762</v>
      </c>
      <c r="J624" s="867" t="s">
        <v>2809</v>
      </c>
      <c r="K624" s="867" t="s">
        <v>1804</v>
      </c>
      <c r="L624" s="867" t="s">
        <v>1828</v>
      </c>
      <c r="M624" s="867" t="s">
        <v>2754</v>
      </c>
      <c r="N624" s="867" t="s">
        <v>3904</v>
      </c>
      <c r="O624" s="873" t="s">
        <v>4039</v>
      </c>
      <c r="P624" s="874">
        <v>11</v>
      </c>
      <c r="Q624" s="874">
        <v>9</v>
      </c>
      <c r="R624" s="875">
        <v>0</v>
      </c>
      <c r="S624" s="876">
        <v>11</v>
      </c>
      <c r="T624" s="876">
        <v>9</v>
      </c>
      <c r="U624" s="877">
        <v>0</v>
      </c>
      <c r="W624" s="877">
        <v>0</v>
      </c>
    </row>
    <row r="625" spans="1:23" ht="24" x14ac:dyDescent="0.2">
      <c r="A625" s="865" t="s">
        <v>2751</v>
      </c>
      <c r="B625" s="866">
        <v>42024471</v>
      </c>
      <c r="C625" s="866" t="s">
        <v>3860</v>
      </c>
      <c r="D625" s="867" t="s">
        <v>2810</v>
      </c>
      <c r="E625" s="868">
        <v>45543.468680555554</v>
      </c>
      <c r="F625" s="868">
        <v>45837.916655092595</v>
      </c>
      <c r="G625" s="867" t="s">
        <v>1758</v>
      </c>
      <c r="H625" s="867" t="s">
        <v>1759</v>
      </c>
      <c r="I625" s="867" t="s">
        <v>1761</v>
      </c>
      <c r="J625" s="867" t="s">
        <v>2811</v>
      </c>
      <c r="K625" s="867" t="s">
        <v>1804</v>
      </c>
      <c r="L625" s="867" t="s">
        <v>1828</v>
      </c>
      <c r="M625" s="867" t="s">
        <v>2754</v>
      </c>
      <c r="N625" s="867" t="s">
        <v>3904</v>
      </c>
      <c r="O625" s="867" t="s">
        <v>4039</v>
      </c>
      <c r="P625" s="869">
        <v>11</v>
      </c>
      <c r="Q625" s="869">
        <v>11</v>
      </c>
      <c r="R625" s="870">
        <v>7</v>
      </c>
      <c r="S625" s="871">
        <v>11</v>
      </c>
      <c r="T625" s="871">
        <v>11</v>
      </c>
      <c r="U625" s="872">
        <v>7</v>
      </c>
      <c r="W625" s="872">
        <v>7</v>
      </c>
    </row>
    <row r="626" spans="1:23" x14ac:dyDescent="0.2">
      <c r="A626" s="865" t="s">
        <v>2751</v>
      </c>
      <c r="B626" s="866">
        <v>42024471</v>
      </c>
      <c r="C626" s="866" t="s">
        <v>3860</v>
      </c>
      <c r="D626" s="1438" t="s">
        <v>2812</v>
      </c>
      <c r="E626" s="1441">
        <v>45546.305787037039</v>
      </c>
      <c r="F626" s="1441">
        <v>45837.916655092595</v>
      </c>
      <c r="G626" s="1438" t="s">
        <v>1758</v>
      </c>
      <c r="H626" s="1438" t="s">
        <v>1759</v>
      </c>
      <c r="I626" s="1438" t="s">
        <v>1761</v>
      </c>
      <c r="J626" s="1438" t="s">
        <v>2813</v>
      </c>
      <c r="K626" s="1438" t="s">
        <v>1804</v>
      </c>
      <c r="L626" s="1438" t="s">
        <v>1828</v>
      </c>
      <c r="M626" s="867" t="s">
        <v>2767</v>
      </c>
      <c r="N626" s="867" t="s">
        <v>4043</v>
      </c>
      <c r="O626" s="873" t="s">
        <v>4044</v>
      </c>
      <c r="P626" s="874">
        <v>10</v>
      </c>
      <c r="Q626" s="874">
        <v>10</v>
      </c>
      <c r="R626" s="875">
        <v>1</v>
      </c>
      <c r="S626" s="876">
        <v>10</v>
      </c>
      <c r="T626" s="876">
        <v>10</v>
      </c>
      <c r="U626" s="877">
        <v>1</v>
      </c>
      <c r="W626" s="877">
        <v>1</v>
      </c>
    </row>
    <row r="627" spans="1:23" x14ac:dyDescent="0.2">
      <c r="A627" s="865" t="s">
        <v>2751</v>
      </c>
      <c r="B627" s="866">
        <v>42024471</v>
      </c>
      <c r="C627" s="866" t="s">
        <v>3860</v>
      </c>
      <c r="D627" s="1440"/>
      <c r="E627" s="1443"/>
      <c r="F627" s="1443"/>
      <c r="G627" s="1440"/>
      <c r="H627" s="1440"/>
      <c r="I627" s="1440"/>
      <c r="J627" s="1440"/>
      <c r="K627" s="1440"/>
      <c r="L627" s="1440"/>
      <c r="M627" s="867" t="s">
        <v>2754</v>
      </c>
      <c r="N627" s="867" t="s">
        <v>3904</v>
      </c>
      <c r="O627" s="867" t="s">
        <v>4039</v>
      </c>
      <c r="P627" s="869">
        <v>10</v>
      </c>
      <c r="Q627" s="869">
        <v>10</v>
      </c>
      <c r="R627" s="870">
        <v>1</v>
      </c>
      <c r="S627" s="871">
        <v>10</v>
      </c>
      <c r="T627" s="871">
        <v>10</v>
      </c>
      <c r="U627" s="872">
        <v>1</v>
      </c>
      <c r="W627" s="872">
        <v>1</v>
      </c>
    </row>
    <row r="628" spans="1:23" ht="36" x14ac:dyDescent="0.2">
      <c r="A628" s="865" t="s">
        <v>2751</v>
      </c>
      <c r="B628" s="866">
        <v>42024471</v>
      </c>
      <c r="C628" s="866" t="s">
        <v>3860</v>
      </c>
      <c r="D628" s="867" t="s">
        <v>2814</v>
      </c>
      <c r="E628" s="868">
        <v>45552.270775462966</v>
      </c>
      <c r="F628" s="868">
        <v>45837.916655092595</v>
      </c>
      <c r="G628" s="867" t="s">
        <v>1758</v>
      </c>
      <c r="H628" s="867" t="s">
        <v>1759</v>
      </c>
      <c r="I628" s="867" t="s">
        <v>1762</v>
      </c>
      <c r="J628" s="867" t="s">
        <v>2815</v>
      </c>
      <c r="K628" s="867" t="s">
        <v>1804</v>
      </c>
      <c r="L628" s="867" t="s">
        <v>1828</v>
      </c>
      <c r="M628" s="867" t="s">
        <v>2754</v>
      </c>
      <c r="N628" s="867" t="s">
        <v>3904</v>
      </c>
      <c r="O628" s="873" t="s">
        <v>4039</v>
      </c>
      <c r="P628" s="874">
        <v>11</v>
      </c>
      <c r="Q628" s="874">
        <v>11</v>
      </c>
      <c r="R628" s="875">
        <v>0</v>
      </c>
      <c r="S628" s="876">
        <v>11</v>
      </c>
      <c r="T628" s="876">
        <v>11</v>
      </c>
      <c r="U628" s="877">
        <v>0</v>
      </c>
      <c r="W628" s="877">
        <v>0</v>
      </c>
    </row>
    <row r="629" spans="1:23" x14ac:dyDescent="0.2">
      <c r="A629" s="865" t="s">
        <v>2751</v>
      </c>
      <c r="B629" s="866">
        <v>42024471</v>
      </c>
      <c r="C629" s="866" t="s">
        <v>3860</v>
      </c>
      <c r="D629" s="1438" t="s">
        <v>2816</v>
      </c>
      <c r="E629" s="1441">
        <v>45552.415451388886</v>
      </c>
      <c r="F629" s="1441">
        <v>45900.916655092595</v>
      </c>
      <c r="G629" s="1438" t="s">
        <v>1758</v>
      </c>
      <c r="H629" s="1438" t="s">
        <v>1759</v>
      </c>
      <c r="I629" s="1438" t="s">
        <v>1761</v>
      </c>
      <c r="J629" s="1438" t="s">
        <v>2817</v>
      </c>
      <c r="K629" s="1438" t="s">
        <v>1804</v>
      </c>
      <c r="L629" s="1438" t="s">
        <v>1828</v>
      </c>
      <c r="M629" s="867" t="s">
        <v>2767</v>
      </c>
      <c r="N629" s="867" t="s">
        <v>4043</v>
      </c>
      <c r="O629" s="867" t="s">
        <v>4044</v>
      </c>
      <c r="P629" s="869">
        <v>20</v>
      </c>
      <c r="Q629" s="869">
        <v>20</v>
      </c>
      <c r="R629" s="870">
        <v>1</v>
      </c>
      <c r="S629" s="871">
        <v>20</v>
      </c>
      <c r="T629" s="871">
        <v>20</v>
      </c>
      <c r="U629" s="872">
        <v>1</v>
      </c>
      <c r="W629" s="872">
        <v>1</v>
      </c>
    </row>
    <row r="630" spans="1:23" x14ac:dyDescent="0.2">
      <c r="A630" s="865" t="s">
        <v>2751</v>
      </c>
      <c r="B630" s="866">
        <v>42024471</v>
      </c>
      <c r="C630" s="866" t="s">
        <v>3860</v>
      </c>
      <c r="D630" s="1440"/>
      <c r="E630" s="1443"/>
      <c r="F630" s="1443"/>
      <c r="G630" s="1440"/>
      <c r="H630" s="1440"/>
      <c r="I630" s="1440"/>
      <c r="J630" s="1440"/>
      <c r="K630" s="1440"/>
      <c r="L630" s="1440"/>
      <c r="M630" s="867" t="s">
        <v>2754</v>
      </c>
      <c r="N630" s="867" t="s">
        <v>3904</v>
      </c>
      <c r="O630" s="873" t="s">
        <v>4039</v>
      </c>
      <c r="P630" s="874">
        <v>20</v>
      </c>
      <c r="Q630" s="874">
        <v>20</v>
      </c>
      <c r="R630" s="875">
        <v>1</v>
      </c>
      <c r="S630" s="876">
        <v>20</v>
      </c>
      <c r="T630" s="876">
        <v>20</v>
      </c>
      <c r="U630" s="877">
        <v>1</v>
      </c>
      <c r="W630" s="877">
        <v>1</v>
      </c>
    </row>
    <row r="631" spans="1:23" ht="36" x14ac:dyDescent="0.2">
      <c r="A631" s="865" t="s">
        <v>2751</v>
      </c>
      <c r="B631" s="866">
        <v>42024471</v>
      </c>
      <c r="C631" s="866" t="s">
        <v>3860</v>
      </c>
      <c r="D631" s="867" t="s">
        <v>2818</v>
      </c>
      <c r="E631" s="868">
        <v>45546.283125000002</v>
      </c>
      <c r="F631" s="868">
        <v>45837.916655092595</v>
      </c>
      <c r="G631" s="867" t="s">
        <v>1758</v>
      </c>
      <c r="H631" s="867" t="s">
        <v>1759</v>
      </c>
      <c r="I631" s="867" t="s">
        <v>1762</v>
      </c>
      <c r="J631" s="867" t="s">
        <v>2819</v>
      </c>
      <c r="K631" s="867" t="s">
        <v>1804</v>
      </c>
      <c r="L631" s="867" t="s">
        <v>1828</v>
      </c>
      <c r="M631" s="867" t="s">
        <v>2754</v>
      </c>
      <c r="N631" s="867" t="s">
        <v>3904</v>
      </c>
      <c r="O631" s="867" t="s">
        <v>4039</v>
      </c>
      <c r="P631" s="869">
        <v>10</v>
      </c>
      <c r="Q631" s="869">
        <v>10</v>
      </c>
      <c r="R631" s="870">
        <v>10</v>
      </c>
      <c r="S631" s="871">
        <v>10</v>
      </c>
      <c r="T631" s="871">
        <v>10</v>
      </c>
      <c r="U631" s="872">
        <v>10</v>
      </c>
      <c r="W631" s="872">
        <v>10</v>
      </c>
    </row>
    <row r="632" spans="1:23" ht="36" x14ac:dyDescent="0.2">
      <c r="A632" s="865" t="s">
        <v>2751</v>
      </c>
      <c r="B632" s="866">
        <v>42024471</v>
      </c>
      <c r="C632" s="866" t="s">
        <v>3860</v>
      </c>
      <c r="D632" s="867" t="s">
        <v>2820</v>
      </c>
      <c r="E632" s="868">
        <v>45548.300509259258</v>
      </c>
      <c r="F632" s="868">
        <v>45837.916655092595</v>
      </c>
      <c r="G632" s="867" t="s">
        <v>1777</v>
      </c>
      <c r="H632" s="867" t="s">
        <v>1782</v>
      </c>
      <c r="I632" s="867" t="s">
        <v>1783</v>
      </c>
      <c r="J632" s="867" t="s">
        <v>2821</v>
      </c>
      <c r="K632" s="867" t="s">
        <v>1804</v>
      </c>
      <c r="L632" s="867" t="s">
        <v>1805</v>
      </c>
      <c r="M632" s="867" t="s">
        <v>2754</v>
      </c>
      <c r="N632" s="867" t="s">
        <v>3904</v>
      </c>
      <c r="O632" s="873" t="s">
        <v>4039</v>
      </c>
      <c r="P632" s="874">
        <v>10</v>
      </c>
      <c r="Q632" s="874">
        <v>10</v>
      </c>
      <c r="R632" s="875">
        <v>0</v>
      </c>
      <c r="S632" s="876">
        <v>10</v>
      </c>
      <c r="T632" s="876">
        <v>10</v>
      </c>
      <c r="U632" s="877">
        <v>0</v>
      </c>
      <c r="W632" s="877">
        <v>0</v>
      </c>
    </row>
    <row r="633" spans="1:23" ht="36" x14ac:dyDescent="0.2">
      <c r="A633" s="865" t="s">
        <v>2751</v>
      </c>
      <c r="B633" s="866">
        <v>42024471</v>
      </c>
      <c r="C633" s="866" t="s">
        <v>3860</v>
      </c>
      <c r="D633" s="867" t="s">
        <v>2822</v>
      </c>
      <c r="E633" s="868">
        <v>45551.258460648147</v>
      </c>
      <c r="F633" s="868">
        <v>45837.916655092595</v>
      </c>
      <c r="G633" s="867" t="s">
        <v>1777</v>
      </c>
      <c r="H633" s="867" t="s">
        <v>1782</v>
      </c>
      <c r="I633" s="867" t="s">
        <v>1783</v>
      </c>
      <c r="J633" s="867" t="s">
        <v>2823</v>
      </c>
      <c r="K633" s="867" t="s">
        <v>1804</v>
      </c>
      <c r="L633" s="867" t="s">
        <v>1805</v>
      </c>
      <c r="M633" s="867" t="s">
        <v>2754</v>
      </c>
      <c r="N633" s="867" t="s">
        <v>3904</v>
      </c>
      <c r="O633" s="867" t="s">
        <v>4039</v>
      </c>
      <c r="P633" s="869">
        <v>9</v>
      </c>
      <c r="Q633" s="869">
        <v>9</v>
      </c>
      <c r="R633" s="870">
        <v>0</v>
      </c>
      <c r="S633" s="871">
        <v>9</v>
      </c>
      <c r="T633" s="871">
        <v>9</v>
      </c>
      <c r="U633" s="872">
        <v>0</v>
      </c>
      <c r="W633" s="872">
        <v>0</v>
      </c>
    </row>
    <row r="634" spans="1:23" ht="24" x14ac:dyDescent="0.2">
      <c r="A634" s="865" t="s">
        <v>2751</v>
      </c>
      <c r="B634" s="866">
        <v>42024471</v>
      </c>
      <c r="C634" s="866" t="s">
        <v>3860</v>
      </c>
      <c r="D634" s="867" t="s">
        <v>2824</v>
      </c>
      <c r="E634" s="868">
        <v>45565.320567129631</v>
      </c>
      <c r="F634" s="868">
        <v>45837.916655092595</v>
      </c>
      <c r="G634" s="867" t="s">
        <v>1758</v>
      </c>
      <c r="H634" s="867" t="s">
        <v>1759</v>
      </c>
      <c r="I634" s="867" t="s">
        <v>1761</v>
      </c>
      <c r="J634" s="867" t="s">
        <v>2825</v>
      </c>
      <c r="K634" s="867" t="s">
        <v>1804</v>
      </c>
      <c r="L634" s="867" t="s">
        <v>1828</v>
      </c>
      <c r="M634" s="867" t="s">
        <v>2754</v>
      </c>
      <c r="N634" s="867" t="s">
        <v>3904</v>
      </c>
      <c r="O634" s="873" t="s">
        <v>4039</v>
      </c>
      <c r="P634" s="874">
        <v>6</v>
      </c>
      <c r="Q634" s="874">
        <v>6</v>
      </c>
      <c r="R634" s="875">
        <v>0</v>
      </c>
      <c r="S634" s="876">
        <v>6</v>
      </c>
      <c r="T634" s="876">
        <v>6</v>
      </c>
      <c r="U634" s="877">
        <v>0</v>
      </c>
      <c r="W634" s="877">
        <v>0</v>
      </c>
    </row>
    <row r="635" spans="1:23" ht="24" x14ac:dyDescent="0.2">
      <c r="A635" s="865" t="s">
        <v>2751</v>
      </c>
      <c r="B635" s="866">
        <v>42024471</v>
      </c>
      <c r="C635" s="866" t="s">
        <v>3860</v>
      </c>
      <c r="D635" s="867" t="s">
        <v>2826</v>
      </c>
      <c r="E635" s="868">
        <v>45548.304560185185</v>
      </c>
      <c r="F635" s="868">
        <v>45837.916655092595</v>
      </c>
      <c r="G635" s="867" t="s">
        <v>1777</v>
      </c>
      <c r="H635" s="867" t="s">
        <v>1784</v>
      </c>
      <c r="I635" s="867" t="s">
        <v>1786</v>
      </c>
      <c r="J635" s="867" t="s">
        <v>2827</v>
      </c>
      <c r="K635" s="867" t="s">
        <v>1804</v>
      </c>
      <c r="L635" s="867" t="s">
        <v>1805</v>
      </c>
      <c r="M635" s="867" t="s">
        <v>2754</v>
      </c>
      <c r="N635" s="867" t="s">
        <v>3904</v>
      </c>
      <c r="O635" s="867" t="s">
        <v>4039</v>
      </c>
      <c r="P635" s="869">
        <v>14</v>
      </c>
      <c r="Q635" s="869">
        <v>14</v>
      </c>
      <c r="R635" s="870">
        <v>0</v>
      </c>
      <c r="S635" s="871">
        <v>14</v>
      </c>
      <c r="T635" s="871">
        <v>14</v>
      </c>
      <c r="U635" s="872">
        <v>0</v>
      </c>
      <c r="W635" s="872">
        <v>0</v>
      </c>
    </row>
    <row r="636" spans="1:23" x14ac:dyDescent="0.2">
      <c r="A636" s="865" t="s">
        <v>2751</v>
      </c>
      <c r="B636" s="866">
        <v>42024471</v>
      </c>
      <c r="C636" s="866" t="s">
        <v>3860</v>
      </c>
      <c r="D636" s="1438" t="s">
        <v>2828</v>
      </c>
      <c r="E636" s="1441">
        <v>45625.38958333333</v>
      </c>
      <c r="F636" s="1441">
        <v>45901.916655092595</v>
      </c>
      <c r="G636" s="1438" t="s">
        <v>1758</v>
      </c>
      <c r="H636" s="1438" t="s">
        <v>1759</v>
      </c>
      <c r="I636" s="1438" t="s">
        <v>1761</v>
      </c>
      <c r="J636" s="1438" t="s">
        <v>2829</v>
      </c>
      <c r="K636" s="1438" t="s">
        <v>1804</v>
      </c>
      <c r="L636" s="1438" t="s">
        <v>1828</v>
      </c>
      <c r="M636" s="867" t="s">
        <v>2830</v>
      </c>
      <c r="N636" s="867" t="s">
        <v>3877</v>
      </c>
      <c r="O636" s="873" t="s">
        <v>4045</v>
      </c>
      <c r="P636" s="874">
        <v>10</v>
      </c>
      <c r="Q636" s="874">
        <v>10</v>
      </c>
      <c r="R636" s="875">
        <v>0</v>
      </c>
      <c r="S636" s="876">
        <v>10</v>
      </c>
      <c r="T636" s="876">
        <v>10</v>
      </c>
      <c r="U636" s="877">
        <v>0</v>
      </c>
      <c r="W636" s="877">
        <v>0</v>
      </c>
    </row>
    <row r="637" spans="1:23" x14ac:dyDescent="0.2">
      <c r="A637" s="865" t="s">
        <v>2751</v>
      </c>
      <c r="B637" s="866">
        <v>42024471</v>
      </c>
      <c r="C637" s="866" t="s">
        <v>3860</v>
      </c>
      <c r="D637" s="1439"/>
      <c r="E637" s="1442"/>
      <c r="F637" s="1442"/>
      <c r="G637" s="1439"/>
      <c r="H637" s="1439"/>
      <c r="I637" s="1439"/>
      <c r="J637" s="1439"/>
      <c r="K637" s="1439"/>
      <c r="L637" s="1439"/>
      <c r="M637" s="867" t="s">
        <v>2767</v>
      </c>
      <c r="N637" s="867" t="s">
        <v>4043</v>
      </c>
      <c r="O637" s="867" t="s">
        <v>4044</v>
      </c>
      <c r="P637" s="869">
        <v>10</v>
      </c>
      <c r="Q637" s="869">
        <v>10</v>
      </c>
      <c r="R637" s="870">
        <v>0</v>
      </c>
      <c r="S637" s="871">
        <v>10</v>
      </c>
      <c r="T637" s="871">
        <v>10</v>
      </c>
      <c r="U637" s="872">
        <v>0</v>
      </c>
      <c r="W637" s="872">
        <v>0</v>
      </c>
    </row>
    <row r="638" spans="1:23" x14ac:dyDescent="0.2">
      <c r="A638" s="865" t="s">
        <v>2751</v>
      </c>
      <c r="B638" s="866">
        <v>42024471</v>
      </c>
      <c r="C638" s="866" t="s">
        <v>3860</v>
      </c>
      <c r="D638" s="1440"/>
      <c r="E638" s="1443"/>
      <c r="F638" s="1443"/>
      <c r="G638" s="1440"/>
      <c r="H638" s="1440"/>
      <c r="I638" s="1440"/>
      <c r="J638" s="1440"/>
      <c r="K638" s="1440"/>
      <c r="L638" s="1440"/>
      <c r="M638" s="867" t="s">
        <v>2754</v>
      </c>
      <c r="N638" s="867" t="s">
        <v>3904</v>
      </c>
      <c r="O638" s="873" t="s">
        <v>4039</v>
      </c>
      <c r="P638" s="874">
        <v>10</v>
      </c>
      <c r="Q638" s="874">
        <v>10</v>
      </c>
      <c r="R638" s="875">
        <v>0</v>
      </c>
      <c r="S638" s="876">
        <v>10</v>
      </c>
      <c r="T638" s="876">
        <v>10</v>
      </c>
      <c r="U638" s="877">
        <v>0</v>
      </c>
      <c r="W638" s="877">
        <v>0</v>
      </c>
    </row>
    <row r="639" spans="1:23" ht="24" x14ac:dyDescent="0.2">
      <c r="A639" s="865" t="s">
        <v>2751</v>
      </c>
      <c r="B639" s="866">
        <v>42024471</v>
      </c>
      <c r="C639" s="866" t="s">
        <v>3860</v>
      </c>
      <c r="D639" s="867" t="s">
        <v>2831</v>
      </c>
      <c r="E639" s="868">
        <v>45603.520590277774</v>
      </c>
      <c r="F639" s="868">
        <v>45837.916655092595</v>
      </c>
      <c r="G639" s="867" t="s">
        <v>1777</v>
      </c>
      <c r="H639" s="867" t="s">
        <v>1784</v>
      </c>
      <c r="I639" s="867" t="s">
        <v>1786</v>
      </c>
      <c r="J639" s="867" t="s">
        <v>2832</v>
      </c>
      <c r="K639" s="867" t="s">
        <v>1804</v>
      </c>
      <c r="L639" s="867" t="s">
        <v>1805</v>
      </c>
      <c r="M639" s="867" t="s">
        <v>2754</v>
      </c>
      <c r="N639" s="867" t="s">
        <v>3904</v>
      </c>
      <c r="O639" s="867" t="s">
        <v>4039</v>
      </c>
      <c r="P639" s="869">
        <v>24</v>
      </c>
      <c r="Q639" s="869">
        <v>22</v>
      </c>
      <c r="R639" s="870">
        <v>0</v>
      </c>
      <c r="S639" s="871">
        <v>24</v>
      </c>
      <c r="T639" s="871">
        <v>22</v>
      </c>
      <c r="U639" s="872">
        <v>0</v>
      </c>
      <c r="W639" s="872">
        <v>0</v>
      </c>
    </row>
    <row r="640" spans="1:23" ht="36" x14ac:dyDescent="0.2">
      <c r="A640" s="865" t="s">
        <v>2751</v>
      </c>
      <c r="B640" s="866">
        <v>42024471</v>
      </c>
      <c r="C640" s="866" t="s">
        <v>3860</v>
      </c>
      <c r="D640" s="867" t="s">
        <v>2833</v>
      </c>
      <c r="E640" s="868">
        <v>45551.342650462961</v>
      </c>
      <c r="F640" s="868">
        <v>45838.916655092595</v>
      </c>
      <c r="G640" s="867" t="s">
        <v>1777</v>
      </c>
      <c r="H640" s="867" t="s">
        <v>1782</v>
      </c>
      <c r="I640" s="867" t="s">
        <v>1783</v>
      </c>
      <c r="J640" s="867" t="s">
        <v>1783</v>
      </c>
      <c r="K640" s="867" t="s">
        <v>1804</v>
      </c>
      <c r="L640" s="867" t="s">
        <v>1805</v>
      </c>
      <c r="M640" s="867" t="s">
        <v>2761</v>
      </c>
      <c r="N640" s="867" t="s">
        <v>4041</v>
      </c>
      <c r="O640" s="873" t="s">
        <v>4042</v>
      </c>
      <c r="P640" s="874">
        <v>11</v>
      </c>
      <c r="Q640" s="874">
        <v>8</v>
      </c>
      <c r="R640" s="875">
        <v>0</v>
      </c>
      <c r="S640" s="876">
        <v>11</v>
      </c>
      <c r="T640" s="876">
        <v>8</v>
      </c>
      <c r="U640" s="877">
        <v>0</v>
      </c>
      <c r="W640" s="877">
        <v>0</v>
      </c>
    </row>
    <row r="641" spans="1:23" ht="36" x14ac:dyDescent="0.2">
      <c r="A641" s="865" t="s">
        <v>2751</v>
      </c>
      <c r="B641" s="866">
        <v>42024471</v>
      </c>
      <c r="C641" s="866" t="s">
        <v>3860</v>
      </c>
      <c r="D641" s="867" t="s">
        <v>2834</v>
      </c>
      <c r="E641" s="868">
        <v>45547.269942129627</v>
      </c>
      <c r="F641" s="868">
        <v>45837.916655092595</v>
      </c>
      <c r="G641" s="867" t="s">
        <v>1758</v>
      </c>
      <c r="H641" s="867" t="s">
        <v>1759</v>
      </c>
      <c r="I641" s="867" t="s">
        <v>1762</v>
      </c>
      <c r="J641" s="867" t="s">
        <v>2835</v>
      </c>
      <c r="K641" s="867" t="s">
        <v>1804</v>
      </c>
      <c r="L641" s="867" t="s">
        <v>1828</v>
      </c>
      <c r="M641" s="867" t="s">
        <v>2754</v>
      </c>
      <c r="N641" s="867" t="s">
        <v>3904</v>
      </c>
      <c r="O641" s="867" t="s">
        <v>4039</v>
      </c>
      <c r="P641" s="869">
        <v>9</v>
      </c>
      <c r="Q641" s="869">
        <v>9</v>
      </c>
      <c r="R641" s="870">
        <v>0</v>
      </c>
      <c r="S641" s="871">
        <v>9</v>
      </c>
      <c r="T641" s="871">
        <v>9</v>
      </c>
      <c r="U641" s="872">
        <v>0</v>
      </c>
      <c r="W641" s="872">
        <v>0</v>
      </c>
    </row>
    <row r="642" spans="1:23" ht="24" x14ac:dyDescent="0.2">
      <c r="A642" s="865" t="s">
        <v>2751</v>
      </c>
      <c r="B642" s="866">
        <v>42024471</v>
      </c>
      <c r="C642" s="866" t="s">
        <v>3860</v>
      </c>
      <c r="D642" s="867" t="s">
        <v>2836</v>
      </c>
      <c r="E642" s="868">
        <v>45548.455740740741</v>
      </c>
      <c r="F642" s="868">
        <v>45837.916655092595</v>
      </c>
      <c r="G642" s="867" t="s">
        <v>1758</v>
      </c>
      <c r="H642" s="867" t="s">
        <v>1759</v>
      </c>
      <c r="I642" s="867" t="s">
        <v>1761</v>
      </c>
      <c r="J642" s="867" t="s">
        <v>2837</v>
      </c>
      <c r="K642" s="867" t="s">
        <v>1804</v>
      </c>
      <c r="L642" s="867" t="s">
        <v>1828</v>
      </c>
      <c r="M642" s="867" t="s">
        <v>2754</v>
      </c>
      <c r="N642" s="867" t="s">
        <v>3904</v>
      </c>
      <c r="O642" s="873" t="s">
        <v>4039</v>
      </c>
      <c r="P642" s="874">
        <v>11</v>
      </c>
      <c r="Q642" s="874">
        <v>11</v>
      </c>
      <c r="R642" s="875">
        <v>0</v>
      </c>
      <c r="S642" s="876">
        <v>11</v>
      </c>
      <c r="T642" s="876">
        <v>11</v>
      </c>
      <c r="U642" s="877">
        <v>0</v>
      </c>
      <c r="W642" s="877">
        <v>0</v>
      </c>
    </row>
    <row r="643" spans="1:23" ht="36" x14ac:dyDescent="0.2">
      <c r="A643" s="865" t="s">
        <v>2751</v>
      </c>
      <c r="B643" s="866">
        <v>42024471</v>
      </c>
      <c r="C643" s="866" t="s">
        <v>3860</v>
      </c>
      <c r="D643" s="867" t="s">
        <v>2838</v>
      </c>
      <c r="E643" s="868">
        <v>45568.435624999998</v>
      </c>
      <c r="F643" s="868">
        <v>45838.916655092595</v>
      </c>
      <c r="G643" s="867" t="s">
        <v>1741</v>
      </c>
      <c r="H643" s="867" t="s">
        <v>1749</v>
      </c>
      <c r="I643" s="867" t="s">
        <v>1749</v>
      </c>
      <c r="J643" s="867" t="s">
        <v>1875</v>
      </c>
      <c r="K643" s="867" t="s">
        <v>1804</v>
      </c>
      <c r="L643" s="867" t="s">
        <v>1869</v>
      </c>
      <c r="M643" s="867" t="s">
        <v>2761</v>
      </c>
      <c r="N643" s="867" t="s">
        <v>4041</v>
      </c>
      <c r="O643" s="867" t="s">
        <v>4042</v>
      </c>
      <c r="P643" s="869">
        <v>2</v>
      </c>
      <c r="Q643" s="869">
        <v>1</v>
      </c>
      <c r="R643" s="870">
        <v>0</v>
      </c>
      <c r="S643" s="871">
        <v>2</v>
      </c>
      <c r="T643" s="871">
        <v>1</v>
      </c>
      <c r="U643" s="872">
        <v>0</v>
      </c>
      <c r="W643" s="872">
        <v>0</v>
      </c>
    </row>
    <row r="644" spans="1:23" x14ac:dyDescent="0.2">
      <c r="A644" s="865" t="s">
        <v>2751</v>
      </c>
      <c r="B644" s="866">
        <v>42024471</v>
      </c>
      <c r="C644" s="866" t="s">
        <v>3860</v>
      </c>
      <c r="D644" s="1438" t="s">
        <v>2839</v>
      </c>
      <c r="E644" s="1441">
        <v>45552.421458333331</v>
      </c>
      <c r="F644" s="1441">
        <v>45900.916655092595</v>
      </c>
      <c r="G644" s="1438" t="s">
        <v>1758</v>
      </c>
      <c r="H644" s="1438" t="s">
        <v>1759</v>
      </c>
      <c r="I644" s="1438" t="s">
        <v>1760</v>
      </c>
      <c r="J644" s="1438" t="s">
        <v>2840</v>
      </c>
      <c r="K644" s="1438" t="s">
        <v>1804</v>
      </c>
      <c r="L644" s="1438" t="s">
        <v>1805</v>
      </c>
      <c r="M644" s="867" t="s">
        <v>2767</v>
      </c>
      <c r="N644" s="867" t="s">
        <v>4043</v>
      </c>
      <c r="O644" s="873" t="s">
        <v>4044</v>
      </c>
      <c r="P644" s="874">
        <v>19</v>
      </c>
      <c r="Q644" s="874">
        <v>18</v>
      </c>
      <c r="R644" s="875">
        <v>2</v>
      </c>
      <c r="S644" s="876">
        <v>19</v>
      </c>
      <c r="T644" s="876">
        <v>18</v>
      </c>
      <c r="U644" s="877">
        <v>2</v>
      </c>
      <c r="W644" s="877">
        <v>2</v>
      </c>
    </row>
    <row r="645" spans="1:23" x14ac:dyDescent="0.2">
      <c r="A645" s="865" t="s">
        <v>2751</v>
      </c>
      <c r="B645" s="866">
        <v>42024471</v>
      </c>
      <c r="C645" s="866" t="s">
        <v>3860</v>
      </c>
      <c r="D645" s="1440"/>
      <c r="E645" s="1443"/>
      <c r="F645" s="1443"/>
      <c r="G645" s="1440"/>
      <c r="H645" s="1440"/>
      <c r="I645" s="1440"/>
      <c r="J645" s="1440"/>
      <c r="K645" s="1440"/>
      <c r="L645" s="1440"/>
      <c r="M645" s="867" t="s">
        <v>2754</v>
      </c>
      <c r="N645" s="867" t="s">
        <v>3904</v>
      </c>
      <c r="O645" s="867" t="s">
        <v>4039</v>
      </c>
      <c r="P645" s="869">
        <v>19</v>
      </c>
      <c r="Q645" s="869">
        <v>18</v>
      </c>
      <c r="R645" s="870">
        <v>2</v>
      </c>
      <c r="S645" s="871">
        <v>19</v>
      </c>
      <c r="T645" s="871">
        <v>18</v>
      </c>
      <c r="U645" s="872">
        <v>2</v>
      </c>
      <c r="W645" s="872">
        <v>2</v>
      </c>
    </row>
    <row r="646" spans="1:23" ht="24" x14ac:dyDescent="0.2">
      <c r="A646" s="865" t="s">
        <v>2751</v>
      </c>
      <c r="B646" s="866">
        <v>42024471</v>
      </c>
      <c r="C646" s="866" t="s">
        <v>3860</v>
      </c>
      <c r="D646" s="867" t="s">
        <v>2841</v>
      </c>
      <c r="E646" s="868">
        <v>45555.492106481484</v>
      </c>
      <c r="F646" s="868">
        <v>45837.916655092595</v>
      </c>
      <c r="G646" s="867" t="s">
        <v>1758</v>
      </c>
      <c r="H646" s="867" t="s">
        <v>1759</v>
      </c>
      <c r="I646" s="867" t="s">
        <v>1761</v>
      </c>
      <c r="J646" s="867" t="s">
        <v>2842</v>
      </c>
      <c r="K646" s="867" t="s">
        <v>1804</v>
      </c>
      <c r="L646" s="867" t="s">
        <v>1828</v>
      </c>
      <c r="M646" s="867" t="s">
        <v>2754</v>
      </c>
      <c r="N646" s="867" t="s">
        <v>3904</v>
      </c>
      <c r="O646" s="873" t="s">
        <v>4039</v>
      </c>
      <c r="P646" s="874">
        <v>8</v>
      </c>
      <c r="Q646" s="874">
        <v>8</v>
      </c>
      <c r="R646" s="875">
        <v>0</v>
      </c>
      <c r="S646" s="876">
        <v>8</v>
      </c>
      <c r="T646" s="876">
        <v>8</v>
      </c>
      <c r="U646" s="877">
        <v>0</v>
      </c>
      <c r="W646" s="877">
        <v>0</v>
      </c>
    </row>
    <row r="647" spans="1:23" ht="36" x14ac:dyDescent="0.2">
      <c r="A647" s="865" t="s">
        <v>2751</v>
      </c>
      <c r="B647" s="866">
        <v>42024471</v>
      </c>
      <c r="C647" s="866" t="s">
        <v>3860</v>
      </c>
      <c r="D647" s="867" t="s">
        <v>2843</v>
      </c>
      <c r="E647" s="868">
        <v>45576.368321759262</v>
      </c>
      <c r="F647" s="868">
        <v>45837.916655092595</v>
      </c>
      <c r="G647" s="867" t="s">
        <v>1758</v>
      </c>
      <c r="H647" s="867" t="s">
        <v>1759</v>
      </c>
      <c r="I647" s="867" t="s">
        <v>1762</v>
      </c>
      <c r="J647" s="867" t="s">
        <v>2809</v>
      </c>
      <c r="K647" s="867" t="s">
        <v>1804</v>
      </c>
      <c r="L647" s="867" t="s">
        <v>1828</v>
      </c>
      <c r="M647" s="867" t="s">
        <v>2754</v>
      </c>
      <c r="N647" s="867" t="s">
        <v>3904</v>
      </c>
      <c r="O647" s="867" t="s">
        <v>4039</v>
      </c>
      <c r="P647" s="869">
        <v>11</v>
      </c>
      <c r="Q647" s="869">
        <v>11</v>
      </c>
      <c r="R647" s="870">
        <v>0</v>
      </c>
      <c r="S647" s="871">
        <v>11</v>
      </c>
      <c r="T647" s="871">
        <v>11</v>
      </c>
      <c r="U647" s="872">
        <v>0</v>
      </c>
      <c r="W647" s="872">
        <v>0</v>
      </c>
    </row>
    <row r="648" spans="1:23" ht="36" x14ac:dyDescent="0.2">
      <c r="A648" s="865" t="s">
        <v>2751</v>
      </c>
      <c r="B648" s="866">
        <v>42024471</v>
      </c>
      <c r="C648" s="866" t="s">
        <v>3860</v>
      </c>
      <c r="D648" s="867" t="s">
        <v>2844</v>
      </c>
      <c r="E648" s="868">
        <v>45545.291400462964</v>
      </c>
      <c r="F648" s="868">
        <v>45837.916655092595</v>
      </c>
      <c r="G648" s="867" t="s">
        <v>1758</v>
      </c>
      <c r="H648" s="867" t="s">
        <v>1759</v>
      </c>
      <c r="I648" s="867" t="s">
        <v>1762</v>
      </c>
      <c r="J648" s="867" t="s">
        <v>2845</v>
      </c>
      <c r="K648" s="867" t="s">
        <v>1804</v>
      </c>
      <c r="L648" s="867" t="s">
        <v>1828</v>
      </c>
      <c r="M648" s="867" t="s">
        <v>2754</v>
      </c>
      <c r="N648" s="867" t="s">
        <v>3904</v>
      </c>
      <c r="O648" s="873" t="s">
        <v>4039</v>
      </c>
      <c r="P648" s="874">
        <v>10</v>
      </c>
      <c r="Q648" s="874">
        <v>9</v>
      </c>
      <c r="R648" s="875">
        <v>0</v>
      </c>
      <c r="S648" s="876">
        <v>10</v>
      </c>
      <c r="T648" s="876">
        <v>9</v>
      </c>
      <c r="U648" s="877">
        <v>0</v>
      </c>
      <c r="W648" s="877">
        <v>0</v>
      </c>
    </row>
    <row r="649" spans="1:23" ht="48" x14ac:dyDescent="0.2">
      <c r="A649" s="865" t="s">
        <v>2751</v>
      </c>
      <c r="B649" s="866">
        <v>42024471</v>
      </c>
      <c r="C649" s="866" t="s">
        <v>3860</v>
      </c>
      <c r="D649" s="867" t="s">
        <v>2846</v>
      </c>
      <c r="E649" s="868">
        <v>45544.33388888889</v>
      </c>
      <c r="F649" s="868">
        <v>45835.916655092595</v>
      </c>
      <c r="G649" s="867" t="s">
        <v>1758</v>
      </c>
      <c r="H649" s="867" t="s">
        <v>1759</v>
      </c>
      <c r="I649" s="867" t="s">
        <v>1760</v>
      </c>
      <c r="J649" s="867" t="s">
        <v>2847</v>
      </c>
      <c r="K649" s="867" t="s">
        <v>1804</v>
      </c>
      <c r="L649" s="867" t="s">
        <v>1805</v>
      </c>
      <c r="M649" s="867" t="s">
        <v>2754</v>
      </c>
      <c r="N649" s="867" t="s">
        <v>3904</v>
      </c>
      <c r="O649" s="867" t="s">
        <v>4039</v>
      </c>
      <c r="P649" s="869">
        <v>10</v>
      </c>
      <c r="Q649" s="869">
        <v>10</v>
      </c>
      <c r="R649" s="870">
        <v>0</v>
      </c>
      <c r="S649" s="871">
        <v>10</v>
      </c>
      <c r="T649" s="871">
        <v>10</v>
      </c>
      <c r="U649" s="872">
        <v>0</v>
      </c>
      <c r="W649" s="872">
        <v>0</v>
      </c>
    </row>
    <row r="650" spans="1:23" ht="36" x14ac:dyDescent="0.2">
      <c r="A650" s="812" t="s">
        <v>4046</v>
      </c>
      <c r="B650" s="866" t="s">
        <v>4047</v>
      </c>
      <c r="C650" s="866" t="s">
        <v>3876</v>
      </c>
      <c r="D650" s="867" t="s">
        <v>2848</v>
      </c>
      <c r="E650" s="868">
        <v>45552.276967592596</v>
      </c>
      <c r="F650" s="868">
        <v>45838.916655092595</v>
      </c>
      <c r="G650" s="867" t="s">
        <v>1767</v>
      </c>
      <c r="H650" s="867" t="s">
        <v>1770</v>
      </c>
      <c r="I650" s="867" t="s">
        <v>2849</v>
      </c>
      <c r="J650" s="867" t="s">
        <v>2850</v>
      </c>
      <c r="K650" s="867" t="s">
        <v>1804</v>
      </c>
      <c r="L650" s="867" t="s">
        <v>1805</v>
      </c>
      <c r="M650" s="867" t="s">
        <v>2851</v>
      </c>
      <c r="N650" s="867" t="s">
        <v>3927</v>
      </c>
      <c r="O650" s="873" t="s">
        <v>4048</v>
      </c>
      <c r="P650" s="874">
        <v>27</v>
      </c>
      <c r="Q650" s="874">
        <v>27</v>
      </c>
      <c r="R650" s="875">
        <v>0</v>
      </c>
      <c r="S650" s="876">
        <v>27</v>
      </c>
      <c r="T650" s="876">
        <v>27</v>
      </c>
      <c r="U650" s="877">
        <v>0</v>
      </c>
      <c r="W650" s="877"/>
    </row>
    <row r="651" spans="1:23" ht="36" x14ac:dyDescent="0.2">
      <c r="A651" s="812" t="s">
        <v>4046</v>
      </c>
      <c r="B651" s="866" t="s">
        <v>4047</v>
      </c>
      <c r="C651" s="866" t="s">
        <v>3876</v>
      </c>
      <c r="D651" s="867" t="s">
        <v>2852</v>
      </c>
      <c r="E651" s="868">
        <v>45539.260358796295</v>
      </c>
      <c r="F651" s="868">
        <v>45869.916655092595</v>
      </c>
      <c r="G651" s="867" t="s">
        <v>1767</v>
      </c>
      <c r="H651" s="867" t="s">
        <v>1770</v>
      </c>
      <c r="I651" s="867" t="s">
        <v>1771</v>
      </c>
      <c r="J651" s="867" t="s">
        <v>2853</v>
      </c>
      <c r="K651" s="867" t="s">
        <v>1804</v>
      </c>
      <c r="L651" s="867" t="s">
        <v>1805</v>
      </c>
      <c r="M651" s="867" t="s">
        <v>2854</v>
      </c>
      <c r="N651" s="867" t="s">
        <v>4049</v>
      </c>
      <c r="O651" s="867" t="s">
        <v>4050</v>
      </c>
      <c r="P651" s="869">
        <v>27</v>
      </c>
      <c r="Q651" s="869">
        <v>27</v>
      </c>
      <c r="R651" s="870">
        <v>0</v>
      </c>
      <c r="S651" s="871">
        <v>27</v>
      </c>
      <c r="T651" s="871">
        <v>27</v>
      </c>
      <c r="U651" s="872">
        <v>0</v>
      </c>
      <c r="W651" s="872"/>
    </row>
    <row r="652" spans="1:23" ht="36" x14ac:dyDescent="0.2">
      <c r="A652" s="812" t="s">
        <v>4046</v>
      </c>
      <c r="B652" s="866" t="s">
        <v>4047</v>
      </c>
      <c r="C652" s="866" t="s">
        <v>3876</v>
      </c>
      <c r="D652" s="1438" t="s">
        <v>2855</v>
      </c>
      <c r="E652" s="1441">
        <v>45541.26</v>
      </c>
      <c r="F652" s="1441">
        <v>45875.916655092595</v>
      </c>
      <c r="G652" s="1438" t="s">
        <v>1777</v>
      </c>
      <c r="H652" s="1438" t="s">
        <v>1784</v>
      </c>
      <c r="I652" s="1438" t="s">
        <v>1785</v>
      </c>
      <c r="J652" s="1438" t="s">
        <v>2856</v>
      </c>
      <c r="K652" s="1438" t="s">
        <v>1804</v>
      </c>
      <c r="L652" s="1438" t="s">
        <v>1805</v>
      </c>
      <c r="M652" s="867" t="s">
        <v>2857</v>
      </c>
      <c r="N652" s="867" t="s">
        <v>3863</v>
      </c>
      <c r="O652" s="873" t="s">
        <v>4051</v>
      </c>
      <c r="P652" s="874">
        <v>31</v>
      </c>
      <c r="Q652" s="874">
        <v>31</v>
      </c>
      <c r="R652" s="875">
        <v>17</v>
      </c>
      <c r="S652" s="876">
        <v>31</v>
      </c>
      <c r="T652" s="876">
        <v>31</v>
      </c>
      <c r="U652" s="877">
        <v>17</v>
      </c>
      <c r="W652" s="877"/>
    </row>
    <row r="653" spans="1:23" ht="36" x14ac:dyDescent="0.2">
      <c r="A653" s="812" t="s">
        <v>4046</v>
      </c>
      <c r="B653" s="866" t="s">
        <v>4047</v>
      </c>
      <c r="C653" s="866" t="s">
        <v>3876</v>
      </c>
      <c r="D653" s="1440"/>
      <c r="E653" s="1443"/>
      <c r="F653" s="1443"/>
      <c r="G653" s="1440"/>
      <c r="H653" s="1440"/>
      <c r="I653" s="1440"/>
      <c r="J653" s="1440"/>
      <c r="K653" s="1440"/>
      <c r="L653" s="1440"/>
      <c r="M653" s="867" t="s">
        <v>2854</v>
      </c>
      <c r="N653" s="867" t="s">
        <v>4049</v>
      </c>
      <c r="O653" s="867" t="s">
        <v>4050</v>
      </c>
      <c r="P653" s="869">
        <v>31</v>
      </c>
      <c r="Q653" s="869">
        <v>31</v>
      </c>
      <c r="R653" s="870">
        <v>17</v>
      </c>
      <c r="S653" s="871">
        <v>31</v>
      </c>
      <c r="T653" s="871">
        <v>31</v>
      </c>
      <c r="U653" s="872">
        <v>17</v>
      </c>
      <c r="W653" s="872"/>
    </row>
    <row r="654" spans="1:23" ht="36" x14ac:dyDescent="0.2">
      <c r="A654" s="812" t="s">
        <v>4046</v>
      </c>
      <c r="B654" s="866" t="s">
        <v>4047</v>
      </c>
      <c r="C654" s="866" t="s">
        <v>3876</v>
      </c>
      <c r="D654" s="1438" t="s">
        <v>2858</v>
      </c>
      <c r="E654" s="1441">
        <v>45561.346435185187</v>
      </c>
      <c r="F654" s="1441">
        <v>45716.958321759259</v>
      </c>
      <c r="G654" s="1438" t="s">
        <v>1758</v>
      </c>
      <c r="H654" s="1438" t="s">
        <v>1759</v>
      </c>
      <c r="I654" s="1438" t="s">
        <v>1762</v>
      </c>
      <c r="J654" s="1438" t="s">
        <v>1762</v>
      </c>
      <c r="K654" s="1438" t="s">
        <v>1804</v>
      </c>
      <c r="L654" s="1438" t="s">
        <v>1828</v>
      </c>
      <c r="M654" s="867" t="s">
        <v>2859</v>
      </c>
      <c r="N654" s="867" t="s">
        <v>3919</v>
      </c>
      <c r="O654" s="873" t="s">
        <v>4052</v>
      </c>
      <c r="P654" s="874">
        <v>6</v>
      </c>
      <c r="Q654" s="874">
        <v>6</v>
      </c>
      <c r="R654" s="875">
        <v>6</v>
      </c>
      <c r="S654" s="876">
        <v>6</v>
      </c>
      <c r="T654" s="876">
        <v>6</v>
      </c>
      <c r="U654" s="877">
        <v>6</v>
      </c>
      <c r="W654" s="877"/>
    </row>
    <row r="655" spans="1:23" ht="36" x14ac:dyDescent="0.2">
      <c r="A655" s="812" t="s">
        <v>4046</v>
      </c>
      <c r="B655" s="866" t="s">
        <v>4047</v>
      </c>
      <c r="C655" s="866" t="s">
        <v>3876</v>
      </c>
      <c r="D655" s="1440"/>
      <c r="E655" s="1443"/>
      <c r="F655" s="1443"/>
      <c r="G655" s="1440"/>
      <c r="H655" s="1440"/>
      <c r="I655" s="1440"/>
      <c r="J655" s="1440"/>
      <c r="K655" s="1440"/>
      <c r="L655" s="1440"/>
      <c r="M655" s="867" t="s">
        <v>2851</v>
      </c>
      <c r="N655" s="867" t="s">
        <v>3927</v>
      </c>
      <c r="O655" s="867" t="s">
        <v>4048</v>
      </c>
      <c r="P655" s="869">
        <v>6</v>
      </c>
      <c r="Q655" s="869">
        <v>6</v>
      </c>
      <c r="R655" s="870">
        <v>6</v>
      </c>
      <c r="S655" s="871">
        <v>6</v>
      </c>
      <c r="T655" s="871">
        <v>6</v>
      </c>
      <c r="U655" s="872">
        <v>6</v>
      </c>
      <c r="W655" s="872"/>
    </row>
    <row r="656" spans="1:23" ht="36" x14ac:dyDescent="0.2">
      <c r="A656" s="812" t="s">
        <v>4046</v>
      </c>
      <c r="B656" s="866" t="s">
        <v>4047</v>
      </c>
      <c r="C656" s="866" t="s">
        <v>3876</v>
      </c>
      <c r="D656" s="867" t="s">
        <v>2860</v>
      </c>
      <c r="E656" s="868">
        <v>45539.409814814811</v>
      </c>
      <c r="F656" s="868">
        <v>45904.916655092595</v>
      </c>
      <c r="G656" s="867" t="s">
        <v>1767</v>
      </c>
      <c r="H656" s="867" t="s">
        <v>1770</v>
      </c>
      <c r="I656" s="867" t="s">
        <v>2849</v>
      </c>
      <c r="J656" s="867" t="s">
        <v>2861</v>
      </c>
      <c r="K656" s="867" t="s">
        <v>1804</v>
      </c>
      <c r="L656" s="867" t="s">
        <v>1805</v>
      </c>
      <c r="M656" s="867" t="s">
        <v>2854</v>
      </c>
      <c r="N656" s="867" t="s">
        <v>4049</v>
      </c>
      <c r="O656" s="873" t="s">
        <v>4050</v>
      </c>
      <c r="P656" s="874">
        <v>63</v>
      </c>
      <c r="Q656" s="874">
        <v>62</v>
      </c>
      <c r="R656" s="875">
        <v>0</v>
      </c>
      <c r="S656" s="876">
        <v>63</v>
      </c>
      <c r="T656" s="876">
        <v>62</v>
      </c>
      <c r="U656" s="877">
        <v>0</v>
      </c>
      <c r="W656" s="877"/>
    </row>
    <row r="657" spans="1:23" ht="36" x14ac:dyDescent="0.2">
      <c r="A657" s="812" t="s">
        <v>4046</v>
      </c>
      <c r="B657" s="866" t="s">
        <v>4047</v>
      </c>
      <c r="C657" s="866" t="s">
        <v>3876</v>
      </c>
      <c r="D657" s="867" t="s">
        <v>2862</v>
      </c>
      <c r="E657" s="868">
        <v>45550.59814814815</v>
      </c>
      <c r="F657" s="868">
        <v>45900.916655092595</v>
      </c>
      <c r="G657" s="867" t="s">
        <v>1772</v>
      </c>
      <c r="H657" s="867" t="s">
        <v>1765</v>
      </c>
      <c r="I657" s="867" t="s">
        <v>1773</v>
      </c>
      <c r="J657" s="867" t="s">
        <v>2863</v>
      </c>
      <c r="K657" s="867" t="s">
        <v>1804</v>
      </c>
      <c r="L657" s="867" t="s">
        <v>1805</v>
      </c>
      <c r="M657" s="867" t="s">
        <v>2857</v>
      </c>
      <c r="N657" s="867" t="s">
        <v>3863</v>
      </c>
      <c r="O657" s="867" t="s">
        <v>4051</v>
      </c>
      <c r="P657" s="869">
        <v>14</v>
      </c>
      <c r="Q657" s="869">
        <v>14</v>
      </c>
      <c r="R657" s="870">
        <v>13</v>
      </c>
      <c r="S657" s="871">
        <v>14</v>
      </c>
      <c r="T657" s="871">
        <v>14</v>
      </c>
      <c r="U657" s="872">
        <v>13</v>
      </c>
      <c r="W657" s="872"/>
    </row>
    <row r="658" spans="1:23" ht="36" x14ac:dyDescent="0.2">
      <c r="A658" s="812" t="s">
        <v>4046</v>
      </c>
      <c r="B658" s="866" t="s">
        <v>4047</v>
      </c>
      <c r="C658" s="866" t="s">
        <v>3876</v>
      </c>
      <c r="D658" s="867" t="s">
        <v>2864</v>
      </c>
      <c r="E658" s="868">
        <v>45550.599849537037</v>
      </c>
      <c r="F658" s="868">
        <v>45900.916655092595</v>
      </c>
      <c r="G658" s="867" t="s">
        <v>1772</v>
      </c>
      <c r="H658" s="867" t="s">
        <v>1765</v>
      </c>
      <c r="I658" s="867" t="s">
        <v>1773</v>
      </c>
      <c r="J658" s="867" t="s">
        <v>2865</v>
      </c>
      <c r="K658" s="867" t="s">
        <v>1804</v>
      </c>
      <c r="L658" s="867" t="s">
        <v>1805</v>
      </c>
      <c r="M658" s="867" t="s">
        <v>2857</v>
      </c>
      <c r="N658" s="867" t="s">
        <v>3863</v>
      </c>
      <c r="O658" s="873" t="s">
        <v>4051</v>
      </c>
      <c r="P658" s="874">
        <v>13</v>
      </c>
      <c r="Q658" s="874">
        <v>12</v>
      </c>
      <c r="R658" s="875">
        <v>12</v>
      </c>
      <c r="S658" s="876">
        <v>13</v>
      </c>
      <c r="T658" s="876">
        <v>12</v>
      </c>
      <c r="U658" s="877">
        <v>12</v>
      </c>
      <c r="W658" s="877"/>
    </row>
    <row r="659" spans="1:23" ht="36" x14ac:dyDescent="0.2">
      <c r="A659" s="812" t="s">
        <v>4046</v>
      </c>
      <c r="B659" s="866" t="s">
        <v>4047</v>
      </c>
      <c r="C659" s="866" t="s">
        <v>3876</v>
      </c>
      <c r="D659" s="867" t="s">
        <v>2866</v>
      </c>
      <c r="E659" s="868">
        <v>45550.598969907405</v>
      </c>
      <c r="F659" s="868">
        <v>45900.916655092595</v>
      </c>
      <c r="G659" s="867" t="s">
        <v>1772</v>
      </c>
      <c r="H659" s="867" t="s">
        <v>1765</v>
      </c>
      <c r="I659" s="867" t="s">
        <v>1773</v>
      </c>
      <c r="J659" s="867" t="s">
        <v>2867</v>
      </c>
      <c r="K659" s="867" t="s">
        <v>1804</v>
      </c>
      <c r="L659" s="867" t="s">
        <v>1805</v>
      </c>
      <c r="M659" s="867" t="s">
        <v>2857</v>
      </c>
      <c r="N659" s="867" t="s">
        <v>3863</v>
      </c>
      <c r="O659" s="867" t="s">
        <v>4051</v>
      </c>
      <c r="P659" s="869">
        <v>12</v>
      </c>
      <c r="Q659" s="869">
        <v>12</v>
      </c>
      <c r="R659" s="870">
        <v>12</v>
      </c>
      <c r="S659" s="871">
        <v>12</v>
      </c>
      <c r="T659" s="871">
        <v>12</v>
      </c>
      <c r="U659" s="872">
        <v>12</v>
      </c>
      <c r="W659" s="872"/>
    </row>
    <row r="660" spans="1:23" ht="36" x14ac:dyDescent="0.2">
      <c r="A660" s="812" t="s">
        <v>4046</v>
      </c>
      <c r="B660" s="866" t="s">
        <v>4047</v>
      </c>
      <c r="C660" s="866" t="s">
        <v>3876</v>
      </c>
      <c r="D660" s="867" t="s">
        <v>2868</v>
      </c>
      <c r="E660" s="868">
        <v>45550.604432870372</v>
      </c>
      <c r="F660" s="868">
        <v>45900.916655092595</v>
      </c>
      <c r="G660" s="867" t="s">
        <v>1772</v>
      </c>
      <c r="H660" s="867" t="s">
        <v>1765</v>
      </c>
      <c r="I660" s="867" t="s">
        <v>1773</v>
      </c>
      <c r="J660" s="867" t="s">
        <v>2869</v>
      </c>
      <c r="K660" s="867" t="s">
        <v>1804</v>
      </c>
      <c r="L660" s="867" t="s">
        <v>1805</v>
      </c>
      <c r="M660" s="867" t="s">
        <v>2857</v>
      </c>
      <c r="N660" s="867" t="s">
        <v>3863</v>
      </c>
      <c r="O660" s="873" t="s">
        <v>4051</v>
      </c>
      <c r="P660" s="874">
        <v>1</v>
      </c>
      <c r="Q660" s="874">
        <v>1</v>
      </c>
      <c r="R660" s="875">
        <v>0</v>
      </c>
      <c r="S660" s="876">
        <v>1</v>
      </c>
      <c r="T660" s="876">
        <v>1</v>
      </c>
      <c r="U660" s="877">
        <v>0</v>
      </c>
      <c r="W660" s="877"/>
    </row>
    <row r="661" spans="1:23" ht="36" x14ac:dyDescent="0.2">
      <c r="A661" s="812" t="s">
        <v>4046</v>
      </c>
      <c r="B661" s="866" t="s">
        <v>4047</v>
      </c>
      <c r="C661" s="866" t="s">
        <v>3876</v>
      </c>
      <c r="D661" s="867" t="s">
        <v>2870</v>
      </c>
      <c r="E661" s="868">
        <v>45544.2971875</v>
      </c>
      <c r="F661" s="868">
        <v>45900.916655092595</v>
      </c>
      <c r="G661" s="867" t="s">
        <v>1767</v>
      </c>
      <c r="H661" s="867" t="s">
        <v>1765</v>
      </c>
      <c r="I661" s="867" t="s">
        <v>1769</v>
      </c>
      <c r="J661" s="867" t="s">
        <v>1769</v>
      </c>
      <c r="K661" s="867" t="s">
        <v>1804</v>
      </c>
      <c r="L661" s="867" t="s">
        <v>2097</v>
      </c>
      <c r="M661" s="867" t="s">
        <v>2857</v>
      </c>
      <c r="N661" s="867" t="s">
        <v>3863</v>
      </c>
      <c r="O661" s="867" t="s">
        <v>4051</v>
      </c>
      <c r="P661" s="869">
        <v>13</v>
      </c>
      <c r="Q661" s="869">
        <v>13</v>
      </c>
      <c r="R661" s="870">
        <v>0</v>
      </c>
      <c r="S661" s="871">
        <v>13</v>
      </c>
      <c r="T661" s="871">
        <v>13</v>
      </c>
      <c r="U661" s="872">
        <v>0</v>
      </c>
      <c r="W661" s="872"/>
    </row>
    <row r="662" spans="1:23" ht="36" x14ac:dyDescent="0.2">
      <c r="A662" s="812" t="s">
        <v>4046</v>
      </c>
      <c r="B662" s="866" t="s">
        <v>4047</v>
      </c>
      <c r="C662" s="866" t="s">
        <v>3876</v>
      </c>
      <c r="D662" s="867" t="s">
        <v>2871</v>
      </c>
      <c r="E662" s="868">
        <v>45548.234282407408</v>
      </c>
      <c r="F662" s="868">
        <v>45716.958321759259</v>
      </c>
      <c r="G662" s="867" t="s">
        <v>1741</v>
      </c>
      <c r="H662" s="867" t="s">
        <v>1749</v>
      </c>
      <c r="I662" s="867" t="s">
        <v>1749</v>
      </c>
      <c r="J662" s="867" t="s">
        <v>2872</v>
      </c>
      <c r="K662" s="867" t="s">
        <v>1804</v>
      </c>
      <c r="L662" s="867" t="s">
        <v>1869</v>
      </c>
      <c r="M662" s="867" t="s">
        <v>2857</v>
      </c>
      <c r="N662" s="867" t="s">
        <v>3863</v>
      </c>
      <c r="O662" s="873" t="s">
        <v>4051</v>
      </c>
      <c r="P662" s="874">
        <v>15</v>
      </c>
      <c r="Q662" s="874">
        <v>15</v>
      </c>
      <c r="R662" s="875">
        <v>14</v>
      </c>
      <c r="S662" s="876">
        <v>15</v>
      </c>
      <c r="T662" s="876">
        <v>15</v>
      </c>
      <c r="U662" s="877">
        <v>14</v>
      </c>
      <c r="W662" s="877"/>
    </row>
    <row r="663" spans="1:23" ht="36" x14ac:dyDescent="0.2">
      <c r="A663" s="812" t="s">
        <v>4046</v>
      </c>
      <c r="B663" s="866" t="s">
        <v>4047</v>
      </c>
      <c r="C663" s="866" t="s">
        <v>3876</v>
      </c>
      <c r="D663" s="867" t="s">
        <v>2873</v>
      </c>
      <c r="E663" s="868">
        <v>45642.425046296295</v>
      </c>
      <c r="F663" s="868">
        <v>45907.916655092595</v>
      </c>
      <c r="G663" s="867" t="s">
        <v>1758</v>
      </c>
      <c r="H663" s="867" t="s">
        <v>1759</v>
      </c>
      <c r="I663" s="867" t="s">
        <v>1761</v>
      </c>
      <c r="J663" s="867" t="s">
        <v>1761</v>
      </c>
      <c r="K663" s="867" t="s">
        <v>1804</v>
      </c>
      <c r="L663" s="867" t="s">
        <v>1828</v>
      </c>
      <c r="M663" s="867" t="s">
        <v>2851</v>
      </c>
      <c r="N663" s="867" t="s">
        <v>3927</v>
      </c>
      <c r="O663" s="867" t="s">
        <v>4048</v>
      </c>
      <c r="P663" s="869">
        <v>3</v>
      </c>
      <c r="Q663" s="869">
        <v>3</v>
      </c>
      <c r="R663" s="870">
        <v>2</v>
      </c>
      <c r="S663" s="871">
        <v>3</v>
      </c>
      <c r="T663" s="871">
        <v>3</v>
      </c>
      <c r="U663" s="872">
        <v>2</v>
      </c>
      <c r="W663" s="872"/>
    </row>
    <row r="664" spans="1:23" ht="36" x14ac:dyDescent="0.2">
      <c r="A664" s="812" t="s">
        <v>4046</v>
      </c>
      <c r="B664" s="866" t="s">
        <v>4047</v>
      </c>
      <c r="C664" s="866" t="s">
        <v>3876</v>
      </c>
      <c r="D664" s="867" t="s">
        <v>2874</v>
      </c>
      <c r="E664" s="868">
        <v>45545.237071759257</v>
      </c>
      <c r="F664" s="868">
        <v>45900.916655092595</v>
      </c>
      <c r="G664" s="867" t="s">
        <v>1767</v>
      </c>
      <c r="H664" s="867" t="s">
        <v>1770</v>
      </c>
      <c r="I664" s="867" t="s">
        <v>2875</v>
      </c>
      <c r="J664" s="867" t="s">
        <v>2876</v>
      </c>
      <c r="K664" s="867" t="s">
        <v>1804</v>
      </c>
      <c r="L664" s="867" t="s">
        <v>1805</v>
      </c>
      <c r="M664" s="867" t="s">
        <v>2857</v>
      </c>
      <c r="N664" s="867" t="s">
        <v>3863</v>
      </c>
      <c r="O664" s="873" t="s">
        <v>4051</v>
      </c>
      <c r="P664" s="874">
        <v>13</v>
      </c>
      <c r="Q664" s="874">
        <v>12</v>
      </c>
      <c r="R664" s="875">
        <v>0</v>
      </c>
      <c r="S664" s="876">
        <v>13</v>
      </c>
      <c r="T664" s="876">
        <v>12</v>
      </c>
      <c r="U664" s="877">
        <v>0</v>
      </c>
      <c r="W664" s="877"/>
    </row>
    <row r="665" spans="1:23" ht="36" x14ac:dyDescent="0.2">
      <c r="A665" s="812" t="s">
        <v>4046</v>
      </c>
      <c r="B665" s="866" t="s">
        <v>4047</v>
      </c>
      <c r="C665" s="866" t="s">
        <v>3876</v>
      </c>
      <c r="D665" s="867" t="s">
        <v>2877</v>
      </c>
      <c r="E665" s="868">
        <v>45548.240046296298</v>
      </c>
      <c r="F665" s="868">
        <v>45716.958321759259</v>
      </c>
      <c r="G665" s="867" t="s">
        <v>1741</v>
      </c>
      <c r="H665" s="867" t="s">
        <v>1749</v>
      </c>
      <c r="I665" s="867" t="s">
        <v>1749</v>
      </c>
      <c r="J665" s="867" t="s">
        <v>2878</v>
      </c>
      <c r="K665" s="867" t="s">
        <v>1804</v>
      </c>
      <c r="L665" s="867" t="s">
        <v>1869</v>
      </c>
      <c r="M665" s="867" t="s">
        <v>2857</v>
      </c>
      <c r="N665" s="867" t="s">
        <v>3863</v>
      </c>
      <c r="O665" s="867" t="s">
        <v>4051</v>
      </c>
      <c r="P665" s="869">
        <v>15</v>
      </c>
      <c r="Q665" s="869">
        <v>15</v>
      </c>
      <c r="R665" s="870">
        <v>15</v>
      </c>
      <c r="S665" s="871">
        <v>15</v>
      </c>
      <c r="T665" s="871">
        <v>15</v>
      </c>
      <c r="U665" s="872">
        <v>15</v>
      </c>
      <c r="W665" s="872"/>
    </row>
    <row r="666" spans="1:23" ht="36" x14ac:dyDescent="0.2">
      <c r="A666" s="812" t="s">
        <v>4046</v>
      </c>
      <c r="B666" s="866" t="s">
        <v>4047</v>
      </c>
      <c r="C666" s="866" t="s">
        <v>3876</v>
      </c>
      <c r="D666" s="867" t="s">
        <v>2879</v>
      </c>
      <c r="E666" s="868">
        <v>45628.43949074074</v>
      </c>
      <c r="F666" s="868">
        <v>45939.916655092595</v>
      </c>
      <c r="G666" s="867" t="s">
        <v>1758</v>
      </c>
      <c r="H666" s="867" t="s">
        <v>1759</v>
      </c>
      <c r="I666" s="867" t="s">
        <v>1762</v>
      </c>
      <c r="J666" s="867" t="s">
        <v>2880</v>
      </c>
      <c r="K666" s="867" t="s">
        <v>1804</v>
      </c>
      <c r="L666" s="867" t="s">
        <v>1828</v>
      </c>
      <c r="M666" s="867" t="s">
        <v>2851</v>
      </c>
      <c r="N666" s="867" t="s">
        <v>3927</v>
      </c>
      <c r="O666" s="873" t="s">
        <v>4048</v>
      </c>
      <c r="P666" s="874">
        <v>26</v>
      </c>
      <c r="Q666" s="874">
        <v>25</v>
      </c>
      <c r="R666" s="875">
        <v>24</v>
      </c>
      <c r="S666" s="876">
        <v>26</v>
      </c>
      <c r="T666" s="876">
        <v>25</v>
      </c>
      <c r="U666" s="877">
        <v>24</v>
      </c>
      <c r="W666" s="877"/>
    </row>
    <row r="667" spans="1:23" ht="36" x14ac:dyDescent="0.2">
      <c r="A667" s="812" t="s">
        <v>4046</v>
      </c>
      <c r="B667" s="866" t="s">
        <v>4047</v>
      </c>
      <c r="C667" s="866" t="s">
        <v>3876</v>
      </c>
      <c r="D667" s="867" t="s">
        <v>2881</v>
      </c>
      <c r="E667" s="868">
        <v>45554.274837962963</v>
      </c>
      <c r="F667" s="868">
        <v>45900.916655092595</v>
      </c>
      <c r="G667" s="867" t="s">
        <v>1772</v>
      </c>
      <c r="H667" s="867" t="s">
        <v>1765</v>
      </c>
      <c r="I667" s="867" t="s">
        <v>1773</v>
      </c>
      <c r="J667" s="867" t="s">
        <v>2882</v>
      </c>
      <c r="K667" s="867" t="s">
        <v>1804</v>
      </c>
      <c r="L667" s="867" t="s">
        <v>1805</v>
      </c>
      <c r="M667" s="867" t="s">
        <v>2857</v>
      </c>
      <c r="N667" s="867" t="s">
        <v>3863</v>
      </c>
      <c r="O667" s="867" t="s">
        <v>4051</v>
      </c>
      <c r="P667" s="869">
        <v>12</v>
      </c>
      <c r="Q667" s="869">
        <v>12</v>
      </c>
      <c r="R667" s="870">
        <v>4</v>
      </c>
      <c r="S667" s="871">
        <v>12</v>
      </c>
      <c r="T667" s="871">
        <v>12</v>
      </c>
      <c r="U667" s="872">
        <v>4</v>
      </c>
      <c r="W667" s="872"/>
    </row>
    <row r="668" spans="1:23" ht="36" x14ac:dyDescent="0.2">
      <c r="A668" s="812" t="s">
        <v>4046</v>
      </c>
      <c r="B668" s="866" t="s">
        <v>4047</v>
      </c>
      <c r="C668" s="866" t="s">
        <v>3876</v>
      </c>
      <c r="D668" s="867" t="s">
        <v>2883</v>
      </c>
      <c r="E668" s="868">
        <v>45549.742939814816</v>
      </c>
      <c r="F668" s="868">
        <v>45900.916655092595</v>
      </c>
      <c r="G668" s="867" t="s">
        <v>1772</v>
      </c>
      <c r="H668" s="867" t="s">
        <v>1765</v>
      </c>
      <c r="I668" s="867" t="s">
        <v>1773</v>
      </c>
      <c r="J668" s="867" t="s">
        <v>2884</v>
      </c>
      <c r="K668" s="867" t="s">
        <v>1804</v>
      </c>
      <c r="L668" s="867" t="s">
        <v>1805</v>
      </c>
      <c r="M668" s="867" t="s">
        <v>2857</v>
      </c>
      <c r="N668" s="867" t="s">
        <v>3863</v>
      </c>
      <c r="O668" s="873" t="s">
        <v>4051</v>
      </c>
      <c r="P668" s="874">
        <v>13</v>
      </c>
      <c r="Q668" s="874">
        <v>13</v>
      </c>
      <c r="R668" s="875">
        <v>13</v>
      </c>
      <c r="S668" s="876">
        <v>13</v>
      </c>
      <c r="T668" s="876">
        <v>13</v>
      </c>
      <c r="U668" s="877">
        <v>13</v>
      </c>
      <c r="W668" s="877"/>
    </row>
    <row r="669" spans="1:23" ht="36" x14ac:dyDescent="0.2">
      <c r="A669" s="812" t="s">
        <v>4053</v>
      </c>
      <c r="B669" s="866" t="s">
        <v>4054</v>
      </c>
      <c r="C669" s="866" t="s">
        <v>3867</v>
      </c>
      <c r="D669" s="867" t="s">
        <v>2885</v>
      </c>
      <c r="E669" s="868">
        <v>45568.546817129631</v>
      </c>
      <c r="F669" s="868">
        <v>45838.916655092595</v>
      </c>
      <c r="G669" s="867" t="s">
        <v>1741</v>
      </c>
      <c r="H669" s="867" t="s">
        <v>1755</v>
      </c>
      <c r="I669" s="867" t="s">
        <v>1756</v>
      </c>
      <c r="J669" s="867" t="s">
        <v>1756</v>
      </c>
      <c r="K669" s="867" t="s">
        <v>1804</v>
      </c>
      <c r="L669" s="867" t="s">
        <v>1805</v>
      </c>
      <c r="M669" s="867" t="s">
        <v>2886</v>
      </c>
      <c r="N669" s="867" t="s">
        <v>3870</v>
      </c>
      <c r="O669" s="867" t="s">
        <v>4055</v>
      </c>
      <c r="P669" s="869">
        <v>5</v>
      </c>
      <c r="Q669" s="869">
        <v>5</v>
      </c>
      <c r="R669" s="870">
        <v>0</v>
      </c>
      <c r="S669" s="871"/>
      <c r="T669" s="871"/>
      <c r="U669" s="872"/>
      <c r="W669" s="872"/>
    </row>
    <row r="670" spans="1:23" ht="36" x14ac:dyDescent="0.2">
      <c r="A670" s="812" t="s">
        <v>4053</v>
      </c>
      <c r="B670" s="866" t="s">
        <v>4054</v>
      </c>
      <c r="C670" s="866" t="s">
        <v>3867</v>
      </c>
      <c r="D670" s="867" t="s">
        <v>2887</v>
      </c>
      <c r="E670" s="868">
        <v>45634.980405092596</v>
      </c>
      <c r="F670" s="868">
        <v>45808.916655092595</v>
      </c>
      <c r="G670" s="867" t="s">
        <v>1741</v>
      </c>
      <c r="H670" s="867" t="s">
        <v>1755</v>
      </c>
      <c r="I670" s="867" t="s">
        <v>1757</v>
      </c>
      <c r="J670" s="867" t="s">
        <v>1757</v>
      </c>
      <c r="K670" s="867" t="s">
        <v>1804</v>
      </c>
      <c r="L670" s="867" t="s">
        <v>1805</v>
      </c>
      <c r="M670" s="867" t="s">
        <v>2886</v>
      </c>
      <c r="N670" s="867" t="s">
        <v>3870</v>
      </c>
      <c r="O670" s="873" t="s">
        <v>4055</v>
      </c>
      <c r="P670" s="874">
        <v>6</v>
      </c>
      <c r="Q670" s="874">
        <v>6</v>
      </c>
      <c r="R670" s="875">
        <v>0</v>
      </c>
      <c r="S670" s="876"/>
      <c r="T670" s="876"/>
      <c r="U670" s="877"/>
      <c r="W670" s="877"/>
    </row>
    <row r="671" spans="1:23" ht="36" x14ac:dyDescent="0.2">
      <c r="A671" s="812" t="s">
        <v>4053</v>
      </c>
      <c r="B671" s="866" t="s">
        <v>4054</v>
      </c>
      <c r="C671" s="866" t="s">
        <v>3867</v>
      </c>
      <c r="D671" s="867" t="s">
        <v>2888</v>
      </c>
      <c r="E671" s="868">
        <v>45468.916666666664</v>
      </c>
      <c r="F671" s="868">
        <v>45560.916666666664</v>
      </c>
      <c r="G671" s="867" t="s">
        <v>1758</v>
      </c>
      <c r="H671" s="867" t="s">
        <v>1759</v>
      </c>
      <c r="I671" s="867" t="s">
        <v>1823</v>
      </c>
      <c r="J671" s="867" t="s">
        <v>2889</v>
      </c>
      <c r="K671" s="867" t="s">
        <v>1804</v>
      </c>
      <c r="L671" s="867" t="s">
        <v>1819</v>
      </c>
      <c r="M671" s="867" t="s">
        <v>2886</v>
      </c>
      <c r="N671" s="867" t="s">
        <v>3870</v>
      </c>
      <c r="O671" s="867" t="s">
        <v>4055</v>
      </c>
      <c r="P671" s="869">
        <v>4</v>
      </c>
      <c r="Q671" s="869">
        <v>2</v>
      </c>
      <c r="R671" s="870">
        <v>0</v>
      </c>
      <c r="S671" s="871"/>
      <c r="T671" s="871"/>
      <c r="U671" s="872"/>
      <c r="W671" s="872"/>
    </row>
    <row r="672" spans="1:23" ht="36" x14ac:dyDescent="0.2">
      <c r="A672" s="812" t="s">
        <v>4053</v>
      </c>
      <c r="B672" s="866" t="s">
        <v>4054</v>
      </c>
      <c r="C672" s="866" t="s">
        <v>3867</v>
      </c>
      <c r="D672" s="867" t="s">
        <v>2890</v>
      </c>
      <c r="E672" s="868">
        <v>45468.916666666664</v>
      </c>
      <c r="F672" s="868">
        <v>45560.916666666664</v>
      </c>
      <c r="G672" s="867" t="s">
        <v>1741</v>
      </c>
      <c r="H672" s="867" t="s">
        <v>1749</v>
      </c>
      <c r="I672" s="867" t="s">
        <v>1813</v>
      </c>
      <c r="J672" s="867" t="s">
        <v>2891</v>
      </c>
      <c r="K672" s="867" t="s">
        <v>1804</v>
      </c>
      <c r="L672" s="867" t="s">
        <v>1815</v>
      </c>
      <c r="M672" s="867" t="s">
        <v>2886</v>
      </c>
      <c r="N672" s="867" t="s">
        <v>3870</v>
      </c>
      <c r="O672" s="873" t="s">
        <v>4055</v>
      </c>
      <c r="P672" s="874">
        <v>4</v>
      </c>
      <c r="Q672" s="874">
        <v>3</v>
      </c>
      <c r="R672" s="875">
        <v>0</v>
      </c>
      <c r="S672" s="876"/>
      <c r="T672" s="876"/>
      <c r="U672" s="877"/>
      <c r="W672" s="877"/>
    </row>
    <row r="673" spans="1:23" ht="36" x14ac:dyDescent="0.2">
      <c r="A673" s="812" t="s">
        <v>4053</v>
      </c>
      <c r="B673" s="866" t="s">
        <v>4054</v>
      </c>
      <c r="C673" s="866" t="s">
        <v>3867</v>
      </c>
      <c r="D673" s="867" t="s">
        <v>2892</v>
      </c>
      <c r="E673" s="868">
        <v>45545.493946759256</v>
      </c>
      <c r="F673" s="868">
        <v>45838.916655092595</v>
      </c>
      <c r="G673" s="867" t="s">
        <v>1741</v>
      </c>
      <c r="H673" s="867" t="s">
        <v>1749</v>
      </c>
      <c r="I673" s="867" t="s">
        <v>1749</v>
      </c>
      <c r="J673" s="867" t="s">
        <v>2893</v>
      </c>
      <c r="K673" s="867" t="s">
        <v>1804</v>
      </c>
      <c r="L673" s="867" t="s">
        <v>1869</v>
      </c>
      <c r="M673" s="867" t="s">
        <v>2886</v>
      </c>
      <c r="N673" s="867" t="s">
        <v>3870</v>
      </c>
      <c r="O673" s="867" t="s">
        <v>4055</v>
      </c>
      <c r="P673" s="869">
        <v>8</v>
      </c>
      <c r="Q673" s="869">
        <v>8</v>
      </c>
      <c r="R673" s="870">
        <v>1</v>
      </c>
      <c r="S673" s="871"/>
      <c r="T673" s="871"/>
      <c r="U673" s="872"/>
      <c r="W673" s="872"/>
    </row>
    <row r="674" spans="1:23" ht="36" x14ac:dyDescent="0.2">
      <c r="A674" s="812" t="s">
        <v>4053</v>
      </c>
      <c r="B674" s="866" t="s">
        <v>4054</v>
      </c>
      <c r="C674" s="866" t="s">
        <v>3867</v>
      </c>
      <c r="D674" s="867" t="s">
        <v>2894</v>
      </c>
      <c r="E674" s="868">
        <v>45543.916666666664</v>
      </c>
      <c r="F674" s="868">
        <v>45807.916655092595</v>
      </c>
      <c r="G674" s="867" t="s">
        <v>1741</v>
      </c>
      <c r="H674" s="867" t="s">
        <v>1749</v>
      </c>
      <c r="I674" s="867" t="s">
        <v>1749</v>
      </c>
      <c r="J674" s="867" t="s">
        <v>2895</v>
      </c>
      <c r="K674" s="867" t="s">
        <v>1804</v>
      </c>
      <c r="L674" s="867" t="s">
        <v>1869</v>
      </c>
      <c r="M674" s="867" t="s">
        <v>2886</v>
      </c>
      <c r="N674" s="867" t="s">
        <v>3870</v>
      </c>
      <c r="O674" s="873" t="s">
        <v>4055</v>
      </c>
      <c r="P674" s="874">
        <v>18</v>
      </c>
      <c r="Q674" s="874">
        <v>18</v>
      </c>
      <c r="R674" s="875">
        <v>5</v>
      </c>
      <c r="S674" s="876"/>
      <c r="T674" s="876"/>
      <c r="U674" s="877"/>
      <c r="W674" s="877"/>
    </row>
    <row r="675" spans="1:23" ht="24" x14ac:dyDescent="0.2">
      <c r="A675" s="865" t="s">
        <v>2896</v>
      </c>
      <c r="B675" s="866" t="s">
        <v>4056</v>
      </c>
      <c r="C675" s="866" t="s">
        <v>3860</v>
      </c>
      <c r="D675" s="867" t="s">
        <v>2897</v>
      </c>
      <c r="E675" s="868">
        <v>45547.728483796294</v>
      </c>
      <c r="F675" s="868">
        <v>45869.916655092595</v>
      </c>
      <c r="G675" s="867" t="s">
        <v>1758</v>
      </c>
      <c r="H675" s="867" t="s">
        <v>1759</v>
      </c>
      <c r="I675" s="867" t="s">
        <v>1761</v>
      </c>
      <c r="J675" s="867" t="s">
        <v>2898</v>
      </c>
      <c r="K675" s="867" t="s">
        <v>1804</v>
      </c>
      <c r="L675" s="867" t="s">
        <v>1828</v>
      </c>
      <c r="M675" s="867" t="s">
        <v>2899</v>
      </c>
      <c r="N675" s="867" t="s">
        <v>4057</v>
      </c>
      <c r="O675" s="867" t="s">
        <v>4058</v>
      </c>
      <c r="P675" s="869">
        <v>25</v>
      </c>
      <c r="Q675" s="869">
        <v>24</v>
      </c>
      <c r="R675" s="870">
        <v>0</v>
      </c>
      <c r="S675" s="871">
        <v>25</v>
      </c>
      <c r="T675" s="871">
        <v>24</v>
      </c>
      <c r="U675" s="872">
        <v>0</v>
      </c>
      <c r="W675" s="872">
        <v>0</v>
      </c>
    </row>
    <row r="676" spans="1:23" ht="24" x14ac:dyDescent="0.2">
      <c r="A676" s="865" t="s">
        <v>2896</v>
      </c>
      <c r="B676" s="866" t="s">
        <v>4056</v>
      </c>
      <c r="C676" s="866" t="s">
        <v>3860</v>
      </c>
      <c r="D676" s="867" t="s">
        <v>2900</v>
      </c>
      <c r="E676" s="868">
        <v>45554.465150462966</v>
      </c>
      <c r="F676" s="868">
        <v>45916.916655092595</v>
      </c>
      <c r="G676" s="867" t="s">
        <v>1758</v>
      </c>
      <c r="H676" s="867" t="s">
        <v>1759</v>
      </c>
      <c r="I676" s="867" t="s">
        <v>1761</v>
      </c>
      <c r="J676" s="867" t="s">
        <v>2901</v>
      </c>
      <c r="K676" s="867" t="s">
        <v>1804</v>
      </c>
      <c r="L676" s="867" t="s">
        <v>1828</v>
      </c>
      <c r="M676" s="867" t="s">
        <v>2902</v>
      </c>
      <c r="N676" s="867" t="s">
        <v>4059</v>
      </c>
      <c r="O676" s="873" t="s">
        <v>4060</v>
      </c>
      <c r="P676" s="874">
        <v>1</v>
      </c>
      <c r="Q676" s="874">
        <v>0</v>
      </c>
      <c r="R676" s="875">
        <v>0</v>
      </c>
      <c r="S676" s="876">
        <v>1</v>
      </c>
      <c r="T676" s="876">
        <v>0</v>
      </c>
      <c r="U676" s="877">
        <v>0</v>
      </c>
      <c r="W676" s="877">
        <v>0</v>
      </c>
    </row>
    <row r="677" spans="1:23" ht="36" x14ac:dyDescent="0.2">
      <c r="A677" s="865" t="s">
        <v>2896</v>
      </c>
      <c r="B677" s="866" t="s">
        <v>4056</v>
      </c>
      <c r="C677" s="866" t="s">
        <v>3860</v>
      </c>
      <c r="D677" s="867" t="s">
        <v>2903</v>
      </c>
      <c r="E677" s="868">
        <v>45330.958333333336</v>
      </c>
      <c r="F677" s="868">
        <v>45564.916666666664</v>
      </c>
      <c r="G677" s="867" t="s">
        <v>1758</v>
      </c>
      <c r="H677" s="867" t="s">
        <v>1759</v>
      </c>
      <c r="I677" s="867" t="s">
        <v>1823</v>
      </c>
      <c r="J677" s="867" t="s">
        <v>2904</v>
      </c>
      <c r="K677" s="867" t="s">
        <v>1804</v>
      </c>
      <c r="L677" s="867" t="s">
        <v>1819</v>
      </c>
      <c r="M677" s="867" t="s">
        <v>2899</v>
      </c>
      <c r="N677" s="867" t="s">
        <v>4057</v>
      </c>
      <c r="O677" s="867" t="s">
        <v>4058</v>
      </c>
      <c r="P677" s="869">
        <v>13</v>
      </c>
      <c r="Q677" s="869">
        <v>12</v>
      </c>
      <c r="R677" s="870">
        <v>4</v>
      </c>
      <c r="S677" s="871">
        <v>13</v>
      </c>
      <c r="T677" s="871">
        <v>12</v>
      </c>
      <c r="U677" s="872">
        <v>4</v>
      </c>
      <c r="W677" s="872">
        <v>4</v>
      </c>
    </row>
    <row r="678" spans="1:23" ht="36" x14ac:dyDescent="0.2">
      <c r="A678" s="865" t="s">
        <v>2896</v>
      </c>
      <c r="B678" s="866" t="s">
        <v>4056</v>
      </c>
      <c r="C678" s="866" t="s">
        <v>3860</v>
      </c>
      <c r="D678" s="867" t="s">
        <v>2905</v>
      </c>
      <c r="E678" s="868">
        <v>45427.916666666664</v>
      </c>
      <c r="F678" s="868">
        <v>45564.916666666664</v>
      </c>
      <c r="G678" s="867" t="s">
        <v>1741</v>
      </c>
      <c r="H678" s="867" t="s">
        <v>1749</v>
      </c>
      <c r="I678" s="867" t="s">
        <v>1813</v>
      </c>
      <c r="J678" s="867" t="s">
        <v>2906</v>
      </c>
      <c r="K678" s="867" t="s">
        <v>1804</v>
      </c>
      <c r="L678" s="867" t="s">
        <v>1815</v>
      </c>
      <c r="M678" s="867" t="s">
        <v>2899</v>
      </c>
      <c r="N678" s="867" t="s">
        <v>4057</v>
      </c>
      <c r="O678" s="873" t="s">
        <v>4058</v>
      </c>
      <c r="P678" s="874">
        <v>5</v>
      </c>
      <c r="Q678" s="874">
        <v>3</v>
      </c>
      <c r="R678" s="875">
        <v>0</v>
      </c>
      <c r="S678" s="876">
        <v>5</v>
      </c>
      <c r="T678" s="876">
        <v>3</v>
      </c>
      <c r="U678" s="877">
        <v>0</v>
      </c>
      <c r="W678" s="877">
        <v>0</v>
      </c>
    </row>
    <row r="679" spans="1:23" ht="36" x14ac:dyDescent="0.2">
      <c r="A679" s="865" t="s">
        <v>2896</v>
      </c>
      <c r="B679" s="866" t="s">
        <v>4056</v>
      </c>
      <c r="C679" s="866" t="s">
        <v>3860</v>
      </c>
      <c r="D679" s="867" t="s">
        <v>2907</v>
      </c>
      <c r="E679" s="868">
        <v>45452.916666666664</v>
      </c>
      <c r="F679" s="868">
        <v>45564.916666666664</v>
      </c>
      <c r="G679" s="867" t="s">
        <v>1758</v>
      </c>
      <c r="H679" s="867" t="s">
        <v>1759</v>
      </c>
      <c r="I679" s="867" t="s">
        <v>1823</v>
      </c>
      <c r="J679" s="867" t="s">
        <v>2908</v>
      </c>
      <c r="K679" s="867" t="s">
        <v>1804</v>
      </c>
      <c r="L679" s="867" t="s">
        <v>1819</v>
      </c>
      <c r="M679" s="867" t="s">
        <v>2899</v>
      </c>
      <c r="N679" s="867" t="s">
        <v>4057</v>
      </c>
      <c r="O679" s="867" t="s">
        <v>4058</v>
      </c>
      <c r="P679" s="869">
        <v>1</v>
      </c>
      <c r="Q679" s="869">
        <v>1</v>
      </c>
      <c r="R679" s="870">
        <v>0</v>
      </c>
      <c r="S679" s="871">
        <v>1</v>
      </c>
      <c r="T679" s="871">
        <v>1</v>
      </c>
      <c r="U679" s="872">
        <v>0</v>
      </c>
      <c r="W679" s="872">
        <v>0</v>
      </c>
    </row>
    <row r="680" spans="1:23" ht="48" x14ac:dyDescent="0.2">
      <c r="A680" s="865" t="s">
        <v>2896</v>
      </c>
      <c r="B680" s="866" t="s">
        <v>4056</v>
      </c>
      <c r="C680" s="866" t="s">
        <v>3860</v>
      </c>
      <c r="D680" s="867" t="s">
        <v>2909</v>
      </c>
      <c r="E680" s="868">
        <v>45547.692743055559</v>
      </c>
      <c r="F680" s="868">
        <v>45869.916655092595</v>
      </c>
      <c r="G680" s="867" t="s">
        <v>1758</v>
      </c>
      <c r="H680" s="867" t="s">
        <v>1759</v>
      </c>
      <c r="I680" s="867" t="s">
        <v>1760</v>
      </c>
      <c r="J680" s="867" t="s">
        <v>2910</v>
      </c>
      <c r="K680" s="867" t="s">
        <v>1804</v>
      </c>
      <c r="L680" s="867" t="s">
        <v>1805</v>
      </c>
      <c r="M680" s="867" t="s">
        <v>2899</v>
      </c>
      <c r="N680" s="867" t="s">
        <v>4057</v>
      </c>
      <c r="O680" s="873" t="s">
        <v>4058</v>
      </c>
      <c r="P680" s="874">
        <v>32</v>
      </c>
      <c r="Q680" s="874">
        <v>12</v>
      </c>
      <c r="R680" s="875">
        <v>0</v>
      </c>
      <c r="S680" s="876">
        <v>32</v>
      </c>
      <c r="T680" s="876">
        <v>12</v>
      </c>
      <c r="U680" s="877">
        <v>0</v>
      </c>
      <c r="W680" s="877">
        <v>0</v>
      </c>
    </row>
    <row r="681" spans="1:23" ht="36" x14ac:dyDescent="0.2">
      <c r="A681" s="865" t="s">
        <v>2896</v>
      </c>
      <c r="B681" s="866" t="s">
        <v>4056</v>
      </c>
      <c r="C681" s="866" t="s">
        <v>3860</v>
      </c>
      <c r="D681" s="867" t="s">
        <v>2911</v>
      </c>
      <c r="E681" s="868">
        <v>45547.714525462965</v>
      </c>
      <c r="F681" s="868">
        <v>45869.916655092595</v>
      </c>
      <c r="G681" s="867" t="s">
        <v>1758</v>
      </c>
      <c r="H681" s="867" t="s">
        <v>1759</v>
      </c>
      <c r="I681" s="867" t="s">
        <v>1762</v>
      </c>
      <c r="J681" s="867" t="s">
        <v>2912</v>
      </c>
      <c r="K681" s="867" t="s">
        <v>1804</v>
      </c>
      <c r="L681" s="867" t="s">
        <v>1828</v>
      </c>
      <c r="M681" s="867" t="s">
        <v>2899</v>
      </c>
      <c r="N681" s="867" t="s">
        <v>4057</v>
      </c>
      <c r="O681" s="867" t="s">
        <v>4058</v>
      </c>
      <c r="P681" s="869">
        <v>33</v>
      </c>
      <c r="Q681" s="869">
        <v>33</v>
      </c>
      <c r="R681" s="870">
        <v>2</v>
      </c>
      <c r="S681" s="871">
        <v>33</v>
      </c>
      <c r="T681" s="871">
        <v>33</v>
      </c>
      <c r="U681" s="872">
        <v>2</v>
      </c>
      <c r="W681" s="872">
        <v>2</v>
      </c>
    </row>
    <row r="682" spans="1:23" ht="24" x14ac:dyDescent="0.2">
      <c r="A682" s="865" t="s">
        <v>2896</v>
      </c>
      <c r="B682" s="866" t="s">
        <v>4056</v>
      </c>
      <c r="C682" s="866" t="s">
        <v>3860</v>
      </c>
      <c r="D682" s="867" t="s">
        <v>2913</v>
      </c>
      <c r="E682" s="868">
        <v>45589.350370370368</v>
      </c>
      <c r="F682" s="868">
        <v>45838.916655092595</v>
      </c>
      <c r="G682" s="867" t="s">
        <v>1758</v>
      </c>
      <c r="H682" s="867" t="s">
        <v>1759</v>
      </c>
      <c r="I682" s="867" t="s">
        <v>1761</v>
      </c>
      <c r="J682" s="867" t="s">
        <v>1761</v>
      </c>
      <c r="K682" s="867" t="s">
        <v>1804</v>
      </c>
      <c r="L682" s="867" t="s">
        <v>1828</v>
      </c>
      <c r="M682" s="867" t="s">
        <v>2899</v>
      </c>
      <c r="N682" s="867" t="s">
        <v>4057</v>
      </c>
      <c r="O682" s="873" t="s">
        <v>4058</v>
      </c>
      <c r="P682" s="874">
        <v>8</v>
      </c>
      <c r="Q682" s="874">
        <v>3</v>
      </c>
      <c r="R682" s="875">
        <v>2</v>
      </c>
      <c r="S682" s="876">
        <v>8</v>
      </c>
      <c r="T682" s="876">
        <v>3</v>
      </c>
      <c r="U682" s="877">
        <v>2</v>
      </c>
      <c r="W682" s="877">
        <v>2</v>
      </c>
    </row>
    <row r="683" spans="1:23" ht="24" x14ac:dyDescent="0.2">
      <c r="A683" s="865" t="s">
        <v>2914</v>
      </c>
      <c r="B683" s="866">
        <v>30815339</v>
      </c>
      <c r="C683" s="866" t="s">
        <v>3966</v>
      </c>
      <c r="D683" s="1438" t="s">
        <v>2915</v>
      </c>
      <c r="E683" s="1441">
        <v>45637.483703703707</v>
      </c>
      <c r="F683" s="1441">
        <v>45777.916655092595</v>
      </c>
      <c r="G683" s="1438" t="s">
        <v>1767</v>
      </c>
      <c r="H683" s="1438" t="s">
        <v>1770</v>
      </c>
      <c r="I683" s="1438" t="s">
        <v>1771</v>
      </c>
      <c r="J683" s="1438" t="s">
        <v>2916</v>
      </c>
      <c r="K683" s="1438" t="s">
        <v>1804</v>
      </c>
      <c r="L683" s="1438" t="s">
        <v>1805</v>
      </c>
      <c r="M683" s="867" t="s">
        <v>2917</v>
      </c>
      <c r="N683" s="867" t="s">
        <v>4061</v>
      </c>
      <c r="O683" s="867" t="s">
        <v>4062</v>
      </c>
      <c r="P683" s="869">
        <v>2</v>
      </c>
      <c r="Q683" s="869">
        <v>2</v>
      </c>
      <c r="R683" s="870">
        <v>2</v>
      </c>
      <c r="S683" s="871"/>
      <c r="T683" s="871"/>
      <c r="U683" s="872"/>
      <c r="W683" s="872"/>
    </row>
    <row r="684" spans="1:23" ht="24" x14ac:dyDescent="0.2">
      <c r="A684" s="865" t="s">
        <v>2914</v>
      </c>
      <c r="B684" s="866">
        <v>30815339</v>
      </c>
      <c r="C684" s="866" t="s">
        <v>3966</v>
      </c>
      <c r="D684" s="1440"/>
      <c r="E684" s="1443"/>
      <c r="F684" s="1443"/>
      <c r="G684" s="1440"/>
      <c r="H684" s="1440"/>
      <c r="I684" s="1440"/>
      <c r="J684" s="1440"/>
      <c r="K684" s="1440"/>
      <c r="L684" s="1440"/>
      <c r="M684" s="867" t="s">
        <v>2918</v>
      </c>
      <c r="N684" s="867" t="s">
        <v>4063</v>
      </c>
      <c r="O684" s="873" t="s">
        <v>4064</v>
      </c>
      <c r="P684" s="874">
        <v>2</v>
      </c>
      <c r="Q684" s="874">
        <v>2</v>
      </c>
      <c r="R684" s="875">
        <v>2</v>
      </c>
      <c r="S684" s="876"/>
      <c r="T684" s="876"/>
      <c r="U684" s="877"/>
      <c r="W684" s="877"/>
    </row>
    <row r="685" spans="1:23" ht="36" x14ac:dyDescent="0.2">
      <c r="A685" s="865" t="s">
        <v>2914</v>
      </c>
      <c r="B685" s="866">
        <v>30815339</v>
      </c>
      <c r="C685" s="866" t="s">
        <v>3966</v>
      </c>
      <c r="D685" s="867" t="s">
        <v>2919</v>
      </c>
      <c r="E685" s="868">
        <v>45321.958333333336</v>
      </c>
      <c r="F685" s="868">
        <v>45564.916666666664</v>
      </c>
      <c r="G685" s="867" t="s">
        <v>1741</v>
      </c>
      <c r="H685" s="867" t="s">
        <v>1749</v>
      </c>
      <c r="I685" s="867" t="s">
        <v>1813</v>
      </c>
      <c r="J685" s="867" t="s">
        <v>2920</v>
      </c>
      <c r="K685" s="867" t="s">
        <v>1804</v>
      </c>
      <c r="L685" s="867" t="s">
        <v>1815</v>
      </c>
      <c r="M685" s="867" t="s">
        <v>2918</v>
      </c>
      <c r="N685" s="867" t="s">
        <v>4063</v>
      </c>
      <c r="O685" s="867" t="s">
        <v>4064</v>
      </c>
      <c r="P685" s="869">
        <v>4</v>
      </c>
      <c r="Q685" s="869">
        <v>4</v>
      </c>
      <c r="R685" s="870">
        <v>3</v>
      </c>
      <c r="S685" s="871"/>
      <c r="T685" s="871"/>
      <c r="U685" s="872"/>
      <c r="W685" s="872"/>
    </row>
    <row r="686" spans="1:23" ht="36" x14ac:dyDescent="0.2">
      <c r="A686" s="865" t="s">
        <v>2914</v>
      </c>
      <c r="B686" s="866">
        <v>30815339</v>
      </c>
      <c r="C686" s="866" t="s">
        <v>3966</v>
      </c>
      <c r="D686" s="867" t="s">
        <v>2921</v>
      </c>
      <c r="E686" s="868">
        <v>45349.958333333336</v>
      </c>
      <c r="F686" s="868">
        <v>45687.958333333336</v>
      </c>
      <c r="G686" s="867" t="s">
        <v>1758</v>
      </c>
      <c r="H686" s="867" t="s">
        <v>1759</v>
      </c>
      <c r="I686" s="867" t="s">
        <v>1823</v>
      </c>
      <c r="J686" s="867" t="s">
        <v>2922</v>
      </c>
      <c r="K686" s="867" t="s">
        <v>1804</v>
      </c>
      <c r="L686" s="867" t="s">
        <v>1819</v>
      </c>
      <c r="M686" s="867" t="s">
        <v>2918</v>
      </c>
      <c r="N686" s="867" t="s">
        <v>4063</v>
      </c>
      <c r="O686" s="873" t="s">
        <v>4064</v>
      </c>
      <c r="P686" s="874">
        <v>3</v>
      </c>
      <c r="Q686" s="874">
        <v>3</v>
      </c>
      <c r="R686" s="875">
        <v>2</v>
      </c>
      <c r="S686" s="876"/>
      <c r="T686" s="876"/>
      <c r="U686" s="877"/>
      <c r="W686" s="877"/>
    </row>
    <row r="687" spans="1:23" ht="24" x14ac:dyDescent="0.2">
      <c r="A687" s="865" t="s">
        <v>2914</v>
      </c>
      <c r="B687" s="866">
        <v>30815339</v>
      </c>
      <c r="C687" s="866" t="s">
        <v>3966</v>
      </c>
      <c r="D687" s="1438" t="s">
        <v>2923</v>
      </c>
      <c r="E687" s="1441">
        <v>45598.958333333336</v>
      </c>
      <c r="F687" s="1441">
        <v>45808.916655092595</v>
      </c>
      <c r="G687" s="1438" t="s">
        <v>1767</v>
      </c>
      <c r="H687" s="1438" t="s">
        <v>1770</v>
      </c>
      <c r="I687" s="1438" t="s">
        <v>1771</v>
      </c>
      <c r="J687" s="1438" t="s">
        <v>2924</v>
      </c>
      <c r="K687" s="1438" t="s">
        <v>1804</v>
      </c>
      <c r="L687" s="1438" t="s">
        <v>1805</v>
      </c>
      <c r="M687" s="867" t="s">
        <v>2917</v>
      </c>
      <c r="N687" s="867" t="s">
        <v>4061</v>
      </c>
      <c r="O687" s="867" t="s">
        <v>4062</v>
      </c>
      <c r="P687" s="869">
        <v>3</v>
      </c>
      <c r="Q687" s="869">
        <v>3</v>
      </c>
      <c r="R687" s="870">
        <v>3</v>
      </c>
      <c r="S687" s="871"/>
      <c r="T687" s="871"/>
      <c r="U687" s="872"/>
      <c r="W687" s="872"/>
    </row>
    <row r="688" spans="1:23" ht="24" x14ac:dyDescent="0.2">
      <c r="A688" s="865" t="s">
        <v>2914</v>
      </c>
      <c r="B688" s="866">
        <v>30815339</v>
      </c>
      <c r="C688" s="866" t="s">
        <v>3966</v>
      </c>
      <c r="D688" s="1440"/>
      <c r="E688" s="1443"/>
      <c r="F688" s="1443"/>
      <c r="G688" s="1440"/>
      <c r="H688" s="1440"/>
      <c r="I688" s="1440"/>
      <c r="J688" s="1440"/>
      <c r="K688" s="1440"/>
      <c r="L688" s="1440"/>
      <c r="M688" s="867" t="s">
        <v>2918</v>
      </c>
      <c r="N688" s="867" t="s">
        <v>4063</v>
      </c>
      <c r="O688" s="873" t="s">
        <v>4064</v>
      </c>
      <c r="P688" s="874">
        <v>3</v>
      </c>
      <c r="Q688" s="874">
        <v>3</v>
      </c>
      <c r="R688" s="875">
        <v>3</v>
      </c>
      <c r="S688" s="876"/>
      <c r="T688" s="876"/>
      <c r="U688" s="877"/>
      <c r="W688" s="877"/>
    </row>
    <row r="689" spans="1:23" ht="24" x14ac:dyDescent="0.2">
      <c r="A689" s="865" t="s">
        <v>2914</v>
      </c>
      <c r="B689" s="866">
        <v>30815339</v>
      </c>
      <c r="C689" s="866" t="s">
        <v>3966</v>
      </c>
      <c r="D689" s="1438" t="s">
        <v>2925</v>
      </c>
      <c r="E689" s="1441">
        <v>45582.307928240742</v>
      </c>
      <c r="F689" s="1441">
        <v>45930.916655092595</v>
      </c>
      <c r="G689" s="1438" t="s">
        <v>1758</v>
      </c>
      <c r="H689" s="1438" t="s">
        <v>1759</v>
      </c>
      <c r="I689" s="1438" t="s">
        <v>1761</v>
      </c>
      <c r="J689" s="1438" t="s">
        <v>2926</v>
      </c>
      <c r="K689" s="1438" t="s">
        <v>1804</v>
      </c>
      <c r="L689" s="1438" t="s">
        <v>1828</v>
      </c>
      <c r="M689" s="867" t="s">
        <v>2927</v>
      </c>
      <c r="N689" s="867" t="s">
        <v>3987</v>
      </c>
      <c r="O689" s="867" t="s">
        <v>4065</v>
      </c>
      <c r="P689" s="869">
        <v>21</v>
      </c>
      <c r="Q689" s="869">
        <v>18</v>
      </c>
      <c r="R689" s="870">
        <v>0</v>
      </c>
      <c r="S689" s="871"/>
      <c r="T689" s="871"/>
      <c r="U689" s="872"/>
      <c r="W689" s="872"/>
    </row>
    <row r="690" spans="1:23" ht="24" x14ac:dyDescent="0.2">
      <c r="A690" s="865" t="s">
        <v>2914</v>
      </c>
      <c r="B690" s="866">
        <v>30815339</v>
      </c>
      <c r="C690" s="866" t="s">
        <v>3966</v>
      </c>
      <c r="D690" s="1440"/>
      <c r="E690" s="1443"/>
      <c r="F690" s="1443"/>
      <c r="G690" s="1440"/>
      <c r="H690" s="1440"/>
      <c r="I690" s="1440"/>
      <c r="J690" s="1440"/>
      <c r="K690" s="1440"/>
      <c r="L690" s="1440"/>
      <c r="M690" s="867" t="s">
        <v>2917</v>
      </c>
      <c r="N690" s="867" t="s">
        <v>4061</v>
      </c>
      <c r="O690" s="873" t="s">
        <v>4062</v>
      </c>
      <c r="P690" s="874">
        <v>21</v>
      </c>
      <c r="Q690" s="874">
        <v>18</v>
      </c>
      <c r="R690" s="875">
        <v>0</v>
      </c>
      <c r="S690" s="876"/>
      <c r="T690" s="876"/>
      <c r="U690" s="877"/>
      <c r="W690" s="877"/>
    </row>
    <row r="691" spans="1:23" ht="24" x14ac:dyDescent="0.2">
      <c r="A691" s="865" t="s">
        <v>2914</v>
      </c>
      <c r="B691" s="866">
        <v>30815339</v>
      </c>
      <c r="C691" s="866" t="s">
        <v>3966</v>
      </c>
      <c r="D691" s="1438" t="s">
        <v>2928</v>
      </c>
      <c r="E691" s="1441">
        <v>45598.958333333336</v>
      </c>
      <c r="F691" s="1441">
        <v>45807.916655092595</v>
      </c>
      <c r="G691" s="1438" t="s">
        <v>1767</v>
      </c>
      <c r="H691" s="1438" t="s">
        <v>1770</v>
      </c>
      <c r="I691" s="1438" t="s">
        <v>1771</v>
      </c>
      <c r="J691" s="1438" t="s">
        <v>2929</v>
      </c>
      <c r="K691" s="1438" t="s">
        <v>1804</v>
      </c>
      <c r="L691" s="1438" t="s">
        <v>1805</v>
      </c>
      <c r="M691" s="867" t="s">
        <v>2917</v>
      </c>
      <c r="N691" s="867" t="s">
        <v>4061</v>
      </c>
      <c r="O691" s="867" t="s">
        <v>4062</v>
      </c>
      <c r="P691" s="869">
        <v>3</v>
      </c>
      <c r="Q691" s="869">
        <v>3</v>
      </c>
      <c r="R691" s="870">
        <v>3</v>
      </c>
      <c r="S691" s="871"/>
      <c r="T691" s="871"/>
      <c r="U691" s="872"/>
      <c r="W691" s="872"/>
    </row>
    <row r="692" spans="1:23" ht="24" x14ac:dyDescent="0.2">
      <c r="A692" s="865" t="s">
        <v>2914</v>
      </c>
      <c r="B692" s="866">
        <v>30815339</v>
      </c>
      <c r="C692" s="866" t="s">
        <v>3966</v>
      </c>
      <c r="D692" s="1440"/>
      <c r="E692" s="1443"/>
      <c r="F692" s="1443"/>
      <c r="G692" s="1440"/>
      <c r="H692" s="1440"/>
      <c r="I692" s="1440"/>
      <c r="J692" s="1440"/>
      <c r="K692" s="1440"/>
      <c r="L692" s="1440"/>
      <c r="M692" s="867" t="s">
        <v>2918</v>
      </c>
      <c r="N692" s="867" t="s">
        <v>4063</v>
      </c>
      <c r="O692" s="873" t="s">
        <v>4064</v>
      </c>
      <c r="P692" s="874">
        <v>3</v>
      </c>
      <c r="Q692" s="874">
        <v>3</v>
      </c>
      <c r="R692" s="875">
        <v>3</v>
      </c>
      <c r="S692" s="876"/>
      <c r="T692" s="876"/>
      <c r="U692" s="877"/>
      <c r="W692" s="877"/>
    </row>
    <row r="693" spans="1:23" ht="24" x14ac:dyDescent="0.2">
      <c r="A693" s="865" t="s">
        <v>2914</v>
      </c>
      <c r="B693" s="866">
        <v>30815339</v>
      </c>
      <c r="C693" s="866" t="s">
        <v>3966</v>
      </c>
      <c r="D693" s="1438" t="s">
        <v>2930</v>
      </c>
      <c r="E693" s="1441">
        <v>45598.958333333336</v>
      </c>
      <c r="F693" s="1441">
        <v>45807.916655092595</v>
      </c>
      <c r="G693" s="1438" t="s">
        <v>1767</v>
      </c>
      <c r="H693" s="1438" t="s">
        <v>1770</v>
      </c>
      <c r="I693" s="1438" t="s">
        <v>1771</v>
      </c>
      <c r="J693" s="1438" t="s">
        <v>2931</v>
      </c>
      <c r="K693" s="1438" t="s">
        <v>1804</v>
      </c>
      <c r="L693" s="1438" t="s">
        <v>1805</v>
      </c>
      <c r="M693" s="867" t="s">
        <v>2917</v>
      </c>
      <c r="N693" s="867" t="s">
        <v>4061</v>
      </c>
      <c r="O693" s="867" t="s">
        <v>4062</v>
      </c>
      <c r="P693" s="869">
        <v>3</v>
      </c>
      <c r="Q693" s="869">
        <v>3</v>
      </c>
      <c r="R693" s="870">
        <v>3</v>
      </c>
      <c r="S693" s="871"/>
      <c r="T693" s="871"/>
      <c r="U693" s="872"/>
      <c r="W693" s="872"/>
    </row>
    <row r="694" spans="1:23" ht="24" x14ac:dyDescent="0.2">
      <c r="A694" s="865" t="s">
        <v>2914</v>
      </c>
      <c r="B694" s="866">
        <v>30815339</v>
      </c>
      <c r="C694" s="866" t="s">
        <v>3966</v>
      </c>
      <c r="D694" s="1440"/>
      <c r="E694" s="1443"/>
      <c r="F694" s="1443"/>
      <c r="G694" s="1440"/>
      <c r="H694" s="1440"/>
      <c r="I694" s="1440"/>
      <c r="J694" s="1440"/>
      <c r="K694" s="1440"/>
      <c r="L694" s="1440"/>
      <c r="M694" s="867" t="s">
        <v>2918</v>
      </c>
      <c r="N694" s="867" t="s">
        <v>4063</v>
      </c>
      <c r="O694" s="873" t="s">
        <v>4064</v>
      </c>
      <c r="P694" s="874">
        <v>3</v>
      </c>
      <c r="Q694" s="874">
        <v>3</v>
      </c>
      <c r="R694" s="875">
        <v>3</v>
      </c>
      <c r="S694" s="876"/>
      <c r="T694" s="876"/>
      <c r="U694" s="877"/>
      <c r="W694" s="877"/>
    </row>
    <row r="695" spans="1:23" ht="24" x14ac:dyDescent="0.2">
      <c r="A695" s="865" t="s">
        <v>2932</v>
      </c>
      <c r="B695" s="866" t="s">
        <v>4066</v>
      </c>
      <c r="C695" s="866" t="s">
        <v>3860</v>
      </c>
      <c r="D695" s="1438" t="s">
        <v>2933</v>
      </c>
      <c r="E695" s="1441">
        <v>45541.419722222221</v>
      </c>
      <c r="F695" s="1441">
        <v>45838.916655092595</v>
      </c>
      <c r="G695" s="1438" t="s">
        <v>1777</v>
      </c>
      <c r="H695" s="1438" t="s">
        <v>1888</v>
      </c>
      <c r="I695" s="1438" t="s">
        <v>1889</v>
      </c>
      <c r="J695" s="1438" t="s">
        <v>1889</v>
      </c>
      <c r="K695" s="1438" t="s">
        <v>1804</v>
      </c>
      <c r="L695" s="1438" t="s">
        <v>1805</v>
      </c>
      <c r="M695" s="867" t="s">
        <v>2934</v>
      </c>
      <c r="N695" s="867" t="s">
        <v>4067</v>
      </c>
      <c r="O695" s="867" t="s">
        <v>4068</v>
      </c>
      <c r="P695" s="869">
        <v>13</v>
      </c>
      <c r="Q695" s="869">
        <v>8</v>
      </c>
      <c r="R695" s="870">
        <v>1</v>
      </c>
      <c r="S695" s="871">
        <v>13</v>
      </c>
      <c r="T695" s="871">
        <v>8</v>
      </c>
      <c r="U695" s="872">
        <v>1</v>
      </c>
      <c r="W695" s="872">
        <v>1</v>
      </c>
    </row>
    <row r="696" spans="1:23" ht="24" x14ac:dyDescent="0.2">
      <c r="A696" s="865" t="s">
        <v>2932</v>
      </c>
      <c r="B696" s="866" t="s">
        <v>4066</v>
      </c>
      <c r="C696" s="878" t="s">
        <v>3860</v>
      </c>
      <c r="D696" s="1440"/>
      <c r="E696" s="1443"/>
      <c r="F696" s="1443"/>
      <c r="G696" s="1440"/>
      <c r="H696" s="1440"/>
      <c r="I696" s="1440"/>
      <c r="J696" s="1440"/>
      <c r="K696" s="1440"/>
      <c r="L696" s="1440"/>
      <c r="M696" s="867" t="s">
        <v>2935</v>
      </c>
      <c r="N696" s="867" t="s">
        <v>4069</v>
      </c>
      <c r="O696" s="873" t="s">
        <v>4070</v>
      </c>
      <c r="P696" s="874">
        <v>13</v>
      </c>
      <c r="Q696" s="874">
        <v>8</v>
      </c>
      <c r="R696" s="875">
        <v>1</v>
      </c>
      <c r="S696" s="876">
        <v>13</v>
      </c>
      <c r="T696" s="876">
        <v>8</v>
      </c>
      <c r="U696" s="877">
        <v>1</v>
      </c>
      <c r="W696" s="877">
        <v>1</v>
      </c>
    </row>
    <row r="697" spans="1:23" ht="24" x14ac:dyDescent="0.2">
      <c r="A697" s="867" t="s">
        <v>2936</v>
      </c>
      <c r="B697" s="866" t="s">
        <v>4071</v>
      </c>
      <c r="C697" s="879" t="s">
        <v>3867</v>
      </c>
      <c r="D697" s="867" t="s">
        <v>2937</v>
      </c>
      <c r="E697" s="868">
        <v>45536.916666666664</v>
      </c>
      <c r="F697" s="868">
        <v>45838.916655092595</v>
      </c>
      <c r="G697" s="867" t="s">
        <v>1758</v>
      </c>
      <c r="H697" s="867" t="s">
        <v>1759</v>
      </c>
      <c r="I697" s="867" t="s">
        <v>1761</v>
      </c>
      <c r="J697" s="867" t="s">
        <v>1761</v>
      </c>
      <c r="K697" s="867" t="s">
        <v>1804</v>
      </c>
      <c r="L697" s="867" t="s">
        <v>1828</v>
      </c>
      <c r="M697" s="867" t="s">
        <v>2938</v>
      </c>
      <c r="N697" s="867" t="s">
        <v>3985</v>
      </c>
      <c r="O697" s="867" t="s">
        <v>4072</v>
      </c>
      <c r="P697" s="869">
        <v>16</v>
      </c>
      <c r="Q697" s="869">
        <v>14</v>
      </c>
      <c r="R697" s="870">
        <v>0</v>
      </c>
      <c r="S697" s="871">
        <v>16</v>
      </c>
      <c r="T697" s="871">
        <v>14</v>
      </c>
      <c r="U697" s="872">
        <v>0</v>
      </c>
      <c r="W697" s="872">
        <v>0</v>
      </c>
    </row>
    <row r="698" spans="1:23" ht="24" x14ac:dyDescent="0.2">
      <c r="A698" s="865" t="s">
        <v>2939</v>
      </c>
      <c r="B698" s="866" t="s">
        <v>4073</v>
      </c>
      <c r="C698" s="866" t="s">
        <v>3876</v>
      </c>
      <c r="D698" s="867" t="s">
        <v>2940</v>
      </c>
      <c r="E698" s="868">
        <v>45540.482847222222</v>
      </c>
      <c r="F698" s="868">
        <v>45808.916655092595</v>
      </c>
      <c r="G698" s="867" t="s">
        <v>1772</v>
      </c>
      <c r="H698" s="867" t="s">
        <v>1765</v>
      </c>
      <c r="I698" s="867" t="s">
        <v>1774</v>
      </c>
      <c r="J698" s="867" t="s">
        <v>1774</v>
      </c>
      <c r="K698" s="867" t="s">
        <v>1804</v>
      </c>
      <c r="L698" s="867" t="s">
        <v>1805</v>
      </c>
      <c r="M698" s="867" t="s">
        <v>2941</v>
      </c>
      <c r="N698" s="867" t="s">
        <v>3863</v>
      </c>
      <c r="O698" s="873" t="s">
        <v>4074</v>
      </c>
      <c r="P698" s="874">
        <v>1</v>
      </c>
      <c r="Q698" s="874">
        <v>1</v>
      </c>
      <c r="R698" s="875">
        <v>0</v>
      </c>
      <c r="S698" s="876">
        <v>1</v>
      </c>
      <c r="T698" s="876">
        <v>1</v>
      </c>
      <c r="U698" s="877">
        <v>0</v>
      </c>
      <c r="W698" s="877"/>
    </row>
    <row r="699" spans="1:23" ht="24" x14ac:dyDescent="0.2">
      <c r="A699" s="865" t="s">
        <v>2939</v>
      </c>
      <c r="B699" s="866" t="s">
        <v>4073</v>
      </c>
      <c r="C699" s="866" t="s">
        <v>3876</v>
      </c>
      <c r="D699" s="867" t="s">
        <v>2942</v>
      </c>
      <c r="E699" s="868">
        <v>45551.729629629626</v>
      </c>
      <c r="F699" s="868">
        <v>45915.916655092595</v>
      </c>
      <c r="G699" s="867" t="s">
        <v>1758</v>
      </c>
      <c r="H699" s="867" t="s">
        <v>1759</v>
      </c>
      <c r="I699" s="867" t="s">
        <v>1761</v>
      </c>
      <c r="J699" s="867" t="s">
        <v>2943</v>
      </c>
      <c r="K699" s="867" t="s">
        <v>1804</v>
      </c>
      <c r="L699" s="867" t="s">
        <v>1828</v>
      </c>
      <c r="M699" s="867" t="s">
        <v>2944</v>
      </c>
      <c r="N699" s="867" t="s">
        <v>4075</v>
      </c>
      <c r="O699" s="867" t="s">
        <v>4076</v>
      </c>
      <c r="P699" s="869">
        <v>14</v>
      </c>
      <c r="Q699" s="869">
        <v>12</v>
      </c>
      <c r="R699" s="870">
        <v>0</v>
      </c>
      <c r="S699" s="871">
        <v>14</v>
      </c>
      <c r="T699" s="871">
        <v>12</v>
      </c>
      <c r="U699" s="872">
        <v>0</v>
      </c>
      <c r="W699" s="872"/>
    </row>
    <row r="700" spans="1:23" ht="24" x14ac:dyDescent="0.2">
      <c r="A700" s="865" t="s">
        <v>2939</v>
      </c>
      <c r="B700" s="866" t="s">
        <v>4073</v>
      </c>
      <c r="C700" s="866" t="s">
        <v>3876</v>
      </c>
      <c r="D700" s="1438" t="s">
        <v>2945</v>
      </c>
      <c r="E700" s="1441">
        <v>45565.525682870371</v>
      </c>
      <c r="F700" s="1441">
        <v>45838.916655092595</v>
      </c>
      <c r="G700" s="1438" t="s">
        <v>1758</v>
      </c>
      <c r="H700" s="1438" t="s">
        <v>1765</v>
      </c>
      <c r="I700" s="1438" t="s">
        <v>1766</v>
      </c>
      <c r="J700" s="1438" t="s">
        <v>2946</v>
      </c>
      <c r="K700" s="1438" t="s">
        <v>1804</v>
      </c>
      <c r="L700" s="1438" t="s">
        <v>1805</v>
      </c>
      <c r="M700" s="867" t="s">
        <v>2947</v>
      </c>
      <c r="N700" s="867" t="s">
        <v>3877</v>
      </c>
      <c r="O700" s="873" t="s">
        <v>4077</v>
      </c>
      <c r="P700" s="874">
        <v>16</v>
      </c>
      <c r="Q700" s="874">
        <v>14</v>
      </c>
      <c r="R700" s="875">
        <v>1</v>
      </c>
      <c r="S700" s="876">
        <v>16</v>
      </c>
      <c r="T700" s="876">
        <v>14</v>
      </c>
      <c r="U700" s="877">
        <v>1</v>
      </c>
      <c r="W700" s="877"/>
    </row>
    <row r="701" spans="1:23" ht="24" x14ac:dyDescent="0.2">
      <c r="A701" s="865" t="s">
        <v>2939</v>
      </c>
      <c r="B701" s="866" t="s">
        <v>4073</v>
      </c>
      <c r="C701" s="866" t="s">
        <v>3876</v>
      </c>
      <c r="D701" s="1440"/>
      <c r="E701" s="1443"/>
      <c r="F701" s="1443"/>
      <c r="G701" s="1440"/>
      <c r="H701" s="1440"/>
      <c r="I701" s="1440"/>
      <c r="J701" s="1440"/>
      <c r="K701" s="1440"/>
      <c r="L701" s="1440"/>
      <c r="M701" s="867" t="s">
        <v>2941</v>
      </c>
      <c r="N701" s="867" t="s">
        <v>3863</v>
      </c>
      <c r="O701" s="867" t="s">
        <v>4074</v>
      </c>
      <c r="P701" s="869">
        <v>16</v>
      </c>
      <c r="Q701" s="869">
        <v>14</v>
      </c>
      <c r="R701" s="870">
        <v>1</v>
      </c>
      <c r="S701" s="871">
        <v>16</v>
      </c>
      <c r="T701" s="871">
        <v>14</v>
      </c>
      <c r="U701" s="872">
        <v>1</v>
      </c>
      <c r="W701" s="872"/>
    </row>
    <row r="702" spans="1:23" ht="48" x14ac:dyDescent="0.2">
      <c r="A702" s="865" t="s">
        <v>2939</v>
      </c>
      <c r="B702" s="866" t="s">
        <v>4073</v>
      </c>
      <c r="C702" s="866" t="s">
        <v>3876</v>
      </c>
      <c r="D702" s="867" t="s">
        <v>2948</v>
      </c>
      <c r="E702" s="868">
        <v>45300.958333333336</v>
      </c>
      <c r="F702" s="868">
        <v>45661.958333333336</v>
      </c>
      <c r="G702" s="867" t="s">
        <v>1758</v>
      </c>
      <c r="H702" s="867" t="s">
        <v>1759</v>
      </c>
      <c r="I702" s="867" t="s">
        <v>1858</v>
      </c>
      <c r="J702" s="867" t="s">
        <v>2949</v>
      </c>
      <c r="K702" s="867" t="s">
        <v>1804</v>
      </c>
      <c r="L702" s="867" t="s">
        <v>1819</v>
      </c>
      <c r="M702" s="867" t="s">
        <v>2944</v>
      </c>
      <c r="N702" s="867" t="s">
        <v>4075</v>
      </c>
      <c r="O702" s="873" t="s">
        <v>4076</v>
      </c>
      <c r="P702" s="874">
        <v>6</v>
      </c>
      <c r="Q702" s="874">
        <v>6</v>
      </c>
      <c r="R702" s="875">
        <v>5</v>
      </c>
      <c r="S702" s="876">
        <v>6</v>
      </c>
      <c r="T702" s="876">
        <v>6</v>
      </c>
      <c r="U702" s="877">
        <v>5</v>
      </c>
      <c r="W702" s="877"/>
    </row>
    <row r="703" spans="1:23" ht="36" x14ac:dyDescent="0.2">
      <c r="A703" s="865" t="s">
        <v>2939</v>
      </c>
      <c r="B703" s="866" t="s">
        <v>4073</v>
      </c>
      <c r="C703" s="866" t="s">
        <v>3876</v>
      </c>
      <c r="D703" s="867" t="s">
        <v>2950</v>
      </c>
      <c r="E703" s="868">
        <v>45306.958333333336</v>
      </c>
      <c r="F703" s="868">
        <v>45671.958333333336</v>
      </c>
      <c r="G703" s="867" t="s">
        <v>1758</v>
      </c>
      <c r="H703" s="867" t="s">
        <v>1759</v>
      </c>
      <c r="I703" s="867" t="s">
        <v>1817</v>
      </c>
      <c r="J703" s="867" t="s">
        <v>2951</v>
      </c>
      <c r="K703" s="867" t="s">
        <v>1804</v>
      </c>
      <c r="L703" s="867" t="s">
        <v>1819</v>
      </c>
      <c r="M703" s="867" t="s">
        <v>2952</v>
      </c>
      <c r="N703" s="867" t="s">
        <v>4078</v>
      </c>
      <c r="O703" s="867" t="s">
        <v>4079</v>
      </c>
      <c r="P703" s="869">
        <v>11</v>
      </c>
      <c r="Q703" s="869">
        <v>0</v>
      </c>
      <c r="R703" s="870">
        <v>0</v>
      </c>
      <c r="S703" s="871">
        <v>11</v>
      </c>
      <c r="T703" s="871">
        <v>0</v>
      </c>
      <c r="U703" s="872">
        <v>0</v>
      </c>
      <c r="W703" s="872"/>
    </row>
    <row r="704" spans="1:23" ht="36" x14ac:dyDescent="0.2">
      <c r="A704" s="865" t="s">
        <v>2939</v>
      </c>
      <c r="B704" s="866" t="s">
        <v>4073</v>
      </c>
      <c r="C704" s="866" t="s">
        <v>3876</v>
      </c>
      <c r="D704" s="867" t="s">
        <v>2953</v>
      </c>
      <c r="E704" s="868">
        <v>45309.958333333336</v>
      </c>
      <c r="F704" s="868">
        <v>45671.958333333336</v>
      </c>
      <c r="G704" s="867" t="s">
        <v>1758</v>
      </c>
      <c r="H704" s="867" t="s">
        <v>1759</v>
      </c>
      <c r="I704" s="867" t="s">
        <v>1823</v>
      </c>
      <c r="J704" s="867" t="s">
        <v>2954</v>
      </c>
      <c r="K704" s="867" t="s">
        <v>1804</v>
      </c>
      <c r="L704" s="867" t="s">
        <v>1819</v>
      </c>
      <c r="M704" s="867" t="s">
        <v>2952</v>
      </c>
      <c r="N704" s="867" t="s">
        <v>4078</v>
      </c>
      <c r="O704" s="873" t="s">
        <v>4079</v>
      </c>
      <c r="P704" s="874">
        <v>11</v>
      </c>
      <c r="Q704" s="874">
        <v>6</v>
      </c>
      <c r="R704" s="875">
        <v>0</v>
      </c>
      <c r="S704" s="876">
        <v>11</v>
      </c>
      <c r="T704" s="876">
        <v>6</v>
      </c>
      <c r="U704" s="877">
        <v>0</v>
      </c>
      <c r="W704" s="877"/>
    </row>
    <row r="705" spans="1:23" ht="36" x14ac:dyDescent="0.2">
      <c r="A705" s="865" t="s">
        <v>2939</v>
      </c>
      <c r="B705" s="866" t="s">
        <v>4073</v>
      </c>
      <c r="C705" s="866" t="s">
        <v>3876</v>
      </c>
      <c r="D705" s="867" t="s">
        <v>2955</v>
      </c>
      <c r="E705" s="868">
        <v>45361.958333333336</v>
      </c>
      <c r="F705" s="868">
        <v>45656.958333333336</v>
      </c>
      <c r="G705" s="867" t="s">
        <v>1758</v>
      </c>
      <c r="H705" s="867" t="s">
        <v>1759</v>
      </c>
      <c r="I705" s="867" t="s">
        <v>1817</v>
      </c>
      <c r="J705" s="867" t="s">
        <v>2956</v>
      </c>
      <c r="K705" s="867" t="s">
        <v>1804</v>
      </c>
      <c r="L705" s="867" t="s">
        <v>1819</v>
      </c>
      <c r="M705" s="867" t="s">
        <v>2957</v>
      </c>
      <c r="N705" s="867" t="s">
        <v>3879</v>
      </c>
      <c r="O705" s="867" t="s">
        <v>4080</v>
      </c>
      <c r="P705" s="869">
        <v>3</v>
      </c>
      <c r="Q705" s="869">
        <v>2</v>
      </c>
      <c r="R705" s="870">
        <v>0</v>
      </c>
      <c r="S705" s="871">
        <v>3</v>
      </c>
      <c r="T705" s="871">
        <v>2</v>
      </c>
      <c r="U705" s="872">
        <v>0</v>
      </c>
      <c r="W705" s="872"/>
    </row>
    <row r="706" spans="1:23" ht="36" x14ac:dyDescent="0.2">
      <c r="A706" s="865" t="s">
        <v>2939</v>
      </c>
      <c r="B706" s="866" t="s">
        <v>4073</v>
      </c>
      <c r="C706" s="866" t="s">
        <v>3876</v>
      </c>
      <c r="D706" s="867" t="s">
        <v>2958</v>
      </c>
      <c r="E706" s="868">
        <v>45438.916666666664</v>
      </c>
      <c r="F706" s="868">
        <v>45688.958333333336</v>
      </c>
      <c r="G706" s="867" t="s">
        <v>1758</v>
      </c>
      <c r="H706" s="867" t="s">
        <v>1759</v>
      </c>
      <c r="I706" s="867" t="s">
        <v>1817</v>
      </c>
      <c r="J706" s="867" t="s">
        <v>2959</v>
      </c>
      <c r="K706" s="867" t="s">
        <v>1804</v>
      </c>
      <c r="L706" s="867" t="s">
        <v>1819</v>
      </c>
      <c r="M706" s="867" t="s">
        <v>2947</v>
      </c>
      <c r="N706" s="867" t="s">
        <v>3877</v>
      </c>
      <c r="O706" s="873" t="s">
        <v>4077</v>
      </c>
      <c r="P706" s="874">
        <v>1</v>
      </c>
      <c r="Q706" s="874">
        <v>1</v>
      </c>
      <c r="R706" s="875">
        <v>0</v>
      </c>
      <c r="S706" s="876">
        <v>1</v>
      </c>
      <c r="T706" s="876">
        <v>1</v>
      </c>
      <c r="U706" s="877">
        <v>0</v>
      </c>
      <c r="W706" s="877"/>
    </row>
    <row r="707" spans="1:23" ht="36" x14ac:dyDescent="0.2">
      <c r="A707" s="865" t="s">
        <v>2939</v>
      </c>
      <c r="B707" s="866" t="s">
        <v>4073</v>
      </c>
      <c r="C707" s="866" t="s">
        <v>3876</v>
      </c>
      <c r="D707" s="867" t="s">
        <v>2960</v>
      </c>
      <c r="E707" s="868">
        <v>45573.945787037039</v>
      </c>
      <c r="F707" s="868">
        <v>45938.916655092595</v>
      </c>
      <c r="G707" s="867" t="s">
        <v>1772</v>
      </c>
      <c r="H707" s="867" t="s">
        <v>1782</v>
      </c>
      <c r="I707" s="867" t="s">
        <v>2429</v>
      </c>
      <c r="J707" s="867" t="s">
        <v>2430</v>
      </c>
      <c r="K707" s="867" t="s">
        <v>1804</v>
      </c>
      <c r="L707" s="867" t="s">
        <v>1805</v>
      </c>
      <c r="M707" s="867" t="s">
        <v>2947</v>
      </c>
      <c r="N707" s="867" t="s">
        <v>3877</v>
      </c>
      <c r="O707" s="867" t="s">
        <v>4077</v>
      </c>
      <c r="P707" s="869">
        <v>1</v>
      </c>
      <c r="Q707" s="869">
        <v>1</v>
      </c>
      <c r="R707" s="870">
        <v>0</v>
      </c>
      <c r="S707" s="871">
        <v>1</v>
      </c>
      <c r="T707" s="871">
        <v>1</v>
      </c>
      <c r="U707" s="872">
        <v>0</v>
      </c>
      <c r="W707" s="872"/>
    </row>
    <row r="708" spans="1:23" ht="24" x14ac:dyDescent="0.2">
      <c r="A708" s="865" t="s">
        <v>2939</v>
      </c>
      <c r="B708" s="866" t="s">
        <v>4073</v>
      </c>
      <c r="C708" s="866" t="s">
        <v>3876</v>
      </c>
      <c r="D708" s="1438" t="s">
        <v>2961</v>
      </c>
      <c r="E708" s="1441">
        <v>45601.958333333336</v>
      </c>
      <c r="F708" s="1441">
        <v>45838.916655092595</v>
      </c>
      <c r="G708" s="1438" t="s">
        <v>1758</v>
      </c>
      <c r="H708" s="1438" t="s">
        <v>1759</v>
      </c>
      <c r="I708" s="1438" t="s">
        <v>1762</v>
      </c>
      <c r="J708" s="1438" t="s">
        <v>1762</v>
      </c>
      <c r="K708" s="1438" t="s">
        <v>1804</v>
      </c>
      <c r="L708" s="1438" t="s">
        <v>1828</v>
      </c>
      <c r="M708" s="867" t="s">
        <v>2947</v>
      </c>
      <c r="N708" s="867" t="s">
        <v>3877</v>
      </c>
      <c r="O708" s="873" t="s">
        <v>4077</v>
      </c>
      <c r="P708" s="874">
        <v>9</v>
      </c>
      <c r="Q708" s="874">
        <v>9</v>
      </c>
      <c r="R708" s="875">
        <v>8</v>
      </c>
      <c r="S708" s="876">
        <v>9</v>
      </c>
      <c r="T708" s="876">
        <v>9</v>
      </c>
      <c r="U708" s="877">
        <v>8</v>
      </c>
      <c r="W708" s="877"/>
    </row>
    <row r="709" spans="1:23" ht="24" x14ac:dyDescent="0.2">
      <c r="A709" s="865" t="s">
        <v>2939</v>
      </c>
      <c r="B709" s="866" t="s">
        <v>4073</v>
      </c>
      <c r="C709" s="866" t="s">
        <v>3876</v>
      </c>
      <c r="D709" s="1440"/>
      <c r="E709" s="1443"/>
      <c r="F709" s="1443"/>
      <c r="G709" s="1440"/>
      <c r="H709" s="1440"/>
      <c r="I709" s="1440"/>
      <c r="J709" s="1440"/>
      <c r="K709" s="1440"/>
      <c r="L709" s="1440"/>
      <c r="M709" s="867" t="s">
        <v>2962</v>
      </c>
      <c r="N709" s="867" t="s">
        <v>4081</v>
      </c>
      <c r="O709" s="867" t="s">
        <v>4082</v>
      </c>
      <c r="P709" s="869">
        <v>9</v>
      </c>
      <c r="Q709" s="869">
        <v>9</v>
      </c>
      <c r="R709" s="870">
        <v>8</v>
      </c>
      <c r="S709" s="871">
        <v>9</v>
      </c>
      <c r="T709" s="871">
        <v>9</v>
      </c>
      <c r="U709" s="872">
        <v>8</v>
      </c>
      <c r="W709" s="872"/>
    </row>
    <row r="710" spans="1:23" ht="24" x14ac:dyDescent="0.2">
      <c r="A710" s="865" t="s">
        <v>2939</v>
      </c>
      <c r="B710" s="866" t="s">
        <v>4073</v>
      </c>
      <c r="C710" s="866" t="s">
        <v>3876</v>
      </c>
      <c r="D710" s="1438" t="s">
        <v>2963</v>
      </c>
      <c r="E710" s="1441">
        <v>45565.485694444447</v>
      </c>
      <c r="F710" s="1441">
        <v>45838.916655092595</v>
      </c>
      <c r="G710" s="1438" t="s">
        <v>1767</v>
      </c>
      <c r="H710" s="1438" t="s">
        <v>1765</v>
      </c>
      <c r="I710" s="1438" t="s">
        <v>2438</v>
      </c>
      <c r="J710" s="1438" t="s">
        <v>2964</v>
      </c>
      <c r="K710" s="1438" t="s">
        <v>1804</v>
      </c>
      <c r="L710" s="1438" t="s">
        <v>1805</v>
      </c>
      <c r="M710" s="867" t="s">
        <v>2947</v>
      </c>
      <c r="N710" s="867" t="s">
        <v>3877</v>
      </c>
      <c r="O710" s="873" t="s">
        <v>4077</v>
      </c>
      <c r="P710" s="874">
        <v>24</v>
      </c>
      <c r="Q710" s="874">
        <v>23</v>
      </c>
      <c r="R710" s="875">
        <v>5</v>
      </c>
      <c r="S710" s="876">
        <v>24</v>
      </c>
      <c r="T710" s="876">
        <v>23</v>
      </c>
      <c r="U710" s="877">
        <v>5</v>
      </c>
      <c r="W710" s="877"/>
    </row>
    <row r="711" spans="1:23" ht="24" x14ac:dyDescent="0.2">
      <c r="A711" s="865" t="s">
        <v>2939</v>
      </c>
      <c r="B711" s="866" t="s">
        <v>4073</v>
      </c>
      <c r="C711" s="866" t="s">
        <v>3876</v>
      </c>
      <c r="D711" s="1440"/>
      <c r="E711" s="1443"/>
      <c r="F711" s="1443"/>
      <c r="G711" s="1440"/>
      <c r="H711" s="1440"/>
      <c r="I711" s="1440"/>
      <c r="J711" s="1440"/>
      <c r="K711" s="1440"/>
      <c r="L711" s="1440"/>
      <c r="M711" s="867" t="s">
        <v>2941</v>
      </c>
      <c r="N711" s="867" t="s">
        <v>3863</v>
      </c>
      <c r="O711" s="867" t="s">
        <v>4074</v>
      </c>
      <c r="P711" s="869">
        <v>24</v>
      </c>
      <c r="Q711" s="869">
        <v>23</v>
      </c>
      <c r="R711" s="870">
        <v>5</v>
      </c>
      <c r="S711" s="871">
        <v>24</v>
      </c>
      <c r="T711" s="871">
        <v>23</v>
      </c>
      <c r="U711" s="872">
        <v>5</v>
      </c>
      <c r="W711" s="872"/>
    </row>
    <row r="712" spans="1:23" ht="24" x14ac:dyDescent="0.2">
      <c r="A712" s="865" t="s">
        <v>2939</v>
      </c>
      <c r="B712" s="866" t="s">
        <v>4073</v>
      </c>
      <c r="C712" s="866" t="s">
        <v>3876</v>
      </c>
      <c r="D712" s="867" t="s">
        <v>2965</v>
      </c>
      <c r="E712" s="868">
        <v>45554.512372685182</v>
      </c>
      <c r="F712" s="868">
        <v>47015.916655092595</v>
      </c>
      <c r="G712" s="867" t="s">
        <v>1758</v>
      </c>
      <c r="H712" s="867" t="s">
        <v>1759</v>
      </c>
      <c r="I712" s="867" t="s">
        <v>1761</v>
      </c>
      <c r="J712" s="867" t="s">
        <v>2966</v>
      </c>
      <c r="K712" s="867" t="s">
        <v>1804</v>
      </c>
      <c r="L712" s="867" t="s">
        <v>1828</v>
      </c>
      <c r="M712" s="867" t="s">
        <v>2957</v>
      </c>
      <c r="N712" s="867" t="s">
        <v>3879</v>
      </c>
      <c r="O712" s="873" t="s">
        <v>4080</v>
      </c>
      <c r="P712" s="874">
        <v>15</v>
      </c>
      <c r="Q712" s="874">
        <v>10</v>
      </c>
      <c r="R712" s="875">
        <v>0</v>
      </c>
      <c r="S712" s="876">
        <v>15</v>
      </c>
      <c r="T712" s="876">
        <v>10</v>
      </c>
      <c r="U712" s="877">
        <v>0</v>
      </c>
      <c r="W712" s="877"/>
    </row>
    <row r="713" spans="1:23" ht="24" x14ac:dyDescent="0.2">
      <c r="A713" s="865" t="s">
        <v>2939</v>
      </c>
      <c r="B713" s="866" t="s">
        <v>4073</v>
      </c>
      <c r="C713" s="866" t="s">
        <v>3876</v>
      </c>
      <c r="D713" s="867" t="s">
        <v>2967</v>
      </c>
      <c r="E713" s="868">
        <v>45551.722870370373</v>
      </c>
      <c r="F713" s="868">
        <v>45915.916655092595</v>
      </c>
      <c r="G713" s="867" t="s">
        <v>1758</v>
      </c>
      <c r="H713" s="867" t="s">
        <v>1759</v>
      </c>
      <c r="I713" s="867" t="s">
        <v>1761</v>
      </c>
      <c r="J713" s="867" t="s">
        <v>2968</v>
      </c>
      <c r="K713" s="867" t="s">
        <v>1804</v>
      </c>
      <c r="L713" s="867" t="s">
        <v>1828</v>
      </c>
      <c r="M713" s="867" t="s">
        <v>2944</v>
      </c>
      <c r="N713" s="867" t="s">
        <v>4075</v>
      </c>
      <c r="O713" s="867" t="s">
        <v>4076</v>
      </c>
      <c r="P713" s="869">
        <v>17</v>
      </c>
      <c r="Q713" s="869">
        <v>17</v>
      </c>
      <c r="R713" s="870">
        <v>0</v>
      </c>
      <c r="S713" s="871">
        <v>17</v>
      </c>
      <c r="T713" s="871">
        <v>17</v>
      </c>
      <c r="U713" s="872">
        <v>0</v>
      </c>
      <c r="W713" s="872"/>
    </row>
    <row r="714" spans="1:23" ht="24" x14ac:dyDescent="0.2">
      <c r="A714" s="865" t="s">
        <v>2939</v>
      </c>
      <c r="B714" s="866" t="s">
        <v>4073</v>
      </c>
      <c r="C714" s="866" t="s">
        <v>3876</v>
      </c>
      <c r="D714" s="867" t="s">
        <v>2969</v>
      </c>
      <c r="E714" s="868">
        <v>45551.346898148149</v>
      </c>
      <c r="F714" s="868">
        <v>45930.916655092595</v>
      </c>
      <c r="G714" s="867" t="s">
        <v>1758</v>
      </c>
      <c r="H714" s="867" t="s">
        <v>1759</v>
      </c>
      <c r="I714" s="867" t="s">
        <v>1761</v>
      </c>
      <c r="J714" s="867" t="s">
        <v>2970</v>
      </c>
      <c r="K714" s="867" t="s">
        <v>1804</v>
      </c>
      <c r="L714" s="867" t="s">
        <v>1828</v>
      </c>
      <c r="M714" s="867" t="s">
        <v>2957</v>
      </c>
      <c r="N714" s="867" t="s">
        <v>3879</v>
      </c>
      <c r="O714" s="873" t="s">
        <v>4080</v>
      </c>
      <c r="P714" s="874">
        <v>23</v>
      </c>
      <c r="Q714" s="874">
        <v>23</v>
      </c>
      <c r="R714" s="875">
        <v>0</v>
      </c>
      <c r="S714" s="876">
        <v>23</v>
      </c>
      <c r="T714" s="876">
        <v>23</v>
      </c>
      <c r="U714" s="877">
        <v>0</v>
      </c>
      <c r="W714" s="877"/>
    </row>
    <row r="715" spans="1:23" ht="36" x14ac:dyDescent="0.2">
      <c r="A715" s="865" t="s">
        <v>2939</v>
      </c>
      <c r="B715" s="866" t="s">
        <v>4073</v>
      </c>
      <c r="C715" s="866" t="s">
        <v>3876</v>
      </c>
      <c r="D715" s="867" t="s">
        <v>2971</v>
      </c>
      <c r="E715" s="868">
        <v>45552.47896990741</v>
      </c>
      <c r="F715" s="868">
        <v>45917.916655092595</v>
      </c>
      <c r="G715" s="867" t="s">
        <v>1741</v>
      </c>
      <c r="H715" s="867" t="s">
        <v>1755</v>
      </c>
      <c r="I715" s="867" t="s">
        <v>1757</v>
      </c>
      <c r="J715" s="867" t="s">
        <v>2972</v>
      </c>
      <c r="K715" s="867" t="s">
        <v>1804</v>
      </c>
      <c r="L715" s="867" t="s">
        <v>1805</v>
      </c>
      <c r="M715" s="867" t="s">
        <v>2957</v>
      </c>
      <c r="N715" s="867" t="s">
        <v>3879</v>
      </c>
      <c r="O715" s="867" t="s">
        <v>4080</v>
      </c>
      <c r="P715" s="869">
        <v>1</v>
      </c>
      <c r="Q715" s="869">
        <v>1</v>
      </c>
      <c r="R715" s="870">
        <v>0</v>
      </c>
      <c r="S715" s="871">
        <v>1</v>
      </c>
      <c r="T715" s="871">
        <v>1</v>
      </c>
      <c r="U715" s="872">
        <v>0</v>
      </c>
      <c r="W715" s="872"/>
    </row>
    <row r="716" spans="1:23" ht="36" x14ac:dyDescent="0.2">
      <c r="A716" s="865" t="s">
        <v>2939</v>
      </c>
      <c r="B716" s="866" t="s">
        <v>4073</v>
      </c>
      <c r="C716" s="866" t="s">
        <v>3876</v>
      </c>
      <c r="D716" s="867" t="s">
        <v>2973</v>
      </c>
      <c r="E716" s="868">
        <v>45553.477037037039</v>
      </c>
      <c r="F716" s="868">
        <v>45917.916655092595</v>
      </c>
      <c r="G716" s="867" t="s">
        <v>1758</v>
      </c>
      <c r="H716" s="867" t="s">
        <v>1759</v>
      </c>
      <c r="I716" s="867" t="s">
        <v>1762</v>
      </c>
      <c r="J716" s="867" t="s">
        <v>2974</v>
      </c>
      <c r="K716" s="867" t="s">
        <v>1804</v>
      </c>
      <c r="L716" s="867" t="s">
        <v>1828</v>
      </c>
      <c r="M716" s="867" t="s">
        <v>2944</v>
      </c>
      <c r="N716" s="867" t="s">
        <v>4075</v>
      </c>
      <c r="O716" s="873" t="s">
        <v>4076</v>
      </c>
      <c r="P716" s="874">
        <v>5</v>
      </c>
      <c r="Q716" s="874">
        <v>5</v>
      </c>
      <c r="R716" s="875">
        <v>0</v>
      </c>
      <c r="S716" s="876">
        <v>5</v>
      </c>
      <c r="T716" s="876">
        <v>5</v>
      </c>
      <c r="U716" s="877">
        <v>0</v>
      </c>
      <c r="W716" s="877"/>
    </row>
    <row r="717" spans="1:23" ht="36" x14ac:dyDescent="0.2">
      <c r="A717" s="865" t="s">
        <v>2939</v>
      </c>
      <c r="B717" s="866" t="s">
        <v>4073</v>
      </c>
      <c r="C717" s="866" t="s">
        <v>3876</v>
      </c>
      <c r="D717" s="867" t="s">
        <v>2975</v>
      </c>
      <c r="E717" s="868">
        <v>45551.295439814814</v>
      </c>
      <c r="F717" s="868">
        <v>45930.916655092595</v>
      </c>
      <c r="G717" s="867" t="s">
        <v>1758</v>
      </c>
      <c r="H717" s="867" t="s">
        <v>1759</v>
      </c>
      <c r="I717" s="867" t="s">
        <v>1762</v>
      </c>
      <c r="J717" s="867" t="s">
        <v>2976</v>
      </c>
      <c r="K717" s="867" t="s">
        <v>1804</v>
      </c>
      <c r="L717" s="867" t="s">
        <v>1828</v>
      </c>
      <c r="M717" s="867" t="s">
        <v>2957</v>
      </c>
      <c r="N717" s="867" t="s">
        <v>3879</v>
      </c>
      <c r="O717" s="867" t="s">
        <v>4080</v>
      </c>
      <c r="P717" s="869">
        <v>24</v>
      </c>
      <c r="Q717" s="869">
        <v>23</v>
      </c>
      <c r="R717" s="870">
        <v>0</v>
      </c>
      <c r="S717" s="871">
        <v>24</v>
      </c>
      <c r="T717" s="871">
        <v>23</v>
      </c>
      <c r="U717" s="872">
        <v>0</v>
      </c>
      <c r="W717" s="872"/>
    </row>
    <row r="718" spans="1:23" ht="24" x14ac:dyDescent="0.2">
      <c r="A718" s="865" t="s">
        <v>2939</v>
      </c>
      <c r="B718" s="866" t="s">
        <v>4073</v>
      </c>
      <c r="C718" s="866" t="s">
        <v>3876</v>
      </c>
      <c r="D718" s="867" t="s">
        <v>2977</v>
      </c>
      <c r="E718" s="868">
        <v>45413.916666666664</v>
      </c>
      <c r="F718" s="868">
        <v>45657.958321759259</v>
      </c>
      <c r="G718" s="867" t="s">
        <v>1772</v>
      </c>
      <c r="H718" s="867" t="s">
        <v>1765</v>
      </c>
      <c r="I718" s="867" t="s">
        <v>1773</v>
      </c>
      <c r="J718" s="867" t="s">
        <v>1773</v>
      </c>
      <c r="K718" s="867" t="s">
        <v>1804</v>
      </c>
      <c r="L718" s="867" t="s">
        <v>1805</v>
      </c>
      <c r="M718" s="867" t="s">
        <v>2962</v>
      </c>
      <c r="N718" s="867" t="s">
        <v>4081</v>
      </c>
      <c r="O718" s="873" t="s">
        <v>4082</v>
      </c>
      <c r="P718" s="874">
        <v>6</v>
      </c>
      <c r="Q718" s="874">
        <v>6</v>
      </c>
      <c r="R718" s="875">
        <v>2</v>
      </c>
      <c r="S718" s="876">
        <v>6</v>
      </c>
      <c r="T718" s="876">
        <v>6</v>
      </c>
      <c r="U718" s="877">
        <v>2</v>
      </c>
      <c r="W718" s="877"/>
    </row>
    <row r="719" spans="1:23" ht="24" x14ac:dyDescent="0.2">
      <c r="A719" s="865" t="s">
        <v>2939</v>
      </c>
      <c r="B719" s="866" t="s">
        <v>4073</v>
      </c>
      <c r="C719" s="866" t="s">
        <v>3876</v>
      </c>
      <c r="D719" s="1438" t="s">
        <v>2978</v>
      </c>
      <c r="E719" s="1441">
        <v>45631.3908912037</v>
      </c>
      <c r="F719" s="1441">
        <v>45838.916655092595</v>
      </c>
      <c r="G719" s="1438" t="s">
        <v>1758</v>
      </c>
      <c r="H719" s="1438" t="s">
        <v>1759</v>
      </c>
      <c r="I719" s="1438" t="s">
        <v>1761</v>
      </c>
      <c r="J719" s="1438" t="s">
        <v>1761</v>
      </c>
      <c r="K719" s="1438" t="s">
        <v>1804</v>
      </c>
      <c r="L719" s="1438" t="s">
        <v>1828</v>
      </c>
      <c r="M719" s="867" t="s">
        <v>2947</v>
      </c>
      <c r="N719" s="867" t="s">
        <v>3877</v>
      </c>
      <c r="O719" s="867" t="s">
        <v>4077</v>
      </c>
      <c r="P719" s="869">
        <v>30</v>
      </c>
      <c r="Q719" s="869">
        <v>27</v>
      </c>
      <c r="R719" s="870">
        <v>1</v>
      </c>
      <c r="S719" s="871">
        <v>30</v>
      </c>
      <c r="T719" s="871">
        <v>27</v>
      </c>
      <c r="U719" s="872">
        <v>1</v>
      </c>
      <c r="W719" s="872"/>
    </row>
    <row r="720" spans="1:23" ht="24" x14ac:dyDescent="0.2">
      <c r="A720" s="865" t="s">
        <v>2939</v>
      </c>
      <c r="B720" s="866" t="s">
        <v>4073</v>
      </c>
      <c r="C720" s="866" t="s">
        <v>3876</v>
      </c>
      <c r="D720" s="1440"/>
      <c r="E720" s="1443"/>
      <c r="F720" s="1443"/>
      <c r="G720" s="1440"/>
      <c r="H720" s="1440"/>
      <c r="I720" s="1440"/>
      <c r="J720" s="1440"/>
      <c r="K720" s="1440"/>
      <c r="L720" s="1440"/>
      <c r="M720" s="867" t="s">
        <v>2962</v>
      </c>
      <c r="N720" s="867" t="s">
        <v>4081</v>
      </c>
      <c r="O720" s="873" t="s">
        <v>4082</v>
      </c>
      <c r="P720" s="874">
        <v>30</v>
      </c>
      <c r="Q720" s="874">
        <v>27</v>
      </c>
      <c r="R720" s="875">
        <v>1</v>
      </c>
      <c r="S720" s="876">
        <v>30</v>
      </c>
      <c r="T720" s="876">
        <v>27</v>
      </c>
      <c r="U720" s="877">
        <v>1</v>
      </c>
      <c r="W720" s="877"/>
    </row>
    <row r="721" spans="1:23" ht="24" x14ac:dyDescent="0.2">
      <c r="A721" s="865" t="s">
        <v>2939</v>
      </c>
      <c r="B721" s="866" t="s">
        <v>4073</v>
      </c>
      <c r="C721" s="866" t="s">
        <v>3876</v>
      </c>
      <c r="D721" s="1438" t="s">
        <v>2979</v>
      </c>
      <c r="E721" s="1441">
        <v>45565.521064814813</v>
      </c>
      <c r="F721" s="1441">
        <v>45838.916655092595</v>
      </c>
      <c r="G721" s="1438" t="s">
        <v>1767</v>
      </c>
      <c r="H721" s="1438" t="s">
        <v>1765</v>
      </c>
      <c r="I721" s="1438" t="s">
        <v>2980</v>
      </c>
      <c r="J721" s="1438" t="s">
        <v>2981</v>
      </c>
      <c r="K721" s="1438" t="s">
        <v>1804</v>
      </c>
      <c r="L721" s="1438" t="s">
        <v>1805</v>
      </c>
      <c r="M721" s="867" t="s">
        <v>2947</v>
      </c>
      <c r="N721" s="867" t="s">
        <v>3877</v>
      </c>
      <c r="O721" s="867" t="s">
        <v>4077</v>
      </c>
      <c r="P721" s="869">
        <v>24</v>
      </c>
      <c r="Q721" s="869">
        <v>23</v>
      </c>
      <c r="R721" s="870">
        <v>4</v>
      </c>
      <c r="S721" s="871">
        <v>24</v>
      </c>
      <c r="T721" s="871">
        <v>23</v>
      </c>
      <c r="U721" s="872">
        <v>4</v>
      </c>
      <c r="W721" s="872"/>
    </row>
    <row r="722" spans="1:23" ht="24" x14ac:dyDescent="0.2">
      <c r="A722" s="865" t="s">
        <v>2939</v>
      </c>
      <c r="B722" s="866" t="s">
        <v>4073</v>
      </c>
      <c r="C722" s="866" t="s">
        <v>3876</v>
      </c>
      <c r="D722" s="1440"/>
      <c r="E722" s="1443"/>
      <c r="F722" s="1443"/>
      <c r="G722" s="1440"/>
      <c r="H722" s="1440"/>
      <c r="I722" s="1440"/>
      <c r="J722" s="1440"/>
      <c r="K722" s="1440"/>
      <c r="L722" s="1440"/>
      <c r="M722" s="867" t="s">
        <v>2941</v>
      </c>
      <c r="N722" s="867" t="s">
        <v>3863</v>
      </c>
      <c r="O722" s="873" t="s">
        <v>4074</v>
      </c>
      <c r="P722" s="874">
        <v>24</v>
      </c>
      <c r="Q722" s="874">
        <v>23</v>
      </c>
      <c r="R722" s="875">
        <v>4</v>
      </c>
      <c r="S722" s="876">
        <v>24</v>
      </c>
      <c r="T722" s="876">
        <v>23</v>
      </c>
      <c r="U722" s="877">
        <v>4</v>
      </c>
      <c r="W722" s="877"/>
    </row>
    <row r="723" spans="1:23" ht="36" x14ac:dyDescent="0.2">
      <c r="A723" s="865" t="s">
        <v>2939</v>
      </c>
      <c r="B723" s="866" t="s">
        <v>4073</v>
      </c>
      <c r="C723" s="866" t="s">
        <v>3876</v>
      </c>
      <c r="D723" s="867" t="s">
        <v>2982</v>
      </c>
      <c r="E723" s="868">
        <v>45643.448761574073</v>
      </c>
      <c r="F723" s="868">
        <v>45835.916655092595</v>
      </c>
      <c r="G723" s="867" t="s">
        <v>1741</v>
      </c>
      <c r="H723" s="867" t="s">
        <v>1742</v>
      </c>
      <c r="I723" s="867" t="s">
        <v>1743</v>
      </c>
      <c r="J723" s="867" t="s">
        <v>1743</v>
      </c>
      <c r="K723" s="867" t="s">
        <v>1804</v>
      </c>
      <c r="L723" s="867" t="s">
        <v>1805</v>
      </c>
      <c r="M723" s="867" t="s">
        <v>2952</v>
      </c>
      <c r="N723" s="867" t="s">
        <v>4078</v>
      </c>
      <c r="O723" s="867" t="s">
        <v>4079</v>
      </c>
      <c r="P723" s="869">
        <v>12</v>
      </c>
      <c r="Q723" s="869">
        <v>10</v>
      </c>
      <c r="R723" s="870">
        <v>4</v>
      </c>
      <c r="S723" s="871">
        <v>12</v>
      </c>
      <c r="T723" s="871">
        <v>10</v>
      </c>
      <c r="U723" s="872">
        <v>4</v>
      </c>
      <c r="W723" s="872"/>
    </row>
    <row r="724" spans="1:23" ht="24" x14ac:dyDescent="0.2">
      <c r="A724" s="865" t="s">
        <v>2939</v>
      </c>
      <c r="B724" s="866" t="s">
        <v>4073</v>
      </c>
      <c r="C724" s="866" t="s">
        <v>3876</v>
      </c>
      <c r="D724" s="867" t="s">
        <v>2983</v>
      </c>
      <c r="E724" s="868">
        <v>45545.297326388885</v>
      </c>
      <c r="F724" s="868">
        <v>45909.916655092595</v>
      </c>
      <c r="G724" s="867" t="s">
        <v>1758</v>
      </c>
      <c r="H724" s="867" t="s">
        <v>1759</v>
      </c>
      <c r="I724" s="867" t="s">
        <v>1761</v>
      </c>
      <c r="J724" s="867" t="s">
        <v>2984</v>
      </c>
      <c r="K724" s="867" t="s">
        <v>1804</v>
      </c>
      <c r="L724" s="867" t="s">
        <v>1828</v>
      </c>
      <c r="M724" s="867" t="s">
        <v>2952</v>
      </c>
      <c r="N724" s="867" t="s">
        <v>4078</v>
      </c>
      <c r="O724" s="873" t="s">
        <v>4079</v>
      </c>
      <c r="P724" s="874">
        <v>14</v>
      </c>
      <c r="Q724" s="874">
        <v>14</v>
      </c>
      <c r="R724" s="875">
        <v>0</v>
      </c>
      <c r="S724" s="876">
        <v>14</v>
      </c>
      <c r="T724" s="876">
        <v>14</v>
      </c>
      <c r="U724" s="877">
        <v>0</v>
      </c>
      <c r="W724" s="877"/>
    </row>
    <row r="725" spans="1:23" ht="36" x14ac:dyDescent="0.2">
      <c r="A725" s="865" t="s">
        <v>2939</v>
      </c>
      <c r="B725" s="866" t="s">
        <v>4073</v>
      </c>
      <c r="C725" s="866" t="s">
        <v>3876</v>
      </c>
      <c r="D725" s="867" t="s">
        <v>2985</v>
      </c>
      <c r="E725" s="868">
        <v>45545.453611111108</v>
      </c>
      <c r="F725" s="868">
        <v>45930.916655092595</v>
      </c>
      <c r="G725" s="867" t="s">
        <v>1758</v>
      </c>
      <c r="H725" s="867" t="s">
        <v>1759</v>
      </c>
      <c r="I725" s="867" t="s">
        <v>1762</v>
      </c>
      <c r="J725" s="867" t="s">
        <v>2986</v>
      </c>
      <c r="K725" s="867" t="s">
        <v>1804</v>
      </c>
      <c r="L725" s="867" t="s">
        <v>1828</v>
      </c>
      <c r="M725" s="867" t="s">
        <v>2957</v>
      </c>
      <c r="N725" s="867" t="s">
        <v>3879</v>
      </c>
      <c r="O725" s="867" t="s">
        <v>4080</v>
      </c>
      <c r="P725" s="869">
        <v>8</v>
      </c>
      <c r="Q725" s="869">
        <v>8</v>
      </c>
      <c r="R725" s="870">
        <v>1</v>
      </c>
      <c r="S725" s="871">
        <v>8</v>
      </c>
      <c r="T725" s="871">
        <v>8</v>
      </c>
      <c r="U725" s="872">
        <v>1</v>
      </c>
      <c r="W725" s="872"/>
    </row>
    <row r="726" spans="1:23" ht="36" x14ac:dyDescent="0.2">
      <c r="A726" s="865" t="s">
        <v>2939</v>
      </c>
      <c r="B726" s="866" t="s">
        <v>4073</v>
      </c>
      <c r="C726" s="866" t="s">
        <v>3876</v>
      </c>
      <c r="D726" s="867" t="s">
        <v>2987</v>
      </c>
      <c r="E726" s="868">
        <v>45552.478101851855</v>
      </c>
      <c r="F726" s="868">
        <v>45917.916655092595</v>
      </c>
      <c r="G726" s="867" t="s">
        <v>1741</v>
      </c>
      <c r="H726" s="867" t="s">
        <v>1755</v>
      </c>
      <c r="I726" s="867" t="s">
        <v>1756</v>
      </c>
      <c r="J726" s="867" t="s">
        <v>2988</v>
      </c>
      <c r="K726" s="867" t="s">
        <v>1804</v>
      </c>
      <c r="L726" s="867" t="s">
        <v>1805</v>
      </c>
      <c r="M726" s="867" t="s">
        <v>2957</v>
      </c>
      <c r="N726" s="867" t="s">
        <v>3879</v>
      </c>
      <c r="O726" s="873" t="s">
        <v>4080</v>
      </c>
      <c r="P726" s="874">
        <v>3</v>
      </c>
      <c r="Q726" s="874">
        <v>3</v>
      </c>
      <c r="R726" s="875">
        <v>0</v>
      </c>
      <c r="S726" s="876">
        <v>3</v>
      </c>
      <c r="T726" s="876">
        <v>3</v>
      </c>
      <c r="U726" s="877">
        <v>0</v>
      </c>
      <c r="W726" s="877"/>
    </row>
    <row r="727" spans="1:23" ht="36" x14ac:dyDescent="0.2">
      <c r="A727" s="865" t="s">
        <v>2939</v>
      </c>
      <c r="B727" s="866" t="s">
        <v>4073</v>
      </c>
      <c r="C727" s="866" t="s">
        <v>3876</v>
      </c>
      <c r="D727" s="867" t="s">
        <v>2989</v>
      </c>
      <c r="E727" s="868">
        <v>45552.441111111111</v>
      </c>
      <c r="F727" s="868">
        <v>45916.916655092595</v>
      </c>
      <c r="G727" s="867" t="s">
        <v>1758</v>
      </c>
      <c r="H727" s="867" t="s">
        <v>1759</v>
      </c>
      <c r="I727" s="867" t="s">
        <v>1762</v>
      </c>
      <c r="J727" s="867" t="s">
        <v>2990</v>
      </c>
      <c r="K727" s="867" t="s">
        <v>1804</v>
      </c>
      <c r="L727" s="867" t="s">
        <v>1828</v>
      </c>
      <c r="M727" s="867" t="s">
        <v>2944</v>
      </c>
      <c r="N727" s="867" t="s">
        <v>4075</v>
      </c>
      <c r="O727" s="867" t="s">
        <v>4076</v>
      </c>
      <c r="P727" s="869">
        <v>13</v>
      </c>
      <c r="Q727" s="869">
        <v>13</v>
      </c>
      <c r="R727" s="870">
        <v>0</v>
      </c>
      <c r="S727" s="871">
        <v>13</v>
      </c>
      <c r="T727" s="871">
        <v>13</v>
      </c>
      <c r="U727" s="872">
        <v>0</v>
      </c>
      <c r="W727" s="872"/>
    </row>
    <row r="728" spans="1:23" ht="24" x14ac:dyDescent="0.2">
      <c r="A728" s="865" t="s">
        <v>2939</v>
      </c>
      <c r="B728" s="866" t="s">
        <v>4073</v>
      </c>
      <c r="C728" s="866" t="s">
        <v>3876</v>
      </c>
      <c r="D728" s="867" t="s">
        <v>2991</v>
      </c>
      <c r="E728" s="868">
        <v>45545.296134259261</v>
      </c>
      <c r="F728" s="868">
        <v>45909.916655092595</v>
      </c>
      <c r="G728" s="867" t="s">
        <v>1758</v>
      </c>
      <c r="H728" s="867" t="s">
        <v>1759</v>
      </c>
      <c r="I728" s="867" t="s">
        <v>1761</v>
      </c>
      <c r="J728" s="867" t="s">
        <v>2992</v>
      </c>
      <c r="K728" s="867" t="s">
        <v>1804</v>
      </c>
      <c r="L728" s="867" t="s">
        <v>1828</v>
      </c>
      <c r="M728" s="867" t="s">
        <v>2952</v>
      </c>
      <c r="N728" s="867" t="s">
        <v>4078</v>
      </c>
      <c r="O728" s="873" t="s">
        <v>4079</v>
      </c>
      <c r="P728" s="874">
        <v>13</v>
      </c>
      <c r="Q728" s="874">
        <v>13</v>
      </c>
      <c r="R728" s="875">
        <v>0</v>
      </c>
      <c r="S728" s="876">
        <v>13</v>
      </c>
      <c r="T728" s="876">
        <v>13</v>
      </c>
      <c r="U728" s="877">
        <v>0</v>
      </c>
      <c r="W728" s="877"/>
    </row>
    <row r="729" spans="1:23" ht="24" x14ac:dyDescent="0.2">
      <c r="A729" s="865" t="s">
        <v>2939</v>
      </c>
      <c r="B729" s="866" t="s">
        <v>4073</v>
      </c>
      <c r="C729" s="866" t="s">
        <v>3876</v>
      </c>
      <c r="D729" s="867" t="s">
        <v>2993</v>
      </c>
      <c r="E729" s="868">
        <v>45545.271099537036</v>
      </c>
      <c r="F729" s="868">
        <v>45909.916655092595</v>
      </c>
      <c r="G729" s="867" t="s">
        <v>1758</v>
      </c>
      <c r="H729" s="867" t="s">
        <v>1759</v>
      </c>
      <c r="I729" s="867" t="s">
        <v>1761</v>
      </c>
      <c r="J729" s="867" t="s">
        <v>2994</v>
      </c>
      <c r="K729" s="867" t="s">
        <v>1804</v>
      </c>
      <c r="L729" s="867" t="s">
        <v>1828</v>
      </c>
      <c r="M729" s="867" t="s">
        <v>2952</v>
      </c>
      <c r="N729" s="867" t="s">
        <v>4078</v>
      </c>
      <c r="O729" s="867" t="s">
        <v>4079</v>
      </c>
      <c r="P729" s="869">
        <v>13</v>
      </c>
      <c r="Q729" s="869">
        <v>12</v>
      </c>
      <c r="R729" s="870">
        <v>0</v>
      </c>
      <c r="S729" s="871">
        <v>13</v>
      </c>
      <c r="T729" s="871">
        <v>12</v>
      </c>
      <c r="U729" s="872">
        <v>0</v>
      </c>
      <c r="W729" s="872"/>
    </row>
    <row r="730" spans="1:23" ht="24" x14ac:dyDescent="0.2">
      <c r="A730" s="865" t="s">
        <v>2939</v>
      </c>
      <c r="B730" s="866" t="s">
        <v>4073</v>
      </c>
      <c r="C730" s="866" t="s">
        <v>3876</v>
      </c>
      <c r="D730" s="1438" t="s">
        <v>2995</v>
      </c>
      <c r="E730" s="1441">
        <v>45565.481585648151</v>
      </c>
      <c r="F730" s="1441">
        <v>45838.916655092595</v>
      </c>
      <c r="G730" s="1438" t="s">
        <v>1777</v>
      </c>
      <c r="H730" s="1438" t="s">
        <v>1765</v>
      </c>
      <c r="I730" s="1438" t="s">
        <v>1778</v>
      </c>
      <c r="J730" s="1438" t="s">
        <v>2996</v>
      </c>
      <c r="K730" s="1438" t="s">
        <v>1804</v>
      </c>
      <c r="L730" s="1438" t="s">
        <v>2221</v>
      </c>
      <c r="M730" s="867" t="s">
        <v>2947</v>
      </c>
      <c r="N730" s="867" t="s">
        <v>3877</v>
      </c>
      <c r="O730" s="873" t="s">
        <v>4077</v>
      </c>
      <c r="P730" s="874">
        <v>62</v>
      </c>
      <c r="Q730" s="874">
        <v>61</v>
      </c>
      <c r="R730" s="875">
        <v>38</v>
      </c>
      <c r="S730" s="876">
        <v>62</v>
      </c>
      <c r="T730" s="876">
        <v>61</v>
      </c>
      <c r="U730" s="877">
        <v>38</v>
      </c>
      <c r="W730" s="877"/>
    </row>
    <row r="731" spans="1:23" ht="24" x14ac:dyDescent="0.2">
      <c r="A731" s="865" t="s">
        <v>2939</v>
      </c>
      <c r="B731" s="866" t="s">
        <v>4073</v>
      </c>
      <c r="C731" s="866" t="s">
        <v>3876</v>
      </c>
      <c r="D731" s="1440"/>
      <c r="E731" s="1443"/>
      <c r="F731" s="1443"/>
      <c r="G731" s="1440"/>
      <c r="H731" s="1440"/>
      <c r="I731" s="1440"/>
      <c r="J731" s="1440"/>
      <c r="K731" s="1440"/>
      <c r="L731" s="1440"/>
      <c r="M731" s="867" t="s">
        <v>2941</v>
      </c>
      <c r="N731" s="867" t="s">
        <v>3863</v>
      </c>
      <c r="O731" s="867" t="s">
        <v>4074</v>
      </c>
      <c r="P731" s="869">
        <v>62</v>
      </c>
      <c r="Q731" s="869">
        <v>61</v>
      </c>
      <c r="R731" s="870">
        <v>38</v>
      </c>
      <c r="S731" s="871">
        <v>62</v>
      </c>
      <c r="T731" s="871">
        <v>61</v>
      </c>
      <c r="U731" s="872">
        <v>38</v>
      </c>
      <c r="W731" s="872"/>
    </row>
    <row r="732" spans="1:23" ht="48" x14ac:dyDescent="0.2">
      <c r="A732" s="865" t="s">
        <v>2939</v>
      </c>
      <c r="B732" s="866" t="s">
        <v>4073</v>
      </c>
      <c r="C732" s="866" t="s">
        <v>3876</v>
      </c>
      <c r="D732" s="867" t="s">
        <v>2997</v>
      </c>
      <c r="E732" s="868">
        <v>45552.454467592594</v>
      </c>
      <c r="F732" s="868">
        <v>45916.916655092595</v>
      </c>
      <c r="G732" s="867" t="s">
        <v>1758</v>
      </c>
      <c r="H732" s="867" t="s">
        <v>1759</v>
      </c>
      <c r="I732" s="867" t="s">
        <v>1760</v>
      </c>
      <c r="J732" s="867" t="s">
        <v>2998</v>
      </c>
      <c r="K732" s="867" t="s">
        <v>1804</v>
      </c>
      <c r="L732" s="867" t="s">
        <v>1805</v>
      </c>
      <c r="M732" s="867" t="s">
        <v>2944</v>
      </c>
      <c r="N732" s="867" t="s">
        <v>4075</v>
      </c>
      <c r="O732" s="873" t="s">
        <v>4076</v>
      </c>
      <c r="P732" s="874">
        <v>1</v>
      </c>
      <c r="Q732" s="874">
        <v>1</v>
      </c>
      <c r="R732" s="875">
        <v>1</v>
      </c>
      <c r="S732" s="876">
        <v>1</v>
      </c>
      <c r="T732" s="876">
        <v>1</v>
      </c>
      <c r="U732" s="877">
        <v>1</v>
      </c>
      <c r="W732" s="877"/>
    </row>
    <row r="733" spans="1:23" ht="36" x14ac:dyDescent="0.2">
      <c r="A733" s="865" t="s">
        <v>2939</v>
      </c>
      <c r="B733" s="866" t="s">
        <v>4073</v>
      </c>
      <c r="C733" s="866" t="s">
        <v>3876</v>
      </c>
      <c r="D733" s="867" t="s">
        <v>2999</v>
      </c>
      <c r="E733" s="868">
        <v>45643.452280092592</v>
      </c>
      <c r="F733" s="868">
        <v>45930.916655092595</v>
      </c>
      <c r="G733" s="867" t="s">
        <v>1741</v>
      </c>
      <c r="H733" s="867" t="s">
        <v>1742</v>
      </c>
      <c r="I733" s="867" t="s">
        <v>1744</v>
      </c>
      <c r="J733" s="867" t="s">
        <v>1744</v>
      </c>
      <c r="K733" s="867" t="s">
        <v>1804</v>
      </c>
      <c r="L733" s="867" t="s">
        <v>1805</v>
      </c>
      <c r="M733" s="867" t="s">
        <v>2952</v>
      </c>
      <c r="N733" s="867" t="s">
        <v>4078</v>
      </c>
      <c r="O733" s="867" t="s">
        <v>4079</v>
      </c>
      <c r="P733" s="869">
        <v>5</v>
      </c>
      <c r="Q733" s="869">
        <v>4</v>
      </c>
      <c r="R733" s="870">
        <v>2</v>
      </c>
      <c r="S733" s="871">
        <v>5</v>
      </c>
      <c r="T733" s="871">
        <v>4</v>
      </c>
      <c r="U733" s="872">
        <v>2</v>
      </c>
      <c r="W733" s="872"/>
    </row>
    <row r="734" spans="1:23" ht="24" x14ac:dyDescent="0.2">
      <c r="A734" s="865" t="s">
        <v>2939</v>
      </c>
      <c r="B734" s="866" t="s">
        <v>4073</v>
      </c>
      <c r="C734" s="866" t="s">
        <v>3876</v>
      </c>
      <c r="D734" s="867" t="s">
        <v>3000</v>
      </c>
      <c r="E734" s="868">
        <v>45553.440081018518</v>
      </c>
      <c r="F734" s="868">
        <v>45918.916655092595</v>
      </c>
      <c r="G734" s="867" t="s">
        <v>1758</v>
      </c>
      <c r="H734" s="867" t="s">
        <v>1759</v>
      </c>
      <c r="I734" s="867" t="s">
        <v>1761</v>
      </c>
      <c r="J734" s="867" t="s">
        <v>3001</v>
      </c>
      <c r="K734" s="867" t="s">
        <v>1804</v>
      </c>
      <c r="L734" s="867" t="s">
        <v>1828</v>
      </c>
      <c r="M734" s="867" t="s">
        <v>2957</v>
      </c>
      <c r="N734" s="867" t="s">
        <v>3879</v>
      </c>
      <c r="O734" s="873" t="s">
        <v>4080</v>
      </c>
      <c r="P734" s="874">
        <v>16</v>
      </c>
      <c r="Q734" s="874">
        <v>15</v>
      </c>
      <c r="R734" s="875">
        <v>0</v>
      </c>
      <c r="S734" s="876">
        <v>16</v>
      </c>
      <c r="T734" s="876">
        <v>15</v>
      </c>
      <c r="U734" s="877">
        <v>0</v>
      </c>
      <c r="W734" s="877"/>
    </row>
    <row r="735" spans="1:23" ht="24" x14ac:dyDescent="0.2">
      <c r="A735" s="865" t="s">
        <v>2939</v>
      </c>
      <c r="B735" s="866" t="s">
        <v>4073</v>
      </c>
      <c r="C735" s="866" t="s">
        <v>3876</v>
      </c>
      <c r="D735" s="867" t="s">
        <v>3002</v>
      </c>
      <c r="E735" s="868">
        <v>45545.293379629627</v>
      </c>
      <c r="F735" s="868">
        <v>45909.916655092595</v>
      </c>
      <c r="G735" s="867" t="s">
        <v>1758</v>
      </c>
      <c r="H735" s="867" t="s">
        <v>1759</v>
      </c>
      <c r="I735" s="867" t="s">
        <v>1761</v>
      </c>
      <c r="J735" s="867" t="s">
        <v>3003</v>
      </c>
      <c r="K735" s="867" t="s">
        <v>1804</v>
      </c>
      <c r="L735" s="867" t="s">
        <v>1828</v>
      </c>
      <c r="M735" s="867" t="s">
        <v>2952</v>
      </c>
      <c r="N735" s="867" t="s">
        <v>4078</v>
      </c>
      <c r="O735" s="867" t="s">
        <v>4079</v>
      </c>
      <c r="P735" s="869">
        <v>13</v>
      </c>
      <c r="Q735" s="869">
        <v>13</v>
      </c>
      <c r="R735" s="870">
        <v>0</v>
      </c>
      <c r="S735" s="871">
        <v>13</v>
      </c>
      <c r="T735" s="871">
        <v>13</v>
      </c>
      <c r="U735" s="872">
        <v>0</v>
      </c>
      <c r="W735" s="872"/>
    </row>
    <row r="736" spans="1:23" ht="24" x14ac:dyDescent="0.2">
      <c r="A736" s="865" t="s">
        <v>2939</v>
      </c>
      <c r="B736" s="866" t="s">
        <v>4073</v>
      </c>
      <c r="C736" s="866" t="s">
        <v>3876</v>
      </c>
      <c r="D736" s="1438" t="s">
        <v>3004</v>
      </c>
      <c r="E736" s="1441">
        <v>45565.527256944442</v>
      </c>
      <c r="F736" s="1441">
        <v>45930.916655092595</v>
      </c>
      <c r="G736" s="1438" t="s">
        <v>1772</v>
      </c>
      <c r="H736" s="1438" t="s">
        <v>1765</v>
      </c>
      <c r="I736" s="1438" t="s">
        <v>1773</v>
      </c>
      <c r="J736" s="1438" t="s">
        <v>3005</v>
      </c>
      <c r="K736" s="1438" t="s">
        <v>1804</v>
      </c>
      <c r="L736" s="1438" t="s">
        <v>1805</v>
      </c>
      <c r="M736" s="867" t="s">
        <v>2947</v>
      </c>
      <c r="N736" s="867" t="s">
        <v>3877</v>
      </c>
      <c r="O736" s="873" t="s">
        <v>4077</v>
      </c>
      <c r="P736" s="874">
        <v>30</v>
      </c>
      <c r="Q736" s="874">
        <v>28</v>
      </c>
      <c r="R736" s="875">
        <v>1</v>
      </c>
      <c r="S736" s="876">
        <v>30</v>
      </c>
      <c r="T736" s="876">
        <v>28</v>
      </c>
      <c r="U736" s="877">
        <v>1</v>
      </c>
      <c r="W736" s="877"/>
    </row>
    <row r="737" spans="1:23" ht="24" x14ac:dyDescent="0.2">
      <c r="A737" s="865" t="s">
        <v>2939</v>
      </c>
      <c r="B737" s="866" t="s">
        <v>4073</v>
      </c>
      <c r="C737" s="866" t="s">
        <v>3876</v>
      </c>
      <c r="D737" s="1439"/>
      <c r="E737" s="1442"/>
      <c r="F737" s="1442"/>
      <c r="G737" s="1439"/>
      <c r="H737" s="1439"/>
      <c r="I737" s="1439"/>
      <c r="J737" s="1439"/>
      <c r="K737" s="1439"/>
      <c r="L737" s="1439"/>
      <c r="M737" s="867" t="s">
        <v>2962</v>
      </c>
      <c r="N737" s="867" t="s">
        <v>4081</v>
      </c>
      <c r="O737" s="867" t="s">
        <v>4082</v>
      </c>
      <c r="P737" s="869">
        <v>30</v>
      </c>
      <c r="Q737" s="869">
        <v>28</v>
      </c>
      <c r="R737" s="870">
        <v>1</v>
      </c>
      <c r="S737" s="871">
        <v>30</v>
      </c>
      <c r="T737" s="871">
        <v>28</v>
      </c>
      <c r="U737" s="872">
        <v>1</v>
      </c>
      <c r="W737" s="872"/>
    </row>
    <row r="738" spans="1:23" ht="24" x14ac:dyDescent="0.2">
      <c r="A738" s="865" t="s">
        <v>2939</v>
      </c>
      <c r="B738" s="866" t="s">
        <v>4073</v>
      </c>
      <c r="C738" s="866" t="s">
        <v>3876</v>
      </c>
      <c r="D738" s="1440"/>
      <c r="E738" s="1443"/>
      <c r="F738" s="1443"/>
      <c r="G738" s="1440"/>
      <c r="H738" s="1440"/>
      <c r="I738" s="1440"/>
      <c r="J738" s="1440"/>
      <c r="K738" s="1440"/>
      <c r="L738" s="1440"/>
      <c r="M738" s="867" t="s">
        <v>2941</v>
      </c>
      <c r="N738" s="867" t="s">
        <v>3863</v>
      </c>
      <c r="O738" s="873" t="s">
        <v>4074</v>
      </c>
      <c r="P738" s="874">
        <v>30</v>
      </c>
      <c r="Q738" s="874">
        <v>28</v>
      </c>
      <c r="R738" s="875">
        <v>1</v>
      </c>
      <c r="S738" s="876">
        <v>30</v>
      </c>
      <c r="T738" s="876">
        <v>28</v>
      </c>
      <c r="U738" s="877">
        <v>1</v>
      </c>
      <c r="W738" s="877"/>
    </row>
    <row r="739" spans="1:23" ht="36" x14ac:dyDescent="0.2">
      <c r="A739" s="865" t="s">
        <v>3006</v>
      </c>
      <c r="B739" s="866" t="s">
        <v>4083</v>
      </c>
      <c r="C739" s="866" t="s">
        <v>3860</v>
      </c>
      <c r="D739" s="867" t="s">
        <v>3007</v>
      </c>
      <c r="E739" s="868">
        <v>45603.299467592595</v>
      </c>
      <c r="F739" s="868">
        <v>45632.958321759259</v>
      </c>
      <c r="G739" s="867" t="s">
        <v>1777</v>
      </c>
      <c r="H739" s="867" t="s">
        <v>1888</v>
      </c>
      <c r="I739" s="867" t="s">
        <v>1889</v>
      </c>
      <c r="J739" s="867" t="s">
        <v>1889</v>
      </c>
      <c r="K739" s="867" t="s">
        <v>1804</v>
      </c>
      <c r="L739" s="867" t="s">
        <v>1805</v>
      </c>
      <c r="M739" s="867" t="s">
        <v>3008</v>
      </c>
      <c r="N739" s="867" t="s">
        <v>4084</v>
      </c>
      <c r="O739" s="867" t="s">
        <v>4085</v>
      </c>
      <c r="P739" s="869">
        <v>10</v>
      </c>
      <c r="Q739" s="869">
        <v>1</v>
      </c>
      <c r="R739" s="870">
        <v>0</v>
      </c>
      <c r="S739" s="871">
        <v>10</v>
      </c>
      <c r="T739" s="871">
        <v>1</v>
      </c>
      <c r="U739" s="872">
        <v>0</v>
      </c>
      <c r="W739" s="872">
        <v>0</v>
      </c>
    </row>
    <row r="740" spans="1:23" ht="36" x14ac:dyDescent="0.2">
      <c r="A740" s="865" t="s">
        <v>3006</v>
      </c>
      <c r="B740" s="866" t="s">
        <v>4083</v>
      </c>
      <c r="C740" s="866" t="s">
        <v>3860</v>
      </c>
      <c r="D740" s="867" t="s">
        <v>3009</v>
      </c>
      <c r="E740" s="868">
        <v>45565.253159722219</v>
      </c>
      <c r="F740" s="868">
        <v>45595.958321759259</v>
      </c>
      <c r="G740" s="867" t="s">
        <v>1777</v>
      </c>
      <c r="H740" s="867" t="s">
        <v>1888</v>
      </c>
      <c r="I740" s="867" t="s">
        <v>3010</v>
      </c>
      <c r="J740" s="867" t="s">
        <v>3010</v>
      </c>
      <c r="K740" s="867" t="s">
        <v>1804</v>
      </c>
      <c r="L740" s="867" t="s">
        <v>1805</v>
      </c>
      <c r="M740" s="867" t="s">
        <v>3008</v>
      </c>
      <c r="N740" s="867" t="s">
        <v>4084</v>
      </c>
      <c r="O740" s="873" t="s">
        <v>4085</v>
      </c>
      <c r="P740" s="874">
        <v>11</v>
      </c>
      <c r="Q740" s="874">
        <v>5</v>
      </c>
      <c r="R740" s="875">
        <v>3</v>
      </c>
      <c r="S740" s="876">
        <v>11</v>
      </c>
      <c r="T740" s="876">
        <v>5</v>
      </c>
      <c r="U740" s="877">
        <v>3</v>
      </c>
      <c r="W740" s="877">
        <v>3</v>
      </c>
    </row>
    <row r="741" spans="1:23" ht="24" x14ac:dyDescent="0.2">
      <c r="A741" s="865" t="s">
        <v>3006</v>
      </c>
      <c r="B741" s="866" t="s">
        <v>4083</v>
      </c>
      <c r="C741" s="866" t="s">
        <v>3860</v>
      </c>
      <c r="D741" s="867" t="s">
        <v>3011</v>
      </c>
      <c r="E741" s="868">
        <v>45580.770856481482</v>
      </c>
      <c r="F741" s="868">
        <v>45641.958321759259</v>
      </c>
      <c r="G741" s="867" t="s">
        <v>1777</v>
      </c>
      <c r="H741" s="867" t="s">
        <v>1765</v>
      </c>
      <c r="I741" s="867" t="s">
        <v>1778</v>
      </c>
      <c r="J741" s="867" t="s">
        <v>1778</v>
      </c>
      <c r="K741" s="867" t="s">
        <v>1804</v>
      </c>
      <c r="L741" s="867" t="s">
        <v>2221</v>
      </c>
      <c r="M741" s="867" t="s">
        <v>3008</v>
      </c>
      <c r="N741" s="867" t="s">
        <v>4084</v>
      </c>
      <c r="O741" s="867" t="s">
        <v>4085</v>
      </c>
      <c r="P741" s="869">
        <v>10</v>
      </c>
      <c r="Q741" s="869">
        <v>5</v>
      </c>
      <c r="R741" s="870">
        <v>3</v>
      </c>
      <c r="S741" s="871">
        <v>10</v>
      </c>
      <c r="T741" s="871">
        <v>5</v>
      </c>
      <c r="U741" s="872">
        <v>3</v>
      </c>
      <c r="W741" s="872">
        <v>3</v>
      </c>
    </row>
    <row r="742" spans="1:23" ht="36" x14ac:dyDescent="0.2">
      <c r="A742" s="865" t="s">
        <v>3006</v>
      </c>
      <c r="B742" s="866" t="s">
        <v>4083</v>
      </c>
      <c r="C742" s="866" t="s">
        <v>3860</v>
      </c>
      <c r="D742" s="867" t="s">
        <v>3012</v>
      </c>
      <c r="E742" s="868">
        <v>45579.803310185183</v>
      </c>
      <c r="F742" s="868">
        <v>45646.958321759259</v>
      </c>
      <c r="G742" s="867" t="s">
        <v>1777</v>
      </c>
      <c r="H742" s="867" t="s">
        <v>1888</v>
      </c>
      <c r="I742" s="867" t="s">
        <v>1889</v>
      </c>
      <c r="J742" s="867" t="s">
        <v>3013</v>
      </c>
      <c r="K742" s="867" t="s">
        <v>1804</v>
      </c>
      <c r="L742" s="867" t="s">
        <v>1805</v>
      </c>
      <c r="M742" s="867" t="s">
        <v>3008</v>
      </c>
      <c r="N742" s="867" t="s">
        <v>4084</v>
      </c>
      <c r="O742" s="873" t="s">
        <v>4085</v>
      </c>
      <c r="P742" s="874">
        <v>19</v>
      </c>
      <c r="Q742" s="874">
        <v>6</v>
      </c>
      <c r="R742" s="875">
        <v>4</v>
      </c>
      <c r="S742" s="876">
        <v>19</v>
      </c>
      <c r="T742" s="876">
        <v>6</v>
      </c>
      <c r="U742" s="877">
        <v>4</v>
      </c>
      <c r="W742" s="877">
        <v>4</v>
      </c>
    </row>
    <row r="743" spans="1:23" ht="36" x14ac:dyDescent="0.2">
      <c r="A743" s="865" t="s">
        <v>3014</v>
      </c>
      <c r="B743" s="866" t="s">
        <v>4086</v>
      </c>
      <c r="C743" s="866" t="s">
        <v>4087</v>
      </c>
      <c r="D743" s="867" t="s">
        <v>3015</v>
      </c>
      <c r="E743" s="868">
        <v>45535.916666666664</v>
      </c>
      <c r="F743" s="868">
        <v>45838.916655092595</v>
      </c>
      <c r="G743" s="867" t="s">
        <v>1758</v>
      </c>
      <c r="H743" s="867" t="s">
        <v>1759</v>
      </c>
      <c r="I743" s="867" t="s">
        <v>1762</v>
      </c>
      <c r="J743" s="867" t="s">
        <v>3016</v>
      </c>
      <c r="K743" s="867" t="s">
        <v>1804</v>
      </c>
      <c r="L743" s="867" t="s">
        <v>1828</v>
      </c>
      <c r="M743" s="867" t="s">
        <v>3017</v>
      </c>
      <c r="N743" s="867" t="s">
        <v>4088</v>
      </c>
      <c r="O743" s="867" t="s">
        <v>4089</v>
      </c>
      <c r="P743" s="869">
        <v>19</v>
      </c>
      <c r="Q743" s="869">
        <v>19</v>
      </c>
      <c r="R743" s="870">
        <v>19</v>
      </c>
      <c r="S743" s="871">
        <v>19</v>
      </c>
      <c r="T743" s="871">
        <v>19</v>
      </c>
      <c r="U743" s="872">
        <v>19</v>
      </c>
      <c r="W743" s="872">
        <v>19</v>
      </c>
    </row>
    <row r="744" spans="1:23" ht="36" x14ac:dyDescent="0.2">
      <c r="A744" s="865" t="s">
        <v>3014</v>
      </c>
      <c r="B744" s="866" t="s">
        <v>4086</v>
      </c>
      <c r="C744" s="866" t="s">
        <v>4087</v>
      </c>
      <c r="D744" s="867" t="s">
        <v>3018</v>
      </c>
      <c r="E744" s="868">
        <v>45535.916666666664</v>
      </c>
      <c r="F744" s="868">
        <v>45838.916655092595</v>
      </c>
      <c r="G744" s="867" t="s">
        <v>1758</v>
      </c>
      <c r="H744" s="867" t="s">
        <v>1759</v>
      </c>
      <c r="I744" s="867" t="s">
        <v>1761</v>
      </c>
      <c r="J744" s="867" t="s">
        <v>3019</v>
      </c>
      <c r="K744" s="867" t="s">
        <v>1804</v>
      </c>
      <c r="L744" s="867" t="s">
        <v>1828</v>
      </c>
      <c r="M744" s="867" t="s">
        <v>3017</v>
      </c>
      <c r="N744" s="867" t="s">
        <v>4088</v>
      </c>
      <c r="O744" s="873" t="s">
        <v>4089</v>
      </c>
      <c r="P744" s="874">
        <v>30</v>
      </c>
      <c r="Q744" s="874">
        <v>29</v>
      </c>
      <c r="R744" s="875">
        <v>15</v>
      </c>
      <c r="S744" s="876">
        <v>30</v>
      </c>
      <c r="T744" s="876">
        <v>29</v>
      </c>
      <c r="U744" s="877">
        <v>15</v>
      </c>
      <c r="W744" s="877">
        <v>15</v>
      </c>
    </row>
    <row r="745" spans="1:23" ht="48" x14ac:dyDescent="0.2">
      <c r="A745" s="865" t="s">
        <v>3014</v>
      </c>
      <c r="B745" s="866" t="s">
        <v>4086</v>
      </c>
      <c r="C745" s="866" t="s">
        <v>4087</v>
      </c>
      <c r="D745" s="867" t="s">
        <v>3020</v>
      </c>
      <c r="E745" s="868">
        <v>45535.916666666664</v>
      </c>
      <c r="F745" s="868">
        <v>45807.916655092595</v>
      </c>
      <c r="G745" s="867" t="s">
        <v>1758</v>
      </c>
      <c r="H745" s="867" t="s">
        <v>1759</v>
      </c>
      <c r="I745" s="867" t="s">
        <v>1760</v>
      </c>
      <c r="J745" s="867" t="s">
        <v>3021</v>
      </c>
      <c r="K745" s="867" t="s">
        <v>1804</v>
      </c>
      <c r="L745" s="867" t="s">
        <v>1805</v>
      </c>
      <c r="M745" s="867" t="s">
        <v>3017</v>
      </c>
      <c r="N745" s="867" t="s">
        <v>4088</v>
      </c>
      <c r="O745" s="867" t="s">
        <v>4089</v>
      </c>
      <c r="P745" s="869">
        <v>11</v>
      </c>
      <c r="Q745" s="869">
        <v>9</v>
      </c>
      <c r="R745" s="870">
        <v>9</v>
      </c>
      <c r="S745" s="871">
        <v>11</v>
      </c>
      <c r="T745" s="871">
        <v>9</v>
      </c>
      <c r="U745" s="872">
        <v>9</v>
      </c>
      <c r="W745" s="872">
        <v>9</v>
      </c>
    </row>
    <row r="746" spans="1:23" ht="36" x14ac:dyDescent="0.2">
      <c r="A746" s="865" t="s">
        <v>3014</v>
      </c>
      <c r="B746" s="866" t="s">
        <v>4086</v>
      </c>
      <c r="C746" s="866" t="s">
        <v>4087</v>
      </c>
      <c r="D746" s="867" t="s">
        <v>3022</v>
      </c>
      <c r="E746" s="868">
        <v>45535.916666666664</v>
      </c>
      <c r="F746" s="868">
        <v>45838.916655092595</v>
      </c>
      <c r="G746" s="867" t="s">
        <v>1758</v>
      </c>
      <c r="H746" s="867" t="s">
        <v>1759</v>
      </c>
      <c r="I746" s="867" t="s">
        <v>1762</v>
      </c>
      <c r="J746" s="867" t="s">
        <v>3023</v>
      </c>
      <c r="K746" s="867" t="s">
        <v>1804</v>
      </c>
      <c r="L746" s="867" t="s">
        <v>1828</v>
      </c>
      <c r="M746" s="867" t="s">
        <v>3017</v>
      </c>
      <c r="N746" s="867" t="s">
        <v>4088</v>
      </c>
      <c r="O746" s="873" t="s">
        <v>4089</v>
      </c>
      <c r="P746" s="874">
        <v>11</v>
      </c>
      <c r="Q746" s="874">
        <v>8</v>
      </c>
      <c r="R746" s="875">
        <v>0</v>
      </c>
      <c r="S746" s="876">
        <v>11</v>
      </c>
      <c r="T746" s="876">
        <v>8</v>
      </c>
      <c r="U746" s="877">
        <v>0</v>
      </c>
      <c r="W746" s="877">
        <v>0</v>
      </c>
    </row>
    <row r="747" spans="1:23" ht="24" x14ac:dyDescent="0.2">
      <c r="A747" s="812" t="s">
        <v>4090</v>
      </c>
      <c r="B747" s="866" t="s">
        <v>4091</v>
      </c>
      <c r="C747" s="866" t="s">
        <v>3867</v>
      </c>
      <c r="D747" s="867" t="s">
        <v>3024</v>
      </c>
      <c r="E747" s="868">
        <v>45546.215694444443</v>
      </c>
      <c r="F747" s="868">
        <v>45835.916655092595</v>
      </c>
      <c r="G747" s="867" t="s">
        <v>1758</v>
      </c>
      <c r="H747" s="867" t="s">
        <v>1759</v>
      </c>
      <c r="I747" s="867" t="s">
        <v>1761</v>
      </c>
      <c r="J747" s="867" t="s">
        <v>1761</v>
      </c>
      <c r="K747" s="867" t="s">
        <v>1804</v>
      </c>
      <c r="L747" s="867" t="s">
        <v>1828</v>
      </c>
      <c r="M747" s="867" t="s">
        <v>3025</v>
      </c>
      <c r="N747" s="867" t="s">
        <v>4067</v>
      </c>
      <c r="O747" s="867" t="s">
        <v>4092</v>
      </c>
      <c r="P747" s="869">
        <v>14</v>
      </c>
      <c r="Q747" s="869">
        <v>11</v>
      </c>
      <c r="R747" s="870">
        <v>10</v>
      </c>
      <c r="S747" s="871">
        <v>14</v>
      </c>
      <c r="T747" s="871">
        <v>11</v>
      </c>
      <c r="U747" s="872">
        <v>10</v>
      </c>
      <c r="W747" s="872">
        <v>10</v>
      </c>
    </row>
    <row r="748" spans="1:23" ht="24" x14ac:dyDescent="0.2">
      <c r="A748" s="812" t="s">
        <v>4090</v>
      </c>
      <c r="B748" s="866" t="s">
        <v>4091</v>
      </c>
      <c r="C748" s="866" t="s">
        <v>3867</v>
      </c>
      <c r="D748" s="1438" t="s">
        <v>3026</v>
      </c>
      <c r="E748" s="1441">
        <v>45543.793981481482</v>
      </c>
      <c r="F748" s="1441">
        <v>45838.916655092595</v>
      </c>
      <c r="G748" s="1438" t="s">
        <v>1758</v>
      </c>
      <c r="H748" s="1438" t="s">
        <v>1759</v>
      </c>
      <c r="I748" s="1438" t="s">
        <v>1761</v>
      </c>
      <c r="J748" s="1438" t="s">
        <v>1761</v>
      </c>
      <c r="K748" s="1438" t="s">
        <v>1804</v>
      </c>
      <c r="L748" s="1438" t="s">
        <v>1828</v>
      </c>
      <c r="M748" s="867" t="s">
        <v>3027</v>
      </c>
      <c r="N748" s="867" t="s">
        <v>4093</v>
      </c>
      <c r="O748" s="873" t="s">
        <v>4094</v>
      </c>
      <c r="P748" s="874">
        <v>14</v>
      </c>
      <c r="Q748" s="874">
        <v>14</v>
      </c>
      <c r="R748" s="875">
        <v>14</v>
      </c>
      <c r="S748" s="876">
        <v>14</v>
      </c>
      <c r="T748" s="876">
        <v>14</v>
      </c>
      <c r="U748" s="877">
        <v>14</v>
      </c>
      <c r="W748" s="877">
        <v>14</v>
      </c>
    </row>
    <row r="749" spans="1:23" ht="24" x14ac:dyDescent="0.2">
      <c r="A749" s="812" t="s">
        <v>4090</v>
      </c>
      <c r="B749" s="866" t="s">
        <v>4091</v>
      </c>
      <c r="C749" s="866" t="s">
        <v>3867</v>
      </c>
      <c r="D749" s="1440"/>
      <c r="E749" s="1443"/>
      <c r="F749" s="1443"/>
      <c r="G749" s="1440"/>
      <c r="H749" s="1440"/>
      <c r="I749" s="1440"/>
      <c r="J749" s="1440"/>
      <c r="K749" s="1440"/>
      <c r="L749" s="1440"/>
      <c r="M749" s="867" t="s">
        <v>3025</v>
      </c>
      <c r="N749" s="867" t="s">
        <v>4067</v>
      </c>
      <c r="O749" s="867" t="s">
        <v>4092</v>
      </c>
      <c r="P749" s="869">
        <v>14</v>
      </c>
      <c r="Q749" s="869">
        <v>14</v>
      </c>
      <c r="R749" s="870">
        <v>14</v>
      </c>
      <c r="S749" s="871">
        <v>14</v>
      </c>
      <c r="T749" s="871">
        <v>14</v>
      </c>
      <c r="U749" s="872">
        <v>14</v>
      </c>
      <c r="W749" s="872">
        <v>14</v>
      </c>
    </row>
    <row r="750" spans="1:23" ht="36" x14ac:dyDescent="0.2">
      <c r="A750" s="812" t="s">
        <v>4095</v>
      </c>
      <c r="B750" s="866" t="s">
        <v>4096</v>
      </c>
      <c r="C750" s="866" t="s">
        <v>3860</v>
      </c>
      <c r="D750" s="867" t="s">
        <v>3028</v>
      </c>
      <c r="E750" s="868">
        <v>45604.29791666667</v>
      </c>
      <c r="F750" s="868">
        <v>45838.916655092595</v>
      </c>
      <c r="G750" s="867" t="s">
        <v>1758</v>
      </c>
      <c r="H750" s="867" t="s">
        <v>1759</v>
      </c>
      <c r="I750" s="867" t="s">
        <v>1762</v>
      </c>
      <c r="J750" s="867" t="s">
        <v>1762</v>
      </c>
      <c r="K750" s="867" t="s">
        <v>1804</v>
      </c>
      <c r="L750" s="867" t="s">
        <v>1828</v>
      </c>
      <c r="M750" s="867" t="s">
        <v>3029</v>
      </c>
      <c r="N750" s="867" t="s">
        <v>4097</v>
      </c>
      <c r="O750" s="873" t="s">
        <v>4098</v>
      </c>
      <c r="P750" s="874">
        <v>19</v>
      </c>
      <c r="Q750" s="874">
        <v>18</v>
      </c>
      <c r="R750" s="875">
        <v>18</v>
      </c>
      <c r="S750" s="876">
        <v>19</v>
      </c>
      <c r="T750" s="876">
        <v>18</v>
      </c>
      <c r="U750" s="877">
        <v>18</v>
      </c>
      <c r="W750" s="877">
        <v>18</v>
      </c>
    </row>
    <row r="751" spans="1:23" ht="36" x14ac:dyDescent="0.2">
      <c r="A751" s="812" t="s">
        <v>4095</v>
      </c>
      <c r="B751" s="866" t="s">
        <v>4096</v>
      </c>
      <c r="C751" s="866" t="s">
        <v>3860</v>
      </c>
      <c r="D751" s="867" t="s">
        <v>3030</v>
      </c>
      <c r="E751" s="868">
        <v>45398.916666666664</v>
      </c>
      <c r="F751" s="868">
        <v>45534.916666666664</v>
      </c>
      <c r="G751" s="867" t="s">
        <v>1758</v>
      </c>
      <c r="H751" s="867" t="s">
        <v>1759</v>
      </c>
      <c r="I751" s="867" t="s">
        <v>1817</v>
      </c>
      <c r="J751" s="867" t="s">
        <v>3031</v>
      </c>
      <c r="K751" s="867" t="s">
        <v>1804</v>
      </c>
      <c r="L751" s="867" t="s">
        <v>1819</v>
      </c>
      <c r="M751" s="867" t="s">
        <v>3029</v>
      </c>
      <c r="N751" s="867" t="s">
        <v>4097</v>
      </c>
      <c r="O751" s="867" t="s">
        <v>4098</v>
      </c>
      <c r="P751" s="869">
        <v>5</v>
      </c>
      <c r="Q751" s="869">
        <v>4</v>
      </c>
      <c r="R751" s="870">
        <v>0</v>
      </c>
      <c r="S751" s="871">
        <v>5</v>
      </c>
      <c r="T751" s="871">
        <v>4</v>
      </c>
      <c r="U751" s="872">
        <v>0</v>
      </c>
      <c r="W751" s="872">
        <v>0</v>
      </c>
    </row>
    <row r="752" spans="1:23" ht="36" x14ac:dyDescent="0.2">
      <c r="A752" s="812" t="s">
        <v>4095</v>
      </c>
      <c r="B752" s="866" t="s">
        <v>4096</v>
      </c>
      <c r="C752" s="866" t="s">
        <v>3860</v>
      </c>
      <c r="D752" s="867" t="s">
        <v>3032</v>
      </c>
      <c r="E752" s="868">
        <v>45398.916666666664</v>
      </c>
      <c r="F752" s="868">
        <v>45564.916666666664</v>
      </c>
      <c r="G752" s="867" t="s">
        <v>1758</v>
      </c>
      <c r="H752" s="867" t="s">
        <v>1759</v>
      </c>
      <c r="I752" s="867" t="s">
        <v>1817</v>
      </c>
      <c r="J752" s="867" t="s">
        <v>3033</v>
      </c>
      <c r="K752" s="867" t="s">
        <v>1804</v>
      </c>
      <c r="L752" s="867" t="s">
        <v>1819</v>
      </c>
      <c r="M752" s="867" t="s">
        <v>3029</v>
      </c>
      <c r="N752" s="867" t="s">
        <v>4097</v>
      </c>
      <c r="O752" s="873" t="s">
        <v>4098</v>
      </c>
      <c r="P752" s="874">
        <v>17</v>
      </c>
      <c r="Q752" s="874">
        <v>12</v>
      </c>
      <c r="R752" s="875">
        <v>0</v>
      </c>
      <c r="S752" s="876">
        <v>17</v>
      </c>
      <c r="T752" s="876">
        <v>12</v>
      </c>
      <c r="U752" s="877">
        <v>0</v>
      </c>
      <c r="W752" s="877">
        <v>0</v>
      </c>
    </row>
    <row r="753" spans="1:23" ht="36" x14ac:dyDescent="0.2">
      <c r="A753" s="812" t="s">
        <v>4095</v>
      </c>
      <c r="B753" s="866" t="s">
        <v>4096</v>
      </c>
      <c r="C753" s="866" t="s">
        <v>3860</v>
      </c>
      <c r="D753" s="867" t="s">
        <v>3034</v>
      </c>
      <c r="E753" s="868">
        <v>45604.958333333336</v>
      </c>
      <c r="F753" s="868">
        <v>45688.958321759259</v>
      </c>
      <c r="G753" s="867" t="s">
        <v>1758</v>
      </c>
      <c r="H753" s="867" t="s">
        <v>1759</v>
      </c>
      <c r="I753" s="867" t="s">
        <v>1762</v>
      </c>
      <c r="J753" s="867" t="s">
        <v>1762</v>
      </c>
      <c r="K753" s="867" t="s">
        <v>1804</v>
      </c>
      <c r="L753" s="867" t="s">
        <v>1828</v>
      </c>
      <c r="M753" s="867" t="s">
        <v>3029</v>
      </c>
      <c r="N753" s="867" t="s">
        <v>4097</v>
      </c>
      <c r="O753" s="867" t="s">
        <v>4098</v>
      </c>
      <c r="P753" s="869">
        <v>5</v>
      </c>
      <c r="Q753" s="869">
        <v>2</v>
      </c>
      <c r="R753" s="870">
        <v>0</v>
      </c>
      <c r="S753" s="871">
        <v>5</v>
      </c>
      <c r="T753" s="871">
        <v>2</v>
      </c>
      <c r="U753" s="872">
        <v>0</v>
      </c>
      <c r="W753" s="872">
        <v>0</v>
      </c>
    </row>
    <row r="754" spans="1:23" ht="36" x14ac:dyDescent="0.2">
      <c r="A754" s="812" t="s">
        <v>4095</v>
      </c>
      <c r="B754" s="866" t="s">
        <v>4096</v>
      </c>
      <c r="C754" s="866" t="s">
        <v>3860</v>
      </c>
      <c r="D754" s="867" t="s">
        <v>3035</v>
      </c>
      <c r="E754" s="868">
        <v>45551.437581018516</v>
      </c>
      <c r="F754" s="868">
        <v>45838.916655092595</v>
      </c>
      <c r="G754" s="867" t="s">
        <v>1758</v>
      </c>
      <c r="H754" s="867" t="s">
        <v>1759</v>
      </c>
      <c r="I754" s="867" t="s">
        <v>1761</v>
      </c>
      <c r="J754" s="867" t="s">
        <v>3036</v>
      </c>
      <c r="K754" s="867" t="s">
        <v>1804</v>
      </c>
      <c r="L754" s="867" t="s">
        <v>1828</v>
      </c>
      <c r="M754" s="867" t="s">
        <v>3037</v>
      </c>
      <c r="N754" s="867" t="s">
        <v>3882</v>
      </c>
      <c r="O754" s="873" t="s">
        <v>4099</v>
      </c>
      <c r="P754" s="874">
        <v>16</v>
      </c>
      <c r="Q754" s="874">
        <v>15</v>
      </c>
      <c r="R754" s="875">
        <v>0</v>
      </c>
      <c r="S754" s="876">
        <v>16</v>
      </c>
      <c r="T754" s="876">
        <v>15</v>
      </c>
      <c r="U754" s="877">
        <v>0</v>
      </c>
      <c r="W754" s="877">
        <v>0</v>
      </c>
    </row>
    <row r="755" spans="1:23" ht="48" x14ac:dyDescent="0.2">
      <c r="A755" s="812" t="s">
        <v>4095</v>
      </c>
      <c r="B755" s="866" t="s">
        <v>4096</v>
      </c>
      <c r="C755" s="866" t="s">
        <v>3860</v>
      </c>
      <c r="D755" s="867" t="s">
        <v>3038</v>
      </c>
      <c r="E755" s="868">
        <v>45590.411712962959</v>
      </c>
      <c r="F755" s="868">
        <v>45807.916655092595</v>
      </c>
      <c r="G755" s="867" t="s">
        <v>1758</v>
      </c>
      <c r="H755" s="867" t="s">
        <v>1759</v>
      </c>
      <c r="I755" s="867" t="s">
        <v>1760</v>
      </c>
      <c r="J755" s="867" t="s">
        <v>1760</v>
      </c>
      <c r="K755" s="867" t="s">
        <v>1804</v>
      </c>
      <c r="L755" s="867" t="s">
        <v>1805</v>
      </c>
      <c r="M755" s="867" t="s">
        <v>3029</v>
      </c>
      <c r="N755" s="867" t="s">
        <v>4097</v>
      </c>
      <c r="O755" s="867" t="s">
        <v>4098</v>
      </c>
      <c r="P755" s="869">
        <v>17</v>
      </c>
      <c r="Q755" s="869">
        <v>17</v>
      </c>
      <c r="R755" s="870">
        <v>15</v>
      </c>
      <c r="S755" s="871">
        <v>17</v>
      </c>
      <c r="T755" s="871">
        <v>17</v>
      </c>
      <c r="U755" s="872">
        <v>15</v>
      </c>
      <c r="W755" s="872">
        <v>15</v>
      </c>
    </row>
    <row r="756" spans="1:23" ht="36" x14ac:dyDescent="0.2">
      <c r="A756" s="812" t="s">
        <v>4095</v>
      </c>
      <c r="B756" s="866" t="s">
        <v>4096</v>
      </c>
      <c r="C756" s="866" t="s">
        <v>3860</v>
      </c>
      <c r="D756" s="867" t="s">
        <v>3039</v>
      </c>
      <c r="E756" s="868">
        <v>45544.916666666664</v>
      </c>
      <c r="F756" s="868">
        <v>45838.916655092595</v>
      </c>
      <c r="G756" s="867" t="s">
        <v>1758</v>
      </c>
      <c r="H756" s="867" t="s">
        <v>1759</v>
      </c>
      <c r="I756" s="867" t="s">
        <v>1761</v>
      </c>
      <c r="J756" s="867" t="s">
        <v>1761</v>
      </c>
      <c r="K756" s="867" t="s">
        <v>1804</v>
      </c>
      <c r="L756" s="867" t="s">
        <v>1828</v>
      </c>
      <c r="M756" s="867" t="s">
        <v>3037</v>
      </c>
      <c r="N756" s="867" t="s">
        <v>3882</v>
      </c>
      <c r="O756" s="873" t="s">
        <v>4099</v>
      </c>
      <c r="P756" s="874">
        <v>15</v>
      </c>
      <c r="Q756" s="874">
        <v>0</v>
      </c>
      <c r="R756" s="875">
        <v>0</v>
      </c>
      <c r="S756" s="876">
        <v>15</v>
      </c>
      <c r="T756" s="876">
        <v>0</v>
      </c>
      <c r="U756" s="877">
        <v>0</v>
      </c>
      <c r="W756" s="877">
        <v>0</v>
      </c>
    </row>
    <row r="757" spans="1:23" ht="36" x14ac:dyDescent="0.2">
      <c r="A757" s="812" t="s">
        <v>4095</v>
      </c>
      <c r="B757" s="866" t="s">
        <v>4096</v>
      </c>
      <c r="C757" s="866" t="s">
        <v>3860</v>
      </c>
      <c r="D757" s="867" t="s">
        <v>3040</v>
      </c>
      <c r="E757" s="868">
        <v>45550.687881944446</v>
      </c>
      <c r="F757" s="868">
        <v>45838.916655092595</v>
      </c>
      <c r="G757" s="867" t="s">
        <v>1758</v>
      </c>
      <c r="H757" s="867" t="s">
        <v>1759</v>
      </c>
      <c r="I757" s="867" t="s">
        <v>1761</v>
      </c>
      <c r="J757" s="867" t="s">
        <v>3041</v>
      </c>
      <c r="K757" s="867" t="s">
        <v>1804</v>
      </c>
      <c r="L757" s="867" t="s">
        <v>1828</v>
      </c>
      <c r="M757" s="867" t="s">
        <v>3037</v>
      </c>
      <c r="N757" s="867" t="s">
        <v>3882</v>
      </c>
      <c r="O757" s="867" t="s">
        <v>4099</v>
      </c>
      <c r="P757" s="869">
        <v>16</v>
      </c>
      <c r="Q757" s="869">
        <v>15</v>
      </c>
      <c r="R757" s="870">
        <v>0</v>
      </c>
      <c r="S757" s="871">
        <v>16</v>
      </c>
      <c r="T757" s="871">
        <v>15</v>
      </c>
      <c r="U757" s="872">
        <v>0</v>
      </c>
      <c r="W757" s="872">
        <v>0</v>
      </c>
    </row>
    <row r="758" spans="1:23" ht="24" x14ac:dyDescent="0.2">
      <c r="A758" s="865" t="s">
        <v>3042</v>
      </c>
      <c r="B758" s="866" t="s">
        <v>4100</v>
      </c>
      <c r="C758" s="866" t="s">
        <v>3860</v>
      </c>
      <c r="D758" s="1438" t="s">
        <v>3043</v>
      </c>
      <c r="E758" s="1441">
        <v>45465.916666666664</v>
      </c>
      <c r="F758" s="1441">
        <v>45709.958333333336</v>
      </c>
      <c r="G758" s="1438" t="s">
        <v>1758</v>
      </c>
      <c r="H758" s="1438" t="s">
        <v>1759</v>
      </c>
      <c r="I758" s="1438" t="s">
        <v>1823</v>
      </c>
      <c r="J758" s="1438" t="s">
        <v>3044</v>
      </c>
      <c r="K758" s="1438" t="s">
        <v>1804</v>
      </c>
      <c r="L758" s="1438" t="s">
        <v>1819</v>
      </c>
      <c r="M758" s="867" t="s">
        <v>3045</v>
      </c>
      <c r="N758" s="867" t="s">
        <v>4101</v>
      </c>
      <c r="O758" s="873" t="s">
        <v>4102</v>
      </c>
      <c r="P758" s="874">
        <v>1</v>
      </c>
      <c r="Q758" s="874">
        <v>1</v>
      </c>
      <c r="R758" s="875">
        <v>1</v>
      </c>
      <c r="S758" s="876">
        <v>1</v>
      </c>
      <c r="T758" s="876">
        <v>1</v>
      </c>
      <c r="U758" s="877">
        <v>1</v>
      </c>
      <c r="W758" s="877">
        <v>1</v>
      </c>
    </row>
    <row r="759" spans="1:23" ht="24" x14ac:dyDescent="0.2">
      <c r="A759" s="865" t="s">
        <v>3042</v>
      </c>
      <c r="B759" s="866" t="s">
        <v>4100</v>
      </c>
      <c r="C759" s="866" t="s">
        <v>3860</v>
      </c>
      <c r="D759" s="1439"/>
      <c r="E759" s="1442"/>
      <c r="F759" s="1442"/>
      <c r="G759" s="1439"/>
      <c r="H759" s="1439"/>
      <c r="I759" s="1439"/>
      <c r="J759" s="1439"/>
      <c r="K759" s="1439"/>
      <c r="L759" s="1439"/>
      <c r="M759" s="867" t="s">
        <v>3046</v>
      </c>
      <c r="N759" s="867" t="s">
        <v>4067</v>
      </c>
      <c r="O759" s="867" t="s">
        <v>4103</v>
      </c>
      <c r="P759" s="869">
        <v>1</v>
      </c>
      <c r="Q759" s="869">
        <v>1</v>
      </c>
      <c r="R759" s="870">
        <v>1</v>
      </c>
      <c r="S759" s="871">
        <v>1</v>
      </c>
      <c r="T759" s="871">
        <v>1</v>
      </c>
      <c r="U759" s="872">
        <v>1</v>
      </c>
      <c r="W759" s="872">
        <v>1</v>
      </c>
    </row>
    <row r="760" spans="1:23" ht="24" x14ac:dyDescent="0.2">
      <c r="A760" s="865" t="s">
        <v>3042</v>
      </c>
      <c r="B760" s="866" t="s">
        <v>4100</v>
      </c>
      <c r="C760" s="866" t="s">
        <v>3860</v>
      </c>
      <c r="D760" s="1439"/>
      <c r="E760" s="1442"/>
      <c r="F760" s="1442"/>
      <c r="G760" s="1439"/>
      <c r="H760" s="1439"/>
      <c r="I760" s="1439"/>
      <c r="J760" s="1439"/>
      <c r="K760" s="1439"/>
      <c r="L760" s="1439"/>
      <c r="M760" s="867" t="s">
        <v>3047</v>
      </c>
      <c r="N760" s="867" t="s">
        <v>4104</v>
      </c>
      <c r="O760" s="873" t="s">
        <v>4105</v>
      </c>
      <c r="P760" s="874">
        <v>1</v>
      </c>
      <c r="Q760" s="874">
        <v>1</v>
      </c>
      <c r="R760" s="875">
        <v>1</v>
      </c>
      <c r="S760" s="876">
        <v>1</v>
      </c>
      <c r="T760" s="876">
        <v>1</v>
      </c>
      <c r="U760" s="877">
        <v>1</v>
      </c>
      <c r="W760" s="877">
        <v>1</v>
      </c>
    </row>
    <row r="761" spans="1:23" ht="24" x14ac:dyDescent="0.2">
      <c r="A761" s="865" t="s">
        <v>3042</v>
      </c>
      <c r="B761" s="866" t="s">
        <v>4100</v>
      </c>
      <c r="C761" s="866" t="s">
        <v>3860</v>
      </c>
      <c r="D761" s="1439"/>
      <c r="E761" s="1442"/>
      <c r="F761" s="1442"/>
      <c r="G761" s="1439"/>
      <c r="H761" s="1439"/>
      <c r="I761" s="1439"/>
      <c r="J761" s="1439"/>
      <c r="K761" s="1439"/>
      <c r="L761" s="1439"/>
      <c r="M761" s="867" t="s">
        <v>3048</v>
      </c>
      <c r="N761" s="867" t="s">
        <v>3868</v>
      </c>
      <c r="O761" s="867" t="s">
        <v>4106</v>
      </c>
      <c r="P761" s="869">
        <v>1</v>
      </c>
      <c r="Q761" s="869">
        <v>1</v>
      </c>
      <c r="R761" s="870">
        <v>1</v>
      </c>
      <c r="S761" s="871">
        <v>1</v>
      </c>
      <c r="T761" s="871">
        <v>1</v>
      </c>
      <c r="U761" s="872">
        <v>1</v>
      </c>
      <c r="W761" s="872">
        <v>1</v>
      </c>
    </row>
    <row r="762" spans="1:23" ht="24" x14ac:dyDescent="0.2">
      <c r="A762" s="865" t="s">
        <v>3042</v>
      </c>
      <c r="B762" s="866" t="s">
        <v>4100</v>
      </c>
      <c r="C762" s="866" t="s">
        <v>3860</v>
      </c>
      <c r="D762" s="1440"/>
      <c r="E762" s="1443"/>
      <c r="F762" s="1443"/>
      <c r="G762" s="1440"/>
      <c r="H762" s="1440"/>
      <c r="I762" s="1440"/>
      <c r="J762" s="1440"/>
      <c r="K762" s="1440"/>
      <c r="L762" s="1440"/>
      <c r="M762" s="867" t="s">
        <v>3049</v>
      </c>
      <c r="N762" s="867" t="s">
        <v>4107</v>
      </c>
      <c r="O762" s="873" t="s">
        <v>4108</v>
      </c>
      <c r="P762" s="874">
        <v>1</v>
      </c>
      <c r="Q762" s="874">
        <v>1</v>
      </c>
      <c r="R762" s="875">
        <v>1</v>
      </c>
      <c r="S762" s="876">
        <v>1</v>
      </c>
      <c r="T762" s="876">
        <v>1</v>
      </c>
      <c r="U762" s="877">
        <v>1</v>
      </c>
      <c r="W762" s="877">
        <v>1</v>
      </c>
    </row>
    <row r="763" spans="1:23" ht="24" x14ac:dyDescent="0.2">
      <c r="A763" s="865" t="s">
        <v>3042</v>
      </c>
      <c r="B763" s="866" t="s">
        <v>4100</v>
      </c>
      <c r="C763" s="866" t="s">
        <v>3860</v>
      </c>
      <c r="D763" s="1438" t="s">
        <v>3050</v>
      </c>
      <c r="E763" s="1441">
        <v>45540.326874999999</v>
      </c>
      <c r="F763" s="1441">
        <v>45838.916655092595</v>
      </c>
      <c r="G763" s="1438" t="s">
        <v>1758</v>
      </c>
      <c r="H763" s="1438" t="s">
        <v>1759</v>
      </c>
      <c r="I763" s="1438" t="s">
        <v>1761</v>
      </c>
      <c r="J763" s="1438" t="s">
        <v>3051</v>
      </c>
      <c r="K763" s="1438" t="s">
        <v>1804</v>
      </c>
      <c r="L763" s="1438" t="s">
        <v>1828</v>
      </c>
      <c r="M763" s="867" t="s">
        <v>3045</v>
      </c>
      <c r="N763" s="867" t="s">
        <v>4101</v>
      </c>
      <c r="O763" s="867" t="s">
        <v>4102</v>
      </c>
      <c r="P763" s="869">
        <v>12</v>
      </c>
      <c r="Q763" s="869">
        <v>12</v>
      </c>
      <c r="R763" s="870">
        <v>0</v>
      </c>
      <c r="S763" s="871">
        <v>12</v>
      </c>
      <c r="T763" s="871">
        <v>12</v>
      </c>
      <c r="U763" s="872">
        <v>0</v>
      </c>
      <c r="W763" s="872">
        <v>0</v>
      </c>
    </row>
    <row r="764" spans="1:23" ht="24" x14ac:dyDescent="0.2">
      <c r="A764" s="865" t="s">
        <v>3042</v>
      </c>
      <c r="B764" s="866" t="s">
        <v>4100</v>
      </c>
      <c r="C764" s="866" t="s">
        <v>3860</v>
      </c>
      <c r="D764" s="1439"/>
      <c r="E764" s="1442"/>
      <c r="F764" s="1442"/>
      <c r="G764" s="1439"/>
      <c r="H764" s="1439"/>
      <c r="I764" s="1439"/>
      <c r="J764" s="1439"/>
      <c r="K764" s="1439"/>
      <c r="L764" s="1439"/>
      <c r="M764" s="867" t="s">
        <v>3047</v>
      </c>
      <c r="N764" s="867" t="s">
        <v>4104</v>
      </c>
      <c r="O764" s="873" t="s">
        <v>4105</v>
      </c>
      <c r="P764" s="874">
        <v>12</v>
      </c>
      <c r="Q764" s="874">
        <v>12</v>
      </c>
      <c r="R764" s="875">
        <v>0</v>
      </c>
      <c r="S764" s="876">
        <v>12</v>
      </c>
      <c r="T764" s="876">
        <v>12</v>
      </c>
      <c r="U764" s="877">
        <v>0</v>
      </c>
      <c r="W764" s="877">
        <v>0</v>
      </c>
    </row>
    <row r="765" spans="1:23" ht="24" x14ac:dyDescent="0.2">
      <c r="A765" s="865" t="s">
        <v>3042</v>
      </c>
      <c r="B765" s="866" t="s">
        <v>4100</v>
      </c>
      <c r="C765" s="866" t="s">
        <v>3860</v>
      </c>
      <c r="D765" s="1440"/>
      <c r="E765" s="1443"/>
      <c r="F765" s="1443"/>
      <c r="G765" s="1440"/>
      <c r="H765" s="1440"/>
      <c r="I765" s="1440"/>
      <c r="J765" s="1440"/>
      <c r="K765" s="1440"/>
      <c r="L765" s="1440"/>
      <c r="M765" s="867" t="s">
        <v>3049</v>
      </c>
      <c r="N765" s="867" t="s">
        <v>4107</v>
      </c>
      <c r="O765" s="867" t="s">
        <v>4108</v>
      </c>
      <c r="P765" s="869">
        <v>12</v>
      </c>
      <c r="Q765" s="869">
        <v>12</v>
      </c>
      <c r="R765" s="870">
        <v>0</v>
      </c>
      <c r="S765" s="871">
        <v>12</v>
      </c>
      <c r="T765" s="871">
        <v>12</v>
      </c>
      <c r="U765" s="872">
        <v>0</v>
      </c>
      <c r="W765" s="872">
        <v>0</v>
      </c>
    </row>
    <row r="766" spans="1:23" ht="24" x14ac:dyDescent="0.2">
      <c r="A766" s="865" t="s">
        <v>3042</v>
      </c>
      <c r="B766" s="866" t="s">
        <v>4100</v>
      </c>
      <c r="C766" s="866" t="s">
        <v>3860</v>
      </c>
      <c r="D766" s="1438" t="s">
        <v>3052</v>
      </c>
      <c r="E766" s="1441">
        <v>45559.281956018516</v>
      </c>
      <c r="F766" s="1441">
        <v>45930.916655092595</v>
      </c>
      <c r="G766" s="1438" t="s">
        <v>1741</v>
      </c>
      <c r="H766" s="1438" t="s">
        <v>1749</v>
      </c>
      <c r="I766" s="1438" t="s">
        <v>1749</v>
      </c>
      <c r="J766" s="1438" t="s">
        <v>1875</v>
      </c>
      <c r="K766" s="1438" t="s">
        <v>1804</v>
      </c>
      <c r="L766" s="1438" t="s">
        <v>1869</v>
      </c>
      <c r="M766" s="867" t="s">
        <v>3045</v>
      </c>
      <c r="N766" s="867" t="s">
        <v>4101</v>
      </c>
      <c r="O766" s="873" t="s">
        <v>4102</v>
      </c>
      <c r="P766" s="874">
        <v>23</v>
      </c>
      <c r="Q766" s="874">
        <v>19</v>
      </c>
      <c r="R766" s="875">
        <v>3</v>
      </c>
      <c r="S766" s="876">
        <v>23</v>
      </c>
      <c r="T766" s="876">
        <v>19</v>
      </c>
      <c r="U766" s="877">
        <v>3</v>
      </c>
      <c r="W766" s="877">
        <v>3</v>
      </c>
    </row>
    <row r="767" spans="1:23" ht="24" x14ac:dyDescent="0.2">
      <c r="A767" s="865" t="s">
        <v>3042</v>
      </c>
      <c r="B767" s="866" t="s">
        <v>4100</v>
      </c>
      <c r="C767" s="866" t="s">
        <v>3860</v>
      </c>
      <c r="D767" s="1439"/>
      <c r="E767" s="1442"/>
      <c r="F767" s="1442"/>
      <c r="G767" s="1439"/>
      <c r="H767" s="1439"/>
      <c r="I767" s="1439"/>
      <c r="J767" s="1439"/>
      <c r="K767" s="1439"/>
      <c r="L767" s="1439"/>
      <c r="M767" s="867" t="s">
        <v>3047</v>
      </c>
      <c r="N767" s="867" t="s">
        <v>4104</v>
      </c>
      <c r="O767" s="867" t="s">
        <v>4105</v>
      </c>
      <c r="P767" s="869">
        <v>23</v>
      </c>
      <c r="Q767" s="869">
        <v>19</v>
      </c>
      <c r="R767" s="870">
        <v>3</v>
      </c>
      <c r="S767" s="871">
        <v>23</v>
      </c>
      <c r="T767" s="871">
        <v>19</v>
      </c>
      <c r="U767" s="872">
        <v>3</v>
      </c>
      <c r="W767" s="872">
        <v>3</v>
      </c>
    </row>
    <row r="768" spans="1:23" ht="24" x14ac:dyDescent="0.2">
      <c r="A768" s="865" t="s">
        <v>3042</v>
      </c>
      <c r="B768" s="866" t="s">
        <v>4100</v>
      </c>
      <c r="C768" s="866" t="s">
        <v>3860</v>
      </c>
      <c r="D768" s="1440"/>
      <c r="E768" s="1443"/>
      <c r="F768" s="1443"/>
      <c r="G768" s="1440"/>
      <c r="H768" s="1440"/>
      <c r="I768" s="1440"/>
      <c r="J768" s="1440"/>
      <c r="K768" s="1440"/>
      <c r="L768" s="1440"/>
      <c r="M768" s="867" t="s">
        <v>3049</v>
      </c>
      <c r="N768" s="867" t="s">
        <v>4107</v>
      </c>
      <c r="O768" s="873" t="s">
        <v>4108</v>
      </c>
      <c r="P768" s="874">
        <v>23</v>
      </c>
      <c r="Q768" s="874">
        <v>19</v>
      </c>
      <c r="R768" s="875">
        <v>3</v>
      </c>
      <c r="S768" s="876">
        <v>23</v>
      </c>
      <c r="T768" s="876">
        <v>19</v>
      </c>
      <c r="U768" s="877">
        <v>3</v>
      </c>
      <c r="W768" s="877">
        <v>3</v>
      </c>
    </row>
    <row r="769" spans="1:23" ht="24" x14ac:dyDescent="0.2">
      <c r="A769" s="865" t="s">
        <v>3042</v>
      </c>
      <c r="B769" s="866" t="s">
        <v>4100</v>
      </c>
      <c r="C769" s="866" t="s">
        <v>3860</v>
      </c>
      <c r="D769" s="1438" t="s">
        <v>3053</v>
      </c>
      <c r="E769" s="1441">
        <v>45539.368194444447</v>
      </c>
      <c r="F769" s="1441">
        <v>46202.916655092595</v>
      </c>
      <c r="G769" s="1438" t="s">
        <v>1758</v>
      </c>
      <c r="H769" s="1438" t="s">
        <v>1759</v>
      </c>
      <c r="I769" s="1438" t="s">
        <v>1761</v>
      </c>
      <c r="J769" s="1438" t="s">
        <v>3054</v>
      </c>
      <c r="K769" s="1438" t="s">
        <v>1804</v>
      </c>
      <c r="L769" s="1438" t="s">
        <v>1828</v>
      </c>
      <c r="M769" s="867" t="s">
        <v>3045</v>
      </c>
      <c r="N769" s="867" t="s">
        <v>4101</v>
      </c>
      <c r="O769" s="867" t="s">
        <v>4102</v>
      </c>
      <c r="P769" s="869">
        <v>15</v>
      </c>
      <c r="Q769" s="869">
        <v>15</v>
      </c>
      <c r="R769" s="870">
        <v>8</v>
      </c>
      <c r="S769" s="871">
        <v>15</v>
      </c>
      <c r="T769" s="871">
        <v>15</v>
      </c>
      <c r="U769" s="872">
        <v>8</v>
      </c>
      <c r="W769" s="872">
        <v>8</v>
      </c>
    </row>
    <row r="770" spans="1:23" ht="24" x14ac:dyDescent="0.2">
      <c r="A770" s="865" t="s">
        <v>3042</v>
      </c>
      <c r="B770" s="866" t="s">
        <v>4100</v>
      </c>
      <c r="C770" s="866" t="s">
        <v>3860</v>
      </c>
      <c r="D770" s="1440"/>
      <c r="E770" s="1443"/>
      <c r="F770" s="1443"/>
      <c r="G770" s="1440"/>
      <c r="H770" s="1440"/>
      <c r="I770" s="1440"/>
      <c r="J770" s="1440"/>
      <c r="K770" s="1440"/>
      <c r="L770" s="1440"/>
      <c r="M770" s="867" t="s">
        <v>3049</v>
      </c>
      <c r="N770" s="867" t="s">
        <v>4107</v>
      </c>
      <c r="O770" s="873" t="s">
        <v>4108</v>
      </c>
      <c r="P770" s="874">
        <v>15</v>
      </c>
      <c r="Q770" s="874">
        <v>15</v>
      </c>
      <c r="R770" s="875">
        <v>8</v>
      </c>
      <c r="S770" s="876">
        <v>15</v>
      </c>
      <c r="T770" s="876">
        <v>15</v>
      </c>
      <c r="U770" s="877">
        <v>8</v>
      </c>
      <c r="W770" s="877">
        <v>8</v>
      </c>
    </row>
    <row r="771" spans="1:23" ht="24" x14ac:dyDescent="0.2">
      <c r="A771" s="865" t="s">
        <v>3042</v>
      </c>
      <c r="B771" s="866" t="s">
        <v>4100</v>
      </c>
      <c r="C771" s="866" t="s">
        <v>3860</v>
      </c>
      <c r="D771" s="1438" t="s">
        <v>3055</v>
      </c>
      <c r="E771" s="1441">
        <v>45530.536678240744</v>
      </c>
      <c r="F771" s="1441">
        <v>45895.916655092595</v>
      </c>
      <c r="G771" s="1438" t="s">
        <v>1758</v>
      </c>
      <c r="H771" s="1438" t="s">
        <v>1759</v>
      </c>
      <c r="I771" s="1438" t="s">
        <v>1761</v>
      </c>
      <c r="J771" s="1438" t="s">
        <v>3056</v>
      </c>
      <c r="K771" s="1438" t="s">
        <v>1804</v>
      </c>
      <c r="L771" s="1438" t="s">
        <v>1828</v>
      </c>
      <c r="M771" s="867" t="s">
        <v>3045</v>
      </c>
      <c r="N771" s="867" t="s">
        <v>4101</v>
      </c>
      <c r="O771" s="867" t="s">
        <v>4102</v>
      </c>
      <c r="P771" s="869">
        <v>1</v>
      </c>
      <c r="Q771" s="869">
        <v>1</v>
      </c>
      <c r="R771" s="870">
        <v>0</v>
      </c>
      <c r="S771" s="871">
        <v>1</v>
      </c>
      <c r="T771" s="871">
        <v>1</v>
      </c>
      <c r="U771" s="872">
        <v>0</v>
      </c>
      <c r="W771" s="872">
        <v>0</v>
      </c>
    </row>
    <row r="772" spans="1:23" ht="24" x14ac:dyDescent="0.2">
      <c r="A772" s="865" t="s">
        <v>3042</v>
      </c>
      <c r="B772" s="866" t="s">
        <v>4100</v>
      </c>
      <c r="C772" s="866" t="s">
        <v>3860</v>
      </c>
      <c r="D772" s="1440"/>
      <c r="E772" s="1443"/>
      <c r="F772" s="1443"/>
      <c r="G772" s="1440"/>
      <c r="H772" s="1440"/>
      <c r="I772" s="1440"/>
      <c r="J772" s="1440"/>
      <c r="K772" s="1440"/>
      <c r="L772" s="1440"/>
      <c r="M772" s="867" t="s">
        <v>3049</v>
      </c>
      <c r="N772" s="867" t="s">
        <v>4107</v>
      </c>
      <c r="O772" s="873" t="s">
        <v>4108</v>
      </c>
      <c r="P772" s="874">
        <v>1</v>
      </c>
      <c r="Q772" s="874">
        <v>1</v>
      </c>
      <c r="R772" s="875">
        <v>0</v>
      </c>
      <c r="S772" s="876">
        <v>1</v>
      </c>
      <c r="T772" s="876">
        <v>1</v>
      </c>
      <c r="U772" s="877">
        <v>0</v>
      </c>
      <c r="W772" s="877">
        <v>0</v>
      </c>
    </row>
    <row r="773" spans="1:23" ht="38" x14ac:dyDescent="0.2">
      <c r="A773" s="812" t="s">
        <v>4109</v>
      </c>
      <c r="B773" s="866" t="s">
        <v>4110</v>
      </c>
      <c r="C773" s="866" t="s">
        <v>4001</v>
      </c>
      <c r="D773" s="1438" t="s">
        <v>3057</v>
      </c>
      <c r="E773" s="1441">
        <v>45550.916666666664</v>
      </c>
      <c r="F773" s="1441">
        <v>45702.958321759259</v>
      </c>
      <c r="G773" s="1438" t="s">
        <v>1758</v>
      </c>
      <c r="H773" s="1438" t="s">
        <v>1759</v>
      </c>
      <c r="I773" s="1438" t="s">
        <v>1761</v>
      </c>
      <c r="J773" s="1438" t="s">
        <v>3058</v>
      </c>
      <c r="K773" s="1438" t="s">
        <v>1804</v>
      </c>
      <c r="L773" s="1438" t="s">
        <v>1828</v>
      </c>
      <c r="M773" s="867" t="s">
        <v>3059</v>
      </c>
      <c r="N773" s="867" t="s">
        <v>4111</v>
      </c>
      <c r="O773" s="867" t="s">
        <v>4112</v>
      </c>
      <c r="P773" s="869">
        <v>20</v>
      </c>
      <c r="Q773" s="869">
        <v>20</v>
      </c>
      <c r="R773" s="870">
        <v>0</v>
      </c>
      <c r="S773" s="871"/>
      <c r="T773" s="871"/>
      <c r="U773" s="872"/>
      <c r="W773" s="872"/>
    </row>
    <row r="774" spans="1:23" ht="38" x14ac:dyDescent="0.2">
      <c r="A774" s="812" t="s">
        <v>4109</v>
      </c>
      <c r="B774" s="866" t="s">
        <v>4110</v>
      </c>
      <c r="C774" s="866" t="s">
        <v>4001</v>
      </c>
      <c r="D774" s="1439"/>
      <c r="E774" s="1442"/>
      <c r="F774" s="1442"/>
      <c r="G774" s="1439"/>
      <c r="H774" s="1439"/>
      <c r="I774" s="1439"/>
      <c r="J774" s="1439"/>
      <c r="K774" s="1439"/>
      <c r="L774" s="1439"/>
      <c r="M774" s="867" t="s">
        <v>3060</v>
      </c>
      <c r="N774" s="867" t="s">
        <v>4113</v>
      </c>
      <c r="O774" s="873" t="s">
        <v>4114</v>
      </c>
      <c r="P774" s="874">
        <v>20</v>
      </c>
      <c r="Q774" s="874">
        <v>20</v>
      </c>
      <c r="R774" s="875">
        <v>0</v>
      </c>
      <c r="S774" s="876"/>
      <c r="T774" s="876"/>
      <c r="U774" s="877"/>
      <c r="W774" s="877"/>
    </row>
    <row r="775" spans="1:23" ht="38" x14ac:dyDescent="0.2">
      <c r="A775" s="812" t="s">
        <v>4109</v>
      </c>
      <c r="B775" s="866" t="s">
        <v>4110</v>
      </c>
      <c r="C775" s="866" t="s">
        <v>4001</v>
      </c>
      <c r="D775" s="1439"/>
      <c r="E775" s="1442"/>
      <c r="F775" s="1442"/>
      <c r="G775" s="1439"/>
      <c r="H775" s="1439"/>
      <c r="I775" s="1439"/>
      <c r="J775" s="1439"/>
      <c r="K775" s="1439"/>
      <c r="L775" s="1439"/>
      <c r="M775" s="867" t="s">
        <v>3061</v>
      </c>
      <c r="N775" s="867" t="s">
        <v>4115</v>
      </c>
      <c r="O775" s="867" t="s">
        <v>4116</v>
      </c>
      <c r="P775" s="869">
        <v>20</v>
      </c>
      <c r="Q775" s="869">
        <v>20</v>
      </c>
      <c r="R775" s="870">
        <v>0</v>
      </c>
      <c r="S775" s="871"/>
      <c r="T775" s="871"/>
      <c r="U775" s="872"/>
      <c r="W775" s="872"/>
    </row>
    <row r="776" spans="1:23" ht="38" x14ac:dyDescent="0.2">
      <c r="A776" s="812" t="s">
        <v>4109</v>
      </c>
      <c r="B776" s="866" t="s">
        <v>4110</v>
      </c>
      <c r="C776" s="866" t="s">
        <v>4001</v>
      </c>
      <c r="D776" s="1439"/>
      <c r="E776" s="1442"/>
      <c r="F776" s="1442"/>
      <c r="G776" s="1439"/>
      <c r="H776" s="1439"/>
      <c r="I776" s="1439"/>
      <c r="J776" s="1439"/>
      <c r="K776" s="1439"/>
      <c r="L776" s="1439"/>
      <c r="M776" s="867" t="s">
        <v>3062</v>
      </c>
      <c r="N776" s="867" t="s">
        <v>4117</v>
      </c>
      <c r="O776" s="873" t="s">
        <v>4118</v>
      </c>
      <c r="P776" s="874">
        <v>20</v>
      </c>
      <c r="Q776" s="874">
        <v>20</v>
      </c>
      <c r="R776" s="875">
        <v>0</v>
      </c>
      <c r="S776" s="876"/>
      <c r="T776" s="876"/>
      <c r="U776" s="877"/>
      <c r="W776" s="877"/>
    </row>
    <row r="777" spans="1:23" ht="38" x14ac:dyDescent="0.2">
      <c r="A777" s="812" t="s">
        <v>4109</v>
      </c>
      <c r="B777" s="866" t="s">
        <v>4110</v>
      </c>
      <c r="C777" s="866" t="s">
        <v>4001</v>
      </c>
      <c r="D777" s="1440"/>
      <c r="E777" s="1443"/>
      <c r="F777" s="1443"/>
      <c r="G777" s="1440"/>
      <c r="H777" s="1440"/>
      <c r="I777" s="1440"/>
      <c r="J777" s="1440"/>
      <c r="K777" s="1440"/>
      <c r="L777" s="1440"/>
      <c r="M777" s="867" t="s">
        <v>3063</v>
      </c>
      <c r="N777" s="867" t="s">
        <v>4059</v>
      </c>
      <c r="O777" s="867" t="s">
        <v>4119</v>
      </c>
      <c r="P777" s="869">
        <v>20</v>
      </c>
      <c r="Q777" s="869">
        <v>20</v>
      </c>
      <c r="R777" s="870">
        <v>0</v>
      </c>
      <c r="S777" s="871"/>
      <c r="T777" s="871"/>
      <c r="U777" s="872"/>
      <c r="W777" s="872"/>
    </row>
    <row r="778" spans="1:23" ht="38" x14ac:dyDescent="0.2">
      <c r="A778" s="812" t="s">
        <v>4109</v>
      </c>
      <c r="B778" s="866" t="s">
        <v>4110</v>
      </c>
      <c r="C778" s="866" t="s">
        <v>4001</v>
      </c>
      <c r="D778" s="867" t="s">
        <v>3064</v>
      </c>
      <c r="E778" s="868">
        <v>45392.916666666664</v>
      </c>
      <c r="F778" s="868">
        <v>45545.916666666664</v>
      </c>
      <c r="G778" s="867" t="s">
        <v>1758</v>
      </c>
      <c r="H778" s="867" t="s">
        <v>1763</v>
      </c>
      <c r="I778" s="867" t="s">
        <v>1764</v>
      </c>
      <c r="J778" s="867" t="s">
        <v>3065</v>
      </c>
      <c r="K778" s="867" t="s">
        <v>1804</v>
      </c>
      <c r="L778" s="867" t="s">
        <v>3066</v>
      </c>
      <c r="M778" s="867" t="s">
        <v>3063</v>
      </c>
      <c r="N778" s="867" t="s">
        <v>4059</v>
      </c>
      <c r="O778" s="873" t="s">
        <v>4119</v>
      </c>
      <c r="P778" s="874">
        <v>1</v>
      </c>
      <c r="Q778" s="874">
        <v>1</v>
      </c>
      <c r="R778" s="875">
        <v>0</v>
      </c>
      <c r="S778" s="876"/>
      <c r="T778" s="876"/>
      <c r="U778" s="877"/>
      <c r="W778" s="877"/>
    </row>
    <row r="779" spans="1:23" ht="38" x14ac:dyDescent="0.2">
      <c r="A779" s="812" t="s">
        <v>4109</v>
      </c>
      <c r="B779" s="866" t="s">
        <v>4110</v>
      </c>
      <c r="C779" s="866" t="s">
        <v>4001</v>
      </c>
      <c r="D779" s="1438" t="s">
        <v>3067</v>
      </c>
      <c r="E779" s="1441">
        <v>45550.916666666664</v>
      </c>
      <c r="F779" s="1441">
        <v>45702.958321759259</v>
      </c>
      <c r="G779" s="1438" t="s">
        <v>1758</v>
      </c>
      <c r="H779" s="1438" t="s">
        <v>1759</v>
      </c>
      <c r="I779" s="1438" t="s">
        <v>1761</v>
      </c>
      <c r="J779" s="1438" t="s">
        <v>3068</v>
      </c>
      <c r="K779" s="1438" t="s">
        <v>1804</v>
      </c>
      <c r="L779" s="1438" t="s">
        <v>1828</v>
      </c>
      <c r="M779" s="867" t="s">
        <v>3059</v>
      </c>
      <c r="N779" s="867" t="s">
        <v>4111</v>
      </c>
      <c r="O779" s="867" t="s">
        <v>4112</v>
      </c>
      <c r="P779" s="869">
        <v>19</v>
      </c>
      <c r="Q779" s="869">
        <v>18</v>
      </c>
      <c r="R779" s="870">
        <v>0</v>
      </c>
      <c r="S779" s="871"/>
      <c r="T779" s="871"/>
      <c r="U779" s="872"/>
      <c r="W779" s="872"/>
    </row>
    <row r="780" spans="1:23" ht="38" x14ac:dyDescent="0.2">
      <c r="A780" s="812" t="s">
        <v>4109</v>
      </c>
      <c r="B780" s="866" t="s">
        <v>4110</v>
      </c>
      <c r="C780" s="866" t="s">
        <v>4001</v>
      </c>
      <c r="D780" s="1439"/>
      <c r="E780" s="1442"/>
      <c r="F780" s="1442"/>
      <c r="G780" s="1439"/>
      <c r="H780" s="1439"/>
      <c r="I780" s="1439"/>
      <c r="J780" s="1439"/>
      <c r="K780" s="1439"/>
      <c r="L780" s="1439"/>
      <c r="M780" s="867" t="s">
        <v>3060</v>
      </c>
      <c r="N780" s="867" t="s">
        <v>4113</v>
      </c>
      <c r="O780" s="873" t="s">
        <v>4114</v>
      </c>
      <c r="P780" s="874">
        <v>19</v>
      </c>
      <c r="Q780" s="874">
        <v>18</v>
      </c>
      <c r="R780" s="875">
        <v>0</v>
      </c>
      <c r="S780" s="876"/>
      <c r="T780" s="876"/>
      <c r="U780" s="877"/>
      <c r="W780" s="877"/>
    </row>
    <row r="781" spans="1:23" ht="38" x14ac:dyDescent="0.2">
      <c r="A781" s="812" t="s">
        <v>4109</v>
      </c>
      <c r="B781" s="866" t="s">
        <v>4110</v>
      </c>
      <c r="C781" s="866" t="s">
        <v>4001</v>
      </c>
      <c r="D781" s="1439"/>
      <c r="E781" s="1442"/>
      <c r="F781" s="1442"/>
      <c r="G781" s="1439"/>
      <c r="H781" s="1439"/>
      <c r="I781" s="1439"/>
      <c r="J781" s="1439"/>
      <c r="K781" s="1439"/>
      <c r="L781" s="1439"/>
      <c r="M781" s="867" t="s">
        <v>3061</v>
      </c>
      <c r="N781" s="867" t="s">
        <v>4115</v>
      </c>
      <c r="O781" s="867" t="s">
        <v>4116</v>
      </c>
      <c r="P781" s="869">
        <v>19</v>
      </c>
      <c r="Q781" s="869">
        <v>18</v>
      </c>
      <c r="R781" s="870">
        <v>0</v>
      </c>
      <c r="S781" s="871"/>
      <c r="T781" s="871"/>
      <c r="U781" s="872"/>
      <c r="W781" s="872"/>
    </row>
    <row r="782" spans="1:23" ht="38" x14ac:dyDescent="0.2">
      <c r="A782" s="812" t="s">
        <v>4109</v>
      </c>
      <c r="B782" s="866" t="s">
        <v>4110</v>
      </c>
      <c r="C782" s="866" t="s">
        <v>4001</v>
      </c>
      <c r="D782" s="1440"/>
      <c r="E782" s="1443"/>
      <c r="F782" s="1443"/>
      <c r="G782" s="1440"/>
      <c r="H782" s="1440"/>
      <c r="I782" s="1440"/>
      <c r="J782" s="1440"/>
      <c r="K782" s="1440"/>
      <c r="L782" s="1440"/>
      <c r="M782" s="867" t="s">
        <v>3063</v>
      </c>
      <c r="N782" s="867" t="s">
        <v>4059</v>
      </c>
      <c r="O782" s="873" t="s">
        <v>4119</v>
      </c>
      <c r="P782" s="874">
        <v>19</v>
      </c>
      <c r="Q782" s="874">
        <v>18</v>
      </c>
      <c r="R782" s="875">
        <v>0</v>
      </c>
      <c r="S782" s="876"/>
      <c r="T782" s="876"/>
      <c r="U782" s="877"/>
      <c r="W782" s="877"/>
    </row>
    <row r="783" spans="1:23" ht="38" x14ac:dyDescent="0.2">
      <c r="A783" s="812" t="s">
        <v>4109</v>
      </c>
      <c r="B783" s="866" t="s">
        <v>4110</v>
      </c>
      <c r="C783" s="866" t="s">
        <v>4001</v>
      </c>
      <c r="D783" s="1438" t="s">
        <v>3069</v>
      </c>
      <c r="E783" s="1441">
        <v>45550.916666666664</v>
      </c>
      <c r="F783" s="1441">
        <v>45702.958321759259</v>
      </c>
      <c r="G783" s="1438" t="s">
        <v>1758</v>
      </c>
      <c r="H783" s="1438" t="s">
        <v>1759</v>
      </c>
      <c r="I783" s="1438" t="s">
        <v>1761</v>
      </c>
      <c r="J783" s="1438" t="s">
        <v>3070</v>
      </c>
      <c r="K783" s="1438" t="s">
        <v>1804</v>
      </c>
      <c r="L783" s="1438" t="s">
        <v>1828</v>
      </c>
      <c r="M783" s="867" t="s">
        <v>3059</v>
      </c>
      <c r="N783" s="867" t="s">
        <v>4111</v>
      </c>
      <c r="O783" s="867" t="s">
        <v>4112</v>
      </c>
      <c r="P783" s="869">
        <v>18</v>
      </c>
      <c r="Q783" s="869">
        <v>18</v>
      </c>
      <c r="R783" s="870">
        <v>0</v>
      </c>
      <c r="S783" s="871"/>
      <c r="T783" s="871"/>
      <c r="U783" s="872"/>
      <c r="W783" s="872"/>
    </row>
    <row r="784" spans="1:23" ht="38" x14ac:dyDescent="0.2">
      <c r="A784" s="812" t="s">
        <v>4109</v>
      </c>
      <c r="B784" s="866" t="s">
        <v>4110</v>
      </c>
      <c r="C784" s="866" t="s">
        <v>4001</v>
      </c>
      <c r="D784" s="1439"/>
      <c r="E784" s="1442"/>
      <c r="F784" s="1442"/>
      <c r="G784" s="1439"/>
      <c r="H784" s="1439"/>
      <c r="I784" s="1439"/>
      <c r="J784" s="1439"/>
      <c r="K784" s="1439"/>
      <c r="L784" s="1439"/>
      <c r="M784" s="867" t="s">
        <v>3060</v>
      </c>
      <c r="N784" s="867" t="s">
        <v>4113</v>
      </c>
      <c r="O784" s="873" t="s">
        <v>4114</v>
      </c>
      <c r="P784" s="874">
        <v>18</v>
      </c>
      <c r="Q784" s="874">
        <v>18</v>
      </c>
      <c r="R784" s="875">
        <v>0</v>
      </c>
      <c r="S784" s="876"/>
      <c r="T784" s="876"/>
      <c r="U784" s="877"/>
      <c r="W784" s="877"/>
    </row>
    <row r="785" spans="1:23" ht="38" x14ac:dyDescent="0.2">
      <c r="A785" s="812" t="s">
        <v>4109</v>
      </c>
      <c r="B785" s="866" t="s">
        <v>4110</v>
      </c>
      <c r="C785" s="866" t="s">
        <v>4001</v>
      </c>
      <c r="D785" s="1439"/>
      <c r="E785" s="1442"/>
      <c r="F785" s="1442"/>
      <c r="G785" s="1439"/>
      <c r="H785" s="1439"/>
      <c r="I785" s="1439"/>
      <c r="J785" s="1439"/>
      <c r="K785" s="1439"/>
      <c r="L785" s="1439"/>
      <c r="M785" s="867" t="s">
        <v>3061</v>
      </c>
      <c r="N785" s="867" t="s">
        <v>4115</v>
      </c>
      <c r="O785" s="867" t="s">
        <v>4116</v>
      </c>
      <c r="P785" s="869">
        <v>18</v>
      </c>
      <c r="Q785" s="869">
        <v>18</v>
      </c>
      <c r="R785" s="870">
        <v>0</v>
      </c>
      <c r="S785" s="871"/>
      <c r="T785" s="871"/>
      <c r="U785" s="872"/>
      <c r="W785" s="872"/>
    </row>
    <row r="786" spans="1:23" ht="38" x14ac:dyDescent="0.2">
      <c r="A786" s="812" t="s">
        <v>4109</v>
      </c>
      <c r="B786" s="866" t="s">
        <v>4110</v>
      </c>
      <c r="C786" s="866" t="s">
        <v>4001</v>
      </c>
      <c r="D786" s="1440"/>
      <c r="E786" s="1443"/>
      <c r="F786" s="1443"/>
      <c r="G786" s="1440"/>
      <c r="H786" s="1440"/>
      <c r="I786" s="1440"/>
      <c r="J786" s="1440"/>
      <c r="K786" s="1440"/>
      <c r="L786" s="1440"/>
      <c r="M786" s="867" t="s">
        <v>3063</v>
      </c>
      <c r="N786" s="867" t="s">
        <v>4059</v>
      </c>
      <c r="O786" s="873" t="s">
        <v>4119</v>
      </c>
      <c r="P786" s="874">
        <v>18</v>
      </c>
      <c r="Q786" s="874">
        <v>18</v>
      </c>
      <c r="R786" s="875">
        <v>0</v>
      </c>
      <c r="S786" s="876"/>
      <c r="T786" s="876"/>
      <c r="U786" s="877"/>
      <c r="W786" s="877"/>
    </row>
    <row r="787" spans="1:23" ht="38" x14ac:dyDescent="0.2">
      <c r="A787" s="812" t="s">
        <v>4109</v>
      </c>
      <c r="B787" s="866" t="s">
        <v>4110</v>
      </c>
      <c r="C787" s="866" t="s">
        <v>4001</v>
      </c>
      <c r="D787" s="1438" t="s">
        <v>3071</v>
      </c>
      <c r="E787" s="1441">
        <v>45550.916666666664</v>
      </c>
      <c r="F787" s="1441">
        <v>45702.958321759259</v>
      </c>
      <c r="G787" s="1438" t="s">
        <v>1758</v>
      </c>
      <c r="H787" s="1438" t="s">
        <v>1759</v>
      </c>
      <c r="I787" s="1438" t="s">
        <v>1761</v>
      </c>
      <c r="J787" s="1438" t="s">
        <v>3072</v>
      </c>
      <c r="K787" s="1438" t="s">
        <v>1804</v>
      </c>
      <c r="L787" s="1438" t="s">
        <v>1828</v>
      </c>
      <c r="M787" s="867" t="s">
        <v>3059</v>
      </c>
      <c r="N787" s="867" t="s">
        <v>4111</v>
      </c>
      <c r="O787" s="867" t="s">
        <v>4112</v>
      </c>
      <c r="P787" s="869">
        <v>24</v>
      </c>
      <c r="Q787" s="869">
        <v>24</v>
      </c>
      <c r="R787" s="870">
        <v>0</v>
      </c>
      <c r="S787" s="871"/>
      <c r="T787" s="871"/>
      <c r="U787" s="872"/>
      <c r="W787" s="872"/>
    </row>
    <row r="788" spans="1:23" ht="38" x14ac:dyDescent="0.2">
      <c r="A788" s="812" t="s">
        <v>4109</v>
      </c>
      <c r="B788" s="866" t="s">
        <v>4110</v>
      </c>
      <c r="C788" s="866" t="s">
        <v>4001</v>
      </c>
      <c r="D788" s="1439"/>
      <c r="E788" s="1442"/>
      <c r="F788" s="1442"/>
      <c r="G788" s="1439"/>
      <c r="H788" s="1439"/>
      <c r="I788" s="1439"/>
      <c r="J788" s="1439"/>
      <c r="K788" s="1439"/>
      <c r="L788" s="1439"/>
      <c r="M788" s="867" t="s">
        <v>3060</v>
      </c>
      <c r="N788" s="867" t="s">
        <v>4113</v>
      </c>
      <c r="O788" s="873" t="s">
        <v>4114</v>
      </c>
      <c r="P788" s="874">
        <v>24</v>
      </c>
      <c r="Q788" s="874">
        <v>24</v>
      </c>
      <c r="R788" s="875">
        <v>0</v>
      </c>
      <c r="S788" s="876"/>
      <c r="T788" s="876"/>
      <c r="U788" s="877"/>
      <c r="W788" s="877"/>
    </row>
    <row r="789" spans="1:23" ht="38" x14ac:dyDescent="0.2">
      <c r="A789" s="812" t="s">
        <v>4109</v>
      </c>
      <c r="B789" s="866" t="s">
        <v>4110</v>
      </c>
      <c r="C789" s="866" t="s">
        <v>4001</v>
      </c>
      <c r="D789" s="1439"/>
      <c r="E789" s="1442"/>
      <c r="F789" s="1442"/>
      <c r="G789" s="1439"/>
      <c r="H789" s="1439"/>
      <c r="I789" s="1439"/>
      <c r="J789" s="1439"/>
      <c r="K789" s="1439"/>
      <c r="L789" s="1439"/>
      <c r="M789" s="867" t="s">
        <v>3061</v>
      </c>
      <c r="N789" s="867" t="s">
        <v>4115</v>
      </c>
      <c r="O789" s="867" t="s">
        <v>4116</v>
      </c>
      <c r="P789" s="869">
        <v>24</v>
      </c>
      <c r="Q789" s="869">
        <v>24</v>
      </c>
      <c r="R789" s="870">
        <v>0</v>
      </c>
      <c r="S789" s="871"/>
      <c r="T789" s="871"/>
      <c r="U789" s="872"/>
      <c r="W789" s="872"/>
    </row>
    <row r="790" spans="1:23" ht="38" x14ac:dyDescent="0.2">
      <c r="A790" s="812" t="s">
        <v>4109</v>
      </c>
      <c r="B790" s="866" t="s">
        <v>4110</v>
      </c>
      <c r="C790" s="866" t="s">
        <v>4001</v>
      </c>
      <c r="D790" s="1440"/>
      <c r="E790" s="1443"/>
      <c r="F790" s="1443"/>
      <c r="G790" s="1440"/>
      <c r="H790" s="1440"/>
      <c r="I790" s="1440"/>
      <c r="J790" s="1440"/>
      <c r="K790" s="1440"/>
      <c r="L790" s="1440"/>
      <c r="M790" s="867" t="s">
        <v>3063</v>
      </c>
      <c r="N790" s="867" t="s">
        <v>4059</v>
      </c>
      <c r="O790" s="873" t="s">
        <v>4119</v>
      </c>
      <c r="P790" s="874">
        <v>24</v>
      </c>
      <c r="Q790" s="874">
        <v>24</v>
      </c>
      <c r="R790" s="875">
        <v>0</v>
      </c>
      <c r="S790" s="876"/>
      <c r="T790" s="876"/>
      <c r="U790" s="877"/>
      <c r="W790" s="877"/>
    </row>
    <row r="791" spans="1:23" ht="38" x14ac:dyDescent="0.2">
      <c r="A791" s="812" t="s">
        <v>4109</v>
      </c>
      <c r="B791" s="866" t="s">
        <v>4110</v>
      </c>
      <c r="C791" s="866" t="s">
        <v>4001</v>
      </c>
      <c r="D791" s="1438" t="s">
        <v>3073</v>
      </c>
      <c r="E791" s="1441">
        <v>45550.916666666664</v>
      </c>
      <c r="F791" s="1441">
        <v>45702.958321759259</v>
      </c>
      <c r="G791" s="1438" t="s">
        <v>1758</v>
      </c>
      <c r="H791" s="1438" t="s">
        <v>1759</v>
      </c>
      <c r="I791" s="1438" t="s">
        <v>1761</v>
      </c>
      <c r="J791" s="1438" t="s">
        <v>3074</v>
      </c>
      <c r="K791" s="1438" t="s">
        <v>1804</v>
      </c>
      <c r="L791" s="1438" t="s">
        <v>1828</v>
      </c>
      <c r="M791" s="867" t="s">
        <v>3059</v>
      </c>
      <c r="N791" s="867" t="s">
        <v>4111</v>
      </c>
      <c r="O791" s="867" t="s">
        <v>4112</v>
      </c>
      <c r="P791" s="869">
        <v>20</v>
      </c>
      <c r="Q791" s="869">
        <v>16</v>
      </c>
      <c r="R791" s="870">
        <v>0</v>
      </c>
      <c r="S791" s="871"/>
      <c r="T791" s="871"/>
      <c r="U791" s="872"/>
      <c r="W791" s="872"/>
    </row>
    <row r="792" spans="1:23" ht="38" x14ac:dyDescent="0.2">
      <c r="A792" s="812" t="s">
        <v>4109</v>
      </c>
      <c r="B792" s="866" t="s">
        <v>4110</v>
      </c>
      <c r="C792" s="866" t="s">
        <v>4001</v>
      </c>
      <c r="D792" s="1439"/>
      <c r="E792" s="1442"/>
      <c r="F792" s="1442"/>
      <c r="G792" s="1439"/>
      <c r="H792" s="1439"/>
      <c r="I792" s="1439"/>
      <c r="J792" s="1439"/>
      <c r="K792" s="1439"/>
      <c r="L792" s="1439"/>
      <c r="M792" s="867" t="s">
        <v>3060</v>
      </c>
      <c r="N792" s="867" t="s">
        <v>4113</v>
      </c>
      <c r="O792" s="873" t="s">
        <v>4114</v>
      </c>
      <c r="P792" s="874">
        <v>20</v>
      </c>
      <c r="Q792" s="874">
        <v>16</v>
      </c>
      <c r="R792" s="875">
        <v>0</v>
      </c>
      <c r="S792" s="876"/>
      <c r="T792" s="876"/>
      <c r="U792" s="877"/>
      <c r="W792" s="877"/>
    </row>
    <row r="793" spans="1:23" ht="38" x14ac:dyDescent="0.2">
      <c r="A793" s="812" t="s">
        <v>4109</v>
      </c>
      <c r="B793" s="866" t="s">
        <v>4110</v>
      </c>
      <c r="C793" s="866" t="s">
        <v>4001</v>
      </c>
      <c r="D793" s="1439"/>
      <c r="E793" s="1442"/>
      <c r="F793" s="1442"/>
      <c r="G793" s="1439"/>
      <c r="H793" s="1439"/>
      <c r="I793" s="1439"/>
      <c r="J793" s="1439"/>
      <c r="K793" s="1439"/>
      <c r="L793" s="1439"/>
      <c r="M793" s="867" t="s">
        <v>3061</v>
      </c>
      <c r="N793" s="867" t="s">
        <v>4115</v>
      </c>
      <c r="O793" s="867" t="s">
        <v>4116</v>
      </c>
      <c r="P793" s="869">
        <v>20</v>
      </c>
      <c r="Q793" s="869">
        <v>16</v>
      </c>
      <c r="R793" s="870">
        <v>0</v>
      </c>
      <c r="S793" s="871"/>
      <c r="T793" s="871"/>
      <c r="U793" s="872"/>
      <c r="W793" s="872"/>
    </row>
    <row r="794" spans="1:23" ht="38" x14ac:dyDescent="0.2">
      <c r="A794" s="812" t="s">
        <v>4109</v>
      </c>
      <c r="B794" s="866" t="s">
        <v>4110</v>
      </c>
      <c r="C794" s="866" t="s">
        <v>4001</v>
      </c>
      <c r="D794" s="1440"/>
      <c r="E794" s="1443"/>
      <c r="F794" s="1443"/>
      <c r="G794" s="1440"/>
      <c r="H794" s="1440"/>
      <c r="I794" s="1440"/>
      <c r="J794" s="1440"/>
      <c r="K794" s="1440"/>
      <c r="L794" s="1440"/>
      <c r="M794" s="867" t="s">
        <v>3063</v>
      </c>
      <c r="N794" s="867" t="s">
        <v>4059</v>
      </c>
      <c r="O794" s="873" t="s">
        <v>4119</v>
      </c>
      <c r="P794" s="874">
        <v>20</v>
      </c>
      <c r="Q794" s="874">
        <v>16</v>
      </c>
      <c r="R794" s="875">
        <v>0</v>
      </c>
      <c r="S794" s="876"/>
      <c r="T794" s="876"/>
      <c r="U794" s="877"/>
      <c r="W794" s="877"/>
    </row>
    <row r="795" spans="1:23" ht="38" x14ac:dyDescent="0.2">
      <c r="A795" s="812" t="s">
        <v>4109</v>
      </c>
      <c r="B795" s="866" t="s">
        <v>4110</v>
      </c>
      <c r="C795" s="866" t="s">
        <v>4001</v>
      </c>
      <c r="D795" s="1438" t="s">
        <v>3075</v>
      </c>
      <c r="E795" s="1441">
        <v>45587.916666666664</v>
      </c>
      <c r="F795" s="1441">
        <v>45688.958321759259</v>
      </c>
      <c r="G795" s="1438" t="s">
        <v>1758</v>
      </c>
      <c r="H795" s="1438" t="s">
        <v>1759</v>
      </c>
      <c r="I795" s="1438" t="s">
        <v>1761</v>
      </c>
      <c r="J795" s="1438" t="s">
        <v>3076</v>
      </c>
      <c r="K795" s="1438" t="s">
        <v>1804</v>
      </c>
      <c r="L795" s="1438" t="s">
        <v>1828</v>
      </c>
      <c r="M795" s="867" t="s">
        <v>3059</v>
      </c>
      <c r="N795" s="867" t="s">
        <v>4111</v>
      </c>
      <c r="O795" s="867" t="s">
        <v>4112</v>
      </c>
      <c r="P795" s="869">
        <v>9</v>
      </c>
      <c r="Q795" s="869">
        <v>9</v>
      </c>
      <c r="R795" s="870">
        <v>8</v>
      </c>
      <c r="S795" s="871"/>
      <c r="T795" s="871"/>
      <c r="U795" s="872"/>
      <c r="W795" s="872"/>
    </row>
    <row r="796" spans="1:23" ht="38" x14ac:dyDescent="0.2">
      <c r="A796" s="812" t="s">
        <v>4109</v>
      </c>
      <c r="B796" s="866" t="s">
        <v>4110</v>
      </c>
      <c r="C796" s="866" t="s">
        <v>4001</v>
      </c>
      <c r="D796" s="1440"/>
      <c r="E796" s="1443"/>
      <c r="F796" s="1443"/>
      <c r="G796" s="1440"/>
      <c r="H796" s="1440"/>
      <c r="I796" s="1440"/>
      <c r="J796" s="1440"/>
      <c r="K796" s="1440"/>
      <c r="L796" s="1440"/>
      <c r="M796" s="867" t="s">
        <v>3061</v>
      </c>
      <c r="N796" s="867" t="s">
        <v>4115</v>
      </c>
      <c r="O796" s="873" t="s">
        <v>4116</v>
      </c>
      <c r="P796" s="874">
        <v>9</v>
      </c>
      <c r="Q796" s="874">
        <v>9</v>
      </c>
      <c r="R796" s="875">
        <v>8</v>
      </c>
      <c r="S796" s="876"/>
      <c r="T796" s="876"/>
      <c r="U796" s="877"/>
      <c r="W796" s="877"/>
    </row>
    <row r="797" spans="1:23" ht="38" x14ac:dyDescent="0.2">
      <c r="A797" s="812" t="s">
        <v>4109</v>
      </c>
      <c r="B797" s="866" t="s">
        <v>4110</v>
      </c>
      <c r="C797" s="866" t="s">
        <v>4001</v>
      </c>
      <c r="D797" s="1438" t="s">
        <v>3077</v>
      </c>
      <c r="E797" s="1441">
        <v>45550.916666666664</v>
      </c>
      <c r="F797" s="1441">
        <v>45702.958321759259</v>
      </c>
      <c r="G797" s="1438" t="s">
        <v>1758</v>
      </c>
      <c r="H797" s="1438" t="s">
        <v>1759</v>
      </c>
      <c r="I797" s="1438" t="s">
        <v>1761</v>
      </c>
      <c r="J797" s="1438" t="s">
        <v>3078</v>
      </c>
      <c r="K797" s="1438" t="s">
        <v>1804</v>
      </c>
      <c r="L797" s="1438" t="s">
        <v>1828</v>
      </c>
      <c r="M797" s="867" t="s">
        <v>3059</v>
      </c>
      <c r="N797" s="867" t="s">
        <v>4111</v>
      </c>
      <c r="O797" s="867" t="s">
        <v>4112</v>
      </c>
      <c r="P797" s="869">
        <v>21</v>
      </c>
      <c r="Q797" s="869">
        <v>19</v>
      </c>
      <c r="R797" s="870">
        <v>0</v>
      </c>
      <c r="S797" s="871"/>
      <c r="T797" s="871"/>
      <c r="U797" s="872"/>
      <c r="W797" s="872"/>
    </row>
    <row r="798" spans="1:23" ht="38" x14ac:dyDescent="0.2">
      <c r="A798" s="812" t="s">
        <v>4109</v>
      </c>
      <c r="B798" s="866" t="s">
        <v>4110</v>
      </c>
      <c r="C798" s="866" t="s">
        <v>4001</v>
      </c>
      <c r="D798" s="1439"/>
      <c r="E798" s="1442"/>
      <c r="F798" s="1442"/>
      <c r="G798" s="1439"/>
      <c r="H798" s="1439"/>
      <c r="I798" s="1439"/>
      <c r="J798" s="1439"/>
      <c r="K798" s="1439"/>
      <c r="L798" s="1439"/>
      <c r="M798" s="867" t="s">
        <v>3060</v>
      </c>
      <c r="N798" s="867" t="s">
        <v>4113</v>
      </c>
      <c r="O798" s="873" t="s">
        <v>4114</v>
      </c>
      <c r="P798" s="874">
        <v>21</v>
      </c>
      <c r="Q798" s="874">
        <v>19</v>
      </c>
      <c r="R798" s="875">
        <v>0</v>
      </c>
      <c r="S798" s="876"/>
      <c r="T798" s="876"/>
      <c r="U798" s="877"/>
      <c r="W798" s="877"/>
    </row>
    <row r="799" spans="1:23" ht="38" x14ac:dyDescent="0.2">
      <c r="A799" s="812" t="s">
        <v>4109</v>
      </c>
      <c r="B799" s="866" t="s">
        <v>4110</v>
      </c>
      <c r="C799" s="866" t="s">
        <v>4001</v>
      </c>
      <c r="D799" s="1439"/>
      <c r="E799" s="1442"/>
      <c r="F799" s="1442"/>
      <c r="G799" s="1439"/>
      <c r="H799" s="1439"/>
      <c r="I799" s="1439"/>
      <c r="J799" s="1439"/>
      <c r="K799" s="1439"/>
      <c r="L799" s="1439"/>
      <c r="M799" s="867" t="s">
        <v>3061</v>
      </c>
      <c r="N799" s="867" t="s">
        <v>4115</v>
      </c>
      <c r="O799" s="867" t="s">
        <v>4116</v>
      </c>
      <c r="P799" s="869">
        <v>21</v>
      </c>
      <c r="Q799" s="869">
        <v>19</v>
      </c>
      <c r="R799" s="870">
        <v>0</v>
      </c>
      <c r="S799" s="871"/>
      <c r="T799" s="871"/>
      <c r="U799" s="872"/>
      <c r="W799" s="872"/>
    </row>
    <row r="800" spans="1:23" ht="38" x14ac:dyDescent="0.2">
      <c r="A800" s="812" t="s">
        <v>4109</v>
      </c>
      <c r="B800" s="866" t="s">
        <v>4110</v>
      </c>
      <c r="C800" s="866" t="s">
        <v>4001</v>
      </c>
      <c r="D800" s="1440"/>
      <c r="E800" s="1443"/>
      <c r="F800" s="1443"/>
      <c r="G800" s="1440"/>
      <c r="H800" s="1440"/>
      <c r="I800" s="1440"/>
      <c r="J800" s="1440"/>
      <c r="K800" s="1440"/>
      <c r="L800" s="1440"/>
      <c r="M800" s="867" t="s">
        <v>3063</v>
      </c>
      <c r="N800" s="867" t="s">
        <v>4059</v>
      </c>
      <c r="O800" s="873" t="s">
        <v>4119</v>
      </c>
      <c r="P800" s="874">
        <v>21</v>
      </c>
      <c r="Q800" s="874">
        <v>19</v>
      </c>
      <c r="R800" s="875">
        <v>0</v>
      </c>
      <c r="S800" s="876"/>
      <c r="T800" s="876"/>
      <c r="U800" s="877"/>
      <c r="W800" s="877"/>
    </row>
    <row r="801" spans="1:23" ht="38" x14ac:dyDescent="0.2">
      <c r="A801" s="812" t="s">
        <v>4109</v>
      </c>
      <c r="B801" s="866" t="s">
        <v>4110</v>
      </c>
      <c r="C801" s="866" t="s">
        <v>4001</v>
      </c>
      <c r="D801" s="1438" t="s">
        <v>3079</v>
      </c>
      <c r="E801" s="1441">
        <v>45550.916666666664</v>
      </c>
      <c r="F801" s="1441">
        <v>45702.958321759259</v>
      </c>
      <c r="G801" s="1438" t="s">
        <v>1758</v>
      </c>
      <c r="H801" s="1438" t="s">
        <v>1759</v>
      </c>
      <c r="I801" s="1438" t="s">
        <v>1761</v>
      </c>
      <c r="J801" s="1438" t="s">
        <v>3080</v>
      </c>
      <c r="K801" s="1438" t="s">
        <v>1804</v>
      </c>
      <c r="L801" s="1438" t="s">
        <v>1828</v>
      </c>
      <c r="M801" s="867" t="s">
        <v>3059</v>
      </c>
      <c r="N801" s="867" t="s">
        <v>4111</v>
      </c>
      <c r="O801" s="867" t="s">
        <v>4112</v>
      </c>
      <c r="P801" s="869">
        <v>21</v>
      </c>
      <c r="Q801" s="869">
        <v>21</v>
      </c>
      <c r="R801" s="870">
        <v>0</v>
      </c>
      <c r="S801" s="871"/>
      <c r="T801" s="871"/>
      <c r="U801" s="872"/>
      <c r="W801" s="872"/>
    </row>
    <row r="802" spans="1:23" ht="38" x14ac:dyDescent="0.2">
      <c r="A802" s="812" t="s">
        <v>4109</v>
      </c>
      <c r="B802" s="866" t="s">
        <v>4110</v>
      </c>
      <c r="C802" s="866" t="s">
        <v>4001</v>
      </c>
      <c r="D802" s="1439"/>
      <c r="E802" s="1442"/>
      <c r="F802" s="1442"/>
      <c r="G802" s="1439"/>
      <c r="H802" s="1439"/>
      <c r="I802" s="1439"/>
      <c r="J802" s="1439"/>
      <c r="K802" s="1439"/>
      <c r="L802" s="1439"/>
      <c r="M802" s="867" t="s">
        <v>3060</v>
      </c>
      <c r="N802" s="867" t="s">
        <v>4113</v>
      </c>
      <c r="O802" s="873" t="s">
        <v>4114</v>
      </c>
      <c r="P802" s="874">
        <v>21</v>
      </c>
      <c r="Q802" s="874">
        <v>21</v>
      </c>
      <c r="R802" s="875">
        <v>0</v>
      </c>
      <c r="S802" s="876"/>
      <c r="T802" s="876"/>
      <c r="U802" s="877"/>
      <c r="W802" s="877"/>
    </row>
    <row r="803" spans="1:23" ht="38" x14ac:dyDescent="0.2">
      <c r="A803" s="812" t="s">
        <v>4109</v>
      </c>
      <c r="B803" s="866" t="s">
        <v>4110</v>
      </c>
      <c r="C803" s="866" t="s">
        <v>4001</v>
      </c>
      <c r="D803" s="1439"/>
      <c r="E803" s="1442"/>
      <c r="F803" s="1442"/>
      <c r="G803" s="1439"/>
      <c r="H803" s="1439"/>
      <c r="I803" s="1439"/>
      <c r="J803" s="1439"/>
      <c r="K803" s="1439"/>
      <c r="L803" s="1439"/>
      <c r="M803" s="867" t="s">
        <v>3061</v>
      </c>
      <c r="N803" s="867" t="s">
        <v>4115</v>
      </c>
      <c r="O803" s="867" t="s">
        <v>4116</v>
      </c>
      <c r="P803" s="869">
        <v>21</v>
      </c>
      <c r="Q803" s="869">
        <v>21</v>
      </c>
      <c r="R803" s="870">
        <v>0</v>
      </c>
      <c r="S803" s="871"/>
      <c r="T803" s="871"/>
      <c r="U803" s="872"/>
      <c r="W803" s="872"/>
    </row>
    <row r="804" spans="1:23" ht="38" x14ac:dyDescent="0.2">
      <c r="A804" s="812" t="s">
        <v>4109</v>
      </c>
      <c r="B804" s="866" t="s">
        <v>4110</v>
      </c>
      <c r="C804" s="866" t="s">
        <v>4001</v>
      </c>
      <c r="D804" s="1440"/>
      <c r="E804" s="1443"/>
      <c r="F804" s="1443"/>
      <c r="G804" s="1440"/>
      <c r="H804" s="1440"/>
      <c r="I804" s="1440"/>
      <c r="J804" s="1440"/>
      <c r="K804" s="1440"/>
      <c r="L804" s="1440"/>
      <c r="M804" s="867" t="s">
        <v>3063</v>
      </c>
      <c r="N804" s="867" t="s">
        <v>4059</v>
      </c>
      <c r="O804" s="873" t="s">
        <v>4119</v>
      </c>
      <c r="P804" s="874">
        <v>21</v>
      </c>
      <c r="Q804" s="874">
        <v>21</v>
      </c>
      <c r="R804" s="875">
        <v>0</v>
      </c>
      <c r="S804" s="876"/>
      <c r="T804" s="876"/>
      <c r="U804" s="877"/>
      <c r="W804" s="877"/>
    </row>
    <row r="805" spans="1:23" ht="38" x14ac:dyDescent="0.2">
      <c r="A805" s="812" t="s">
        <v>4109</v>
      </c>
      <c r="B805" s="866" t="s">
        <v>4110</v>
      </c>
      <c r="C805" s="866" t="s">
        <v>4001</v>
      </c>
      <c r="D805" s="1438" t="s">
        <v>3081</v>
      </c>
      <c r="E805" s="1441">
        <v>45550.916666666664</v>
      </c>
      <c r="F805" s="1441">
        <v>45702.958321759259</v>
      </c>
      <c r="G805" s="1438" t="s">
        <v>1758</v>
      </c>
      <c r="H805" s="1438" t="s">
        <v>1759</v>
      </c>
      <c r="I805" s="1438" t="s">
        <v>1761</v>
      </c>
      <c r="J805" s="1438" t="s">
        <v>3082</v>
      </c>
      <c r="K805" s="1438" t="s">
        <v>1804</v>
      </c>
      <c r="L805" s="1438" t="s">
        <v>1828</v>
      </c>
      <c r="M805" s="867" t="s">
        <v>3059</v>
      </c>
      <c r="N805" s="867" t="s">
        <v>4111</v>
      </c>
      <c r="O805" s="867" t="s">
        <v>4112</v>
      </c>
      <c r="P805" s="869">
        <v>19</v>
      </c>
      <c r="Q805" s="869">
        <v>19</v>
      </c>
      <c r="R805" s="870">
        <v>0</v>
      </c>
      <c r="S805" s="871"/>
      <c r="T805" s="871"/>
      <c r="U805" s="872"/>
      <c r="W805" s="872"/>
    </row>
    <row r="806" spans="1:23" ht="38" x14ac:dyDescent="0.2">
      <c r="A806" s="812" t="s">
        <v>4109</v>
      </c>
      <c r="B806" s="866" t="s">
        <v>4110</v>
      </c>
      <c r="C806" s="866" t="s">
        <v>4001</v>
      </c>
      <c r="D806" s="1439"/>
      <c r="E806" s="1442"/>
      <c r="F806" s="1442"/>
      <c r="G806" s="1439"/>
      <c r="H806" s="1439"/>
      <c r="I806" s="1439"/>
      <c r="J806" s="1439"/>
      <c r="K806" s="1439"/>
      <c r="L806" s="1439"/>
      <c r="M806" s="867" t="s">
        <v>3060</v>
      </c>
      <c r="N806" s="867" t="s">
        <v>4113</v>
      </c>
      <c r="O806" s="873" t="s">
        <v>4114</v>
      </c>
      <c r="P806" s="874">
        <v>19</v>
      </c>
      <c r="Q806" s="874">
        <v>19</v>
      </c>
      <c r="R806" s="875">
        <v>0</v>
      </c>
      <c r="S806" s="876"/>
      <c r="T806" s="876"/>
      <c r="U806" s="877"/>
      <c r="W806" s="877"/>
    </row>
    <row r="807" spans="1:23" ht="38" x14ac:dyDescent="0.2">
      <c r="A807" s="812" t="s">
        <v>4109</v>
      </c>
      <c r="B807" s="866" t="s">
        <v>4110</v>
      </c>
      <c r="C807" s="866" t="s">
        <v>4001</v>
      </c>
      <c r="D807" s="1439"/>
      <c r="E807" s="1442"/>
      <c r="F807" s="1442"/>
      <c r="G807" s="1439"/>
      <c r="H807" s="1439"/>
      <c r="I807" s="1439"/>
      <c r="J807" s="1439"/>
      <c r="K807" s="1439"/>
      <c r="L807" s="1439"/>
      <c r="M807" s="867" t="s">
        <v>3061</v>
      </c>
      <c r="N807" s="867" t="s">
        <v>4115</v>
      </c>
      <c r="O807" s="867" t="s">
        <v>4116</v>
      </c>
      <c r="P807" s="869">
        <v>19</v>
      </c>
      <c r="Q807" s="869">
        <v>19</v>
      </c>
      <c r="R807" s="870">
        <v>0</v>
      </c>
      <c r="S807" s="871"/>
      <c r="T807" s="871"/>
      <c r="U807" s="872"/>
      <c r="W807" s="872"/>
    </row>
    <row r="808" spans="1:23" ht="38" x14ac:dyDescent="0.2">
      <c r="A808" s="812" t="s">
        <v>4109</v>
      </c>
      <c r="B808" s="866" t="s">
        <v>4110</v>
      </c>
      <c r="C808" s="866" t="s">
        <v>4001</v>
      </c>
      <c r="D808" s="1440"/>
      <c r="E808" s="1443"/>
      <c r="F808" s="1443"/>
      <c r="G808" s="1440"/>
      <c r="H808" s="1440"/>
      <c r="I808" s="1440"/>
      <c r="J808" s="1440"/>
      <c r="K808" s="1440"/>
      <c r="L808" s="1440"/>
      <c r="M808" s="867" t="s">
        <v>3063</v>
      </c>
      <c r="N808" s="867" t="s">
        <v>4059</v>
      </c>
      <c r="O808" s="873" t="s">
        <v>4119</v>
      </c>
      <c r="P808" s="874">
        <v>19</v>
      </c>
      <c r="Q808" s="874">
        <v>19</v>
      </c>
      <c r="R808" s="875">
        <v>0</v>
      </c>
      <c r="S808" s="876"/>
      <c r="T808" s="876"/>
      <c r="U808" s="877"/>
      <c r="W808" s="877"/>
    </row>
    <row r="809" spans="1:23" ht="38" x14ac:dyDescent="0.2">
      <c r="A809" s="812" t="s">
        <v>4109</v>
      </c>
      <c r="B809" s="866" t="s">
        <v>4110</v>
      </c>
      <c r="C809" s="866" t="s">
        <v>4001</v>
      </c>
      <c r="D809" s="1438" t="s">
        <v>3083</v>
      </c>
      <c r="E809" s="1441">
        <v>45550.916666666664</v>
      </c>
      <c r="F809" s="1441">
        <v>45702.958321759259</v>
      </c>
      <c r="G809" s="1438" t="s">
        <v>1758</v>
      </c>
      <c r="H809" s="1438" t="s">
        <v>1759</v>
      </c>
      <c r="I809" s="1438" t="s">
        <v>1761</v>
      </c>
      <c r="J809" s="1438" t="s">
        <v>3084</v>
      </c>
      <c r="K809" s="1438" t="s">
        <v>1804</v>
      </c>
      <c r="L809" s="1438" t="s">
        <v>1828</v>
      </c>
      <c r="M809" s="867" t="s">
        <v>3059</v>
      </c>
      <c r="N809" s="867" t="s">
        <v>4111</v>
      </c>
      <c r="O809" s="867" t="s">
        <v>4112</v>
      </c>
      <c r="P809" s="869">
        <v>22</v>
      </c>
      <c r="Q809" s="869">
        <v>21</v>
      </c>
      <c r="R809" s="870">
        <v>0</v>
      </c>
      <c r="S809" s="871"/>
      <c r="T809" s="871"/>
      <c r="U809" s="872"/>
      <c r="W809" s="872"/>
    </row>
    <row r="810" spans="1:23" ht="38" x14ac:dyDescent="0.2">
      <c r="A810" s="812" t="s">
        <v>4109</v>
      </c>
      <c r="B810" s="866" t="s">
        <v>4110</v>
      </c>
      <c r="C810" s="866" t="s">
        <v>4001</v>
      </c>
      <c r="D810" s="1439"/>
      <c r="E810" s="1442"/>
      <c r="F810" s="1442"/>
      <c r="G810" s="1439"/>
      <c r="H810" s="1439"/>
      <c r="I810" s="1439"/>
      <c r="J810" s="1439"/>
      <c r="K810" s="1439"/>
      <c r="L810" s="1439"/>
      <c r="M810" s="867" t="s">
        <v>3060</v>
      </c>
      <c r="N810" s="867" t="s">
        <v>4113</v>
      </c>
      <c r="O810" s="873" t="s">
        <v>4114</v>
      </c>
      <c r="P810" s="874">
        <v>22</v>
      </c>
      <c r="Q810" s="874">
        <v>21</v>
      </c>
      <c r="R810" s="875">
        <v>0</v>
      </c>
      <c r="S810" s="876"/>
      <c r="T810" s="876"/>
      <c r="U810" s="877"/>
      <c r="W810" s="877"/>
    </row>
    <row r="811" spans="1:23" ht="38" x14ac:dyDescent="0.2">
      <c r="A811" s="812" t="s">
        <v>4109</v>
      </c>
      <c r="B811" s="866" t="s">
        <v>4110</v>
      </c>
      <c r="C811" s="866" t="s">
        <v>4001</v>
      </c>
      <c r="D811" s="1439"/>
      <c r="E811" s="1442"/>
      <c r="F811" s="1442"/>
      <c r="G811" s="1439"/>
      <c r="H811" s="1439"/>
      <c r="I811" s="1439"/>
      <c r="J811" s="1439"/>
      <c r="K811" s="1439"/>
      <c r="L811" s="1439"/>
      <c r="M811" s="867" t="s">
        <v>3061</v>
      </c>
      <c r="N811" s="867" t="s">
        <v>4115</v>
      </c>
      <c r="O811" s="867" t="s">
        <v>4116</v>
      </c>
      <c r="P811" s="869">
        <v>22</v>
      </c>
      <c r="Q811" s="869">
        <v>21</v>
      </c>
      <c r="R811" s="870">
        <v>0</v>
      </c>
      <c r="S811" s="871"/>
      <c r="T811" s="871"/>
      <c r="U811" s="872"/>
      <c r="W811" s="872"/>
    </row>
    <row r="812" spans="1:23" ht="38" x14ac:dyDescent="0.2">
      <c r="A812" s="812" t="s">
        <v>4109</v>
      </c>
      <c r="B812" s="866" t="s">
        <v>4110</v>
      </c>
      <c r="C812" s="866" t="s">
        <v>4001</v>
      </c>
      <c r="D812" s="1440"/>
      <c r="E812" s="1443"/>
      <c r="F812" s="1443"/>
      <c r="G812" s="1440"/>
      <c r="H812" s="1440"/>
      <c r="I812" s="1440"/>
      <c r="J812" s="1440"/>
      <c r="K812" s="1440"/>
      <c r="L812" s="1440"/>
      <c r="M812" s="867" t="s">
        <v>3063</v>
      </c>
      <c r="N812" s="867" t="s">
        <v>4059</v>
      </c>
      <c r="O812" s="873" t="s">
        <v>4119</v>
      </c>
      <c r="P812" s="874">
        <v>22</v>
      </c>
      <c r="Q812" s="874">
        <v>21</v>
      </c>
      <c r="R812" s="875">
        <v>0</v>
      </c>
      <c r="S812" s="876"/>
      <c r="T812" s="876"/>
      <c r="U812" s="877"/>
      <c r="W812" s="877"/>
    </row>
    <row r="813" spans="1:23" ht="38" x14ac:dyDescent="0.2">
      <c r="A813" s="812" t="s">
        <v>4109</v>
      </c>
      <c r="B813" s="866" t="s">
        <v>4110</v>
      </c>
      <c r="C813" s="866" t="s">
        <v>4001</v>
      </c>
      <c r="D813" s="867" t="s">
        <v>3085</v>
      </c>
      <c r="E813" s="868">
        <v>45580.265092592592</v>
      </c>
      <c r="F813" s="868">
        <v>45657.958321759259</v>
      </c>
      <c r="G813" s="867" t="s">
        <v>1758</v>
      </c>
      <c r="H813" s="867" t="s">
        <v>1759</v>
      </c>
      <c r="I813" s="867" t="s">
        <v>1761</v>
      </c>
      <c r="J813" s="867" t="s">
        <v>3086</v>
      </c>
      <c r="K813" s="867" t="s">
        <v>1804</v>
      </c>
      <c r="L813" s="867" t="s">
        <v>1828</v>
      </c>
      <c r="M813" s="867" t="s">
        <v>3060</v>
      </c>
      <c r="N813" s="867" t="s">
        <v>4113</v>
      </c>
      <c r="O813" s="867" t="s">
        <v>4114</v>
      </c>
      <c r="P813" s="869">
        <v>73</v>
      </c>
      <c r="Q813" s="869">
        <v>64</v>
      </c>
      <c r="R813" s="870">
        <v>47</v>
      </c>
      <c r="S813" s="871"/>
      <c r="T813" s="871"/>
      <c r="U813" s="872"/>
      <c r="W813" s="872"/>
    </row>
    <row r="814" spans="1:23" ht="38" x14ac:dyDescent="0.2">
      <c r="A814" s="812" t="s">
        <v>4109</v>
      </c>
      <c r="B814" s="866" t="s">
        <v>4110</v>
      </c>
      <c r="C814" s="866" t="s">
        <v>4001</v>
      </c>
      <c r="D814" s="1438" t="s">
        <v>3087</v>
      </c>
      <c r="E814" s="1441">
        <v>45550.916666666664</v>
      </c>
      <c r="F814" s="1441">
        <v>45702.958321759259</v>
      </c>
      <c r="G814" s="1438" t="s">
        <v>1758</v>
      </c>
      <c r="H814" s="1438" t="s">
        <v>1759</v>
      </c>
      <c r="I814" s="1438" t="s">
        <v>1761</v>
      </c>
      <c r="J814" s="1438" t="s">
        <v>3088</v>
      </c>
      <c r="K814" s="1438" t="s">
        <v>1804</v>
      </c>
      <c r="L814" s="1438" t="s">
        <v>1828</v>
      </c>
      <c r="M814" s="867" t="s">
        <v>3059</v>
      </c>
      <c r="N814" s="867" t="s">
        <v>4111</v>
      </c>
      <c r="O814" s="873" t="s">
        <v>4112</v>
      </c>
      <c r="P814" s="874">
        <v>24</v>
      </c>
      <c r="Q814" s="874">
        <v>23</v>
      </c>
      <c r="R814" s="875">
        <v>0</v>
      </c>
      <c r="S814" s="876"/>
      <c r="T814" s="876"/>
      <c r="U814" s="877"/>
      <c r="W814" s="877"/>
    </row>
    <row r="815" spans="1:23" ht="38" x14ac:dyDescent="0.2">
      <c r="A815" s="812" t="s">
        <v>4109</v>
      </c>
      <c r="B815" s="866" t="s">
        <v>4110</v>
      </c>
      <c r="C815" s="866" t="s">
        <v>4001</v>
      </c>
      <c r="D815" s="1439"/>
      <c r="E815" s="1442"/>
      <c r="F815" s="1442"/>
      <c r="G815" s="1439"/>
      <c r="H815" s="1439"/>
      <c r="I815" s="1439"/>
      <c r="J815" s="1439"/>
      <c r="K815" s="1439"/>
      <c r="L815" s="1439"/>
      <c r="M815" s="867" t="s">
        <v>3060</v>
      </c>
      <c r="N815" s="867" t="s">
        <v>4113</v>
      </c>
      <c r="O815" s="867" t="s">
        <v>4114</v>
      </c>
      <c r="P815" s="869">
        <v>24</v>
      </c>
      <c r="Q815" s="869">
        <v>23</v>
      </c>
      <c r="R815" s="870">
        <v>0</v>
      </c>
      <c r="S815" s="871"/>
      <c r="T815" s="871"/>
      <c r="U815" s="872"/>
      <c r="W815" s="872"/>
    </row>
    <row r="816" spans="1:23" ht="38" x14ac:dyDescent="0.2">
      <c r="A816" s="812" t="s">
        <v>4109</v>
      </c>
      <c r="B816" s="866" t="s">
        <v>4110</v>
      </c>
      <c r="C816" s="866" t="s">
        <v>4001</v>
      </c>
      <c r="D816" s="1439"/>
      <c r="E816" s="1442"/>
      <c r="F816" s="1442"/>
      <c r="G816" s="1439"/>
      <c r="H816" s="1439"/>
      <c r="I816" s="1439"/>
      <c r="J816" s="1439"/>
      <c r="K816" s="1439"/>
      <c r="L816" s="1439"/>
      <c r="M816" s="867" t="s">
        <v>3061</v>
      </c>
      <c r="N816" s="867" t="s">
        <v>4115</v>
      </c>
      <c r="O816" s="873" t="s">
        <v>4116</v>
      </c>
      <c r="P816" s="874">
        <v>24</v>
      </c>
      <c r="Q816" s="874">
        <v>23</v>
      </c>
      <c r="R816" s="875">
        <v>0</v>
      </c>
      <c r="S816" s="876"/>
      <c r="T816" s="876"/>
      <c r="U816" s="877"/>
      <c r="W816" s="877"/>
    </row>
    <row r="817" spans="1:23" ht="38" x14ac:dyDescent="0.2">
      <c r="A817" s="812" t="s">
        <v>4109</v>
      </c>
      <c r="B817" s="866" t="s">
        <v>4110</v>
      </c>
      <c r="C817" s="866" t="s">
        <v>4001</v>
      </c>
      <c r="D817" s="1439"/>
      <c r="E817" s="1442"/>
      <c r="F817" s="1442"/>
      <c r="G817" s="1439"/>
      <c r="H817" s="1439"/>
      <c r="I817" s="1439"/>
      <c r="J817" s="1439"/>
      <c r="K817" s="1439"/>
      <c r="L817" s="1439"/>
      <c r="M817" s="867" t="s">
        <v>3062</v>
      </c>
      <c r="N817" s="867" t="s">
        <v>4117</v>
      </c>
      <c r="O817" s="867" t="s">
        <v>4118</v>
      </c>
      <c r="P817" s="869">
        <v>24</v>
      </c>
      <c r="Q817" s="869">
        <v>23</v>
      </c>
      <c r="R817" s="870">
        <v>0</v>
      </c>
      <c r="S817" s="871"/>
      <c r="T817" s="871"/>
      <c r="U817" s="872"/>
      <c r="W817" s="872"/>
    </row>
    <row r="818" spans="1:23" ht="38" x14ac:dyDescent="0.2">
      <c r="A818" s="812" t="s">
        <v>4109</v>
      </c>
      <c r="B818" s="866" t="s">
        <v>4110</v>
      </c>
      <c r="C818" s="866" t="s">
        <v>4001</v>
      </c>
      <c r="D818" s="1440"/>
      <c r="E818" s="1443"/>
      <c r="F818" s="1443"/>
      <c r="G818" s="1440"/>
      <c r="H818" s="1440"/>
      <c r="I818" s="1440"/>
      <c r="J818" s="1440"/>
      <c r="K818" s="1440"/>
      <c r="L818" s="1440"/>
      <c r="M818" s="867" t="s">
        <v>3063</v>
      </c>
      <c r="N818" s="867" t="s">
        <v>4059</v>
      </c>
      <c r="O818" s="873" t="s">
        <v>4119</v>
      </c>
      <c r="P818" s="874">
        <v>24</v>
      </c>
      <c r="Q818" s="874">
        <v>23</v>
      </c>
      <c r="R818" s="875">
        <v>0</v>
      </c>
      <c r="S818" s="876"/>
      <c r="T818" s="876"/>
      <c r="U818" s="877"/>
      <c r="W818" s="877"/>
    </row>
    <row r="819" spans="1:23" ht="38" x14ac:dyDescent="0.2">
      <c r="A819" s="812" t="s">
        <v>4109</v>
      </c>
      <c r="B819" s="866" t="s">
        <v>4110</v>
      </c>
      <c r="C819" s="866" t="s">
        <v>4001</v>
      </c>
      <c r="D819" s="1438" t="s">
        <v>3089</v>
      </c>
      <c r="E819" s="1441">
        <v>45550.916666666664</v>
      </c>
      <c r="F819" s="1441">
        <v>45702.958321759259</v>
      </c>
      <c r="G819" s="1438" t="s">
        <v>1758</v>
      </c>
      <c r="H819" s="1438" t="s">
        <v>1759</v>
      </c>
      <c r="I819" s="1438" t="s">
        <v>1761</v>
      </c>
      <c r="J819" s="1438" t="s">
        <v>3090</v>
      </c>
      <c r="K819" s="1438" t="s">
        <v>1804</v>
      </c>
      <c r="L819" s="1438" t="s">
        <v>1828</v>
      </c>
      <c r="M819" s="867" t="s">
        <v>3059</v>
      </c>
      <c r="N819" s="867" t="s">
        <v>4111</v>
      </c>
      <c r="O819" s="867" t="s">
        <v>4112</v>
      </c>
      <c r="P819" s="869">
        <v>22</v>
      </c>
      <c r="Q819" s="869">
        <v>21</v>
      </c>
      <c r="R819" s="870">
        <v>0</v>
      </c>
      <c r="S819" s="871"/>
      <c r="T819" s="871"/>
      <c r="U819" s="872"/>
      <c r="W819" s="872"/>
    </row>
    <row r="820" spans="1:23" ht="38" x14ac:dyDescent="0.2">
      <c r="A820" s="812" t="s">
        <v>4109</v>
      </c>
      <c r="B820" s="866" t="s">
        <v>4110</v>
      </c>
      <c r="C820" s="866" t="s">
        <v>4001</v>
      </c>
      <c r="D820" s="1439"/>
      <c r="E820" s="1442"/>
      <c r="F820" s="1442"/>
      <c r="G820" s="1439"/>
      <c r="H820" s="1439"/>
      <c r="I820" s="1439"/>
      <c r="J820" s="1439"/>
      <c r="K820" s="1439"/>
      <c r="L820" s="1439"/>
      <c r="M820" s="867" t="s">
        <v>3060</v>
      </c>
      <c r="N820" s="867" t="s">
        <v>4113</v>
      </c>
      <c r="O820" s="873" t="s">
        <v>4114</v>
      </c>
      <c r="P820" s="874">
        <v>22</v>
      </c>
      <c r="Q820" s="874">
        <v>21</v>
      </c>
      <c r="R820" s="875">
        <v>0</v>
      </c>
      <c r="S820" s="876"/>
      <c r="T820" s="876"/>
      <c r="U820" s="877"/>
      <c r="W820" s="877"/>
    </row>
    <row r="821" spans="1:23" ht="38" x14ac:dyDescent="0.2">
      <c r="A821" s="812" t="s">
        <v>4109</v>
      </c>
      <c r="B821" s="866" t="s">
        <v>4110</v>
      </c>
      <c r="C821" s="866" t="s">
        <v>4001</v>
      </c>
      <c r="D821" s="1439"/>
      <c r="E821" s="1442"/>
      <c r="F821" s="1442"/>
      <c r="G821" s="1439"/>
      <c r="H821" s="1439"/>
      <c r="I821" s="1439"/>
      <c r="J821" s="1439"/>
      <c r="K821" s="1439"/>
      <c r="L821" s="1439"/>
      <c r="M821" s="867" t="s">
        <v>3061</v>
      </c>
      <c r="N821" s="867" t="s">
        <v>4115</v>
      </c>
      <c r="O821" s="867" t="s">
        <v>4116</v>
      </c>
      <c r="P821" s="869">
        <v>22</v>
      </c>
      <c r="Q821" s="869">
        <v>21</v>
      </c>
      <c r="R821" s="870">
        <v>0</v>
      </c>
      <c r="S821" s="871"/>
      <c r="T821" s="871"/>
      <c r="U821" s="872"/>
      <c r="W821" s="872"/>
    </row>
    <row r="822" spans="1:23" ht="38" x14ac:dyDescent="0.2">
      <c r="A822" s="812" t="s">
        <v>4109</v>
      </c>
      <c r="B822" s="866" t="s">
        <v>4110</v>
      </c>
      <c r="C822" s="866" t="s">
        <v>4001</v>
      </c>
      <c r="D822" s="1440"/>
      <c r="E822" s="1443"/>
      <c r="F822" s="1443"/>
      <c r="G822" s="1440"/>
      <c r="H822" s="1440"/>
      <c r="I822" s="1440"/>
      <c r="J822" s="1440"/>
      <c r="K822" s="1440"/>
      <c r="L822" s="1440"/>
      <c r="M822" s="867" t="s">
        <v>3063</v>
      </c>
      <c r="N822" s="867" t="s">
        <v>4059</v>
      </c>
      <c r="O822" s="873" t="s">
        <v>4119</v>
      </c>
      <c r="P822" s="874">
        <v>22</v>
      </c>
      <c r="Q822" s="874">
        <v>21</v>
      </c>
      <c r="R822" s="875">
        <v>0</v>
      </c>
      <c r="S822" s="876"/>
      <c r="T822" s="876"/>
      <c r="U822" s="877"/>
      <c r="W822" s="877"/>
    </row>
    <row r="823" spans="1:23" ht="38" x14ac:dyDescent="0.2">
      <c r="A823" s="812" t="s">
        <v>4109</v>
      </c>
      <c r="B823" s="866" t="s">
        <v>4110</v>
      </c>
      <c r="C823" s="866" t="s">
        <v>4001</v>
      </c>
      <c r="D823" s="1438" t="s">
        <v>3091</v>
      </c>
      <c r="E823" s="1441">
        <v>45550.916666666664</v>
      </c>
      <c r="F823" s="1441">
        <v>45702.958321759259</v>
      </c>
      <c r="G823" s="1438" t="s">
        <v>1758</v>
      </c>
      <c r="H823" s="1438" t="s">
        <v>1759</v>
      </c>
      <c r="I823" s="1438" t="s">
        <v>1761</v>
      </c>
      <c r="J823" s="1438" t="s">
        <v>3092</v>
      </c>
      <c r="K823" s="1438" t="s">
        <v>1804</v>
      </c>
      <c r="L823" s="1438" t="s">
        <v>1828</v>
      </c>
      <c r="M823" s="867" t="s">
        <v>3059</v>
      </c>
      <c r="N823" s="867" t="s">
        <v>4111</v>
      </c>
      <c r="O823" s="867" t="s">
        <v>4112</v>
      </c>
      <c r="P823" s="869">
        <v>22</v>
      </c>
      <c r="Q823" s="869">
        <v>21</v>
      </c>
      <c r="R823" s="870">
        <v>0</v>
      </c>
      <c r="S823" s="871"/>
      <c r="T823" s="871"/>
      <c r="U823" s="872"/>
      <c r="W823" s="872"/>
    </row>
    <row r="824" spans="1:23" ht="38" x14ac:dyDescent="0.2">
      <c r="A824" s="812" t="s">
        <v>4109</v>
      </c>
      <c r="B824" s="866" t="s">
        <v>4110</v>
      </c>
      <c r="C824" s="866" t="s">
        <v>4001</v>
      </c>
      <c r="D824" s="1439"/>
      <c r="E824" s="1442"/>
      <c r="F824" s="1442"/>
      <c r="G824" s="1439"/>
      <c r="H824" s="1439"/>
      <c r="I824" s="1439"/>
      <c r="J824" s="1439"/>
      <c r="K824" s="1439"/>
      <c r="L824" s="1439"/>
      <c r="M824" s="867" t="s">
        <v>3060</v>
      </c>
      <c r="N824" s="867" t="s">
        <v>4113</v>
      </c>
      <c r="O824" s="873" t="s">
        <v>4114</v>
      </c>
      <c r="P824" s="874">
        <v>22</v>
      </c>
      <c r="Q824" s="874">
        <v>21</v>
      </c>
      <c r="R824" s="875">
        <v>0</v>
      </c>
      <c r="S824" s="876"/>
      <c r="T824" s="876"/>
      <c r="U824" s="877"/>
      <c r="W824" s="877"/>
    </row>
    <row r="825" spans="1:23" ht="38" x14ac:dyDescent="0.2">
      <c r="A825" s="812" t="s">
        <v>4109</v>
      </c>
      <c r="B825" s="866" t="s">
        <v>4110</v>
      </c>
      <c r="C825" s="866" t="s">
        <v>4001</v>
      </c>
      <c r="D825" s="1439"/>
      <c r="E825" s="1442"/>
      <c r="F825" s="1442"/>
      <c r="G825" s="1439"/>
      <c r="H825" s="1439"/>
      <c r="I825" s="1439"/>
      <c r="J825" s="1439"/>
      <c r="K825" s="1439"/>
      <c r="L825" s="1439"/>
      <c r="M825" s="867" t="s">
        <v>3061</v>
      </c>
      <c r="N825" s="867" t="s">
        <v>4115</v>
      </c>
      <c r="O825" s="867" t="s">
        <v>4116</v>
      </c>
      <c r="P825" s="869">
        <v>22</v>
      </c>
      <c r="Q825" s="869">
        <v>21</v>
      </c>
      <c r="R825" s="870">
        <v>0</v>
      </c>
      <c r="S825" s="871"/>
      <c r="T825" s="871"/>
      <c r="U825" s="872"/>
      <c r="W825" s="872"/>
    </row>
    <row r="826" spans="1:23" ht="38" x14ac:dyDescent="0.2">
      <c r="A826" s="812" t="s">
        <v>4109</v>
      </c>
      <c r="B826" s="866" t="s">
        <v>4110</v>
      </c>
      <c r="C826" s="866" t="s">
        <v>4001</v>
      </c>
      <c r="D826" s="1440"/>
      <c r="E826" s="1443"/>
      <c r="F826" s="1443"/>
      <c r="G826" s="1440"/>
      <c r="H826" s="1440"/>
      <c r="I826" s="1440"/>
      <c r="J826" s="1440"/>
      <c r="K826" s="1440"/>
      <c r="L826" s="1440"/>
      <c r="M826" s="867" t="s">
        <v>3063</v>
      </c>
      <c r="N826" s="867" t="s">
        <v>4059</v>
      </c>
      <c r="O826" s="873" t="s">
        <v>4119</v>
      </c>
      <c r="P826" s="874">
        <v>22</v>
      </c>
      <c r="Q826" s="874">
        <v>21</v>
      </c>
      <c r="R826" s="875">
        <v>0</v>
      </c>
      <c r="S826" s="876"/>
      <c r="T826" s="876"/>
      <c r="U826" s="877"/>
      <c r="W826" s="877"/>
    </row>
    <row r="827" spans="1:23" ht="38" x14ac:dyDescent="0.2">
      <c r="A827" s="812" t="s">
        <v>4109</v>
      </c>
      <c r="B827" s="866" t="s">
        <v>4110</v>
      </c>
      <c r="C827" s="866" t="s">
        <v>4001</v>
      </c>
      <c r="D827" s="1438" t="s">
        <v>3093</v>
      </c>
      <c r="E827" s="1441">
        <v>45550.916666666664</v>
      </c>
      <c r="F827" s="1441">
        <v>45702.958321759259</v>
      </c>
      <c r="G827" s="1438" t="s">
        <v>1758</v>
      </c>
      <c r="H827" s="1438" t="s">
        <v>1759</v>
      </c>
      <c r="I827" s="1438" t="s">
        <v>1761</v>
      </c>
      <c r="J827" s="1438" t="s">
        <v>3094</v>
      </c>
      <c r="K827" s="1438" t="s">
        <v>1804</v>
      </c>
      <c r="L827" s="1438" t="s">
        <v>1828</v>
      </c>
      <c r="M827" s="867" t="s">
        <v>3059</v>
      </c>
      <c r="N827" s="867" t="s">
        <v>4111</v>
      </c>
      <c r="O827" s="867" t="s">
        <v>4112</v>
      </c>
      <c r="P827" s="869">
        <v>21</v>
      </c>
      <c r="Q827" s="869">
        <v>21</v>
      </c>
      <c r="R827" s="870">
        <v>0</v>
      </c>
      <c r="S827" s="871"/>
      <c r="T827" s="871"/>
      <c r="U827" s="872"/>
      <c r="W827" s="872"/>
    </row>
    <row r="828" spans="1:23" ht="38" x14ac:dyDescent="0.2">
      <c r="A828" s="812" t="s">
        <v>4109</v>
      </c>
      <c r="B828" s="866" t="s">
        <v>4110</v>
      </c>
      <c r="C828" s="866" t="s">
        <v>4001</v>
      </c>
      <c r="D828" s="1439"/>
      <c r="E828" s="1442"/>
      <c r="F828" s="1442"/>
      <c r="G828" s="1439"/>
      <c r="H828" s="1439"/>
      <c r="I828" s="1439"/>
      <c r="J828" s="1439"/>
      <c r="K828" s="1439"/>
      <c r="L828" s="1439"/>
      <c r="M828" s="867" t="s">
        <v>3060</v>
      </c>
      <c r="N828" s="867" t="s">
        <v>4113</v>
      </c>
      <c r="O828" s="873" t="s">
        <v>4114</v>
      </c>
      <c r="P828" s="874">
        <v>21</v>
      </c>
      <c r="Q828" s="874">
        <v>21</v>
      </c>
      <c r="R828" s="875">
        <v>0</v>
      </c>
      <c r="S828" s="876"/>
      <c r="T828" s="876"/>
      <c r="U828" s="877"/>
      <c r="W828" s="877"/>
    </row>
    <row r="829" spans="1:23" ht="38" x14ac:dyDescent="0.2">
      <c r="A829" s="812" t="s">
        <v>4109</v>
      </c>
      <c r="B829" s="866" t="s">
        <v>4110</v>
      </c>
      <c r="C829" s="866" t="s">
        <v>4001</v>
      </c>
      <c r="D829" s="1439"/>
      <c r="E829" s="1442"/>
      <c r="F829" s="1442"/>
      <c r="G829" s="1439"/>
      <c r="H829" s="1439"/>
      <c r="I829" s="1439"/>
      <c r="J829" s="1439"/>
      <c r="K829" s="1439"/>
      <c r="L829" s="1439"/>
      <c r="M829" s="867" t="s">
        <v>3061</v>
      </c>
      <c r="N829" s="867" t="s">
        <v>4115</v>
      </c>
      <c r="O829" s="867" t="s">
        <v>4116</v>
      </c>
      <c r="P829" s="869">
        <v>21</v>
      </c>
      <c r="Q829" s="869">
        <v>21</v>
      </c>
      <c r="R829" s="870">
        <v>0</v>
      </c>
      <c r="S829" s="871"/>
      <c r="T829" s="871"/>
      <c r="U829" s="872"/>
      <c r="W829" s="872"/>
    </row>
    <row r="830" spans="1:23" ht="38" x14ac:dyDescent="0.2">
      <c r="A830" s="812" t="s">
        <v>4109</v>
      </c>
      <c r="B830" s="866" t="s">
        <v>4110</v>
      </c>
      <c r="C830" s="866" t="s">
        <v>4001</v>
      </c>
      <c r="D830" s="1440"/>
      <c r="E830" s="1443"/>
      <c r="F830" s="1443"/>
      <c r="G830" s="1440"/>
      <c r="H830" s="1440"/>
      <c r="I830" s="1440"/>
      <c r="J830" s="1440"/>
      <c r="K830" s="1440"/>
      <c r="L830" s="1440"/>
      <c r="M830" s="867" t="s">
        <v>3063</v>
      </c>
      <c r="N830" s="867" t="s">
        <v>4059</v>
      </c>
      <c r="O830" s="873" t="s">
        <v>4119</v>
      </c>
      <c r="P830" s="874">
        <v>21</v>
      </c>
      <c r="Q830" s="874">
        <v>21</v>
      </c>
      <c r="R830" s="875">
        <v>0</v>
      </c>
      <c r="S830" s="876"/>
      <c r="T830" s="876"/>
      <c r="U830" s="877"/>
      <c r="W830" s="877"/>
    </row>
    <row r="831" spans="1:23" ht="38" x14ac:dyDescent="0.2">
      <c r="A831" s="812" t="s">
        <v>4109</v>
      </c>
      <c r="B831" s="866" t="s">
        <v>4110</v>
      </c>
      <c r="C831" s="866" t="s">
        <v>4001</v>
      </c>
      <c r="D831" s="1438" t="s">
        <v>3095</v>
      </c>
      <c r="E831" s="1441">
        <v>45550.916666666664</v>
      </c>
      <c r="F831" s="1441">
        <v>45702.958321759259</v>
      </c>
      <c r="G831" s="1438" t="s">
        <v>1758</v>
      </c>
      <c r="H831" s="1438" t="s">
        <v>1759</v>
      </c>
      <c r="I831" s="1438" t="s">
        <v>1761</v>
      </c>
      <c r="J831" s="1438" t="s">
        <v>3096</v>
      </c>
      <c r="K831" s="1438" t="s">
        <v>1804</v>
      </c>
      <c r="L831" s="1438" t="s">
        <v>1828</v>
      </c>
      <c r="M831" s="867" t="s">
        <v>3059</v>
      </c>
      <c r="N831" s="867" t="s">
        <v>4111</v>
      </c>
      <c r="O831" s="867" t="s">
        <v>4112</v>
      </c>
      <c r="P831" s="869">
        <v>24</v>
      </c>
      <c r="Q831" s="869">
        <v>22</v>
      </c>
      <c r="R831" s="870">
        <v>0</v>
      </c>
      <c r="S831" s="871"/>
      <c r="T831" s="871"/>
      <c r="U831" s="872"/>
      <c r="W831" s="872"/>
    </row>
    <row r="832" spans="1:23" ht="38" x14ac:dyDescent="0.2">
      <c r="A832" s="812" t="s">
        <v>4109</v>
      </c>
      <c r="B832" s="866" t="s">
        <v>4110</v>
      </c>
      <c r="C832" s="866" t="s">
        <v>4001</v>
      </c>
      <c r="D832" s="1439"/>
      <c r="E832" s="1442"/>
      <c r="F832" s="1442"/>
      <c r="G832" s="1439"/>
      <c r="H832" s="1439"/>
      <c r="I832" s="1439"/>
      <c r="J832" s="1439"/>
      <c r="K832" s="1439"/>
      <c r="L832" s="1439"/>
      <c r="M832" s="867" t="s">
        <v>3060</v>
      </c>
      <c r="N832" s="867" t="s">
        <v>4113</v>
      </c>
      <c r="O832" s="873" t="s">
        <v>4114</v>
      </c>
      <c r="P832" s="874">
        <v>24</v>
      </c>
      <c r="Q832" s="874">
        <v>22</v>
      </c>
      <c r="R832" s="875">
        <v>0</v>
      </c>
      <c r="S832" s="876"/>
      <c r="T832" s="876"/>
      <c r="U832" s="877"/>
      <c r="W832" s="877"/>
    </row>
    <row r="833" spans="1:23" ht="38" x14ac:dyDescent="0.2">
      <c r="A833" s="812" t="s">
        <v>4109</v>
      </c>
      <c r="B833" s="866" t="s">
        <v>4110</v>
      </c>
      <c r="C833" s="866" t="s">
        <v>4001</v>
      </c>
      <c r="D833" s="1439"/>
      <c r="E833" s="1442"/>
      <c r="F833" s="1442"/>
      <c r="G833" s="1439"/>
      <c r="H833" s="1439"/>
      <c r="I833" s="1439"/>
      <c r="J833" s="1439"/>
      <c r="K833" s="1439"/>
      <c r="L833" s="1439"/>
      <c r="M833" s="867" t="s">
        <v>3061</v>
      </c>
      <c r="N833" s="867" t="s">
        <v>4115</v>
      </c>
      <c r="O833" s="867" t="s">
        <v>4116</v>
      </c>
      <c r="P833" s="869">
        <v>24</v>
      </c>
      <c r="Q833" s="869">
        <v>22</v>
      </c>
      <c r="R833" s="870">
        <v>0</v>
      </c>
      <c r="S833" s="871"/>
      <c r="T833" s="871"/>
      <c r="U833" s="872"/>
      <c r="W833" s="872"/>
    </row>
    <row r="834" spans="1:23" ht="38" x14ac:dyDescent="0.2">
      <c r="A834" s="812" t="s">
        <v>4109</v>
      </c>
      <c r="B834" s="866" t="s">
        <v>4110</v>
      </c>
      <c r="C834" s="866" t="s">
        <v>4001</v>
      </c>
      <c r="D834" s="1440"/>
      <c r="E834" s="1443"/>
      <c r="F834" s="1443"/>
      <c r="G834" s="1440"/>
      <c r="H834" s="1440"/>
      <c r="I834" s="1440"/>
      <c r="J834" s="1440"/>
      <c r="K834" s="1440"/>
      <c r="L834" s="1440"/>
      <c r="M834" s="867" t="s">
        <v>3063</v>
      </c>
      <c r="N834" s="867" t="s">
        <v>4059</v>
      </c>
      <c r="O834" s="873" t="s">
        <v>4119</v>
      </c>
      <c r="P834" s="874">
        <v>24</v>
      </c>
      <c r="Q834" s="874">
        <v>22</v>
      </c>
      <c r="R834" s="875">
        <v>0</v>
      </c>
      <c r="S834" s="876"/>
      <c r="T834" s="876"/>
      <c r="U834" s="877"/>
      <c r="W834" s="877"/>
    </row>
    <row r="835" spans="1:23" ht="38" x14ac:dyDescent="0.2">
      <c r="A835" s="812" t="s">
        <v>4109</v>
      </c>
      <c r="B835" s="866" t="s">
        <v>4110</v>
      </c>
      <c r="C835" s="866" t="s">
        <v>4001</v>
      </c>
      <c r="D835" s="1438" t="s">
        <v>3097</v>
      </c>
      <c r="E835" s="1441">
        <v>45550.916666666664</v>
      </c>
      <c r="F835" s="1441">
        <v>45702.958321759259</v>
      </c>
      <c r="G835" s="1438" t="s">
        <v>1758</v>
      </c>
      <c r="H835" s="1438" t="s">
        <v>1759</v>
      </c>
      <c r="I835" s="1438" t="s">
        <v>1761</v>
      </c>
      <c r="J835" s="1438" t="s">
        <v>3098</v>
      </c>
      <c r="K835" s="1438" t="s">
        <v>1804</v>
      </c>
      <c r="L835" s="1438" t="s">
        <v>1828</v>
      </c>
      <c r="M835" s="867" t="s">
        <v>3059</v>
      </c>
      <c r="N835" s="867" t="s">
        <v>4111</v>
      </c>
      <c r="O835" s="867" t="s">
        <v>4112</v>
      </c>
      <c r="P835" s="869">
        <v>20</v>
      </c>
      <c r="Q835" s="869">
        <v>20</v>
      </c>
      <c r="R835" s="870">
        <v>0</v>
      </c>
      <c r="S835" s="871"/>
      <c r="T835" s="871"/>
      <c r="U835" s="872"/>
      <c r="W835" s="872"/>
    </row>
    <row r="836" spans="1:23" ht="38" x14ac:dyDescent="0.2">
      <c r="A836" s="812" t="s">
        <v>4109</v>
      </c>
      <c r="B836" s="866" t="s">
        <v>4110</v>
      </c>
      <c r="C836" s="866" t="s">
        <v>4001</v>
      </c>
      <c r="D836" s="1439"/>
      <c r="E836" s="1442"/>
      <c r="F836" s="1442"/>
      <c r="G836" s="1439"/>
      <c r="H836" s="1439"/>
      <c r="I836" s="1439"/>
      <c r="J836" s="1439"/>
      <c r="K836" s="1439"/>
      <c r="L836" s="1439"/>
      <c r="M836" s="867" t="s">
        <v>3060</v>
      </c>
      <c r="N836" s="867" t="s">
        <v>4113</v>
      </c>
      <c r="O836" s="873" t="s">
        <v>4114</v>
      </c>
      <c r="P836" s="874">
        <v>20</v>
      </c>
      <c r="Q836" s="874">
        <v>20</v>
      </c>
      <c r="R836" s="875">
        <v>0</v>
      </c>
      <c r="S836" s="876"/>
      <c r="T836" s="876"/>
      <c r="U836" s="877"/>
      <c r="W836" s="877"/>
    </row>
    <row r="837" spans="1:23" ht="38" x14ac:dyDescent="0.2">
      <c r="A837" s="812" t="s">
        <v>4109</v>
      </c>
      <c r="B837" s="866" t="s">
        <v>4110</v>
      </c>
      <c r="C837" s="866" t="s">
        <v>4001</v>
      </c>
      <c r="D837" s="1439"/>
      <c r="E837" s="1442"/>
      <c r="F837" s="1442"/>
      <c r="G837" s="1439"/>
      <c r="H837" s="1439"/>
      <c r="I837" s="1439"/>
      <c r="J837" s="1439"/>
      <c r="K837" s="1439"/>
      <c r="L837" s="1439"/>
      <c r="M837" s="867" t="s">
        <v>3061</v>
      </c>
      <c r="N837" s="867" t="s">
        <v>4115</v>
      </c>
      <c r="O837" s="867" t="s">
        <v>4116</v>
      </c>
      <c r="P837" s="869">
        <v>20</v>
      </c>
      <c r="Q837" s="869">
        <v>20</v>
      </c>
      <c r="R837" s="870">
        <v>0</v>
      </c>
      <c r="S837" s="871"/>
      <c r="T837" s="871"/>
      <c r="U837" s="872"/>
      <c r="W837" s="872"/>
    </row>
    <row r="838" spans="1:23" ht="38" x14ac:dyDescent="0.2">
      <c r="A838" s="812" t="s">
        <v>4109</v>
      </c>
      <c r="B838" s="866" t="s">
        <v>4110</v>
      </c>
      <c r="C838" s="866" t="s">
        <v>4001</v>
      </c>
      <c r="D838" s="1440"/>
      <c r="E838" s="1443"/>
      <c r="F838" s="1443"/>
      <c r="G838" s="1440"/>
      <c r="H838" s="1440"/>
      <c r="I838" s="1440"/>
      <c r="J838" s="1440"/>
      <c r="K838" s="1440"/>
      <c r="L838" s="1440"/>
      <c r="M838" s="867" t="s">
        <v>3063</v>
      </c>
      <c r="N838" s="867" t="s">
        <v>4059</v>
      </c>
      <c r="O838" s="873" t="s">
        <v>4119</v>
      </c>
      <c r="P838" s="874">
        <v>20</v>
      </c>
      <c r="Q838" s="874">
        <v>20</v>
      </c>
      <c r="R838" s="875">
        <v>0</v>
      </c>
      <c r="S838" s="876"/>
      <c r="T838" s="876"/>
      <c r="U838" s="877"/>
      <c r="W838" s="877"/>
    </row>
    <row r="839" spans="1:23" ht="38" x14ac:dyDescent="0.2">
      <c r="A839" s="812" t="s">
        <v>4109</v>
      </c>
      <c r="B839" s="866" t="s">
        <v>4110</v>
      </c>
      <c r="C839" s="866" t="s">
        <v>4001</v>
      </c>
      <c r="D839" s="1438" t="s">
        <v>3099</v>
      </c>
      <c r="E839" s="1441">
        <v>45550.916666666664</v>
      </c>
      <c r="F839" s="1441">
        <v>45702.958321759259</v>
      </c>
      <c r="G839" s="1438" t="s">
        <v>1758</v>
      </c>
      <c r="H839" s="1438" t="s">
        <v>1759</v>
      </c>
      <c r="I839" s="1438" t="s">
        <v>1761</v>
      </c>
      <c r="J839" s="1438" t="s">
        <v>3100</v>
      </c>
      <c r="K839" s="1438" t="s">
        <v>1804</v>
      </c>
      <c r="L839" s="1438" t="s">
        <v>1828</v>
      </c>
      <c r="M839" s="867" t="s">
        <v>3059</v>
      </c>
      <c r="N839" s="867" t="s">
        <v>4111</v>
      </c>
      <c r="O839" s="867" t="s">
        <v>4112</v>
      </c>
      <c r="P839" s="869">
        <v>21</v>
      </c>
      <c r="Q839" s="869">
        <v>21</v>
      </c>
      <c r="R839" s="870">
        <v>1</v>
      </c>
      <c r="S839" s="871"/>
      <c r="T839" s="871"/>
      <c r="U839" s="872"/>
      <c r="W839" s="872"/>
    </row>
    <row r="840" spans="1:23" ht="38" x14ac:dyDescent="0.2">
      <c r="A840" s="812" t="s">
        <v>4109</v>
      </c>
      <c r="B840" s="866" t="s">
        <v>4110</v>
      </c>
      <c r="C840" s="866" t="s">
        <v>4001</v>
      </c>
      <c r="D840" s="1439"/>
      <c r="E840" s="1442"/>
      <c r="F840" s="1442"/>
      <c r="G840" s="1439"/>
      <c r="H840" s="1439"/>
      <c r="I840" s="1439"/>
      <c r="J840" s="1439"/>
      <c r="K840" s="1439"/>
      <c r="L840" s="1439"/>
      <c r="M840" s="867" t="s">
        <v>3060</v>
      </c>
      <c r="N840" s="867" t="s">
        <v>4113</v>
      </c>
      <c r="O840" s="873" t="s">
        <v>4114</v>
      </c>
      <c r="P840" s="874">
        <v>21</v>
      </c>
      <c r="Q840" s="874">
        <v>21</v>
      </c>
      <c r="R840" s="875">
        <v>1</v>
      </c>
      <c r="S840" s="876"/>
      <c r="T840" s="876"/>
      <c r="U840" s="877"/>
      <c r="W840" s="877"/>
    </row>
    <row r="841" spans="1:23" ht="38" x14ac:dyDescent="0.2">
      <c r="A841" s="812" t="s">
        <v>4109</v>
      </c>
      <c r="B841" s="866" t="s">
        <v>4110</v>
      </c>
      <c r="C841" s="866" t="s">
        <v>4001</v>
      </c>
      <c r="D841" s="1439"/>
      <c r="E841" s="1442"/>
      <c r="F841" s="1442"/>
      <c r="G841" s="1439"/>
      <c r="H841" s="1439"/>
      <c r="I841" s="1439"/>
      <c r="J841" s="1439"/>
      <c r="K841" s="1439"/>
      <c r="L841" s="1439"/>
      <c r="M841" s="867" t="s">
        <v>3061</v>
      </c>
      <c r="N841" s="867" t="s">
        <v>4115</v>
      </c>
      <c r="O841" s="867" t="s">
        <v>4116</v>
      </c>
      <c r="P841" s="869">
        <v>21</v>
      </c>
      <c r="Q841" s="869">
        <v>21</v>
      </c>
      <c r="R841" s="870">
        <v>1</v>
      </c>
      <c r="S841" s="871"/>
      <c r="T841" s="871"/>
      <c r="U841" s="872"/>
      <c r="W841" s="872"/>
    </row>
    <row r="842" spans="1:23" ht="38" x14ac:dyDescent="0.2">
      <c r="A842" s="812" t="s">
        <v>4109</v>
      </c>
      <c r="B842" s="866" t="s">
        <v>4110</v>
      </c>
      <c r="C842" s="866" t="s">
        <v>4001</v>
      </c>
      <c r="D842" s="1440"/>
      <c r="E842" s="1443"/>
      <c r="F842" s="1443"/>
      <c r="G842" s="1440"/>
      <c r="H842" s="1440"/>
      <c r="I842" s="1440"/>
      <c r="J842" s="1440"/>
      <c r="K842" s="1440"/>
      <c r="L842" s="1440"/>
      <c r="M842" s="867" t="s">
        <v>3063</v>
      </c>
      <c r="N842" s="867" t="s">
        <v>4059</v>
      </c>
      <c r="O842" s="873" t="s">
        <v>4119</v>
      </c>
      <c r="P842" s="874">
        <v>21</v>
      </c>
      <c r="Q842" s="874">
        <v>21</v>
      </c>
      <c r="R842" s="875">
        <v>1</v>
      </c>
      <c r="S842" s="876"/>
      <c r="T842" s="876"/>
      <c r="U842" s="877"/>
      <c r="W842" s="877"/>
    </row>
    <row r="843" spans="1:23" ht="24" x14ac:dyDescent="0.2">
      <c r="A843" s="865" t="s">
        <v>3101</v>
      </c>
      <c r="B843" s="866">
        <v>17151589</v>
      </c>
      <c r="C843" s="866" t="s">
        <v>3867</v>
      </c>
      <c r="D843" s="867" t="s">
        <v>3102</v>
      </c>
      <c r="E843" s="868">
        <v>45297.958333333336</v>
      </c>
      <c r="F843" s="868">
        <v>45663.958333333336</v>
      </c>
      <c r="G843" s="867" t="s">
        <v>1758</v>
      </c>
      <c r="H843" s="867" t="s">
        <v>1763</v>
      </c>
      <c r="I843" s="867" t="s">
        <v>1764</v>
      </c>
      <c r="J843" s="867" t="s">
        <v>3103</v>
      </c>
      <c r="K843" s="867" t="s">
        <v>1804</v>
      </c>
      <c r="L843" s="867" t="s">
        <v>3066</v>
      </c>
      <c r="M843" s="867" t="s">
        <v>3104</v>
      </c>
      <c r="N843" s="867" t="s">
        <v>4120</v>
      </c>
      <c r="O843" s="867" t="s">
        <v>4121</v>
      </c>
      <c r="P843" s="869">
        <v>2</v>
      </c>
      <c r="Q843" s="869">
        <v>2</v>
      </c>
      <c r="R843" s="870">
        <v>0</v>
      </c>
      <c r="S843" s="871">
        <v>2</v>
      </c>
      <c r="T843" s="871">
        <v>2</v>
      </c>
      <c r="U843" s="872">
        <v>0</v>
      </c>
      <c r="W843" s="872">
        <v>0</v>
      </c>
    </row>
    <row r="844" spans="1:23" ht="48" x14ac:dyDescent="0.2">
      <c r="A844" s="865" t="s">
        <v>3101</v>
      </c>
      <c r="B844" s="866">
        <v>17151589</v>
      </c>
      <c r="C844" s="866" t="s">
        <v>3867</v>
      </c>
      <c r="D844" s="867" t="s">
        <v>3105</v>
      </c>
      <c r="E844" s="868">
        <v>45650.47247685185</v>
      </c>
      <c r="F844" s="868">
        <v>46015.958321759259</v>
      </c>
      <c r="G844" s="867" t="s">
        <v>1758</v>
      </c>
      <c r="H844" s="867" t="s">
        <v>1759</v>
      </c>
      <c r="I844" s="867" t="s">
        <v>1760</v>
      </c>
      <c r="J844" s="867" t="s">
        <v>1760</v>
      </c>
      <c r="K844" s="867" t="s">
        <v>1804</v>
      </c>
      <c r="L844" s="867" t="s">
        <v>1805</v>
      </c>
      <c r="M844" s="867" t="s">
        <v>3104</v>
      </c>
      <c r="N844" s="867" t="s">
        <v>4120</v>
      </c>
      <c r="O844" s="873" t="s">
        <v>4121</v>
      </c>
      <c r="P844" s="874">
        <v>2</v>
      </c>
      <c r="Q844" s="874">
        <v>2</v>
      </c>
      <c r="R844" s="875">
        <v>0</v>
      </c>
      <c r="S844" s="876">
        <v>2</v>
      </c>
      <c r="T844" s="876">
        <v>2</v>
      </c>
      <c r="U844" s="877">
        <v>0</v>
      </c>
      <c r="W844" s="877">
        <v>0</v>
      </c>
    </row>
    <row r="845" spans="1:23" ht="36" x14ac:dyDescent="0.2">
      <c r="A845" s="865" t="s">
        <v>3101</v>
      </c>
      <c r="B845" s="866">
        <v>17151589</v>
      </c>
      <c r="C845" s="866" t="s">
        <v>3867</v>
      </c>
      <c r="D845" s="867" t="s">
        <v>3106</v>
      </c>
      <c r="E845" s="868">
        <v>45650.471747685187</v>
      </c>
      <c r="F845" s="868">
        <v>46015.958321759259</v>
      </c>
      <c r="G845" s="867" t="s">
        <v>1758</v>
      </c>
      <c r="H845" s="867" t="s">
        <v>1759</v>
      </c>
      <c r="I845" s="867" t="s">
        <v>1762</v>
      </c>
      <c r="J845" s="867" t="s">
        <v>1762</v>
      </c>
      <c r="K845" s="867" t="s">
        <v>1804</v>
      </c>
      <c r="L845" s="867" t="s">
        <v>1828</v>
      </c>
      <c r="M845" s="867" t="s">
        <v>3104</v>
      </c>
      <c r="N845" s="867" t="s">
        <v>4120</v>
      </c>
      <c r="O845" s="867" t="s">
        <v>4121</v>
      </c>
      <c r="P845" s="869">
        <v>2</v>
      </c>
      <c r="Q845" s="869">
        <v>1</v>
      </c>
      <c r="R845" s="870">
        <v>0</v>
      </c>
      <c r="S845" s="871">
        <v>2</v>
      </c>
      <c r="T845" s="871">
        <v>1</v>
      </c>
      <c r="U845" s="872">
        <v>0</v>
      </c>
      <c r="W845" s="872">
        <v>0</v>
      </c>
    </row>
    <row r="846" spans="1:23" ht="24" x14ac:dyDescent="0.2">
      <c r="A846" s="865" t="s">
        <v>3107</v>
      </c>
      <c r="B846" s="866">
        <v>35568381</v>
      </c>
      <c r="C846" s="866" t="s">
        <v>4122</v>
      </c>
      <c r="D846" s="867" t="s">
        <v>3108</v>
      </c>
      <c r="E846" s="868">
        <v>45546.358981481484</v>
      </c>
      <c r="F846" s="868">
        <v>45838.916655092595</v>
      </c>
      <c r="G846" s="867" t="s">
        <v>1758</v>
      </c>
      <c r="H846" s="867" t="s">
        <v>1759</v>
      </c>
      <c r="I846" s="867" t="s">
        <v>1761</v>
      </c>
      <c r="J846" s="867" t="s">
        <v>3109</v>
      </c>
      <c r="K846" s="867" t="s">
        <v>1804</v>
      </c>
      <c r="L846" s="867" t="s">
        <v>1828</v>
      </c>
      <c r="M846" s="867" t="s">
        <v>3110</v>
      </c>
      <c r="N846" s="867" t="s">
        <v>4123</v>
      </c>
      <c r="O846" s="873" t="s">
        <v>4124</v>
      </c>
      <c r="P846" s="874">
        <v>21</v>
      </c>
      <c r="Q846" s="874">
        <v>21</v>
      </c>
      <c r="R846" s="875">
        <v>12</v>
      </c>
      <c r="S846" s="876">
        <v>21</v>
      </c>
      <c r="T846" s="876">
        <v>21</v>
      </c>
      <c r="U846" s="877">
        <v>12</v>
      </c>
      <c r="W846" s="877">
        <v>12</v>
      </c>
    </row>
    <row r="847" spans="1:23" ht="36" x14ac:dyDescent="0.2">
      <c r="A847" s="865" t="s">
        <v>3107</v>
      </c>
      <c r="B847" s="866">
        <v>35568381</v>
      </c>
      <c r="C847" s="866" t="s">
        <v>4122</v>
      </c>
      <c r="D847" s="867" t="s">
        <v>3111</v>
      </c>
      <c r="E847" s="868">
        <v>45333.958333333336</v>
      </c>
      <c r="F847" s="868">
        <v>45699.958333333336</v>
      </c>
      <c r="G847" s="867" t="s">
        <v>1758</v>
      </c>
      <c r="H847" s="867" t="s">
        <v>1759</v>
      </c>
      <c r="I847" s="867" t="s">
        <v>1817</v>
      </c>
      <c r="J847" s="867" t="s">
        <v>3112</v>
      </c>
      <c r="K847" s="867" t="s">
        <v>1804</v>
      </c>
      <c r="L847" s="867" t="s">
        <v>1819</v>
      </c>
      <c r="M847" s="867" t="s">
        <v>3113</v>
      </c>
      <c r="N847" s="867" t="s">
        <v>3987</v>
      </c>
      <c r="O847" s="867" t="s">
        <v>4125</v>
      </c>
      <c r="P847" s="869">
        <v>19</v>
      </c>
      <c r="Q847" s="869">
        <v>18</v>
      </c>
      <c r="R847" s="870">
        <v>0</v>
      </c>
      <c r="S847" s="871">
        <v>19</v>
      </c>
      <c r="T847" s="871">
        <v>18</v>
      </c>
      <c r="U847" s="872">
        <v>0</v>
      </c>
      <c r="W847" s="872">
        <v>0</v>
      </c>
    </row>
    <row r="848" spans="1:23" ht="24" x14ac:dyDescent="0.2">
      <c r="A848" s="865" t="s">
        <v>3107</v>
      </c>
      <c r="B848" s="866">
        <v>35568381</v>
      </c>
      <c r="C848" s="866" t="s">
        <v>4122</v>
      </c>
      <c r="D848" s="867" t="s">
        <v>3114</v>
      </c>
      <c r="E848" s="868">
        <v>45547.322997685187</v>
      </c>
      <c r="F848" s="868">
        <v>45991.958321759259</v>
      </c>
      <c r="G848" s="867" t="s">
        <v>1758</v>
      </c>
      <c r="H848" s="867" t="s">
        <v>1759</v>
      </c>
      <c r="I848" s="867" t="s">
        <v>1761</v>
      </c>
      <c r="J848" s="867" t="s">
        <v>1761</v>
      </c>
      <c r="K848" s="867" t="s">
        <v>1804</v>
      </c>
      <c r="L848" s="867" t="s">
        <v>1828</v>
      </c>
      <c r="M848" s="867" t="s">
        <v>3113</v>
      </c>
      <c r="N848" s="867" t="s">
        <v>3987</v>
      </c>
      <c r="O848" s="873" t="s">
        <v>4125</v>
      </c>
      <c r="P848" s="874">
        <v>24</v>
      </c>
      <c r="Q848" s="874">
        <v>20</v>
      </c>
      <c r="R848" s="875">
        <v>0</v>
      </c>
      <c r="S848" s="876">
        <v>24</v>
      </c>
      <c r="T848" s="876">
        <v>20</v>
      </c>
      <c r="U848" s="877">
        <v>0</v>
      </c>
      <c r="W848" s="877">
        <v>0</v>
      </c>
    </row>
    <row r="849" spans="1:23" ht="24" x14ac:dyDescent="0.2">
      <c r="A849" s="865" t="s">
        <v>3107</v>
      </c>
      <c r="B849" s="866">
        <v>35568381</v>
      </c>
      <c r="C849" s="866" t="s">
        <v>4122</v>
      </c>
      <c r="D849" s="867" t="s">
        <v>3115</v>
      </c>
      <c r="E849" s="868">
        <v>45540.396562499998</v>
      </c>
      <c r="F849" s="868">
        <v>45904.916655092595</v>
      </c>
      <c r="G849" s="867" t="s">
        <v>1758</v>
      </c>
      <c r="H849" s="867" t="s">
        <v>1759</v>
      </c>
      <c r="I849" s="867" t="s">
        <v>1761</v>
      </c>
      <c r="J849" s="867" t="s">
        <v>3116</v>
      </c>
      <c r="K849" s="867" t="s">
        <v>1804</v>
      </c>
      <c r="L849" s="867" t="s">
        <v>1828</v>
      </c>
      <c r="M849" s="867" t="s">
        <v>3110</v>
      </c>
      <c r="N849" s="867" t="s">
        <v>4123</v>
      </c>
      <c r="O849" s="867" t="s">
        <v>4124</v>
      </c>
      <c r="P849" s="869">
        <v>24</v>
      </c>
      <c r="Q849" s="869">
        <v>23</v>
      </c>
      <c r="R849" s="870">
        <v>0</v>
      </c>
      <c r="S849" s="871">
        <v>24</v>
      </c>
      <c r="T849" s="871">
        <v>23</v>
      </c>
      <c r="U849" s="872">
        <v>0</v>
      </c>
      <c r="W849" s="872">
        <v>0</v>
      </c>
    </row>
    <row r="850" spans="1:23" ht="24" x14ac:dyDescent="0.2">
      <c r="A850" s="865" t="s">
        <v>3107</v>
      </c>
      <c r="B850" s="866">
        <v>35568381</v>
      </c>
      <c r="C850" s="866" t="s">
        <v>4122</v>
      </c>
      <c r="D850" s="1438" t="s">
        <v>3117</v>
      </c>
      <c r="E850" s="1441">
        <v>45623.410601851851</v>
      </c>
      <c r="F850" s="1441">
        <v>45838.916655092595</v>
      </c>
      <c r="G850" s="1438" t="s">
        <v>1758</v>
      </c>
      <c r="H850" s="1438" t="s">
        <v>1759</v>
      </c>
      <c r="I850" s="1438" t="s">
        <v>1761</v>
      </c>
      <c r="J850" s="1438" t="s">
        <v>3118</v>
      </c>
      <c r="K850" s="1438" t="s">
        <v>1804</v>
      </c>
      <c r="L850" s="1438" t="s">
        <v>1828</v>
      </c>
      <c r="M850" s="867" t="s">
        <v>3110</v>
      </c>
      <c r="N850" s="867" t="s">
        <v>4123</v>
      </c>
      <c r="O850" s="873" t="s">
        <v>4124</v>
      </c>
      <c r="P850" s="874">
        <v>1</v>
      </c>
      <c r="Q850" s="874">
        <v>1</v>
      </c>
      <c r="R850" s="875">
        <v>0</v>
      </c>
      <c r="S850" s="876">
        <v>1</v>
      </c>
      <c r="T850" s="876">
        <v>1</v>
      </c>
      <c r="U850" s="877">
        <v>0</v>
      </c>
      <c r="W850" s="877">
        <v>0</v>
      </c>
    </row>
    <row r="851" spans="1:23" ht="24" x14ac:dyDescent="0.2">
      <c r="A851" s="865" t="s">
        <v>3107</v>
      </c>
      <c r="B851" s="866">
        <v>35568381</v>
      </c>
      <c r="C851" s="866" t="s">
        <v>4122</v>
      </c>
      <c r="D851" s="1440"/>
      <c r="E851" s="1443"/>
      <c r="F851" s="1443"/>
      <c r="G851" s="1440"/>
      <c r="H851" s="1440"/>
      <c r="I851" s="1440"/>
      <c r="J851" s="1440"/>
      <c r="K851" s="1440"/>
      <c r="L851" s="1440"/>
      <c r="M851" s="867" t="s">
        <v>3113</v>
      </c>
      <c r="N851" s="867" t="s">
        <v>3987</v>
      </c>
      <c r="O851" s="867" t="s">
        <v>4125</v>
      </c>
      <c r="P851" s="869">
        <v>1</v>
      </c>
      <c r="Q851" s="869">
        <v>1</v>
      </c>
      <c r="R851" s="870">
        <v>0</v>
      </c>
      <c r="S851" s="871">
        <v>1</v>
      </c>
      <c r="T851" s="871">
        <v>1</v>
      </c>
      <c r="U851" s="872">
        <v>0</v>
      </c>
      <c r="W851" s="872">
        <v>0</v>
      </c>
    </row>
    <row r="852" spans="1:23" ht="36" x14ac:dyDescent="0.2">
      <c r="A852" s="865" t="s">
        <v>3119</v>
      </c>
      <c r="B852" s="866">
        <v>17050545</v>
      </c>
      <c r="C852" s="866" t="s">
        <v>3924</v>
      </c>
      <c r="D852" s="867" t="s">
        <v>3120</v>
      </c>
      <c r="E852" s="868">
        <v>45341.958333333336</v>
      </c>
      <c r="F852" s="868">
        <v>45656.958333333336</v>
      </c>
      <c r="G852" s="867" t="s">
        <v>1758</v>
      </c>
      <c r="H852" s="867" t="s">
        <v>1759</v>
      </c>
      <c r="I852" s="867" t="s">
        <v>1817</v>
      </c>
      <c r="J852" s="867" t="s">
        <v>3121</v>
      </c>
      <c r="K852" s="867" t="s">
        <v>1804</v>
      </c>
      <c r="L852" s="867" t="s">
        <v>1819</v>
      </c>
      <c r="M852" s="867" t="s">
        <v>3122</v>
      </c>
      <c r="N852" s="867" t="s">
        <v>4126</v>
      </c>
      <c r="O852" s="873" t="s">
        <v>4127</v>
      </c>
      <c r="P852" s="874">
        <v>19</v>
      </c>
      <c r="Q852" s="874">
        <v>16</v>
      </c>
      <c r="R852" s="875">
        <v>0</v>
      </c>
      <c r="S852" s="876">
        <v>19</v>
      </c>
      <c r="T852" s="876">
        <v>16</v>
      </c>
      <c r="U852" s="877">
        <v>0</v>
      </c>
      <c r="W852" s="877">
        <v>0</v>
      </c>
    </row>
    <row r="853" spans="1:23" ht="24" x14ac:dyDescent="0.2">
      <c r="A853" s="865" t="s">
        <v>3119</v>
      </c>
      <c r="B853" s="866">
        <v>17050545</v>
      </c>
      <c r="C853" s="866" t="s">
        <v>3924</v>
      </c>
      <c r="D853" s="1438" t="s">
        <v>3123</v>
      </c>
      <c r="E853" s="1441">
        <v>45551.543113425927</v>
      </c>
      <c r="F853" s="1441">
        <v>45838.916655092595</v>
      </c>
      <c r="G853" s="1438" t="s">
        <v>1741</v>
      </c>
      <c r="H853" s="1438" t="s">
        <v>1755</v>
      </c>
      <c r="I853" s="1438" t="s">
        <v>1756</v>
      </c>
      <c r="J853" s="1438" t="s">
        <v>3124</v>
      </c>
      <c r="K853" s="1438" t="s">
        <v>1804</v>
      </c>
      <c r="L853" s="1438" t="s">
        <v>1805</v>
      </c>
      <c r="M853" s="867" t="s">
        <v>3125</v>
      </c>
      <c r="N853" s="867" t="s">
        <v>4128</v>
      </c>
      <c r="O853" s="867" t="s">
        <v>4129</v>
      </c>
      <c r="P853" s="869">
        <v>10</v>
      </c>
      <c r="Q853" s="869">
        <v>9</v>
      </c>
      <c r="R853" s="870">
        <v>0</v>
      </c>
      <c r="S853" s="871">
        <v>10</v>
      </c>
      <c r="T853" s="871">
        <v>9</v>
      </c>
      <c r="U853" s="872">
        <v>0</v>
      </c>
      <c r="W853" s="872">
        <v>0</v>
      </c>
    </row>
    <row r="854" spans="1:23" ht="24" x14ac:dyDescent="0.2">
      <c r="A854" s="865" t="s">
        <v>3119</v>
      </c>
      <c r="B854" s="866">
        <v>17050545</v>
      </c>
      <c r="C854" s="866" t="s">
        <v>3924</v>
      </c>
      <c r="D854" s="1440"/>
      <c r="E854" s="1443"/>
      <c r="F854" s="1443"/>
      <c r="G854" s="1440"/>
      <c r="H854" s="1440"/>
      <c r="I854" s="1440"/>
      <c r="J854" s="1440"/>
      <c r="K854" s="1440"/>
      <c r="L854" s="1440"/>
      <c r="M854" s="867" t="s">
        <v>3122</v>
      </c>
      <c r="N854" s="867" t="s">
        <v>4126</v>
      </c>
      <c r="O854" s="873" t="s">
        <v>4127</v>
      </c>
      <c r="P854" s="874">
        <v>10</v>
      </c>
      <c r="Q854" s="874">
        <v>9</v>
      </c>
      <c r="R854" s="875">
        <v>0</v>
      </c>
      <c r="S854" s="876">
        <v>10</v>
      </c>
      <c r="T854" s="876">
        <v>9</v>
      </c>
      <c r="U854" s="877">
        <v>0</v>
      </c>
      <c r="W854" s="877">
        <v>0</v>
      </c>
    </row>
    <row r="855" spans="1:23" ht="24" x14ac:dyDescent="0.2">
      <c r="A855" s="865" t="s">
        <v>3119</v>
      </c>
      <c r="B855" s="866">
        <v>17050545</v>
      </c>
      <c r="C855" s="866" t="s">
        <v>3924</v>
      </c>
      <c r="D855" s="867" t="s">
        <v>3126</v>
      </c>
      <c r="E855" s="868">
        <v>45540.266400462962</v>
      </c>
      <c r="F855" s="868">
        <v>45838.916655092595</v>
      </c>
      <c r="G855" s="867" t="s">
        <v>1758</v>
      </c>
      <c r="H855" s="867" t="s">
        <v>1759</v>
      </c>
      <c r="I855" s="867" t="s">
        <v>1761</v>
      </c>
      <c r="J855" s="867" t="s">
        <v>3127</v>
      </c>
      <c r="K855" s="867" t="s">
        <v>1804</v>
      </c>
      <c r="L855" s="867" t="s">
        <v>1828</v>
      </c>
      <c r="M855" s="867" t="s">
        <v>3122</v>
      </c>
      <c r="N855" s="867" t="s">
        <v>4126</v>
      </c>
      <c r="O855" s="867" t="s">
        <v>4127</v>
      </c>
      <c r="P855" s="869">
        <v>19</v>
      </c>
      <c r="Q855" s="869">
        <v>19</v>
      </c>
      <c r="R855" s="870">
        <v>0</v>
      </c>
      <c r="S855" s="871">
        <v>19</v>
      </c>
      <c r="T855" s="871">
        <v>19</v>
      </c>
      <c r="U855" s="872">
        <v>0</v>
      </c>
      <c r="W855" s="872">
        <v>0</v>
      </c>
    </row>
    <row r="856" spans="1:23" ht="24" x14ac:dyDescent="0.2">
      <c r="A856" s="865" t="s">
        <v>3119</v>
      </c>
      <c r="B856" s="866">
        <v>17050545</v>
      </c>
      <c r="C856" s="866" t="s">
        <v>3924</v>
      </c>
      <c r="D856" s="867" t="s">
        <v>3128</v>
      </c>
      <c r="E856" s="868">
        <v>45573.437106481484</v>
      </c>
      <c r="F856" s="868">
        <v>45869.916655092595</v>
      </c>
      <c r="G856" s="867" t="s">
        <v>1758</v>
      </c>
      <c r="H856" s="867" t="s">
        <v>1759</v>
      </c>
      <c r="I856" s="867" t="s">
        <v>1761</v>
      </c>
      <c r="J856" s="867" t="s">
        <v>1761</v>
      </c>
      <c r="K856" s="867" t="s">
        <v>1804</v>
      </c>
      <c r="L856" s="867" t="s">
        <v>1828</v>
      </c>
      <c r="M856" s="867" t="s">
        <v>3129</v>
      </c>
      <c r="N856" s="867" t="s">
        <v>3940</v>
      </c>
      <c r="O856" s="873" t="s">
        <v>4130</v>
      </c>
      <c r="P856" s="874">
        <v>14</v>
      </c>
      <c r="Q856" s="874">
        <v>14</v>
      </c>
      <c r="R856" s="875">
        <v>0</v>
      </c>
      <c r="S856" s="876">
        <v>14</v>
      </c>
      <c r="T856" s="876">
        <v>14</v>
      </c>
      <c r="U856" s="877">
        <v>0</v>
      </c>
      <c r="W856" s="877">
        <v>0</v>
      </c>
    </row>
    <row r="857" spans="1:23" ht="36" x14ac:dyDescent="0.2">
      <c r="A857" s="865" t="s">
        <v>3119</v>
      </c>
      <c r="B857" s="866">
        <v>17050545</v>
      </c>
      <c r="C857" s="866" t="s">
        <v>3924</v>
      </c>
      <c r="D857" s="867" t="s">
        <v>3130</v>
      </c>
      <c r="E857" s="868">
        <v>45540.32539351852</v>
      </c>
      <c r="F857" s="868">
        <v>45808.916655092595</v>
      </c>
      <c r="G857" s="867" t="s">
        <v>1758</v>
      </c>
      <c r="H857" s="867" t="s">
        <v>1759</v>
      </c>
      <c r="I857" s="867" t="s">
        <v>1762</v>
      </c>
      <c r="J857" s="867" t="s">
        <v>3131</v>
      </c>
      <c r="K857" s="867" t="s">
        <v>1804</v>
      </c>
      <c r="L857" s="867" t="s">
        <v>1828</v>
      </c>
      <c r="M857" s="867" t="s">
        <v>3122</v>
      </c>
      <c r="N857" s="867" t="s">
        <v>4126</v>
      </c>
      <c r="O857" s="867" t="s">
        <v>4127</v>
      </c>
      <c r="P857" s="869">
        <v>18</v>
      </c>
      <c r="Q857" s="869">
        <v>18</v>
      </c>
      <c r="R857" s="870">
        <v>0</v>
      </c>
      <c r="S857" s="871">
        <v>18</v>
      </c>
      <c r="T857" s="871">
        <v>18</v>
      </c>
      <c r="U857" s="872">
        <v>0</v>
      </c>
      <c r="W857" s="872">
        <v>0</v>
      </c>
    </row>
    <row r="858" spans="1:23" ht="24" x14ac:dyDescent="0.2">
      <c r="A858" s="865" t="s">
        <v>3119</v>
      </c>
      <c r="B858" s="866">
        <v>17050545</v>
      </c>
      <c r="C858" s="866" t="s">
        <v>3924</v>
      </c>
      <c r="D858" s="867" t="s">
        <v>3132</v>
      </c>
      <c r="E858" s="868">
        <v>45539.3284375</v>
      </c>
      <c r="F858" s="868">
        <v>45808.916655092595</v>
      </c>
      <c r="G858" s="867" t="s">
        <v>1758</v>
      </c>
      <c r="H858" s="867" t="s">
        <v>1765</v>
      </c>
      <c r="I858" s="867" t="s">
        <v>1766</v>
      </c>
      <c r="J858" s="867" t="s">
        <v>3133</v>
      </c>
      <c r="K858" s="867" t="s">
        <v>1804</v>
      </c>
      <c r="L858" s="867" t="s">
        <v>1805</v>
      </c>
      <c r="M858" s="867" t="s">
        <v>3122</v>
      </c>
      <c r="N858" s="867" t="s">
        <v>4126</v>
      </c>
      <c r="O858" s="873" t="s">
        <v>4127</v>
      </c>
      <c r="P858" s="874">
        <v>18</v>
      </c>
      <c r="Q858" s="874">
        <v>18</v>
      </c>
      <c r="R858" s="875">
        <v>0</v>
      </c>
      <c r="S858" s="876">
        <v>18</v>
      </c>
      <c r="T858" s="876">
        <v>18</v>
      </c>
      <c r="U858" s="877">
        <v>0</v>
      </c>
      <c r="W858" s="877">
        <v>0</v>
      </c>
    </row>
    <row r="859" spans="1:23" ht="48" x14ac:dyDescent="0.2">
      <c r="A859" s="865" t="s">
        <v>3119</v>
      </c>
      <c r="B859" s="866">
        <v>17050545</v>
      </c>
      <c r="C859" s="866" t="s">
        <v>3924</v>
      </c>
      <c r="D859" s="867" t="s">
        <v>3134</v>
      </c>
      <c r="E859" s="868">
        <v>45601.524062500001</v>
      </c>
      <c r="F859" s="868">
        <v>45838.916655092595</v>
      </c>
      <c r="G859" s="867" t="s">
        <v>1758</v>
      </c>
      <c r="H859" s="867" t="s">
        <v>1759</v>
      </c>
      <c r="I859" s="867" t="s">
        <v>1760</v>
      </c>
      <c r="J859" s="867" t="s">
        <v>3135</v>
      </c>
      <c r="K859" s="867" t="s">
        <v>1804</v>
      </c>
      <c r="L859" s="867" t="s">
        <v>1805</v>
      </c>
      <c r="M859" s="867" t="s">
        <v>3122</v>
      </c>
      <c r="N859" s="867" t="s">
        <v>4126</v>
      </c>
      <c r="O859" s="867" t="s">
        <v>4127</v>
      </c>
      <c r="P859" s="869">
        <v>18</v>
      </c>
      <c r="Q859" s="869">
        <v>18</v>
      </c>
      <c r="R859" s="870">
        <v>0</v>
      </c>
      <c r="S859" s="871">
        <v>18</v>
      </c>
      <c r="T859" s="871">
        <v>18</v>
      </c>
      <c r="U859" s="872">
        <v>0</v>
      </c>
      <c r="W859" s="872">
        <v>0</v>
      </c>
    </row>
    <row r="860" spans="1:23" ht="36" x14ac:dyDescent="0.2">
      <c r="A860" s="865" t="s">
        <v>3119</v>
      </c>
      <c r="B860" s="866">
        <v>17050545</v>
      </c>
      <c r="C860" s="866" t="s">
        <v>3924</v>
      </c>
      <c r="D860" s="867" t="s">
        <v>3136</v>
      </c>
      <c r="E860" s="868">
        <v>45643.299814814818</v>
      </c>
      <c r="F860" s="868">
        <v>45838.916655092595</v>
      </c>
      <c r="G860" s="867" t="s">
        <v>1758</v>
      </c>
      <c r="H860" s="867" t="s">
        <v>1759</v>
      </c>
      <c r="I860" s="867" t="s">
        <v>1762</v>
      </c>
      <c r="J860" s="867" t="s">
        <v>3137</v>
      </c>
      <c r="K860" s="867" t="s">
        <v>1804</v>
      </c>
      <c r="L860" s="867" t="s">
        <v>1828</v>
      </c>
      <c r="M860" s="867" t="s">
        <v>3122</v>
      </c>
      <c r="N860" s="867" t="s">
        <v>4126</v>
      </c>
      <c r="O860" s="873" t="s">
        <v>4127</v>
      </c>
      <c r="P860" s="874">
        <v>26</v>
      </c>
      <c r="Q860" s="874">
        <v>26</v>
      </c>
      <c r="R860" s="875">
        <v>0</v>
      </c>
      <c r="S860" s="876">
        <v>26</v>
      </c>
      <c r="T860" s="876">
        <v>26</v>
      </c>
      <c r="U860" s="877">
        <v>0</v>
      </c>
      <c r="W860" s="877">
        <v>0</v>
      </c>
    </row>
    <row r="861" spans="1:23" ht="24" x14ac:dyDescent="0.2">
      <c r="A861" s="865" t="s">
        <v>3119</v>
      </c>
      <c r="B861" s="866">
        <v>17050545</v>
      </c>
      <c r="C861" s="866" t="s">
        <v>3924</v>
      </c>
      <c r="D861" s="867" t="s">
        <v>3138</v>
      </c>
      <c r="E861" s="868">
        <v>45544.262696759259</v>
      </c>
      <c r="F861" s="868">
        <v>45716.958321759259</v>
      </c>
      <c r="G861" s="867" t="s">
        <v>1758</v>
      </c>
      <c r="H861" s="867" t="s">
        <v>1759</v>
      </c>
      <c r="I861" s="867" t="s">
        <v>1761</v>
      </c>
      <c r="J861" s="867" t="s">
        <v>3139</v>
      </c>
      <c r="K861" s="867" t="s">
        <v>1804</v>
      </c>
      <c r="L861" s="867" t="s">
        <v>1828</v>
      </c>
      <c r="M861" s="867" t="s">
        <v>3122</v>
      </c>
      <c r="N861" s="867" t="s">
        <v>4126</v>
      </c>
      <c r="O861" s="867" t="s">
        <v>4127</v>
      </c>
      <c r="P861" s="869">
        <v>27</v>
      </c>
      <c r="Q861" s="869">
        <v>27</v>
      </c>
      <c r="R861" s="870">
        <v>0</v>
      </c>
      <c r="S861" s="871">
        <v>27</v>
      </c>
      <c r="T861" s="871">
        <v>27</v>
      </c>
      <c r="U861" s="872">
        <v>0</v>
      </c>
      <c r="W861" s="872">
        <v>0</v>
      </c>
    </row>
    <row r="862" spans="1:23" ht="24" x14ac:dyDescent="0.2">
      <c r="A862" s="865" t="s">
        <v>3119</v>
      </c>
      <c r="B862" s="866">
        <v>17050545</v>
      </c>
      <c r="C862" s="866" t="s">
        <v>3924</v>
      </c>
      <c r="D862" s="867" t="s">
        <v>3140</v>
      </c>
      <c r="E862" s="868">
        <v>45558.916666666664</v>
      </c>
      <c r="F862" s="868">
        <v>45825.916655092595</v>
      </c>
      <c r="G862" s="867" t="s">
        <v>1758</v>
      </c>
      <c r="H862" s="867" t="s">
        <v>1759</v>
      </c>
      <c r="I862" s="867" t="s">
        <v>1761</v>
      </c>
      <c r="J862" s="867" t="s">
        <v>3141</v>
      </c>
      <c r="K862" s="867" t="s">
        <v>1804</v>
      </c>
      <c r="L862" s="867" t="s">
        <v>1828</v>
      </c>
      <c r="M862" s="867" t="s">
        <v>3129</v>
      </c>
      <c r="N862" s="867" t="s">
        <v>3940</v>
      </c>
      <c r="O862" s="873" t="s">
        <v>4130</v>
      </c>
      <c r="P862" s="874">
        <v>15</v>
      </c>
      <c r="Q862" s="874">
        <v>14</v>
      </c>
      <c r="R862" s="875">
        <v>0</v>
      </c>
      <c r="S862" s="876">
        <v>15</v>
      </c>
      <c r="T862" s="876">
        <v>14</v>
      </c>
      <c r="U862" s="877">
        <v>0</v>
      </c>
      <c r="W862" s="877">
        <v>0</v>
      </c>
    </row>
    <row r="863" spans="1:23" x14ac:dyDescent="0.2">
      <c r="A863" s="812" t="s">
        <v>4131</v>
      </c>
      <c r="B863" s="866" t="s">
        <v>4132</v>
      </c>
      <c r="C863" s="866" t="s">
        <v>3966</v>
      </c>
      <c r="D863" s="1438" t="s">
        <v>3142</v>
      </c>
      <c r="E863" s="1441">
        <v>45544.265717592592</v>
      </c>
      <c r="F863" s="1441">
        <v>45838.916655092595</v>
      </c>
      <c r="G863" s="1438" t="s">
        <v>1758</v>
      </c>
      <c r="H863" s="1438" t="s">
        <v>1759</v>
      </c>
      <c r="I863" s="1438" t="s">
        <v>1762</v>
      </c>
      <c r="J863" s="1438" t="s">
        <v>3143</v>
      </c>
      <c r="K863" s="1438" t="s">
        <v>1804</v>
      </c>
      <c r="L863" s="1438" t="s">
        <v>1828</v>
      </c>
      <c r="M863" s="867" t="s">
        <v>3144</v>
      </c>
      <c r="N863" s="867" t="s">
        <v>3879</v>
      </c>
      <c r="O863" s="867" t="s">
        <v>4133</v>
      </c>
      <c r="P863" s="869">
        <v>13</v>
      </c>
      <c r="Q863" s="869">
        <v>13</v>
      </c>
      <c r="R863" s="870">
        <v>0</v>
      </c>
      <c r="S863" s="871">
        <v>13</v>
      </c>
      <c r="T863" s="871">
        <v>13</v>
      </c>
      <c r="U863" s="872">
        <v>0</v>
      </c>
      <c r="W863" s="872">
        <v>0</v>
      </c>
    </row>
    <row r="864" spans="1:23" x14ac:dyDescent="0.2">
      <c r="A864" s="812" t="s">
        <v>4131</v>
      </c>
      <c r="B864" s="866" t="s">
        <v>4132</v>
      </c>
      <c r="C864" s="866" t="s">
        <v>3966</v>
      </c>
      <c r="D864" s="1440"/>
      <c r="E864" s="1443"/>
      <c r="F864" s="1443"/>
      <c r="G864" s="1440"/>
      <c r="H864" s="1440"/>
      <c r="I864" s="1440"/>
      <c r="J864" s="1440"/>
      <c r="K864" s="1440"/>
      <c r="L864" s="1440"/>
      <c r="M864" s="867" t="s">
        <v>3145</v>
      </c>
      <c r="N864" s="867" t="s">
        <v>3877</v>
      </c>
      <c r="O864" s="873" t="s">
        <v>4134</v>
      </c>
      <c r="P864" s="874">
        <v>13</v>
      </c>
      <c r="Q864" s="874">
        <v>13</v>
      </c>
      <c r="R864" s="875">
        <v>0</v>
      </c>
      <c r="S864" s="876">
        <v>13</v>
      </c>
      <c r="T864" s="876">
        <v>13</v>
      </c>
      <c r="U864" s="877">
        <v>0</v>
      </c>
      <c r="W864" s="877">
        <v>0</v>
      </c>
    </row>
    <row r="865" spans="1:23" ht="24" x14ac:dyDescent="0.2">
      <c r="A865" s="812" t="s">
        <v>4131</v>
      </c>
      <c r="B865" s="866" t="s">
        <v>4132</v>
      </c>
      <c r="C865" s="866" t="s">
        <v>3966</v>
      </c>
      <c r="D865" s="867" t="s">
        <v>3146</v>
      </c>
      <c r="E865" s="868">
        <v>45575.334641203706</v>
      </c>
      <c r="F865" s="868">
        <v>45906.916655092595</v>
      </c>
      <c r="G865" s="867" t="s">
        <v>1758</v>
      </c>
      <c r="H865" s="867" t="s">
        <v>1759</v>
      </c>
      <c r="I865" s="867" t="s">
        <v>1761</v>
      </c>
      <c r="J865" s="867" t="s">
        <v>1761</v>
      </c>
      <c r="K865" s="867" t="s">
        <v>1804</v>
      </c>
      <c r="L865" s="867" t="s">
        <v>1828</v>
      </c>
      <c r="M865" s="867" t="s">
        <v>3145</v>
      </c>
      <c r="N865" s="867" t="s">
        <v>3877</v>
      </c>
      <c r="O865" s="867" t="s">
        <v>4134</v>
      </c>
      <c r="P865" s="869">
        <v>4</v>
      </c>
      <c r="Q865" s="869">
        <v>4</v>
      </c>
      <c r="R865" s="870">
        <v>1</v>
      </c>
      <c r="S865" s="871">
        <v>4</v>
      </c>
      <c r="T865" s="871">
        <v>4</v>
      </c>
      <c r="U865" s="872">
        <v>1</v>
      </c>
      <c r="W865" s="872">
        <v>1</v>
      </c>
    </row>
    <row r="866" spans="1:23" ht="24" x14ac:dyDescent="0.2">
      <c r="A866" s="812" t="s">
        <v>4131</v>
      </c>
      <c r="B866" s="866" t="s">
        <v>4132</v>
      </c>
      <c r="C866" s="866" t="s">
        <v>3966</v>
      </c>
      <c r="D866" s="867" t="s">
        <v>3147</v>
      </c>
      <c r="E866" s="868">
        <v>45545.414907407408</v>
      </c>
      <c r="F866" s="868">
        <v>45900.916655092595</v>
      </c>
      <c r="G866" s="867" t="s">
        <v>1758</v>
      </c>
      <c r="H866" s="867" t="s">
        <v>1759</v>
      </c>
      <c r="I866" s="867" t="s">
        <v>1761</v>
      </c>
      <c r="J866" s="867" t="s">
        <v>3148</v>
      </c>
      <c r="K866" s="867" t="s">
        <v>1804</v>
      </c>
      <c r="L866" s="867" t="s">
        <v>1828</v>
      </c>
      <c r="M866" s="867" t="s">
        <v>3149</v>
      </c>
      <c r="N866" s="867" t="s">
        <v>4135</v>
      </c>
      <c r="O866" s="873" t="s">
        <v>4136</v>
      </c>
      <c r="P866" s="874">
        <v>30</v>
      </c>
      <c r="Q866" s="874">
        <v>30</v>
      </c>
      <c r="R866" s="875">
        <v>0</v>
      </c>
      <c r="S866" s="876">
        <v>30</v>
      </c>
      <c r="T866" s="876">
        <v>30</v>
      </c>
      <c r="U866" s="877">
        <v>0</v>
      </c>
      <c r="W866" s="877">
        <v>0</v>
      </c>
    </row>
    <row r="867" spans="1:23" ht="24" x14ac:dyDescent="0.2">
      <c r="A867" s="812" t="s">
        <v>4131</v>
      </c>
      <c r="B867" s="866" t="s">
        <v>4132</v>
      </c>
      <c r="C867" s="866" t="s">
        <v>3966</v>
      </c>
      <c r="D867" s="867" t="s">
        <v>3150</v>
      </c>
      <c r="E867" s="868">
        <v>45299.958333333336</v>
      </c>
      <c r="F867" s="868">
        <v>45564.916666666664</v>
      </c>
      <c r="G867" s="867" t="s">
        <v>1772</v>
      </c>
      <c r="H867" s="867" t="s">
        <v>1765</v>
      </c>
      <c r="I867" s="867" t="s">
        <v>1774</v>
      </c>
      <c r="J867" s="867" t="s">
        <v>3151</v>
      </c>
      <c r="K867" s="867" t="s">
        <v>1804</v>
      </c>
      <c r="L867" s="867" t="s">
        <v>1805</v>
      </c>
      <c r="M867" s="867" t="s">
        <v>3144</v>
      </c>
      <c r="N867" s="867" t="s">
        <v>3879</v>
      </c>
      <c r="O867" s="867" t="s">
        <v>4133</v>
      </c>
      <c r="P867" s="869">
        <v>1</v>
      </c>
      <c r="Q867" s="869">
        <v>1</v>
      </c>
      <c r="R867" s="870">
        <v>1</v>
      </c>
      <c r="S867" s="871">
        <v>1</v>
      </c>
      <c r="T867" s="871">
        <v>1</v>
      </c>
      <c r="U867" s="872">
        <v>1</v>
      </c>
      <c r="W867" s="872">
        <v>1</v>
      </c>
    </row>
    <row r="868" spans="1:23" x14ac:dyDescent="0.2">
      <c r="A868" s="812" t="s">
        <v>4131</v>
      </c>
      <c r="B868" s="866" t="s">
        <v>4132</v>
      </c>
      <c r="C868" s="866" t="s">
        <v>3966</v>
      </c>
      <c r="D868" s="1438" t="s">
        <v>3152</v>
      </c>
      <c r="E868" s="1441">
        <v>45545.259942129633</v>
      </c>
      <c r="F868" s="1441">
        <v>45900.916655092595</v>
      </c>
      <c r="G868" s="1438" t="s">
        <v>1758</v>
      </c>
      <c r="H868" s="1438" t="s">
        <v>1759</v>
      </c>
      <c r="I868" s="1438" t="s">
        <v>1762</v>
      </c>
      <c r="J868" s="1438" t="s">
        <v>3153</v>
      </c>
      <c r="K868" s="1438" t="s">
        <v>1804</v>
      </c>
      <c r="L868" s="1438" t="s">
        <v>1828</v>
      </c>
      <c r="M868" s="867" t="s">
        <v>3144</v>
      </c>
      <c r="N868" s="867" t="s">
        <v>3879</v>
      </c>
      <c r="O868" s="873" t="s">
        <v>4133</v>
      </c>
      <c r="P868" s="874">
        <v>15</v>
      </c>
      <c r="Q868" s="874">
        <v>15</v>
      </c>
      <c r="R868" s="875">
        <v>0</v>
      </c>
      <c r="S868" s="876">
        <v>15</v>
      </c>
      <c r="T868" s="876">
        <v>15</v>
      </c>
      <c r="U868" s="877">
        <v>0</v>
      </c>
      <c r="W868" s="877">
        <v>0</v>
      </c>
    </row>
    <row r="869" spans="1:23" x14ac:dyDescent="0.2">
      <c r="A869" s="812" t="s">
        <v>4131</v>
      </c>
      <c r="B869" s="866" t="s">
        <v>4132</v>
      </c>
      <c r="C869" s="866" t="s">
        <v>3966</v>
      </c>
      <c r="D869" s="1440"/>
      <c r="E869" s="1443"/>
      <c r="F869" s="1443"/>
      <c r="G869" s="1440"/>
      <c r="H869" s="1440"/>
      <c r="I869" s="1440"/>
      <c r="J869" s="1440"/>
      <c r="K869" s="1440"/>
      <c r="L869" s="1440"/>
      <c r="M869" s="867" t="s">
        <v>3145</v>
      </c>
      <c r="N869" s="867" t="s">
        <v>3877</v>
      </c>
      <c r="O869" s="867" t="s">
        <v>4134</v>
      </c>
      <c r="P869" s="869">
        <v>15</v>
      </c>
      <c r="Q869" s="869">
        <v>15</v>
      </c>
      <c r="R869" s="870">
        <v>0</v>
      </c>
      <c r="S869" s="871">
        <v>15</v>
      </c>
      <c r="T869" s="871">
        <v>15</v>
      </c>
      <c r="U869" s="872">
        <v>0</v>
      </c>
      <c r="W869" s="872">
        <v>0</v>
      </c>
    </row>
    <row r="870" spans="1:23" ht="24" x14ac:dyDescent="0.2">
      <c r="A870" s="812" t="s">
        <v>4131</v>
      </c>
      <c r="B870" s="866" t="s">
        <v>4132</v>
      </c>
      <c r="C870" s="866" t="s">
        <v>3966</v>
      </c>
      <c r="D870" s="867" t="s">
        <v>3154</v>
      </c>
      <c r="E870" s="868">
        <v>45539.342152777775</v>
      </c>
      <c r="F870" s="868">
        <v>45900.916655092595</v>
      </c>
      <c r="G870" s="867" t="s">
        <v>1758</v>
      </c>
      <c r="H870" s="867" t="s">
        <v>1759</v>
      </c>
      <c r="I870" s="867" t="s">
        <v>1761</v>
      </c>
      <c r="J870" s="867" t="s">
        <v>3155</v>
      </c>
      <c r="K870" s="867" t="s">
        <v>1804</v>
      </c>
      <c r="L870" s="867" t="s">
        <v>1828</v>
      </c>
      <c r="M870" s="867" t="s">
        <v>3149</v>
      </c>
      <c r="N870" s="867" t="s">
        <v>4135</v>
      </c>
      <c r="O870" s="873" t="s">
        <v>4136</v>
      </c>
      <c r="P870" s="874">
        <v>12</v>
      </c>
      <c r="Q870" s="874">
        <v>12</v>
      </c>
      <c r="R870" s="875">
        <v>0</v>
      </c>
      <c r="S870" s="876">
        <v>12</v>
      </c>
      <c r="T870" s="876">
        <v>12</v>
      </c>
      <c r="U870" s="877">
        <v>0</v>
      </c>
      <c r="W870" s="877">
        <v>0</v>
      </c>
    </row>
    <row r="871" spans="1:23" x14ac:dyDescent="0.2">
      <c r="A871" s="812" t="s">
        <v>4131</v>
      </c>
      <c r="B871" s="866" t="s">
        <v>4132</v>
      </c>
      <c r="C871" s="866" t="s">
        <v>3966</v>
      </c>
      <c r="D871" s="1438" t="s">
        <v>3156</v>
      </c>
      <c r="E871" s="1441">
        <v>45545.482754629629</v>
      </c>
      <c r="F871" s="1441">
        <v>45900.916655092595</v>
      </c>
      <c r="G871" s="1438" t="s">
        <v>1758</v>
      </c>
      <c r="H871" s="1438" t="s">
        <v>1759</v>
      </c>
      <c r="I871" s="1438" t="s">
        <v>1760</v>
      </c>
      <c r="J871" s="1438" t="s">
        <v>3157</v>
      </c>
      <c r="K871" s="1438" t="s">
        <v>1804</v>
      </c>
      <c r="L871" s="1438" t="s">
        <v>1805</v>
      </c>
      <c r="M871" s="867" t="s">
        <v>3144</v>
      </c>
      <c r="N871" s="867" t="s">
        <v>3879</v>
      </c>
      <c r="O871" s="867" t="s">
        <v>4133</v>
      </c>
      <c r="P871" s="869">
        <v>13</v>
      </c>
      <c r="Q871" s="869">
        <v>13</v>
      </c>
      <c r="R871" s="870">
        <v>0</v>
      </c>
      <c r="S871" s="871">
        <v>13</v>
      </c>
      <c r="T871" s="871">
        <v>13</v>
      </c>
      <c r="U871" s="872">
        <v>0</v>
      </c>
      <c r="W871" s="872">
        <v>0</v>
      </c>
    </row>
    <row r="872" spans="1:23" x14ac:dyDescent="0.2">
      <c r="A872" s="812" t="s">
        <v>4131</v>
      </c>
      <c r="B872" s="866" t="s">
        <v>4132</v>
      </c>
      <c r="C872" s="866" t="s">
        <v>3966</v>
      </c>
      <c r="D872" s="1440"/>
      <c r="E872" s="1443"/>
      <c r="F872" s="1443"/>
      <c r="G872" s="1440"/>
      <c r="H872" s="1440"/>
      <c r="I872" s="1440"/>
      <c r="J872" s="1440"/>
      <c r="K872" s="1440"/>
      <c r="L872" s="1440"/>
      <c r="M872" s="867" t="s">
        <v>3145</v>
      </c>
      <c r="N872" s="867" t="s">
        <v>3877</v>
      </c>
      <c r="O872" s="873" t="s">
        <v>4134</v>
      </c>
      <c r="P872" s="874">
        <v>13</v>
      </c>
      <c r="Q872" s="874">
        <v>13</v>
      </c>
      <c r="R872" s="875">
        <v>0</v>
      </c>
      <c r="S872" s="876">
        <v>13</v>
      </c>
      <c r="T872" s="876">
        <v>13</v>
      </c>
      <c r="U872" s="877">
        <v>0</v>
      </c>
      <c r="W872" s="877">
        <v>0</v>
      </c>
    </row>
    <row r="873" spans="1:23" x14ac:dyDescent="0.2">
      <c r="A873" s="812" t="s">
        <v>4131</v>
      </c>
      <c r="B873" s="866" t="s">
        <v>4132</v>
      </c>
      <c r="C873" s="866" t="s">
        <v>3966</v>
      </c>
      <c r="D873" s="1438" t="s">
        <v>3158</v>
      </c>
      <c r="E873" s="1441">
        <v>45552.25953703704</v>
      </c>
      <c r="F873" s="1441">
        <v>45838.916655092595</v>
      </c>
      <c r="G873" s="1438" t="s">
        <v>1758</v>
      </c>
      <c r="H873" s="1438" t="s">
        <v>1759</v>
      </c>
      <c r="I873" s="1438" t="s">
        <v>1762</v>
      </c>
      <c r="J873" s="1438" t="s">
        <v>3159</v>
      </c>
      <c r="K873" s="1438" t="s">
        <v>1804</v>
      </c>
      <c r="L873" s="1438" t="s">
        <v>1828</v>
      </c>
      <c r="M873" s="867" t="s">
        <v>3144</v>
      </c>
      <c r="N873" s="867" t="s">
        <v>3879</v>
      </c>
      <c r="O873" s="867" t="s">
        <v>4133</v>
      </c>
      <c r="P873" s="869">
        <v>14</v>
      </c>
      <c r="Q873" s="869">
        <v>14</v>
      </c>
      <c r="R873" s="870">
        <v>0</v>
      </c>
      <c r="S873" s="871">
        <v>14</v>
      </c>
      <c r="T873" s="871">
        <v>14</v>
      </c>
      <c r="U873" s="872">
        <v>0</v>
      </c>
      <c r="W873" s="872">
        <v>0</v>
      </c>
    </row>
    <row r="874" spans="1:23" x14ac:dyDescent="0.2">
      <c r="A874" s="812" t="s">
        <v>4131</v>
      </c>
      <c r="B874" s="866" t="s">
        <v>4132</v>
      </c>
      <c r="C874" s="866" t="s">
        <v>3966</v>
      </c>
      <c r="D874" s="1440"/>
      <c r="E874" s="1443"/>
      <c r="F874" s="1443"/>
      <c r="G874" s="1440"/>
      <c r="H874" s="1440"/>
      <c r="I874" s="1440"/>
      <c r="J874" s="1440"/>
      <c r="K874" s="1440"/>
      <c r="L874" s="1440"/>
      <c r="M874" s="867" t="s">
        <v>3145</v>
      </c>
      <c r="N874" s="867" t="s">
        <v>3877</v>
      </c>
      <c r="O874" s="873" t="s">
        <v>4134</v>
      </c>
      <c r="P874" s="874">
        <v>14</v>
      </c>
      <c r="Q874" s="874">
        <v>14</v>
      </c>
      <c r="R874" s="875">
        <v>0</v>
      </c>
      <c r="S874" s="876">
        <v>14</v>
      </c>
      <c r="T874" s="876">
        <v>14</v>
      </c>
      <c r="U874" s="877">
        <v>0</v>
      </c>
      <c r="W874" s="877">
        <v>0</v>
      </c>
    </row>
    <row r="875" spans="1:23" x14ac:dyDescent="0.2">
      <c r="A875" s="812" t="s">
        <v>4131</v>
      </c>
      <c r="B875" s="866" t="s">
        <v>4132</v>
      </c>
      <c r="C875" s="866" t="s">
        <v>3966</v>
      </c>
      <c r="D875" s="1438" t="s">
        <v>3160</v>
      </c>
      <c r="E875" s="1441">
        <v>45540.273020833331</v>
      </c>
      <c r="F875" s="1441">
        <v>45838.916655092595</v>
      </c>
      <c r="G875" s="1438" t="s">
        <v>1758</v>
      </c>
      <c r="H875" s="1438" t="s">
        <v>1759</v>
      </c>
      <c r="I875" s="1438" t="s">
        <v>1761</v>
      </c>
      <c r="J875" s="1438" t="s">
        <v>3161</v>
      </c>
      <c r="K875" s="1438" t="s">
        <v>1804</v>
      </c>
      <c r="L875" s="1438" t="s">
        <v>1828</v>
      </c>
      <c r="M875" s="867" t="s">
        <v>3149</v>
      </c>
      <c r="N875" s="867" t="s">
        <v>4135</v>
      </c>
      <c r="O875" s="867" t="s">
        <v>4136</v>
      </c>
      <c r="P875" s="869">
        <v>12</v>
      </c>
      <c r="Q875" s="869">
        <v>12</v>
      </c>
      <c r="R875" s="870">
        <v>0</v>
      </c>
      <c r="S875" s="871">
        <v>12</v>
      </c>
      <c r="T875" s="871">
        <v>12</v>
      </c>
      <c r="U875" s="872">
        <v>0</v>
      </c>
      <c r="W875" s="872">
        <v>0</v>
      </c>
    </row>
    <row r="876" spans="1:23" x14ac:dyDescent="0.2">
      <c r="A876" s="812" t="s">
        <v>4131</v>
      </c>
      <c r="B876" s="866" t="s">
        <v>4132</v>
      </c>
      <c r="C876" s="866" t="s">
        <v>3966</v>
      </c>
      <c r="D876" s="1440"/>
      <c r="E876" s="1443"/>
      <c r="F876" s="1443"/>
      <c r="G876" s="1440"/>
      <c r="H876" s="1440"/>
      <c r="I876" s="1440"/>
      <c r="J876" s="1440"/>
      <c r="K876" s="1440"/>
      <c r="L876" s="1440"/>
      <c r="M876" s="867" t="s">
        <v>3144</v>
      </c>
      <c r="N876" s="867" t="s">
        <v>3879</v>
      </c>
      <c r="O876" s="873" t="s">
        <v>4133</v>
      </c>
      <c r="P876" s="874">
        <v>12</v>
      </c>
      <c r="Q876" s="874">
        <v>12</v>
      </c>
      <c r="R876" s="875">
        <v>0</v>
      </c>
      <c r="S876" s="876">
        <v>12</v>
      </c>
      <c r="T876" s="876">
        <v>12</v>
      </c>
      <c r="U876" s="877">
        <v>0</v>
      </c>
      <c r="W876" s="877">
        <v>0</v>
      </c>
    </row>
    <row r="877" spans="1:23" x14ac:dyDescent="0.2">
      <c r="A877" s="812" t="s">
        <v>4131</v>
      </c>
      <c r="B877" s="866" t="s">
        <v>4132</v>
      </c>
      <c r="C877" s="866" t="s">
        <v>3966</v>
      </c>
      <c r="D877" s="1438" t="s">
        <v>3162</v>
      </c>
      <c r="E877" s="1441">
        <v>45539.354942129627</v>
      </c>
      <c r="F877" s="1441">
        <v>45838.916655092595</v>
      </c>
      <c r="G877" s="1438" t="s">
        <v>1758</v>
      </c>
      <c r="H877" s="1438" t="s">
        <v>1759</v>
      </c>
      <c r="I877" s="1438" t="s">
        <v>1761</v>
      </c>
      <c r="J877" s="1438" t="s">
        <v>3163</v>
      </c>
      <c r="K877" s="1438" t="s">
        <v>1804</v>
      </c>
      <c r="L877" s="1438" t="s">
        <v>1828</v>
      </c>
      <c r="M877" s="867" t="s">
        <v>3149</v>
      </c>
      <c r="N877" s="867" t="s">
        <v>4135</v>
      </c>
      <c r="O877" s="867" t="s">
        <v>4136</v>
      </c>
      <c r="P877" s="869">
        <v>27</v>
      </c>
      <c r="Q877" s="869">
        <v>27</v>
      </c>
      <c r="R877" s="870">
        <v>0</v>
      </c>
      <c r="S877" s="871">
        <v>27</v>
      </c>
      <c r="T877" s="871">
        <v>27</v>
      </c>
      <c r="U877" s="872">
        <v>0</v>
      </c>
      <c r="W877" s="872">
        <v>0</v>
      </c>
    </row>
    <row r="878" spans="1:23" x14ac:dyDescent="0.2">
      <c r="A878" s="812" t="s">
        <v>4131</v>
      </c>
      <c r="B878" s="866" t="s">
        <v>4132</v>
      </c>
      <c r="C878" s="866" t="s">
        <v>3966</v>
      </c>
      <c r="D878" s="1440"/>
      <c r="E878" s="1443"/>
      <c r="F878" s="1443"/>
      <c r="G878" s="1440"/>
      <c r="H878" s="1440"/>
      <c r="I878" s="1440"/>
      <c r="J878" s="1440"/>
      <c r="K878" s="1440"/>
      <c r="L878" s="1440"/>
      <c r="M878" s="867" t="s">
        <v>3144</v>
      </c>
      <c r="N878" s="867" t="s">
        <v>3879</v>
      </c>
      <c r="O878" s="873" t="s">
        <v>4133</v>
      </c>
      <c r="P878" s="874">
        <v>27</v>
      </c>
      <c r="Q878" s="874">
        <v>27</v>
      </c>
      <c r="R878" s="875">
        <v>0</v>
      </c>
      <c r="S878" s="876">
        <v>27</v>
      </c>
      <c r="T878" s="876">
        <v>27</v>
      </c>
      <c r="U878" s="877">
        <v>0</v>
      </c>
      <c r="W878" s="877">
        <v>0</v>
      </c>
    </row>
    <row r="879" spans="1:23" x14ac:dyDescent="0.2">
      <c r="A879" s="812" t="s">
        <v>4131</v>
      </c>
      <c r="B879" s="866" t="s">
        <v>4132</v>
      </c>
      <c r="C879" s="866" t="s">
        <v>3966</v>
      </c>
      <c r="D879" s="1438" t="s">
        <v>3164</v>
      </c>
      <c r="E879" s="1441">
        <v>45559.4840625</v>
      </c>
      <c r="F879" s="1441">
        <v>45838.916655092595</v>
      </c>
      <c r="G879" s="1438" t="s">
        <v>1758</v>
      </c>
      <c r="H879" s="1438" t="s">
        <v>1759</v>
      </c>
      <c r="I879" s="1438" t="s">
        <v>1760</v>
      </c>
      <c r="J879" s="1438" t="s">
        <v>3165</v>
      </c>
      <c r="K879" s="1438" t="s">
        <v>1804</v>
      </c>
      <c r="L879" s="1438" t="s">
        <v>1805</v>
      </c>
      <c r="M879" s="867" t="s">
        <v>3144</v>
      </c>
      <c r="N879" s="867" t="s">
        <v>3879</v>
      </c>
      <c r="O879" s="867" t="s">
        <v>4133</v>
      </c>
      <c r="P879" s="869">
        <v>13</v>
      </c>
      <c r="Q879" s="869">
        <v>13</v>
      </c>
      <c r="R879" s="870">
        <v>0</v>
      </c>
      <c r="S879" s="871">
        <v>13</v>
      </c>
      <c r="T879" s="871">
        <v>13</v>
      </c>
      <c r="U879" s="872">
        <v>0</v>
      </c>
      <c r="W879" s="872">
        <v>0</v>
      </c>
    </row>
    <row r="880" spans="1:23" x14ac:dyDescent="0.2">
      <c r="A880" s="812" t="s">
        <v>4131</v>
      </c>
      <c r="B880" s="866" t="s">
        <v>4132</v>
      </c>
      <c r="C880" s="866" t="s">
        <v>3966</v>
      </c>
      <c r="D880" s="1440"/>
      <c r="E880" s="1443"/>
      <c r="F880" s="1443"/>
      <c r="G880" s="1440"/>
      <c r="H880" s="1440"/>
      <c r="I880" s="1440"/>
      <c r="J880" s="1440"/>
      <c r="K880" s="1440"/>
      <c r="L880" s="1440"/>
      <c r="M880" s="867" t="s">
        <v>3145</v>
      </c>
      <c r="N880" s="867" t="s">
        <v>3877</v>
      </c>
      <c r="O880" s="873" t="s">
        <v>4134</v>
      </c>
      <c r="P880" s="874">
        <v>13</v>
      </c>
      <c r="Q880" s="874">
        <v>13</v>
      </c>
      <c r="R880" s="875">
        <v>0</v>
      </c>
      <c r="S880" s="876">
        <v>13</v>
      </c>
      <c r="T880" s="876">
        <v>13</v>
      </c>
      <c r="U880" s="877">
        <v>0</v>
      </c>
      <c r="W880" s="877">
        <v>0</v>
      </c>
    </row>
    <row r="881" spans="1:23" x14ac:dyDescent="0.2">
      <c r="A881" s="812" t="s">
        <v>4131</v>
      </c>
      <c r="B881" s="866" t="s">
        <v>4132</v>
      </c>
      <c r="C881" s="866" t="s">
        <v>3966</v>
      </c>
      <c r="D881" s="1438" t="s">
        <v>3166</v>
      </c>
      <c r="E881" s="1441">
        <v>45541.367638888885</v>
      </c>
      <c r="F881" s="1441">
        <v>45901.916655092595</v>
      </c>
      <c r="G881" s="1438" t="s">
        <v>1758</v>
      </c>
      <c r="H881" s="1438" t="s">
        <v>1759</v>
      </c>
      <c r="I881" s="1438" t="s">
        <v>1762</v>
      </c>
      <c r="J881" s="1438" t="s">
        <v>3167</v>
      </c>
      <c r="K881" s="1438" t="s">
        <v>1804</v>
      </c>
      <c r="L881" s="1438" t="s">
        <v>1828</v>
      </c>
      <c r="M881" s="867" t="s">
        <v>3144</v>
      </c>
      <c r="N881" s="867" t="s">
        <v>3879</v>
      </c>
      <c r="O881" s="867" t="s">
        <v>4133</v>
      </c>
      <c r="P881" s="869">
        <v>15</v>
      </c>
      <c r="Q881" s="869">
        <v>15</v>
      </c>
      <c r="R881" s="870">
        <v>0</v>
      </c>
      <c r="S881" s="871">
        <v>15</v>
      </c>
      <c r="T881" s="871">
        <v>15</v>
      </c>
      <c r="U881" s="872">
        <v>0</v>
      </c>
      <c r="W881" s="872">
        <v>0</v>
      </c>
    </row>
    <row r="882" spans="1:23" x14ac:dyDescent="0.2">
      <c r="A882" s="812" t="s">
        <v>4131</v>
      </c>
      <c r="B882" s="866" t="s">
        <v>4132</v>
      </c>
      <c r="C882" s="866" t="s">
        <v>3966</v>
      </c>
      <c r="D882" s="1440"/>
      <c r="E882" s="1443"/>
      <c r="F882" s="1443"/>
      <c r="G882" s="1440"/>
      <c r="H882" s="1440"/>
      <c r="I882" s="1440"/>
      <c r="J882" s="1440"/>
      <c r="K882" s="1440"/>
      <c r="L882" s="1440"/>
      <c r="M882" s="867" t="s">
        <v>3145</v>
      </c>
      <c r="N882" s="867" t="s">
        <v>3877</v>
      </c>
      <c r="O882" s="873" t="s">
        <v>4134</v>
      </c>
      <c r="P882" s="874">
        <v>15</v>
      </c>
      <c r="Q882" s="874">
        <v>15</v>
      </c>
      <c r="R882" s="875">
        <v>0</v>
      </c>
      <c r="S882" s="876">
        <v>15</v>
      </c>
      <c r="T882" s="876">
        <v>15</v>
      </c>
      <c r="U882" s="877">
        <v>0</v>
      </c>
      <c r="W882" s="877">
        <v>0</v>
      </c>
    </row>
    <row r="883" spans="1:23" x14ac:dyDescent="0.2">
      <c r="A883" s="812" t="s">
        <v>4131</v>
      </c>
      <c r="B883" s="866" t="s">
        <v>4132</v>
      </c>
      <c r="C883" s="866" t="s">
        <v>3966</v>
      </c>
      <c r="D883" s="1438" t="s">
        <v>3168</v>
      </c>
      <c r="E883" s="1441">
        <v>45544.333182870374</v>
      </c>
      <c r="F883" s="1441">
        <v>45838.916655092595</v>
      </c>
      <c r="G883" s="1438" t="s">
        <v>1758</v>
      </c>
      <c r="H883" s="1438" t="s">
        <v>1759</v>
      </c>
      <c r="I883" s="1438" t="s">
        <v>1760</v>
      </c>
      <c r="J883" s="1438" t="s">
        <v>3169</v>
      </c>
      <c r="K883" s="1438" t="s">
        <v>1804</v>
      </c>
      <c r="L883" s="1438" t="s">
        <v>1805</v>
      </c>
      <c r="M883" s="867" t="s">
        <v>3144</v>
      </c>
      <c r="N883" s="867" t="s">
        <v>3879</v>
      </c>
      <c r="O883" s="867" t="s">
        <v>4133</v>
      </c>
      <c r="P883" s="869">
        <v>14</v>
      </c>
      <c r="Q883" s="869">
        <v>14</v>
      </c>
      <c r="R883" s="870">
        <v>0</v>
      </c>
      <c r="S883" s="871">
        <v>14</v>
      </c>
      <c r="T883" s="871">
        <v>14</v>
      </c>
      <c r="U883" s="872">
        <v>0</v>
      </c>
      <c r="W883" s="872">
        <v>0</v>
      </c>
    </row>
    <row r="884" spans="1:23" x14ac:dyDescent="0.2">
      <c r="A884" s="812" t="s">
        <v>4131</v>
      </c>
      <c r="B884" s="866" t="s">
        <v>4132</v>
      </c>
      <c r="C884" s="866" t="s">
        <v>3966</v>
      </c>
      <c r="D884" s="1440"/>
      <c r="E884" s="1443"/>
      <c r="F884" s="1443"/>
      <c r="G884" s="1440"/>
      <c r="H884" s="1440"/>
      <c r="I884" s="1440"/>
      <c r="J884" s="1440"/>
      <c r="K884" s="1440"/>
      <c r="L884" s="1440"/>
      <c r="M884" s="867" t="s">
        <v>3145</v>
      </c>
      <c r="N884" s="867" t="s">
        <v>3877</v>
      </c>
      <c r="O884" s="873" t="s">
        <v>4134</v>
      </c>
      <c r="P884" s="874">
        <v>14</v>
      </c>
      <c r="Q884" s="874">
        <v>14</v>
      </c>
      <c r="R884" s="875">
        <v>0</v>
      </c>
      <c r="S884" s="876">
        <v>14</v>
      </c>
      <c r="T884" s="876">
        <v>14</v>
      </c>
      <c r="U884" s="877">
        <v>0</v>
      </c>
      <c r="W884" s="877">
        <v>0</v>
      </c>
    </row>
    <row r="885" spans="1:23" x14ac:dyDescent="0.2">
      <c r="A885" s="812" t="s">
        <v>4131</v>
      </c>
      <c r="B885" s="866" t="s">
        <v>4132</v>
      </c>
      <c r="C885" s="866" t="s">
        <v>3966</v>
      </c>
      <c r="D885" s="1438" t="s">
        <v>3170</v>
      </c>
      <c r="E885" s="1441">
        <v>45539.420289351852</v>
      </c>
      <c r="F885" s="1441">
        <v>45906.916655092595</v>
      </c>
      <c r="G885" s="1438" t="s">
        <v>1758</v>
      </c>
      <c r="H885" s="1438" t="s">
        <v>1759</v>
      </c>
      <c r="I885" s="1438" t="s">
        <v>1762</v>
      </c>
      <c r="J885" s="1438" t="s">
        <v>3171</v>
      </c>
      <c r="K885" s="1438" t="s">
        <v>1804</v>
      </c>
      <c r="L885" s="1438" t="s">
        <v>1828</v>
      </c>
      <c r="M885" s="867" t="s">
        <v>3144</v>
      </c>
      <c r="N885" s="867" t="s">
        <v>3879</v>
      </c>
      <c r="O885" s="867" t="s">
        <v>4133</v>
      </c>
      <c r="P885" s="869">
        <v>14</v>
      </c>
      <c r="Q885" s="869">
        <v>14</v>
      </c>
      <c r="R885" s="870">
        <v>1</v>
      </c>
      <c r="S885" s="871">
        <v>14</v>
      </c>
      <c r="T885" s="871">
        <v>14</v>
      </c>
      <c r="U885" s="872">
        <v>1</v>
      </c>
      <c r="W885" s="872">
        <v>1</v>
      </c>
    </row>
    <row r="886" spans="1:23" x14ac:dyDescent="0.2">
      <c r="A886" s="812" t="s">
        <v>4131</v>
      </c>
      <c r="B886" s="866" t="s">
        <v>4132</v>
      </c>
      <c r="C886" s="866" t="s">
        <v>3966</v>
      </c>
      <c r="D886" s="1440"/>
      <c r="E886" s="1443"/>
      <c r="F886" s="1443"/>
      <c r="G886" s="1440"/>
      <c r="H886" s="1440"/>
      <c r="I886" s="1440"/>
      <c r="J886" s="1440"/>
      <c r="K886" s="1440"/>
      <c r="L886" s="1440"/>
      <c r="M886" s="867" t="s">
        <v>3145</v>
      </c>
      <c r="N886" s="867" t="s">
        <v>3877</v>
      </c>
      <c r="O886" s="873" t="s">
        <v>4134</v>
      </c>
      <c r="P886" s="874">
        <v>14</v>
      </c>
      <c r="Q886" s="874">
        <v>14</v>
      </c>
      <c r="R886" s="875">
        <v>1</v>
      </c>
      <c r="S886" s="876">
        <v>14</v>
      </c>
      <c r="T886" s="876">
        <v>14</v>
      </c>
      <c r="U886" s="877">
        <v>1</v>
      </c>
      <c r="W886" s="877">
        <v>1</v>
      </c>
    </row>
    <row r="887" spans="1:23" x14ac:dyDescent="0.2">
      <c r="A887" s="812" t="s">
        <v>4131</v>
      </c>
      <c r="B887" s="866" t="s">
        <v>4132</v>
      </c>
      <c r="C887" s="866" t="s">
        <v>3966</v>
      </c>
      <c r="D887" s="1438" t="s">
        <v>3172</v>
      </c>
      <c r="E887" s="1441">
        <v>45541.365381944444</v>
      </c>
      <c r="F887" s="1441">
        <v>45838.916655092595</v>
      </c>
      <c r="G887" s="1438" t="s">
        <v>1758</v>
      </c>
      <c r="H887" s="1438" t="s">
        <v>1759</v>
      </c>
      <c r="I887" s="1438" t="s">
        <v>1762</v>
      </c>
      <c r="J887" s="1438" t="s">
        <v>3173</v>
      </c>
      <c r="K887" s="1438" t="s">
        <v>1804</v>
      </c>
      <c r="L887" s="1438" t="s">
        <v>1828</v>
      </c>
      <c r="M887" s="867" t="s">
        <v>3144</v>
      </c>
      <c r="N887" s="867" t="s">
        <v>3879</v>
      </c>
      <c r="O887" s="867" t="s">
        <v>4133</v>
      </c>
      <c r="P887" s="869">
        <v>16</v>
      </c>
      <c r="Q887" s="869">
        <v>16</v>
      </c>
      <c r="R887" s="870">
        <v>0</v>
      </c>
      <c r="S887" s="871">
        <v>16</v>
      </c>
      <c r="T887" s="871">
        <v>16</v>
      </c>
      <c r="U887" s="872">
        <v>0</v>
      </c>
      <c r="W887" s="872">
        <v>0</v>
      </c>
    </row>
    <row r="888" spans="1:23" x14ac:dyDescent="0.2">
      <c r="A888" s="812" t="s">
        <v>4131</v>
      </c>
      <c r="B888" s="866" t="s">
        <v>4132</v>
      </c>
      <c r="C888" s="866" t="s">
        <v>3966</v>
      </c>
      <c r="D888" s="1440"/>
      <c r="E888" s="1443"/>
      <c r="F888" s="1443"/>
      <c r="G888" s="1440"/>
      <c r="H888" s="1440"/>
      <c r="I888" s="1440"/>
      <c r="J888" s="1440"/>
      <c r="K888" s="1440"/>
      <c r="L888" s="1440"/>
      <c r="M888" s="867" t="s">
        <v>3145</v>
      </c>
      <c r="N888" s="867" t="s">
        <v>3877</v>
      </c>
      <c r="O888" s="873" t="s">
        <v>4134</v>
      </c>
      <c r="P888" s="874">
        <v>16</v>
      </c>
      <c r="Q888" s="874">
        <v>16</v>
      </c>
      <c r="R888" s="875">
        <v>0</v>
      </c>
      <c r="S888" s="876">
        <v>16</v>
      </c>
      <c r="T888" s="876">
        <v>16</v>
      </c>
      <c r="U888" s="877">
        <v>0</v>
      </c>
      <c r="W888" s="877">
        <v>0</v>
      </c>
    </row>
    <row r="889" spans="1:23" ht="24" x14ac:dyDescent="0.2">
      <c r="A889" s="812" t="s">
        <v>4131</v>
      </c>
      <c r="B889" s="866" t="s">
        <v>4132</v>
      </c>
      <c r="C889" s="866" t="s">
        <v>3966</v>
      </c>
      <c r="D889" s="867" t="s">
        <v>3174</v>
      </c>
      <c r="E889" s="868">
        <v>45540.259004629632</v>
      </c>
      <c r="F889" s="868">
        <v>45900.916655092595</v>
      </c>
      <c r="G889" s="867" t="s">
        <v>1758</v>
      </c>
      <c r="H889" s="867" t="s">
        <v>1759</v>
      </c>
      <c r="I889" s="867" t="s">
        <v>1761</v>
      </c>
      <c r="J889" s="867" t="s">
        <v>3175</v>
      </c>
      <c r="K889" s="867" t="s">
        <v>1804</v>
      </c>
      <c r="L889" s="867" t="s">
        <v>1828</v>
      </c>
      <c r="M889" s="867" t="s">
        <v>3149</v>
      </c>
      <c r="N889" s="867" t="s">
        <v>4135</v>
      </c>
      <c r="O889" s="867" t="s">
        <v>4136</v>
      </c>
      <c r="P889" s="869">
        <v>15</v>
      </c>
      <c r="Q889" s="869">
        <v>15</v>
      </c>
      <c r="R889" s="870">
        <v>3</v>
      </c>
      <c r="S889" s="871">
        <v>15</v>
      </c>
      <c r="T889" s="871">
        <v>15</v>
      </c>
      <c r="U889" s="872">
        <v>3</v>
      </c>
      <c r="W889" s="872">
        <v>3</v>
      </c>
    </row>
    <row r="890" spans="1:23" ht="24" x14ac:dyDescent="0.2">
      <c r="A890" s="812" t="s">
        <v>4131</v>
      </c>
      <c r="B890" s="866" t="s">
        <v>4132</v>
      </c>
      <c r="C890" s="866" t="s">
        <v>3966</v>
      </c>
      <c r="D890" s="867" t="s">
        <v>3176</v>
      </c>
      <c r="E890" s="868">
        <v>45624.552719907406</v>
      </c>
      <c r="F890" s="868">
        <v>45838.916655092595</v>
      </c>
      <c r="G890" s="867" t="s">
        <v>1758</v>
      </c>
      <c r="H890" s="867" t="s">
        <v>1759</v>
      </c>
      <c r="I890" s="867" t="s">
        <v>1761</v>
      </c>
      <c r="J890" s="867" t="s">
        <v>3177</v>
      </c>
      <c r="K890" s="867" t="s">
        <v>1804</v>
      </c>
      <c r="L890" s="867" t="s">
        <v>1828</v>
      </c>
      <c r="M890" s="867" t="s">
        <v>3144</v>
      </c>
      <c r="N890" s="867" t="s">
        <v>3879</v>
      </c>
      <c r="O890" s="873" t="s">
        <v>4133</v>
      </c>
      <c r="P890" s="874">
        <v>1</v>
      </c>
      <c r="Q890" s="874">
        <v>0</v>
      </c>
      <c r="R890" s="875">
        <v>0</v>
      </c>
      <c r="S890" s="876">
        <v>1</v>
      </c>
      <c r="T890" s="876">
        <v>0</v>
      </c>
      <c r="U890" s="877">
        <v>0</v>
      </c>
      <c r="W890" s="877">
        <v>0</v>
      </c>
    </row>
    <row r="891" spans="1:23" x14ac:dyDescent="0.2">
      <c r="A891" s="812" t="s">
        <v>4131</v>
      </c>
      <c r="B891" s="866" t="s">
        <v>4132</v>
      </c>
      <c r="C891" s="866" t="s">
        <v>3966</v>
      </c>
      <c r="D891" s="1438" t="s">
        <v>3178</v>
      </c>
      <c r="E891" s="1441">
        <v>45544.329641203702</v>
      </c>
      <c r="F891" s="1441">
        <v>45902.916655092595</v>
      </c>
      <c r="G891" s="1438" t="s">
        <v>1758</v>
      </c>
      <c r="H891" s="1438" t="s">
        <v>1759</v>
      </c>
      <c r="I891" s="1438" t="s">
        <v>1760</v>
      </c>
      <c r="J891" s="1438" t="s">
        <v>3179</v>
      </c>
      <c r="K891" s="1438" t="s">
        <v>1804</v>
      </c>
      <c r="L891" s="1438" t="s">
        <v>1805</v>
      </c>
      <c r="M891" s="867" t="s">
        <v>3144</v>
      </c>
      <c r="N891" s="867" t="s">
        <v>3879</v>
      </c>
      <c r="O891" s="867" t="s">
        <v>4133</v>
      </c>
      <c r="P891" s="869">
        <v>15</v>
      </c>
      <c r="Q891" s="869">
        <v>15</v>
      </c>
      <c r="R891" s="870">
        <v>0</v>
      </c>
      <c r="S891" s="871">
        <v>15</v>
      </c>
      <c r="T891" s="871">
        <v>15</v>
      </c>
      <c r="U891" s="872">
        <v>0</v>
      </c>
      <c r="W891" s="872">
        <v>0</v>
      </c>
    </row>
    <row r="892" spans="1:23" x14ac:dyDescent="0.2">
      <c r="A892" s="812" t="s">
        <v>4131</v>
      </c>
      <c r="B892" s="866" t="s">
        <v>4132</v>
      </c>
      <c r="C892" s="866" t="s">
        <v>3966</v>
      </c>
      <c r="D892" s="1440"/>
      <c r="E892" s="1443"/>
      <c r="F892" s="1443"/>
      <c r="G892" s="1440"/>
      <c r="H892" s="1440"/>
      <c r="I892" s="1440"/>
      <c r="J892" s="1440"/>
      <c r="K892" s="1440"/>
      <c r="L892" s="1440"/>
      <c r="M892" s="867" t="s">
        <v>3145</v>
      </c>
      <c r="N892" s="867" t="s">
        <v>3877</v>
      </c>
      <c r="O892" s="873" t="s">
        <v>4134</v>
      </c>
      <c r="P892" s="874">
        <v>15</v>
      </c>
      <c r="Q892" s="874">
        <v>15</v>
      </c>
      <c r="R892" s="875">
        <v>0</v>
      </c>
      <c r="S892" s="876">
        <v>15</v>
      </c>
      <c r="T892" s="876">
        <v>15</v>
      </c>
      <c r="U892" s="877">
        <v>0</v>
      </c>
      <c r="W892" s="877">
        <v>0</v>
      </c>
    </row>
    <row r="893" spans="1:23" ht="36" x14ac:dyDescent="0.2">
      <c r="A893" s="812" t="s">
        <v>4137</v>
      </c>
      <c r="B893" s="866">
        <v>37942492</v>
      </c>
      <c r="C893" s="866" t="s">
        <v>3860</v>
      </c>
      <c r="D893" s="867" t="s">
        <v>3180</v>
      </c>
      <c r="E893" s="868">
        <v>45545.250335648147</v>
      </c>
      <c r="F893" s="868">
        <v>45900.916655092595</v>
      </c>
      <c r="G893" s="867" t="s">
        <v>1758</v>
      </c>
      <c r="H893" s="867" t="s">
        <v>1759</v>
      </c>
      <c r="I893" s="867" t="s">
        <v>1761</v>
      </c>
      <c r="J893" s="867" t="s">
        <v>3181</v>
      </c>
      <c r="K893" s="867" t="s">
        <v>1804</v>
      </c>
      <c r="L893" s="867" t="s">
        <v>1828</v>
      </c>
      <c r="M893" s="867" t="s">
        <v>3182</v>
      </c>
      <c r="N893" s="867" t="s">
        <v>3874</v>
      </c>
      <c r="O893" s="867" t="s">
        <v>4138</v>
      </c>
      <c r="P893" s="869">
        <v>20</v>
      </c>
      <c r="Q893" s="869">
        <v>19</v>
      </c>
      <c r="R893" s="870">
        <v>15</v>
      </c>
      <c r="S893" s="871">
        <v>20</v>
      </c>
      <c r="T893" s="871">
        <v>19</v>
      </c>
      <c r="U893" s="872">
        <v>15</v>
      </c>
      <c r="W893" s="872">
        <v>15</v>
      </c>
    </row>
    <row r="894" spans="1:23" ht="36" x14ac:dyDescent="0.2">
      <c r="A894" s="812" t="s">
        <v>4137</v>
      </c>
      <c r="B894" s="866">
        <v>37942492</v>
      </c>
      <c r="C894" s="878" t="s">
        <v>3860</v>
      </c>
      <c r="D894" s="867" t="s">
        <v>3183</v>
      </c>
      <c r="E894" s="868">
        <v>45544.371342592596</v>
      </c>
      <c r="F894" s="868">
        <v>45900.916655092595</v>
      </c>
      <c r="G894" s="867" t="s">
        <v>1758</v>
      </c>
      <c r="H894" s="867" t="s">
        <v>1759</v>
      </c>
      <c r="I894" s="867" t="s">
        <v>1762</v>
      </c>
      <c r="J894" s="867" t="s">
        <v>3184</v>
      </c>
      <c r="K894" s="867" t="s">
        <v>1804</v>
      </c>
      <c r="L894" s="867" t="s">
        <v>1828</v>
      </c>
      <c r="M894" s="867" t="s">
        <v>3182</v>
      </c>
      <c r="N894" s="867" t="s">
        <v>3874</v>
      </c>
      <c r="O894" s="873" t="s">
        <v>4138</v>
      </c>
      <c r="P894" s="874">
        <v>15</v>
      </c>
      <c r="Q894" s="874">
        <v>15</v>
      </c>
      <c r="R894" s="875">
        <v>15</v>
      </c>
      <c r="S894" s="876">
        <v>15</v>
      </c>
      <c r="T894" s="876">
        <v>15</v>
      </c>
      <c r="U894" s="877">
        <v>15</v>
      </c>
      <c r="W894" s="877">
        <v>15</v>
      </c>
    </row>
    <row r="895" spans="1:23" ht="36" x14ac:dyDescent="0.2">
      <c r="A895" s="867" t="s">
        <v>3185</v>
      </c>
      <c r="B895" s="866" t="s">
        <v>4139</v>
      </c>
      <c r="C895" s="879" t="s">
        <v>3867</v>
      </c>
      <c r="D895" s="867" t="s">
        <v>3186</v>
      </c>
      <c r="E895" s="868">
        <v>45535.916666666664</v>
      </c>
      <c r="F895" s="868">
        <v>45838.916655092595</v>
      </c>
      <c r="G895" s="867" t="s">
        <v>1758</v>
      </c>
      <c r="H895" s="867" t="s">
        <v>1759</v>
      </c>
      <c r="I895" s="867" t="s">
        <v>1761</v>
      </c>
      <c r="J895" s="867" t="s">
        <v>1761</v>
      </c>
      <c r="K895" s="867" t="s">
        <v>1804</v>
      </c>
      <c r="L895" s="867" t="s">
        <v>1828</v>
      </c>
      <c r="M895" s="867" t="s">
        <v>3187</v>
      </c>
      <c r="N895" s="867" t="s">
        <v>4140</v>
      </c>
      <c r="O895" s="867" t="s">
        <v>4141</v>
      </c>
      <c r="P895" s="869">
        <v>7</v>
      </c>
      <c r="Q895" s="869">
        <v>7</v>
      </c>
      <c r="R895" s="870">
        <v>0</v>
      </c>
      <c r="S895" s="871"/>
      <c r="T895" s="871"/>
      <c r="U895" s="872"/>
      <c r="W895" s="872"/>
    </row>
    <row r="896" spans="1:23" ht="48" x14ac:dyDescent="0.2">
      <c r="A896" s="865" t="s">
        <v>3188</v>
      </c>
      <c r="B896" s="866" t="s">
        <v>4142</v>
      </c>
      <c r="C896" s="866" t="s">
        <v>3924</v>
      </c>
      <c r="D896" s="867" t="s">
        <v>3189</v>
      </c>
      <c r="E896" s="868">
        <v>45468.916666666664</v>
      </c>
      <c r="F896" s="868">
        <v>45534.916666666664</v>
      </c>
      <c r="G896" s="867" t="s">
        <v>1758</v>
      </c>
      <c r="H896" s="867" t="s">
        <v>1759</v>
      </c>
      <c r="I896" s="867" t="s">
        <v>1858</v>
      </c>
      <c r="J896" s="867" t="s">
        <v>3190</v>
      </c>
      <c r="K896" s="867" t="s">
        <v>1804</v>
      </c>
      <c r="L896" s="867" t="s">
        <v>1819</v>
      </c>
      <c r="M896" s="867" t="s">
        <v>3191</v>
      </c>
      <c r="N896" s="867" t="s">
        <v>4143</v>
      </c>
      <c r="O896" s="873" t="s">
        <v>4144</v>
      </c>
      <c r="P896" s="874">
        <v>9</v>
      </c>
      <c r="Q896" s="874">
        <v>7</v>
      </c>
      <c r="R896" s="875">
        <v>0</v>
      </c>
      <c r="S896" s="876">
        <v>9</v>
      </c>
      <c r="T896" s="876">
        <v>7</v>
      </c>
      <c r="U896" s="877">
        <v>0</v>
      </c>
      <c r="W896" s="877">
        <v>0</v>
      </c>
    </row>
    <row r="897" spans="1:23" ht="36" x14ac:dyDescent="0.2">
      <c r="A897" s="865" t="s">
        <v>3188</v>
      </c>
      <c r="B897" s="866" t="s">
        <v>4142</v>
      </c>
      <c r="C897" s="866" t="s">
        <v>3924</v>
      </c>
      <c r="D897" s="867" t="s">
        <v>3192</v>
      </c>
      <c r="E897" s="868">
        <v>45468.916666666664</v>
      </c>
      <c r="F897" s="868">
        <v>45534.916666666664</v>
      </c>
      <c r="G897" s="867" t="s">
        <v>1758</v>
      </c>
      <c r="H897" s="867" t="s">
        <v>1759</v>
      </c>
      <c r="I897" s="867" t="s">
        <v>1817</v>
      </c>
      <c r="J897" s="867" t="s">
        <v>3193</v>
      </c>
      <c r="K897" s="867" t="s">
        <v>1804</v>
      </c>
      <c r="L897" s="867" t="s">
        <v>1819</v>
      </c>
      <c r="M897" s="867" t="s">
        <v>3191</v>
      </c>
      <c r="N897" s="867" t="s">
        <v>4143</v>
      </c>
      <c r="O897" s="867" t="s">
        <v>4144</v>
      </c>
      <c r="P897" s="869">
        <v>13</v>
      </c>
      <c r="Q897" s="869">
        <v>10</v>
      </c>
      <c r="R897" s="870">
        <v>0</v>
      </c>
      <c r="S897" s="871">
        <v>13</v>
      </c>
      <c r="T897" s="871">
        <v>10</v>
      </c>
      <c r="U897" s="872">
        <v>0</v>
      </c>
      <c r="W897" s="872">
        <v>0</v>
      </c>
    </row>
    <row r="898" spans="1:23" ht="24" x14ac:dyDescent="0.2">
      <c r="A898" s="865" t="s">
        <v>3188</v>
      </c>
      <c r="B898" s="866" t="s">
        <v>4142</v>
      </c>
      <c r="C898" s="866" t="s">
        <v>3924</v>
      </c>
      <c r="D898" s="867" t="s">
        <v>3194</v>
      </c>
      <c r="E898" s="868">
        <v>45630.615567129629</v>
      </c>
      <c r="F898" s="868">
        <v>45808.916655092595</v>
      </c>
      <c r="G898" s="867" t="s">
        <v>1758</v>
      </c>
      <c r="H898" s="867" t="s">
        <v>1759</v>
      </c>
      <c r="I898" s="867" t="s">
        <v>1761</v>
      </c>
      <c r="J898" s="867" t="s">
        <v>3195</v>
      </c>
      <c r="K898" s="867" t="s">
        <v>1804</v>
      </c>
      <c r="L898" s="867" t="s">
        <v>1828</v>
      </c>
      <c r="M898" s="867" t="s">
        <v>3196</v>
      </c>
      <c r="N898" s="867" t="s">
        <v>4145</v>
      </c>
      <c r="O898" s="873" t="s">
        <v>4146</v>
      </c>
      <c r="P898" s="874">
        <v>4</v>
      </c>
      <c r="Q898" s="874">
        <v>2</v>
      </c>
      <c r="R898" s="875">
        <v>0</v>
      </c>
      <c r="S898" s="876">
        <v>4</v>
      </c>
      <c r="T898" s="876">
        <v>2</v>
      </c>
      <c r="U898" s="877">
        <v>0</v>
      </c>
      <c r="W898" s="877">
        <v>0</v>
      </c>
    </row>
    <row r="899" spans="1:23" x14ac:dyDescent="0.2">
      <c r="A899" s="865" t="s">
        <v>3188</v>
      </c>
      <c r="B899" s="866" t="s">
        <v>4142</v>
      </c>
      <c r="C899" s="866" t="s">
        <v>3924</v>
      </c>
      <c r="D899" s="1438" t="s">
        <v>3197</v>
      </c>
      <c r="E899" s="1441">
        <v>45587.529641203706</v>
      </c>
      <c r="F899" s="1441">
        <v>45951.916655092595</v>
      </c>
      <c r="G899" s="1438" t="s">
        <v>1758</v>
      </c>
      <c r="H899" s="1438" t="s">
        <v>1759</v>
      </c>
      <c r="I899" s="1438" t="s">
        <v>1760</v>
      </c>
      <c r="J899" s="1438" t="s">
        <v>3198</v>
      </c>
      <c r="K899" s="1438" t="s">
        <v>1804</v>
      </c>
      <c r="L899" s="1438" t="s">
        <v>1805</v>
      </c>
      <c r="M899" s="867" t="s">
        <v>3191</v>
      </c>
      <c r="N899" s="867" t="s">
        <v>4143</v>
      </c>
      <c r="O899" s="867" t="s">
        <v>4144</v>
      </c>
      <c r="P899" s="869">
        <v>9</v>
      </c>
      <c r="Q899" s="869">
        <v>7</v>
      </c>
      <c r="R899" s="870">
        <v>2</v>
      </c>
      <c r="S899" s="871">
        <v>9</v>
      </c>
      <c r="T899" s="871">
        <v>7</v>
      </c>
      <c r="U899" s="872">
        <v>2</v>
      </c>
      <c r="W899" s="872">
        <v>2</v>
      </c>
    </row>
    <row r="900" spans="1:23" x14ac:dyDescent="0.2">
      <c r="A900" s="865" t="s">
        <v>3188</v>
      </c>
      <c r="B900" s="866" t="s">
        <v>4142</v>
      </c>
      <c r="C900" s="866" t="s">
        <v>3924</v>
      </c>
      <c r="D900" s="1440"/>
      <c r="E900" s="1443"/>
      <c r="F900" s="1443"/>
      <c r="G900" s="1440"/>
      <c r="H900" s="1440"/>
      <c r="I900" s="1440"/>
      <c r="J900" s="1440"/>
      <c r="K900" s="1440"/>
      <c r="L900" s="1440"/>
      <c r="M900" s="867" t="s">
        <v>3199</v>
      </c>
      <c r="N900" s="867" t="s">
        <v>4147</v>
      </c>
      <c r="O900" s="873" t="s">
        <v>4069</v>
      </c>
      <c r="P900" s="874">
        <v>9</v>
      </c>
      <c r="Q900" s="874">
        <v>7</v>
      </c>
      <c r="R900" s="875">
        <v>2</v>
      </c>
      <c r="S900" s="876">
        <v>9</v>
      </c>
      <c r="T900" s="876">
        <v>7</v>
      </c>
      <c r="U900" s="877">
        <v>2</v>
      </c>
      <c r="W900" s="877">
        <v>2</v>
      </c>
    </row>
    <row r="901" spans="1:23" ht="36" x14ac:dyDescent="0.2">
      <c r="A901" s="778" t="s">
        <v>4148</v>
      </c>
      <c r="B901" s="866" t="s">
        <v>3890</v>
      </c>
      <c r="C901" s="879" t="s">
        <v>3890</v>
      </c>
      <c r="D901" s="867" t="s">
        <v>3200</v>
      </c>
      <c r="E901" s="868">
        <v>45363</v>
      </c>
      <c r="F901" s="868">
        <v>45657</v>
      </c>
      <c r="G901" s="867" t="s">
        <v>1758</v>
      </c>
      <c r="H901" s="867" t="s">
        <v>1759</v>
      </c>
      <c r="I901" s="867" t="s">
        <v>1823</v>
      </c>
      <c r="J901" s="867" t="s">
        <v>3201</v>
      </c>
      <c r="K901" s="867" t="s">
        <v>1804</v>
      </c>
      <c r="L901" s="867" t="s">
        <v>1819</v>
      </c>
      <c r="M901" s="867" t="s">
        <v>3202</v>
      </c>
      <c r="N901" s="867" t="s">
        <v>4149</v>
      </c>
      <c r="O901" s="867" t="s">
        <v>4150</v>
      </c>
      <c r="P901" s="869">
        <v>2</v>
      </c>
      <c r="Q901" s="869">
        <v>2</v>
      </c>
      <c r="R901" s="870">
        <v>0</v>
      </c>
      <c r="S901" s="871">
        <v>2</v>
      </c>
      <c r="T901" s="871">
        <v>2</v>
      </c>
      <c r="U901" s="872">
        <v>0</v>
      </c>
      <c r="W901" s="872"/>
    </row>
    <row r="902" spans="1:23" ht="24" x14ac:dyDescent="0.2">
      <c r="A902" s="778" t="s">
        <v>4151</v>
      </c>
      <c r="B902" s="866" t="s">
        <v>4152</v>
      </c>
      <c r="C902" s="879" t="s">
        <v>3876</v>
      </c>
      <c r="D902" s="867" t="s">
        <v>3203</v>
      </c>
      <c r="E902" s="868">
        <v>45655.543298611112</v>
      </c>
      <c r="F902" s="868">
        <v>45823.916655092595</v>
      </c>
      <c r="G902" s="867" t="s">
        <v>1758</v>
      </c>
      <c r="H902" s="867" t="s">
        <v>1759</v>
      </c>
      <c r="I902" s="867" t="s">
        <v>1761</v>
      </c>
      <c r="J902" s="867" t="s">
        <v>1761</v>
      </c>
      <c r="K902" s="867" t="s">
        <v>1804</v>
      </c>
      <c r="L902" s="867" t="s">
        <v>1828</v>
      </c>
      <c r="M902" s="867" t="s">
        <v>3204</v>
      </c>
      <c r="N902" s="867" t="s">
        <v>4153</v>
      </c>
      <c r="O902" s="873" t="s">
        <v>4154</v>
      </c>
      <c r="P902" s="874">
        <v>3</v>
      </c>
      <c r="Q902" s="874">
        <v>1</v>
      </c>
      <c r="R902" s="875">
        <v>0</v>
      </c>
      <c r="S902" s="876">
        <v>3</v>
      </c>
      <c r="T902" s="876">
        <v>1</v>
      </c>
      <c r="U902" s="877">
        <v>0</v>
      </c>
      <c r="W902" s="877"/>
    </row>
    <row r="903" spans="1:23" ht="24" x14ac:dyDescent="0.2">
      <c r="A903" s="778" t="s">
        <v>4151</v>
      </c>
      <c r="B903" s="866" t="s">
        <v>4152</v>
      </c>
      <c r="C903" s="879" t="s">
        <v>3876</v>
      </c>
      <c r="D903" s="867" t="s">
        <v>3205</v>
      </c>
      <c r="E903" s="868">
        <v>45537.797280092593</v>
      </c>
      <c r="F903" s="868">
        <v>45902.916655092595</v>
      </c>
      <c r="G903" s="867" t="s">
        <v>1758</v>
      </c>
      <c r="H903" s="867" t="s">
        <v>1765</v>
      </c>
      <c r="I903" s="867" t="s">
        <v>1766</v>
      </c>
      <c r="J903" s="867" t="s">
        <v>3206</v>
      </c>
      <c r="K903" s="867" t="s">
        <v>1804</v>
      </c>
      <c r="L903" s="867" t="s">
        <v>1805</v>
      </c>
      <c r="M903" s="867" t="s">
        <v>3207</v>
      </c>
      <c r="N903" s="867" t="s">
        <v>3904</v>
      </c>
      <c r="O903" s="867" t="s">
        <v>4155</v>
      </c>
      <c r="P903" s="869">
        <v>20</v>
      </c>
      <c r="Q903" s="869">
        <v>20</v>
      </c>
      <c r="R903" s="870">
        <v>0</v>
      </c>
      <c r="S903" s="871">
        <v>20</v>
      </c>
      <c r="T903" s="871">
        <v>20</v>
      </c>
      <c r="U903" s="872">
        <v>0</v>
      </c>
      <c r="W903" s="872"/>
    </row>
    <row r="904" spans="1:23" ht="36" x14ac:dyDescent="0.2">
      <c r="A904" s="778" t="s">
        <v>4151</v>
      </c>
      <c r="B904" s="866" t="s">
        <v>4152</v>
      </c>
      <c r="C904" s="879" t="s">
        <v>3876</v>
      </c>
      <c r="D904" s="867" t="s">
        <v>3208</v>
      </c>
      <c r="E904" s="868">
        <v>45531.379108796296</v>
      </c>
      <c r="F904" s="868">
        <v>45845.916655092595</v>
      </c>
      <c r="G904" s="867" t="s">
        <v>1741</v>
      </c>
      <c r="H904" s="867" t="s">
        <v>1749</v>
      </c>
      <c r="I904" s="867" t="s">
        <v>1749</v>
      </c>
      <c r="J904" s="867" t="s">
        <v>3209</v>
      </c>
      <c r="K904" s="867" t="s">
        <v>1804</v>
      </c>
      <c r="L904" s="867" t="s">
        <v>1869</v>
      </c>
      <c r="M904" s="867" t="s">
        <v>3210</v>
      </c>
      <c r="N904" s="867" t="s">
        <v>3877</v>
      </c>
      <c r="O904" s="873" t="s">
        <v>4156</v>
      </c>
      <c r="P904" s="874">
        <v>33</v>
      </c>
      <c r="Q904" s="874">
        <v>32</v>
      </c>
      <c r="R904" s="875">
        <v>0</v>
      </c>
      <c r="S904" s="876">
        <v>33</v>
      </c>
      <c r="T904" s="876">
        <v>32</v>
      </c>
      <c r="U904" s="877">
        <v>0</v>
      </c>
      <c r="W904" s="877"/>
    </row>
    <row r="905" spans="1:23" ht="24" x14ac:dyDescent="0.2">
      <c r="A905" s="778" t="s">
        <v>4151</v>
      </c>
      <c r="B905" s="866" t="s">
        <v>4152</v>
      </c>
      <c r="C905" s="879" t="s">
        <v>3876</v>
      </c>
      <c r="D905" s="867" t="s">
        <v>3211</v>
      </c>
      <c r="E905" s="868">
        <v>45531.400787037041</v>
      </c>
      <c r="F905" s="868">
        <v>45845.916655092595</v>
      </c>
      <c r="G905" s="867" t="s">
        <v>1758</v>
      </c>
      <c r="H905" s="867" t="s">
        <v>1765</v>
      </c>
      <c r="I905" s="867" t="s">
        <v>1766</v>
      </c>
      <c r="J905" s="867" t="s">
        <v>3212</v>
      </c>
      <c r="K905" s="867" t="s">
        <v>1804</v>
      </c>
      <c r="L905" s="867" t="s">
        <v>1805</v>
      </c>
      <c r="M905" s="867" t="s">
        <v>3210</v>
      </c>
      <c r="N905" s="867" t="s">
        <v>3877</v>
      </c>
      <c r="O905" s="867" t="s">
        <v>4156</v>
      </c>
      <c r="P905" s="869">
        <v>31</v>
      </c>
      <c r="Q905" s="869">
        <v>31</v>
      </c>
      <c r="R905" s="870">
        <v>2</v>
      </c>
      <c r="S905" s="871">
        <v>31</v>
      </c>
      <c r="T905" s="871">
        <v>31</v>
      </c>
      <c r="U905" s="872">
        <v>2</v>
      </c>
      <c r="W905" s="872"/>
    </row>
    <row r="906" spans="1:23" ht="36" x14ac:dyDescent="0.2">
      <c r="A906" s="778" t="s">
        <v>4151</v>
      </c>
      <c r="B906" s="866" t="s">
        <v>4152</v>
      </c>
      <c r="C906" s="879" t="s">
        <v>3876</v>
      </c>
      <c r="D906" s="867" t="s">
        <v>3213</v>
      </c>
      <c r="E906" s="868">
        <v>45531.396284722221</v>
      </c>
      <c r="F906" s="868">
        <v>45845.916655092595</v>
      </c>
      <c r="G906" s="867" t="s">
        <v>1758</v>
      </c>
      <c r="H906" s="867" t="s">
        <v>1759</v>
      </c>
      <c r="I906" s="867" t="s">
        <v>1762</v>
      </c>
      <c r="J906" s="867" t="s">
        <v>3214</v>
      </c>
      <c r="K906" s="867" t="s">
        <v>1804</v>
      </c>
      <c r="L906" s="867" t="s">
        <v>1828</v>
      </c>
      <c r="M906" s="867" t="s">
        <v>3210</v>
      </c>
      <c r="N906" s="867" t="s">
        <v>3877</v>
      </c>
      <c r="O906" s="873" t="s">
        <v>4156</v>
      </c>
      <c r="P906" s="874">
        <v>16</v>
      </c>
      <c r="Q906" s="874">
        <v>16</v>
      </c>
      <c r="R906" s="875">
        <v>0</v>
      </c>
      <c r="S906" s="876">
        <v>16</v>
      </c>
      <c r="T906" s="876">
        <v>16</v>
      </c>
      <c r="U906" s="877">
        <v>0</v>
      </c>
      <c r="W906" s="877"/>
    </row>
    <row r="907" spans="1:23" ht="36" x14ac:dyDescent="0.2">
      <c r="A907" s="778" t="s">
        <v>4151</v>
      </c>
      <c r="B907" s="866" t="s">
        <v>4152</v>
      </c>
      <c r="C907" s="879" t="s">
        <v>3876</v>
      </c>
      <c r="D907" s="867" t="s">
        <v>3215</v>
      </c>
      <c r="E907" s="868">
        <v>45655.54791666667</v>
      </c>
      <c r="F907" s="868">
        <v>45823.916655092595</v>
      </c>
      <c r="G907" s="867" t="s">
        <v>1758</v>
      </c>
      <c r="H907" s="867" t="s">
        <v>1759</v>
      </c>
      <c r="I907" s="867" t="s">
        <v>1762</v>
      </c>
      <c r="J907" s="867" t="s">
        <v>1762</v>
      </c>
      <c r="K907" s="867" t="s">
        <v>1804</v>
      </c>
      <c r="L907" s="867" t="s">
        <v>1828</v>
      </c>
      <c r="M907" s="867" t="s">
        <v>3204</v>
      </c>
      <c r="N907" s="867" t="s">
        <v>4153</v>
      </c>
      <c r="O907" s="867" t="s">
        <v>4154</v>
      </c>
      <c r="P907" s="869">
        <v>3</v>
      </c>
      <c r="Q907" s="869">
        <v>2</v>
      </c>
      <c r="R907" s="870">
        <v>0</v>
      </c>
      <c r="S907" s="871">
        <v>3</v>
      </c>
      <c r="T907" s="871">
        <v>2</v>
      </c>
      <c r="U907" s="872">
        <v>0</v>
      </c>
      <c r="W907" s="872"/>
    </row>
    <row r="908" spans="1:23" ht="36" x14ac:dyDescent="0.2">
      <c r="A908" s="778" t="s">
        <v>4151</v>
      </c>
      <c r="B908" s="866" t="s">
        <v>4152</v>
      </c>
      <c r="C908" s="879" t="s">
        <v>3876</v>
      </c>
      <c r="D908" s="867" t="s">
        <v>3216</v>
      </c>
      <c r="E908" s="868">
        <v>45537.685231481482</v>
      </c>
      <c r="F908" s="868">
        <v>45893.916655092595</v>
      </c>
      <c r="G908" s="867" t="s">
        <v>1758</v>
      </c>
      <c r="H908" s="867" t="s">
        <v>1759</v>
      </c>
      <c r="I908" s="867" t="s">
        <v>1762</v>
      </c>
      <c r="J908" s="867" t="s">
        <v>3217</v>
      </c>
      <c r="K908" s="867" t="s">
        <v>1804</v>
      </c>
      <c r="L908" s="867" t="s">
        <v>1828</v>
      </c>
      <c r="M908" s="867" t="s">
        <v>3218</v>
      </c>
      <c r="N908" s="867" t="s">
        <v>3861</v>
      </c>
      <c r="O908" s="873" t="s">
        <v>4157</v>
      </c>
      <c r="P908" s="874">
        <v>19</v>
      </c>
      <c r="Q908" s="874">
        <v>19</v>
      </c>
      <c r="R908" s="875">
        <v>0</v>
      </c>
      <c r="S908" s="876">
        <v>19</v>
      </c>
      <c r="T908" s="876">
        <v>19</v>
      </c>
      <c r="U908" s="877">
        <v>0</v>
      </c>
      <c r="W908" s="877"/>
    </row>
    <row r="909" spans="1:23" ht="36" x14ac:dyDescent="0.2">
      <c r="A909" s="778" t="s">
        <v>4151</v>
      </c>
      <c r="B909" s="866" t="s">
        <v>4152</v>
      </c>
      <c r="C909" s="879" t="s">
        <v>3876</v>
      </c>
      <c r="D909" s="867" t="s">
        <v>3219</v>
      </c>
      <c r="E909" s="868">
        <v>45537.684004629627</v>
      </c>
      <c r="F909" s="868">
        <v>45845.916655092595</v>
      </c>
      <c r="G909" s="867" t="s">
        <v>1758</v>
      </c>
      <c r="H909" s="867" t="s">
        <v>1759</v>
      </c>
      <c r="I909" s="867" t="s">
        <v>1762</v>
      </c>
      <c r="J909" s="867" t="s">
        <v>3220</v>
      </c>
      <c r="K909" s="867" t="s">
        <v>1804</v>
      </c>
      <c r="L909" s="867" t="s">
        <v>1828</v>
      </c>
      <c r="M909" s="867" t="s">
        <v>3218</v>
      </c>
      <c r="N909" s="867" t="s">
        <v>3861</v>
      </c>
      <c r="O909" s="867" t="s">
        <v>4157</v>
      </c>
      <c r="P909" s="869">
        <v>23</v>
      </c>
      <c r="Q909" s="869">
        <v>22</v>
      </c>
      <c r="R909" s="870">
        <v>0</v>
      </c>
      <c r="S909" s="871">
        <v>23</v>
      </c>
      <c r="T909" s="871">
        <v>22</v>
      </c>
      <c r="U909" s="872">
        <v>0</v>
      </c>
      <c r="W909" s="872"/>
    </row>
    <row r="910" spans="1:23" ht="24" x14ac:dyDescent="0.2">
      <c r="A910" s="778" t="s">
        <v>4151</v>
      </c>
      <c r="B910" s="866" t="s">
        <v>4152</v>
      </c>
      <c r="C910" s="879" t="s">
        <v>3876</v>
      </c>
      <c r="D910" s="867" t="s">
        <v>3221</v>
      </c>
      <c r="E910" s="868">
        <v>45537.682650462964</v>
      </c>
      <c r="F910" s="868">
        <v>45845.916655092595</v>
      </c>
      <c r="G910" s="867" t="s">
        <v>1758</v>
      </c>
      <c r="H910" s="867" t="s">
        <v>1759</v>
      </c>
      <c r="I910" s="867" t="s">
        <v>1761</v>
      </c>
      <c r="J910" s="867" t="s">
        <v>3222</v>
      </c>
      <c r="K910" s="867" t="s">
        <v>1804</v>
      </c>
      <c r="L910" s="867" t="s">
        <v>1828</v>
      </c>
      <c r="M910" s="867" t="s">
        <v>3218</v>
      </c>
      <c r="N910" s="867" t="s">
        <v>3861</v>
      </c>
      <c r="O910" s="873" t="s">
        <v>4157</v>
      </c>
      <c r="P910" s="874">
        <v>33</v>
      </c>
      <c r="Q910" s="874">
        <v>32</v>
      </c>
      <c r="R910" s="875">
        <v>6</v>
      </c>
      <c r="S910" s="876">
        <v>33</v>
      </c>
      <c r="T910" s="876">
        <v>32</v>
      </c>
      <c r="U910" s="877">
        <v>6</v>
      </c>
      <c r="W910" s="877"/>
    </row>
    <row r="911" spans="1:23" ht="36" x14ac:dyDescent="0.2">
      <c r="A911" s="778" t="s">
        <v>4151</v>
      </c>
      <c r="B911" s="866" t="s">
        <v>4152</v>
      </c>
      <c r="C911" s="879" t="s">
        <v>3876</v>
      </c>
      <c r="D911" s="867" t="s">
        <v>3223</v>
      </c>
      <c r="E911" s="868">
        <v>45537.685972222222</v>
      </c>
      <c r="F911" s="868">
        <v>45845.916655092595</v>
      </c>
      <c r="G911" s="867" t="s">
        <v>1758</v>
      </c>
      <c r="H911" s="867" t="s">
        <v>1759</v>
      </c>
      <c r="I911" s="867" t="s">
        <v>1762</v>
      </c>
      <c r="J911" s="867" t="s">
        <v>3214</v>
      </c>
      <c r="K911" s="867" t="s">
        <v>1804</v>
      </c>
      <c r="L911" s="867" t="s">
        <v>1828</v>
      </c>
      <c r="M911" s="867" t="s">
        <v>3218</v>
      </c>
      <c r="N911" s="867" t="s">
        <v>3861</v>
      </c>
      <c r="O911" s="867" t="s">
        <v>4157</v>
      </c>
      <c r="P911" s="869">
        <v>17</v>
      </c>
      <c r="Q911" s="869">
        <v>17</v>
      </c>
      <c r="R911" s="870">
        <v>2</v>
      </c>
      <c r="S911" s="871">
        <v>17</v>
      </c>
      <c r="T911" s="871">
        <v>17</v>
      </c>
      <c r="U911" s="872">
        <v>2</v>
      </c>
      <c r="W911" s="872"/>
    </row>
    <row r="912" spans="1:23" ht="48" x14ac:dyDescent="0.2">
      <c r="A912" s="778" t="s">
        <v>4151</v>
      </c>
      <c r="B912" s="866" t="s">
        <v>4152</v>
      </c>
      <c r="C912" s="879" t="s">
        <v>3876</v>
      </c>
      <c r="D912" s="867" t="s">
        <v>3224</v>
      </c>
      <c r="E912" s="868">
        <v>45536.916666666664</v>
      </c>
      <c r="F912" s="868">
        <v>45902.916655092595</v>
      </c>
      <c r="G912" s="867" t="s">
        <v>1758</v>
      </c>
      <c r="H912" s="867" t="s">
        <v>1759</v>
      </c>
      <c r="I912" s="867" t="s">
        <v>1760</v>
      </c>
      <c r="J912" s="867" t="s">
        <v>3225</v>
      </c>
      <c r="K912" s="867" t="s">
        <v>1804</v>
      </c>
      <c r="L912" s="867" t="s">
        <v>1805</v>
      </c>
      <c r="M912" s="867" t="s">
        <v>3207</v>
      </c>
      <c r="N912" s="867" t="s">
        <v>3904</v>
      </c>
      <c r="O912" s="873" t="s">
        <v>4155</v>
      </c>
      <c r="P912" s="874">
        <v>30</v>
      </c>
      <c r="Q912" s="874">
        <v>30</v>
      </c>
      <c r="R912" s="875">
        <v>10</v>
      </c>
      <c r="S912" s="876">
        <v>30</v>
      </c>
      <c r="T912" s="876">
        <v>30</v>
      </c>
      <c r="U912" s="877">
        <v>10</v>
      </c>
      <c r="W912" s="877"/>
    </row>
    <row r="913" spans="1:23" ht="36" x14ac:dyDescent="0.2">
      <c r="A913" s="778" t="s">
        <v>4151</v>
      </c>
      <c r="B913" s="866" t="s">
        <v>4152</v>
      </c>
      <c r="C913" s="879" t="s">
        <v>3876</v>
      </c>
      <c r="D913" s="867" t="s">
        <v>3226</v>
      </c>
      <c r="E913" s="868">
        <v>45531.39135416667</v>
      </c>
      <c r="F913" s="868">
        <v>45845.916655092595</v>
      </c>
      <c r="G913" s="867" t="s">
        <v>1741</v>
      </c>
      <c r="H913" s="867" t="s">
        <v>1749</v>
      </c>
      <c r="I913" s="867" t="s">
        <v>1749</v>
      </c>
      <c r="J913" s="867" t="s">
        <v>3227</v>
      </c>
      <c r="K913" s="867" t="s">
        <v>1804</v>
      </c>
      <c r="L913" s="867" t="s">
        <v>1869</v>
      </c>
      <c r="M913" s="867" t="s">
        <v>3210</v>
      </c>
      <c r="N913" s="867" t="s">
        <v>3877</v>
      </c>
      <c r="O913" s="867" t="s">
        <v>4156</v>
      </c>
      <c r="P913" s="869">
        <v>23</v>
      </c>
      <c r="Q913" s="869">
        <v>23</v>
      </c>
      <c r="R913" s="870">
        <v>0</v>
      </c>
      <c r="S913" s="871">
        <v>23</v>
      </c>
      <c r="T913" s="871">
        <v>23</v>
      </c>
      <c r="U913" s="872">
        <v>0</v>
      </c>
      <c r="W913" s="872"/>
    </row>
    <row r="914" spans="1:23" ht="36" x14ac:dyDescent="0.2">
      <c r="A914" s="778" t="s">
        <v>4151</v>
      </c>
      <c r="B914" s="866" t="s">
        <v>4152</v>
      </c>
      <c r="C914" s="879" t="s">
        <v>3876</v>
      </c>
      <c r="D914" s="867" t="s">
        <v>3228</v>
      </c>
      <c r="E914" s="868">
        <v>45544.291331018518</v>
      </c>
      <c r="F914" s="868">
        <v>45909.916655092595</v>
      </c>
      <c r="G914" s="867" t="s">
        <v>1777</v>
      </c>
      <c r="H914" s="867" t="s">
        <v>1782</v>
      </c>
      <c r="I914" s="867" t="s">
        <v>1783</v>
      </c>
      <c r="J914" s="867" t="s">
        <v>3229</v>
      </c>
      <c r="K914" s="867" t="s">
        <v>1804</v>
      </c>
      <c r="L914" s="867" t="s">
        <v>1805</v>
      </c>
      <c r="M914" s="867" t="s">
        <v>3207</v>
      </c>
      <c r="N914" s="867" t="s">
        <v>3904</v>
      </c>
      <c r="O914" s="873" t="s">
        <v>4155</v>
      </c>
      <c r="P914" s="874">
        <v>20</v>
      </c>
      <c r="Q914" s="874">
        <v>20</v>
      </c>
      <c r="R914" s="875">
        <v>0</v>
      </c>
      <c r="S914" s="876">
        <v>20</v>
      </c>
      <c r="T914" s="876">
        <v>20</v>
      </c>
      <c r="U914" s="877">
        <v>0</v>
      </c>
      <c r="W914" s="877"/>
    </row>
    <row r="915" spans="1:23" ht="36" x14ac:dyDescent="0.2">
      <c r="A915" s="778" t="s">
        <v>4151</v>
      </c>
      <c r="B915" s="866" t="s">
        <v>4152</v>
      </c>
      <c r="C915" s="879" t="s">
        <v>3876</v>
      </c>
      <c r="D915" s="867" t="s">
        <v>3230</v>
      </c>
      <c r="E915" s="868">
        <v>45547.488125000003</v>
      </c>
      <c r="F915" s="868">
        <v>45912.916655092595</v>
      </c>
      <c r="G915" s="867" t="s">
        <v>1741</v>
      </c>
      <c r="H915" s="867" t="s">
        <v>1752</v>
      </c>
      <c r="I915" s="867" t="s">
        <v>1754</v>
      </c>
      <c r="J915" s="867" t="s">
        <v>3231</v>
      </c>
      <c r="K915" s="867" t="s">
        <v>1804</v>
      </c>
      <c r="L915" s="867" t="s">
        <v>1930</v>
      </c>
      <c r="M915" s="867" t="s">
        <v>3210</v>
      </c>
      <c r="N915" s="867" t="s">
        <v>3877</v>
      </c>
      <c r="O915" s="867" t="s">
        <v>4156</v>
      </c>
      <c r="P915" s="869">
        <v>2</v>
      </c>
      <c r="Q915" s="869">
        <v>1</v>
      </c>
      <c r="R915" s="870">
        <v>0</v>
      </c>
      <c r="S915" s="871">
        <v>2</v>
      </c>
      <c r="T915" s="871">
        <v>1</v>
      </c>
      <c r="U915" s="872">
        <v>0</v>
      </c>
      <c r="W915" s="872"/>
    </row>
    <row r="916" spans="1:23" ht="48" x14ac:dyDescent="0.2">
      <c r="A916" s="778" t="s">
        <v>4151</v>
      </c>
      <c r="B916" s="866" t="s">
        <v>4152</v>
      </c>
      <c r="C916" s="879" t="s">
        <v>3876</v>
      </c>
      <c r="D916" s="867" t="s">
        <v>3232</v>
      </c>
      <c r="E916" s="868">
        <v>45531.397812499999</v>
      </c>
      <c r="F916" s="868">
        <v>45845.916655092595</v>
      </c>
      <c r="G916" s="867" t="s">
        <v>1758</v>
      </c>
      <c r="H916" s="867" t="s">
        <v>1759</v>
      </c>
      <c r="I916" s="867" t="s">
        <v>1760</v>
      </c>
      <c r="J916" s="867" t="s">
        <v>3233</v>
      </c>
      <c r="K916" s="867" t="s">
        <v>1804</v>
      </c>
      <c r="L916" s="867" t="s">
        <v>1805</v>
      </c>
      <c r="M916" s="867" t="s">
        <v>3210</v>
      </c>
      <c r="N916" s="867" t="s">
        <v>3877</v>
      </c>
      <c r="O916" s="873" t="s">
        <v>4156</v>
      </c>
      <c r="P916" s="874">
        <v>21</v>
      </c>
      <c r="Q916" s="874">
        <v>21</v>
      </c>
      <c r="R916" s="875">
        <v>0</v>
      </c>
      <c r="S916" s="876">
        <v>21</v>
      </c>
      <c r="T916" s="876">
        <v>21</v>
      </c>
      <c r="U916" s="877">
        <v>0</v>
      </c>
      <c r="W916" s="877"/>
    </row>
    <row r="917" spans="1:23" ht="24" x14ac:dyDescent="0.2">
      <c r="A917" s="778" t="s">
        <v>4151</v>
      </c>
      <c r="B917" s="866" t="s">
        <v>4152</v>
      </c>
      <c r="C917" s="879" t="s">
        <v>3876</v>
      </c>
      <c r="D917" s="867" t="s">
        <v>3234</v>
      </c>
      <c r="E917" s="868">
        <v>45545.363877314812</v>
      </c>
      <c r="F917" s="868">
        <v>45910.916655092595</v>
      </c>
      <c r="G917" s="867" t="s">
        <v>1772</v>
      </c>
      <c r="H917" s="867" t="s">
        <v>1775</v>
      </c>
      <c r="I917" s="867" t="s">
        <v>1776</v>
      </c>
      <c r="J917" s="867" t="s">
        <v>3235</v>
      </c>
      <c r="K917" s="867" t="s">
        <v>1804</v>
      </c>
      <c r="L917" s="867" t="s">
        <v>1805</v>
      </c>
      <c r="M917" s="867" t="s">
        <v>3207</v>
      </c>
      <c r="N917" s="867" t="s">
        <v>3904</v>
      </c>
      <c r="O917" s="867" t="s">
        <v>4155</v>
      </c>
      <c r="P917" s="869">
        <v>19</v>
      </c>
      <c r="Q917" s="869">
        <v>19</v>
      </c>
      <c r="R917" s="870">
        <v>1</v>
      </c>
      <c r="S917" s="871">
        <v>19</v>
      </c>
      <c r="T917" s="871">
        <v>19</v>
      </c>
      <c r="U917" s="872">
        <v>1</v>
      </c>
      <c r="W917" s="872"/>
    </row>
    <row r="918" spans="1:23" ht="24" x14ac:dyDescent="0.2">
      <c r="A918" s="778" t="s">
        <v>4151</v>
      </c>
      <c r="B918" s="866" t="s">
        <v>4152</v>
      </c>
      <c r="C918" s="879" t="s">
        <v>3876</v>
      </c>
      <c r="D918" s="867" t="s">
        <v>3236</v>
      </c>
      <c r="E918" s="868">
        <v>45545.251979166664</v>
      </c>
      <c r="F918" s="868">
        <v>45910.916655092595</v>
      </c>
      <c r="G918" s="867" t="s">
        <v>1772</v>
      </c>
      <c r="H918" s="867" t="s">
        <v>1775</v>
      </c>
      <c r="I918" s="867" t="s">
        <v>1776</v>
      </c>
      <c r="J918" s="867" t="s">
        <v>3237</v>
      </c>
      <c r="K918" s="867" t="s">
        <v>1804</v>
      </c>
      <c r="L918" s="867" t="s">
        <v>1805</v>
      </c>
      <c r="M918" s="867" t="s">
        <v>3207</v>
      </c>
      <c r="N918" s="867" t="s">
        <v>3904</v>
      </c>
      <c r="O918" s="873" t="s">
        <v>4155</v>
      </c>
      <c r="P918" s="874">
        <v>29</v>
      </c>
      <c r="Q918" s="874">
        <v>29</v>
      </c>
      <c r="R918" s="875">
        <v>10</v>
      </c>
      <c r="S918" s="876">
        <v>29</v>
      </c>
      <c r="T918" s="876">
        <v>29</v>
      </c>
      <c r="U918" s="877">
        <v>10</v>
      </c>
      <c r="W918" s="877"/>
    </row>
    <row r="919" spans="1:23" ht="24" x14ac:dyDescent="0.2">
      <c r="A919" s="778" t="s">
        <v>4151</v>
      </c>
      <c r="B919" s="866" t="s">
        <v>4152</v>
      </c>
      <c r="C919" s="879" t="s">
        <v>3876</v>
      </c>
      <c r="D919" s="867" t="s">
        <v>3238</v>
      </c>
      <c r="E919" s="868">
        <v>45531.39403935185</v>
      </c>
      <c r="F919" s="868">
        <v>45845.916655092595</v>
      </c>
      <c r="G919" s="867" t="s">
        <v>1758</v>
      </c>
      <c r="H919" s="867" t="s">
        <v>1759</v>
      </c>
      <c r="I919" s="867" t="s">
        <v>1761</v>
      </c>
      <c r="J919" s="867" t="s">
        <v>3239</v>
      </c>
      <c r="K919" s="867" t="s">
        <v>1804</v>
      </c>
      <c r="L919" s="867" t="s">
        <v>1828</v>
      </c>
      <c r="M919" s="867" t="s">
        <v>3210</v>
      </c>
      <c r="N919" s="867" t="s">
        <v>3877</v>
      </c>
      <c r="O919" s="867" t="s">
        <v>4156</v>
      </c>
      <c r="P919" s="869">
        <v>35</v>
      </c>
      <c r="Q919" s="869">
        <v>32</v>
      </c>
      <c r="R919" s="870">
        <v>9</v>
      </c>
      <c r="S919" s="871">
        <v>35</v>
      </c>
      <c r="T919" s="871">
        <v>32</v>
      </c>
      <c r="U919" s="872">
        <v>9</v>
      </c>
      <c r="W919" s="872"/>
    </row>
    <row r="920" spans="1:23" ht="24" x14ac:dyDescent="0.2">
      <c r="A920" s="778" t="s">
        <v>4151</v>
      </c>
      <c r="B920" s="866" t="s">
        <v>4152</v>
      </c>
      <c r="C920" s="879" t="s">
        <v>3876</v>
      </c>
      <c r="D920" s="867" t="s">
        <v>3240</v>
      </c>
      <c r="E920" s="868">
        <v>45536.916666666664</v>
      </c>
      <c r="F920" s="868">
        <v>45838.916655092595</v>
      </c>
      <c r="G920" s="867" t="s">
        <v>1758</v>
      </c>
      <c r="H920" s="867" t="s">
        <v>1759</v>
      </c>
      <c r="I920" s="867" t="s">
        <v>1761</v>
      </c>
      <c r="J920" s="867" t="s">
        <v>3241</v>
      </c>
      <c r="K920" s="867" t="s">
        <v>1804</v>
      </c>
      <c r="L920" s="867" t="s">
        <v>1828</v>
      </c>
      <c r="M920" s="867" t="s">
        <v>3204</v>
      </c>
      <c r="N920" s="867" t="s">
        <v>4153</v>
      </c>
      <c r="O920" s="873" t="s">
        <v>4154</v>
      </c>
      <c r="P920" s="874">
        <v>20</v>
      </c>
      <c r="Q920" s="874">
        <v>20</v>
      </c>
      <c r="R920" s="875">
        <v>3</v>
      </c>
      <c r="S920" s="876">
        <v>20</v>
      </c>
      <c r="T920" s="876">
        <v>20</v>
      </c>
      <c r="U920" s="877">
        <v>3</v>
      </c>
      <c r="W920" s="877"/>
    </row>
    <row r="921" spans="1:23" ht="36" x14ac:dyDescent="0.2">
      <c r="A921" s="778" t="s">
        <v>4151</v>
      </c>
      <c r="B921" s="866" t="s">
        <v>4152</v>
      </c>
      <c r="C921" s="879" t="s">
        <v>3876</v>
      </c>
      <c r="D921" s="867" t="s">
        <v>3242</v>
      </c>
      <c r="E921" s="868">
        <v>45449.916666666664</v>
      </c>
      <c r="F921" s="868">
        <v>45815.916655092595</v>
      </c>
      <c r="G921" s="867" t="s">
        <v>1777</v>
      </c>
      <c r="H921" s="867" t="s">
        <v>1782</v>
      </c>
      <c r="I921" s="867" t="s">
        <v>1783</v>
      </c>
      <c r="J921" s="867" t="s">
        <v>3243</v>
      </c>
      <c r="K921" s="867" t="s">
        <v>1804</v>
      </c>
      <c r="L921" s="867" t="s">
        <v>1805</v>
      </c>
      <c r="M921" s="867" t="s">
        <v>3207</v>
      </c>
      <c r="N921" s="867" t="s">
        <v>3904</v>
      </c>
      <c r="O921" s="867" t="s">
        <v>4155</v>
      </c>
      <c r="P921" s="869">
        <v>34</v>
      </c>
      <c r="Q921" s="869">
        <v>33</v>
      </c>
      <c r="R921" s="870">
        <v>1</v>
      </c>
      <c r="S921" s="871">
        <v>34</v>
      </c>
      <c r="T921" s="871">
        <v>33</v>
      </c>
      <c r="U921" s="872">
        <v>1</v>
      </c>
      <c r="W921" s="872"/>
    </row>
    <row r="922" spans="1:23" ht="24" x14ac:dyDescent="0.2">
      <c r="A922" s="812" t="s">
        <v>4158</v>
      </c>
      <c r="B922" s="866" t="s">
        <v>3890</v>
      </c>
      <c r="C922" s="866" t="s">
        <v>3890</v>
      </c>
      <c r="D922" s="1438" t="s">
        <v>3244</v>
      </c>
      <c r="E922" s="1441">
        <v>45621.287916666668</v>
      </c>
      <c r="F922" s="1441">
        <v>45657.958321759259</v>
      </c>
      <c r="G922" s="1438" t="s">
        <v>1758</v>
      </c>
      <c r="H922" s="1438" t="s">
        <v>1759</v>
      </c>
      <c r="I922" s="1438" t="s">
        <v>1762</v>
      </c>
      <c r="J922" s="1438" t="s">
        <v>3245</v>
      </c>
      <c r="K922" s="1438" t="s">
        <v>1804</v>
      </c>
      <c r="L922" s="1438" t="s">
        <v>1828</v>
      </c>
      <c r="M922" s="867" t="s">
        <v>3246</v>
      </c>
      <c r="N922" s="867" t="s">
        <v>3861</v>
      </c>
      <c r="O922" s="873" t="s">
        <v>4050</v>
      </c>
      <c r="P922" s="874">
        <v>8</v>
      </c>
      <c r="Q922" s="874">
        <v>8</v>
      </c>
      <c r="R922" s="875">
        <v>8</v>
      </c>
      <c r="S922" s="876"/>
      <c r="T922" s="876"/>
      <c r="U922" s="877"/>
      <c r="W922" s="877"/>
    </row>
    <row r="923" spans="1:23" ht="24" x14ac:dyDescent="0.2">
      <c r="A923" s="812" t="s">
        <v>4158</v>
      </c>
      <c r="B923" s="866" t="s">
        <v>3890</v>
      </c>
      <c r="C923" s="866" t="s">
        <v>3890</v>
      </c>
      <c r="D923" s="1439"/>
      <c r="E923" s="1442"/>
      <c r="F923" s="1442"/>
      <c r="G923" s="1439"/>
      <c r="H923" s="1439"/>
      <c r="I923" s="1439"/>
      <c r="J923" s="1439"/>
      <c r="K923" s="1439"/>
      <c r="L923" s="1439"/>
      <c r="M923" s="867" t="s">
        <v>3247</v>
      </c>
      <c r="N923" s="867" t="s">
        <v>3921</v>
      </c>
      <c r="O923" s="867" t="s">
        <v>4159</v>
      </c>
      <c r="P923" s="869">
        <v>8</v>
      </c>
      <c r="Q923" s="869">
        <v>8</v>
      </c>
      <c r="R923" s="870">
        <v>8</v>
      </c>
      <c r="S923" s="871"/>
      <c r="T923" s="871"/>
      <c r="U923" s="872"/>
      <c r="W923" s="872"/>
    </row>
    <row r="924" spans="1:23" ht="24" x14ac:dyDescent="0.2">
      <c r="A924" s="812" t="s">
        <v>4158</v>
      </c>
      <c r="B924" s="866" t="s">
        <v>3890</v>
      </c>
      <c r="C924" s="866" t="s">
        <v>3890</v>
      </c>
      <c r="D924" s="1439"/>
      <c r="E924" s="1442"/>
      <c r="F924" s="1442"/>
      <c r="G924" s="1439"/>
      <c r="H924" s="1439"/>
      <c r="I924" s="1439"/>
      <c r="J924" s="1439"/>
      <c r="K924" s="1439"/>
      <c r="L924" s="1439"/>
      <c r="M924" s="867" t="s">
        <v>3248</v>
      </c>
      <c r="N924" s="867" t="s">
        <v>3868</v>
      </c>
      <c r="O924" s="873" t="s">
        <v>4160</v>
      </c>
      <c r="P924" s="874">
        <v>8</v>
      </c>
      <c r="Q924" s="874">
        <v>8</v>
      </c>
      <c r="R924" s="875">
        <v>8</v>
      </c>
      <c r="S924" s="876"/>
      <c r="T924" s="876"/>
      <c r="U924" s="877"/>
      <c r="W924" s="877"/>
    </row>
    <row r="925" spans="1:23" ht="24" x14ac:dyDescent="0.2">
      <c r="A925" s="812" t="s">
        <v>4158</v>
      </c>
      <c r="B925" s="866" t="s">
        <v>3890</v>
      </c>
      <c r="C925" s="866" t="s">
        <v>3890</v>
      </c>
      <c r="D925" s="1440"/>
      <c r="E925" s="1443"/>
      <c r="F925" s="1443"/>
      <c r="G925" s="1440"/>
      <c r="H925" s="1440"/>
      <c r="I925" s="1440"/>
      <c r="J925" s="1440"/>
      <c r="K925" s="1440"/>
      <c r="L925" s="1440"/>
      <c r="M925" s="867" t="s">
        <v>3249</v>
      </c>
      <c r="N925" s="867" t="s">
        <v>4161</v>
      </c>
      <c r="O925" s="867" t="s">
        <v>4162</v>
      </c>
      <c r="P925" s="869">
        <v>8</v>
      </c>
      <c r="Q925" s="869">
        <v>8</v>
      </c>
      <c r="R925" s="870">
        <v>8</v>
      </c>
      <c r="S925" s="871"/>
      <c r="T925" s="871"/>
      <c r="U925" s="872"/>
      <c r="W925" s="872"/>
    </row>
    <row r="926" spans="1:23" ht="24" x14ac:dyDescent="0.2">
      <c r="A926" s="812" t="s">
        <v>4158</v>
      </c>
      <c r="B926" s="866" t="s">
        <v>3890</v>
      </c>
      <c r="C926" s="866" t="s">
        <v>3890</v>
      </c>
      <c r="D926" s="1438" t="s">
        <v>3250</v>
      </c>
      <c r="E926" s="1441">
        <v>45458.916666666664</v>
      </c>
      <c r="F926" s="1441">
        <v>45550.916666666664</v>
      </c>
      <c r="G926" s="1438" t="s">
        <v>1758</v>
      </c>
      <c r="H926" s="1438" t="s">
        <v>1759</v>
      </c>
      <c r="I926" s="1438" t="s">
        <v>1817</v>
      </c>
      <c r="J926" s="1438" t="s">
        <v>3245</v>
      </c>
      <c r="K926" s="1438" t="s">
        <v>1804</v>
      </c>
      <c r="L926" s="1438" t="s">
        <v>1819</v>
      </c>
      <c r="M926" s="867" t="s">
        <v>3246</v>
      </c>
      <c r="N926" s="867" t="s">
        <v>3861</v>
      </c>
      <c r="O926" s="873" t="s">
        <v>4050</v>
      </c>
      <c r="P926" s="874">
        <v>8</v>
      </c>
      <c r="Q926" s="874">
        <v>8</v>
      </c>
      <c r="R926" s="875">
        <v>8</v>
      </c>
      <c r="S926" s="876"/>
      <c r="T926" s="876"/>
      <c r="U926" s="877"/>
      <c r="W926" s="877"/>
    </row>
    <row r="927" spans="1:23" ht="24" x14ac:dyDescent="0.2">
      <c r="A927" s="812" t="s">
        <v>4158</v>
      </c>
      <c r="B927" s="866" t="s">
        <v>3890</v>
      </c>
      <c r="C927" s="866" t="s">
        <v>3890</v>
      </c>
      <c r="D927" s="1439"/>
      <c r="E927" s="1442"/>
      <c r="F927" s="1442"/>
      <c r="G927" s="1439"/>
      <c r="H927" s="1439"/>
      <c r="I927" s="1439"/>
      <c r="J927" s="1439"/>
      <c r="K927" s="1439"/>
      <c r="L927" s="1439"/>
      <c r="M927" s="867" t="s">
        <v>3247</v>
      </c>
      <c r="N927" s="867" t="s">
        <v>3921</v>
      </c>
      <c r="O927" s="867" t="s">
        <v>4159</v>
      </c>
      <c r="P927" s="869">
        <v>8</v>
      </c>
      <c r="Q927" s="869">
        <v>8</v>
      </c>
      <c r="R927" s="870">
        <v>8</v>
      </c>
      <c r="S927" s="871"/>
      <c r="T927" s="871"/>
      <c r="U927" s="872"/>
      <c r="W927" s="872"/>
    </row>
    <row r="928" spans="1:23" ht="24" x14ac:dyDescent="0.2">
      <c r="A928" s="812" t="s">
        <v>4158</v>
      </c>
      <c r="B928" s="866" t="s">
        <v>3890</v>
      </c>
      <c r="C928" s="866" t="s">
        <v>3890</v>
      </c>
      <c r="D928" s="1439"/>
      <c r="E928" s="1442"/>
      <c r="F928" s="1442"/>
      <c r="G928" s="1439"/>
      <c r="H928" s="1439"/>
      <c r="I928" s="1439"/>
      <c r="J928" s="1439"/>
      <c r="K928" s="1439"/>
      <c r="L928" s="1439"/>
      <c r="M928" s="867" t="s">
        <v>3248</v>
      </c>
      <c r="N928" s="867" t="s">
        <v>3868</v>
      </c>
      <c r="O928" s="873" t="s">
        <v>4160</v>
      </c>
      <c r="P928" s="874">
        <v>8</v>
      </c>
      <c r="Q928" s="874">
        <v>8</v>
      </c>
      <c r="R928" s="875">
        <v>8</v>
      </c>
      <c r="S928" s="876"/>
      <c r="T928" s="876"/>
      <c r="U928" s="877"/>
      <c r="W928" s="877"/>
    </row>
    <row r="929" spans="1:23" ht="24" x14ac:dyDescent="0.2">
      <c r="A929" s="812" t="s">
        <v>4158</v>
      </c>
      <c r="B929" s="866" t="s">
        <v>3890</v>
      </c>
      <c r="C929" s="866" t="s">
        <v>3890</v>
      </c>
      <c r="D929" s="1440"/>
      <c r="E929" s="1443"/>
      <c r="F929" s="1443"/>
      <c r="G929" s="1440"/>
      <c r="H929" s="1440"/>
      <c r="I929" s="1440"/>
      <c r="J929" s="1440"/>
      <c r="K929" s="1440"/>
      <c r="L929" s="1440"/>
      <c r="M929" s="867" t="s">
        <v>3249</v>
      </c>
      <c r="N929" s="867" t="s">
        <v>4161</v>
      </c>
      <c r="O929" s="867" t="s">
        <v>4162</v>
      </c>
      <c r="P929" s="869">
        <v>8</v>
      </c>
      <c r="Q929" s="869">
        <v>8</v>
      </c>
      <c r="R929" s="870">
        <v>8</v>
      </c>
      <c r="S929" s="871"/>
      <c r="T929" s="871"/>
      <c r="U929" s="872"/>
      <c r="W929" s="872"/>
    </row>
    <row r="930" spans="1:23" ht="24" x14ac:dyDescent="0.2">
      <c r="A930" s="812" t="s">
        <v>4158</v>
      </c>
      <c r="B930" s="866" t="s">
        <v>3890</v>
      </c>
      <c r="C930" s="866" t="s">
        <v>3890</v>
      </c>
      <c r="D930" s="1438" t="s">
        <v>3251</v>
      </c>
      <c r="E930" s="1441">
        <v>45572.239178240743</v>
      </c>
      <c r="F930" s="1441">
        <v>45624.958321759259</v>
      </c>
      <c r="G930" s="1438" t="s">
        <v>1758</v>
      </c>
      <c r="H930" s="1438" t="s">
        <v>1759</v>
      </c>
      <c r="I930" s="1438" t="s">
        <v>1761</v>
      </c>
      <c r="J930" s="1438" t="s">
        <v>3252</v>
      </c>
      <c r="K930" s="1438" t="s">
        <v>1804</v>
      </c>
      <c r="L930" s="1438" t="s">
        <v>1828</v>
      </c>
      <c r="M930" s="867" t="s">
        <v>3246</v>
      </c>
      <c r="N930" s="867" t="s">
        <v>3861</v>
      </c>
      <c r="O930" s="873" t="s">
        <v>4050</v>
      </c>
      <c r="P930" s="874">
        <v>8</v>
      </c>
      <c r="Q930" s="874">
        <v>8</v>
      </c>
      <c r="R930" s="875">
        <v>8</v>
      </c>
      <c r="S930" s="876"/>
      <c r="T930" s="876"/>
      <c r="U930" s="877"/>
      <c r="W930" s="877"/>
    </row>
    <row r="931" spans="1:23" ht="24" x14ac:dyDescent="0.2">
      <c r="A931" s="812" t="s">
        <v>4158</v>
      </c>
      <c r="B931" s="866" t="s">
        <v>3890</v>
      </c>
      <c r="C931" s="866" t="s">
        <v>3890</v>
      </c>
      <c r="D931" s="1439"/>
      <c r="E931" s="1442"/>
      <c r="F931" s="1442"/>
      <c r="G931" s="1439"/>
      <c r="H931" s="1439"/>
      <c r="I931" s="1439"/>
      <c r="J931" s="1439"/>
      <c r="K931" s="1439"/>
      <c r="L931" s="1439"/>
      <c r="M931" s="867" t="s">
        <v>3247</v>
      </c>
      <c r="N931" s="867" t="s">
        <v>3921</v>
      </c>
      <c r="O931" s="867" t="s">
        <v>4159</v>
      </c>
      <c r="P931" s="869">
        <v>8</v>
      </c>
      <c r="Q931" s="869">
        <v>8</v>
      </c>
      <c r="R931" s="870">
        <v>8</v>
      </c>
      <c r="S931" s="871"/>
      <c r="T931" s="871"/>
      <c r="U931" s="872"/>
      <c r="W931" s="872"/>
    </row>
    <row r="932" spans="1:23" ht="24" x14ac:dyDescent="0.2">
      <c r="A932" s="812" t="s">
        <v>4158</v>
      </c>
      <c r="B932" s="866" t="s">
        <v>3890</v>
      </c>
      <c r="C932" s="866" t="s">
        <v>3890</v>
      </c>
      <c r="D932" s="1439"/>
      <c r="E932" s="1442"/>
      <c r="F932" s="1442"/>
      <c r="G932" s="1439"/>
      <c r="H932" s="1439"/>
      <c r="I932" s="1439"/>
      <c r="J932" s="1439"/>
      <c r="K932" s="1439"/>
      <c r="L932" s="1439"/>
      <c r="M932" s="867" t="s">
        <v>3248</v>
      </c>
      <c r="N932" s="867" t="s">
        <v>3868</v>
      </c>
      <c r="O932" s="873" t="s">
        <v>4160</v>
      </c>
      <c r="P932" s="874">
        <v>8</v>
      </c>
      <c r="Q932" s="874">
        <v>8</v>
      </c>
      <c r="R932" s="875">
        <v>8</v>
      </c>
      <c r="S932" s="876"/>
      <c r="T932" s="876"/>
      <c r="U932" s="877"/>
      <c r="W932" s="877"/>
    </row>
    <row r="933" spans="1:23" ht="24" x14ac:dyDescent="0.2">
      <c r="A933" s="812" t="s">
        <v>4158</v>
      </c>
      <c r="B933" s="866" t="s">
        <v>3890</v>
      </c>
      <c r="C933" s="866" t="s">
        <v>3890</v>
      </c>
      <c r="D933" s="1440"/>
      <c r="E933" s="1443"/>
      <c r="F933" s="1443"/>
      <c r="G933" s="1440"/>
      <c r="H933" s="1440"/>
      <c r="I933" s="1440"/>
      <c r="J933" s="1440"/>
      <c r="K933" s="1440"/>
      <c r="L933" s="1440"/>
      <c r="M933" s="867" t="s">
        <v>3249</v>
      </c>
      <c r="N933" s="867" t="s">
        <v>4161</v>
      </c>
      <c r="O933" s="867" t="s">
        <v>4162</v>
      </c>
      <c r="P933" s="869">
        <v>8</v>
      </c>
      <c r="Q933" s="869">
        <v>8</v>
      </c>
      <c r="R933" s="870">
        <v>8</v>
      </c>
      <c r="S933" s="871"/>
      <c r="T933" s="871"/>
      <c r="U933" s="872"/>
      <c r="W933" s="872"/>
    </row>
    <row r="934" spans="1:23" ht="24" x14ac:dyDescent="0.2">
      <c r="A934" s="812" t="s">
        <v>4158</v>
      </c>
      <c r="B934" s="866" t="s">
        <v>3890</v>
      </c>
      <c r="C934" s="866" t="s">
        <v>3890</v>
      </c>
      <c r="D934" s="1438" t="s">
        <v>3253</v>
      </c>
      <c r="E934" s="1441">
        <v>45551.253842592596</v>
      </c>
      <c r="F934" s="1441">
        <v>45596.958321759259</v>
      </c>
      <c r="G934" s="1438" t="s">
        <v>1758</v>
      </c>
      <c r="H934" s="1438" t="s">
        <v>1759</v>
      </c>
      <c r="I934" s="1438" t="s">
        <v>1760</v>
      </c>
      <c r="J934" s="1438" t="s">
        <v>3254</v>
      </c>
      <c r="K934" s="1438" t="s">
        <v>1804</v>
      </c>
      <c r="L934" s="1438" t="s">
        <v>1805</v>
      </c>
      <c r="M934" s="867" t="s">
        <v>3246</v>
      </c>
      <c r="N934" s="867" t="s">
        <v>3861</v>
      </c>
      <c r="O934" s="873" t="s">
        <v>4050</v>
      </c>
      <c r="P934" s="874">
        <v>7</v>
      </c>
      <c r="Q934" s="874">
        <v>7</v>
      </c>
      <c r="R934" s="875">
        <v>7</v>
      </c>
      <c r="S934" s="876"/>
      <c r="T934" s="876"/>
      <c r="U934" s="877"/>
      <c r="W934" s="877"/>
    </row>
    <row r="935" spans="1:23" ht="24" x14ac:dyDescent="0.2">
      <c r="A935" s="812" t="s">
        <v>4158</v>
      </c>
      <c r="B935" s="866" t="s">
        <v>3890</v>
      </c>
      <c r="C935" s="866" t="s">
        <v>3890</v>
      </c>
      <c r="D935" s="1439"/>
      <c r="E935" s="1442"/>
      <c r="F935" s="1442"/>
      <c r="G935" s="1439"/>
      <c r="H935" s="1439"/>
      <c r="I935" s="1439"/>
      <c r="J935" s="1439"/>
      <c r="K935" s="1439"/>
      <c r="L935" s="1439"/>
      <c r="M935" s="867" t="s">
        <v>3247</v>
      </c>
      <c r="N935" s="867" t="s">
        <v>3921</v>
      </c>
      <c r="O935" s="867" t="s">
        <v>4159</v>
      </c>
      <c r="P935" s="869">
        <v>7</v>
      </c>
      <c r="Q935" s="869">
        <v>7</v>
      </c>
      <c r="R935" s="870">
        <v>7</v>
      </c>
      <c r="S935" s="871"/>
      <c r="T935" s="871"/>
      <c r="U935" s="872"/>
      <c r="W935" s="872"/>
    </row>
    <row r="936" spans="1:23" ht="24" x14ac:dyDescent="0.2">
      <c r="A936" s="812" t="s">
        <v>4158</v>
      </c>
      <c r="B936" s="866" t="s">
        <v>3890</v>
      </c>
      <c r="C936" s="866" t="s">
        <v>3890</v>
      </c>
      <c r="D936" s="1439"/>
      <c r="E936" s="1442"/>
      <c r="F936" s="1442"/>
      <c r="G936" s="1439"/>
      <c r="H936" s="1439"/>
      <c r="I936" s="1439"/>
      <c r="J936" s="1439"/>
      <c r="K936" s="1439"/>
      <c r="L936" s="1439"/>
      <c r="M936" s="867" t="s">
        <v>3248</v>
      </c>
      <c r="N936" s="867" t="s">
        <v>3868</v>
      </c>
      <c r="O936" s="873" t="s">
        <v>4160</v>
      </c>
      <c r="P936" s="874">
        <v>7</v>
      </c>
      <c r="Q936" s="874">
        <v>7</v>
      </c>
      <c r="R936" s="875">
        <v>7</v>
      </c>
      <c r="S936" s="876"/>
      <c r="T936" s="876"/>
      <c r="U936" s="877"/>
      <c r="W936" s="877"/>
    </row>
    <row r="937" spans="1:23" ht="24" x14ac:dyDescent="0.2">
      <c r="A937" s="812" t="s">
        <v>4158</v>
      </c>
      <c r="B937" s="866" t="s">
        <v>3890</v>
      </c>
      <c r="C937" s="866" t="s">
        <v>3890</v>
      </c>
      <c r="D937" s="1440"/>
      <c r="E937" s="1443"/>
      <c r="F937" s="1443"/>
      <c r="G937" s="1440"/>
      <c r="H937" s="1440"/>
      <c r="I937" s="1440"/>
      <c r="J937" s="1440"/>
      <c r="K937" s="1440"/>
      <c r="L937" s="1440"/>
      <c r="M937" s="867" t="s">
        <v>3249</v>
      </c>
      <c r="N937" s="867" t="s">
        <v>4161</v>
      </c>
      <c r="O937" s="867" t="s">
        <v>4162</v>
      </c>
      <c r="P937" s="869">
        <v>7</v>
      </c>
      <c r="Q937" s="869">
        <v>7</v>
      </c>
      <c r="R937" s="870">
        <v>7</v>
      </c>
      <c r="S937" s="871"/>
      <c r="T937" s="871"/>
      <c r="U937" s="872"/>
      <c r="W937" s="872"/>
    </row>
    <row r="938" spans="1:23" ht="36" x14ac:dyDescent="0.2">
      <c r="A938" s="812" t="s">
        <v>4163</v>
      </c>
      <c r="B938" s="866" t="s">
        <v>4164</v>
      </c>
      <c r="C938" s="866" t="s">
        <v>3867</v>
      </c>
      <c r="D938" s="867" t="s">
        <v>3255</v>
      </c>
      <c r="E938" s="868">
        <v>45427.916666666664</v>
      </c>
      <c r="F938" s="868">
        <v>45519.916666666664</v>
      </c>
      <c r="G938" s="867" t="s">
        <v>1758</v>
      </c>
      <c r="H938" s="867" t="s">
        <v>1759</v>
      </c>
      <c r="I938" s="867" t="s">
        <v>1817</v>
      </c>
      <c r="J938" s="867" t="s">
        <v>3256</v>
      </c>
      <c r="K938" s="867" t="s">
        <v>1804</v>
      </c>
      <c r="L938" s="867" t="s">
        <v>1819</v>
      </c>
      <c r="M938" s="867" t="s">
        <v>3257</v>
      </c>
      <c r="N938" s="867" t="s">
        <v>3863</v>
      </c>
      <c r="O938" s="873" t="s">
        <v>4165</v>
      </c>
      <c r="P938" s="874">
        <v>14</v>
      </c>
      <c r="Q938" s="874">
        <v>1</v>
      </c>
      <c r="R938" s="875">
        <v>0</v>
      </c>
      <c r="S938" s="876">
        <v>14</v>
      </c>
      <c r="T938" s="876">
        <v>1</v>
      </c>
      <c r="U938" s="877">
        <v>0</v>
      </c>
      <c r="W938" s="877">
        <v>0</v>
      </c>
    </row>
    <row r="939" spans="1:23" ht="24" x14ac:dyDescent="0.2">
      <c r="A939" s="812" t="s">
        <v>4163</v>
      </c>
      <c r="B939" s="866" t="s">
        <v>4164</v>
      </c>
      <c r="C939" s="866" t="s">
        <v>3867</v>
      </c>
      <c r="D939" s="867" t="s">
        <v>3258</v>
      </c>
      <c r="E939" s="868">
        <v>45540.321944444448</v>
      </c>
      <c r="F939" s="868">
        <v>45838.916655092595</v>
      </c>
      <c r="G939" s="867" t="s">
        <v>1758</v>
      </c>
      <c r="H939" s="867" t="s">
        <v>1759</v>
      </c>
      <c r="I939" s="867" t="s">
        <v>1761</v>
      </c>
      <c r="J939" s="867" t="s">
        <v>1761</v>
      </c>
      <c r="K939" s="867" t="s">
        <v>1804</v>
      </c>
      <c r="L939" s="867" t="s">
        <v>1828</v>
      </c>
      <c r="M939" s="867" t="s">
        <v>3257</v>
      </c>
      <c r="N939" s="867" t="s">
        <v>3863</v>
      </c>
      <c r="O939" s="867" t="s">
        <v>4165</v>
      </c>
      <c r="P939" s="869">
        <v>13</v>
      </c>
      <c r="Q939" s="869">
        <v>3</v>
      </c>
      <c r="R939" s="870">
        <v>0</v>
      </c>
      <c r="S939" s="871">
        <v>13</v>
      </c>
      <c r="T939" s="871">
        <v>3</v>
      </c>
      <c r="U939" s="872">
        <v>0</v>
      </c>
      <c r="W939" s="872">
        <v>0</v>
      </c>
    </row>
    <row r="940" spans="1:23" ht="36" x14ac:dyDescent="0.2">
      <c r="A940" s="812" t="s">
        <v>4166</v>
      </c>
      <c r="B940" s="866" t="s">
        <v>4167</v>
      </c>
      <c r="C940" s="866" t="s">
        <v>3867</v>
      </c>
      <c r="D940" s="867" t="s">
        <v>3259</v>
      </c>
      <c r="E940" s="868">
        <v>45545.547349537039</v>
      </c>
      <c r="F940" s="868">
        <v>45838.916655092595</v>
      </c>
      <c r="G940" s="867" t="s">
        <v>1758</v>
      </c>
      <c r="H940" s="867" t="s">
        <v>1759</v>
      </c>
      <c r="I940" s="867" t="s">
        <v>1762</v>
      </c>
      <c r="J940" s="867" t="s">
        <v>1762</v>
      </c>
      <c r="K940" s="867" t="s">
        <v>1804</v>
      </c>
      <c r="L940" s="867" t="s">
        <v>1828</v>
      </c>
      <c r="M940" s="867" t="s">
        <v>3260</v>
      </c>
      <c r="N940" s="867" t="s">
        <v>4168</v>
      </c>
      <c r="O940" s="873" t="s">
        <v>4169</v>
      </c>
      <c r="P940" s="874">
        <v>2</v>
      </c>
      <c r="Q940" s="874">
        <v>2</v>
      </c>
      <c r="R940" s="875">
        <v>2</v>
      </c>
      <c r="S940" s="876">
        <v>2</v>
      </c>
      <c r="T940" s="876">
        <v>2</v>
      </c>
      <c r="U940" s="877">
        <v>2</v>
      </c>
      <c r="W940" s="877">
        <v>2</v>
      </c>
    </row>
    <row r="941" spans="1:23" ht="48" x14ac:dyDescent="0.2">
      <c r="A941" s="812" t="s">
        <v>4166</v>
      </c>
      <c r="B941" s="866" t="s">
        <v>4167</v>
      </c>
      <c r="C941" s="866" t="s">
        <v>3867</v>
      </c>
      <c r="D941" s="867" t="s">
        <v>3261</v>
      </c>
      <c r="E941" s="868">
        <v>45552.644918981481</v>
      </c>
      <c r="F941" s="868">
        <v>45838.916655092595</v>
      </c>
      <c r="G941" s="867" t="s">
        <v>1758</v>
      </c>
      <c r="H941" s="867" t="s">
        <v>1759</v>
      </c>
      <c r="I941" s="867" t="s">
        <v>1760</v>
      </c>
      <c r="J941" s="867" t="s">
        <v>1760</v>
      </c>
      <c r="K941" s="867" t="s">
        <v>1804</v>
      </c>
      <c r="L941" s="867" t="s">
        <v>1805</v>
      </c>
      <c r="M941" s="867" t="s">
        <v>3260</v>
      </c>
      <c r="N941" s="867" t="s">
        <v>4168</v>
      </c>
      <c r="O941" s="867" t="s">
        <v>4169</v>
      </c>
      <c r="P941" s="869">
        <v>1</v>
      </c>
      <c r="Q941" s="869">
        <v>1</v>
      </c>
      <c r="R941" s="870">
        <v>1</v>
      </c>
      <c r="S941" s="871">
        <v>1</v>
      </c>
      <c r="T941" s="871">
        <v>1</v>
      </c>
      <c r="U941" s="872">
        <v>1</v>
      </c>
      <c r="W941" s="872">
        <v>1</v>
      </c>
    </row>
    <row r="942" spans="1:23" ht="36" x14ac:dyDescent="0.2">
      <c r="A942" s="812" t="s">
        <v>4166</v>
      </c>
      <c r="B942" s="866" t="s">
        <v>4167</v>
      </c>
      <c r="C942" s="866" t="s">
        <v>3867</v>
      </c>
      <c r="D942" s="867" t="s">
        <v>3262</v>
      </c>
      <c r="E942" s="868">
        <v>45545.545532407406</v>
      </c>
      <c r="F942" s="868">
        <v>45838.916655092595</v>
      </c>
      <c r="G942" s="867" t="s">
        <v>1758</v>
      </c>
      <c r="H942" s="867" t="s">
        <v>1759</v>
      </c>
      <c r="I942" s="867" t="s">
        <v>1761</v>
      </c>
      <c r="J942" s="867" t="s">
        <v>1761</v>
      </c>
      <c r="K942" s="867" t="s">
        <v>1804</v>
      </c>
      <c r="L942" s="867" t="s">
        <v>1828</v>
      </c>
      <c r="M942" s="867" t="s">
        <v>3260</v>
      </c>
      <c r="N942" s="867" t="s">
        <v>4168</v>
      </c>
      <c r="O942" s="873" t="s">
        <v>4169</v>
      </c>
      <c r="P942" s="874">
        <v>11</v>
      </c>
      <c r="Q942" s="874">
        <v>11</v>
      </c>
      <c r="R942" s="875">
        <v>3</v>
      </c>
      <c r="S942" s="876">
        <v>11</v>
      </c>
      <c r="T942" s="876">
        <v>11</v>
      </c>
      <c r="U942" s="877">
        <v>3</v>
      </c>
      <c r="W942" s="877">
        <v>3</v>
      </c>
    </row>
    <row r="943" spans="1:23" ht="48" x14ac:dyDescent="0.2">
      <c r="A943" s="812" t="s">
        <v>4170</v>
      </c>
      <c r="B943" s="866">
        <v>17055415</v>
      </c>
      <c r="C943" s="866" t="s">
        <v>3860</v>
      </c>
      <c r="D943" s="867" t="s">
        <v>3263</v>
      </c>
      <c r="E943" s="868">
        <v>45593.513067129628</v>
      </c>
      <c r="F943" s="868">
        <v>45838.916655092595</v>
      </c>
      <c r="G943" s="867" t="s">
        <v>1758</v>
      </c>
      <c r="H943" s="867" t="s">
        <v>1759</v>
      </c>
      <c r="I943" s="867" t="s">
        <v>1762</v>
      </c>
      <c r="J943" s="867" t="s">
        <v>2499</v>
      </c>
      <c r="K943" s="867" t="s">
        <v>1804</v>
      </c>
      <c r="L943" s="867" t="s">
        <v>1828</v>
      </c>
      <c r="M943" s="867" t="s">
        <v>3264</v>
      </c>
      <c r="N943" s="867" t="s">
        <v>3870</v>
      </c>
      <c r="O943" s="867" t="s">
        <v>4014</v>
      </c>
      <c r="P943" s="869">
        <v>5</v>
      </c>
      <c r="Q943" s="869">
        <v>4</v>
      </c>
      <c r="R943" s="870">
        <v>0</v>
      </c>
      <c r="S943" s="871"/>
      <c r="T943" s="871"/>
      <c r="U943" s="872"/>
      <c r="W943" s="872"/>
    </row>
    <row r="944" spans="1:23" ht="48" x14ac:dyDescent="0.2">
      <c r="A944" s="812" t="s">
        <v>4170</v>
      </c>
      <c r="B944" s="866">
        <v>17055415</v>
      </c>
      <c r="C944" s="866" t="s">
        <v>3860</v>
      </c>
      <c r="D944" s="867" t="s">
        <v>3265</v>
      </c>
      <c r="E944" s="868">
        <v>45551.324942129628</v>
      </c>
      <c r="F944" s="868">
        <v>45838.916655092595</v>
      </c>
      <c r="G944" s="867" t="s">
        <v>1758</v>
      </c>
      <c r="H944" s="867" t="s">
        <v>1759</v>
      </c>
      <c r="I944" s="867" t="s">
        <v>1761</v>
      </c>
      <c r="J944" s="867" t="s">
        <v>3266</v>
      </c>
      <c r="K944" s="867" t="s">
        <v>1804</v>
      </c>
      <c r="L944" s="867" t="s">
        <v>1828</v>
      </c>
      <c r="M944" s="867" t="s">
        <v>3264</v>
      </c>
      <c r="N944" s="867" t="s">
        <v>3870</v>
      </c>
      <c r="O944" s="873" t="s">
        <v>4014</v>
      </c>
      <c r="P944" s="874">
        <v>11</v>
      </c>
      <c r="Q944" s="874">
        <v>9</v>
      </c>
      <c r="R944" s="875">
        <v>4</v>
      </c>
      <c r="S944" s="876"/>
      <c r="T944" s="876"/>
      <c r="U944" s="877"/>
      <c r="W944" s="877"/>
    </row>
    <row r="945" spans="1:23" ht="48" x14ac:dyDescent="0.2">
      <c r="A945" s="812" t="s">
        <v>4170</v>
      </c>
      <c r="B945" s="866">
        <v>17055415</v>
      </c>
      <c r="C945" s="866" t="s">
        <v>3860</v>
      </c>
      <c r="D945" s="867" t="s">
        <v>3267</v>
      </c>
      <c r="E945" s="868">
        <v>45614.28502314815</v>
      </c>
      <c r="F945" s="868">
        <v>45838.916655092595</v>
      </c>
      <c r="G945" s="867" t="s">
        <v>1758</v>
      </c>
      <c r="H945" s="867" t="s">
        <v>1759</v>
      </c>
      <c r="I945" s="867" t="s">
        <v>1761</v>
      </c>
      <c r="J945" s="867" t="s">
        <v>3268</v>
      </c>
      <c r="K945" s="867" t="s">
        <v>1804</v>
      </c>
      <c r="L945" s="867" t="s">
        <v>1828</v>
      </c>
      <c r="M945" s="867" t="s">
        <v>3264</v>
      </c>
      <c r="N945" s="867" t="s">
        <v>3870</v>
      </c>
      <c r="O945" s="867" t="s">
        <v>4014</v>
      </c>
      <c r="P945" s="869">
        <v>10</v>
      </c>
      <c r="Q945" s="869">
        <v>10</v>
      </c>
      <c r="R945" s="870">
        <v>5</v>
      </c>
      <c r="S945" s="871"/>
      <c r="T945" s="871"/>
      <c r="U945" s="872"/>
      <c r="W945" s="872"/>
    </row>
    <row r="946" spans="1:23" ht="36" x14ac:dyDescent="0.2">
      <c r="A946" s="812" t="s">
        <v>4171</v>
      </c>
      <c r="B946" s="866" t="s">
        <v>4172</v>
      </c>
      <c r="C946" s="866" t="s">
        <v>3966</v>
      </c>
      <c r="D946" s="867" t="s">
        <v>3269</v>
      </c>
      <c r="E946" s="868">
        <v>45560.42260416667</v>
      </c>
      <c r="F946" s="868">
        <v>45741.958321759259</v>
      </c>
      <c r="G946" s="867" t="s">
        <v>1767</v>
      </c>
      <c r="H946" s="867" t="s">
        <v>1770</v>
      </c>
      <c r="I946" s="867" t="s">
        <v>1771</v>
      </c>
      <c r="J946" s="867" t="s">
        <v>3270</v>
      </c>
      <c r="K946" s="867" t="s">
        <v>1804</v>
      </c>
      <c r="L946" s="867" t="s">
        <v>1805</v>
      </c>
      <c r="M946" s="867" t="s">
        <v>3271</v>
      </c>
      <c r="N946" s="867" t="s">
        <v>4019</v>
      </c>
      <c r="O946" s="873" t="s">
        <v>4173</v>
      </c>
      <c r="P946" s="874">
        <v>13</v>
      </c>
      <c r="Q946" s="874">
        <v>11</v>
      </c>
      <c r="R946" s="875">
        <v>0</v>
      </c>
      <c r="S946" s="876">
        <v>13</v>
      </c>
      <c r="T946" s="876">
        <v>11</v>
      </c>
      <c r="U946" s="877">
        <v>0</v>
      </c>
      <c r="W946" s="877">
        <v>0</v>
      </c>
    </row>
    <row r="947" spans="1:23" ht="36" x14ac:dyDescent="0.2">
      <c r="A947" s="812" t="s">
        <v>4171</v>
      </c>
      <c r="B947" s="866" t="s">
        <v>4172</v>
      </c>
      <c r="C947" s="866" t="s">
        <v>3966</v>
      </c>
      <c r="D947" s="867" t="s">
        <v>3272</v>
      </c>
      <c r="E947" s="868">
        <v>45542.916666666664</v>
      </c>
      <c r="F947" s="868">
        <v>45838.916655092595</v>
      </c>
      <c r="G947" s="867" t="s">
        <v>1758</v>
      </c>
      <c r="H947" s="867" t="s">
        <v>1759</v>
      </c>
      <c r="I947" s="867" t="s">
        <v>1762</v>
      </c>
      <c r="J947" s="867" t="s">
        <v>3273</v>
      </c>
      <c r="K947" s="867" t="s">
        <v>1804</v>
      </c>
      <c r="L947" s="867" t="s">
        <v>1828</v>
      </c>
      <c r="M947" s="867" t="s">
        <v>3274</v>
      </c>
      <c r="N947" s="867" t="s">
        <v>3877</v>
      </c>
      <c r="O947" s="867" t="s">
        <v>4174</v>
      </c>
      <c r="P947" s="869">
        <v>15</v>
      </c>
      <c r="Q947" s="869">
        <v>13</v>
      </c>
      <c r="R947" s="870">
        <v>1</v>
      </c>
      <c r="S947" s="871">
        <v>15</v>
      </c>
      <c r="T947" s="871">
        <v>13</v>
      </c>
      <c r="U947" s="872">
        <v>1</v>
      </c>
      <c r="W947" s="872">
        <v>1</v>
      </c>
    </row>
    <row r="948" spans="1:23" ht="36" x14ac:dyDescent="0.2">
      <c r="A948" s="812" t="s">
        <v>4171</v>
      </c>
      <c r="B948" s="866" t="s">
        <v>4172</v>
      </c>
      <c r="C948" s="866" t="s">
        <v>3966</v>
      </c>
      <c r="D948" s="867" t="s">
        <v>3275</v>
      </c>
      <c r="E948" s="868">
        <v>45561.259629629632</v>
      </c>
      <c r="F948" s="868">
        <v>45790.916655092595</v>
      </c>
      <c r="G948" s="867" t="s">
        <v>1767</v>
      </c>
      <c r="H948" s="867" t="s">
        <v>1770</v>
      </c>
      <c r="I948" s="867" t="s">
        <v>1771</v>
      </c>
      <c r="J948" s="867" t="s">
        <v>3276</v>
      </c>
      <c r="K948" s="867" t="s">
        <v>1804</v>
      </c>
      <c r="L948" s="867" t="s">
        <v>1805</v>
      </c>
      <c r="M948" s="867" t="s">
        <v>3271</v>
      </c>
      <c r="N948" s="867" t="s">
        <v>4019</v>
      </c>
      <c r="O948" s="873" t="s">
        <v>4173</v>
      </c>
      <c r="P948" s="874">
        <v>5</v>
      </c>
      <c r="Q948" s="874">
        <v>5</v>
      </c>
      <c r="R948" s="875">
        <v>0</v>
      </c>
      <c r="S948" s="876">
        <v>5</v>
      </c>
      <c r="T948" s="876">
        <v>5</v>
      </c>
      <c r="U948" s="877">
        <v>0</v>
      </c>
      <c r="W948" s="877">
        <v>0</v>
      </c>
    </row>
    <row r="949" spans="1:23" ht="36" x14ac:dyDescent="0.2">
      <c r="A949" s="812" t="s">
        <v>4171</v>
      </c>
      <c r="B949" s="866" t="s">
        <v>4172</v>
      </c>
      <c r="C949" s="866" t="s">
        <v>3966</v>
      </c>
      <c r="D949" s="867" t="s">
        <v>3277</v>
      </c>
      <c r="E949" s="868">
        <v>45542.916666666664</v>
      </c>
      <c r="F949" s="868">
        <v>45838.916655092595</v>
      </c>
      <c r="G949" s="867" t="s">
        <v>1758</v>
      </c>
      <c r="H949" s="867" t="s">
        <v>1759</v>
      </c>
      <c r="I949" s="867" t="s">
        <v>1762</v>
      </c>
      <c r="J949" s="867" t="s">
        <v>3278</v>
      </c>
      <c r="K949" s="867" t="s">
        <v>1804</v>
      </c>
      <c r="L949" s="867" t="s">
        <v>1828</v>
      </c>
      <c r="M949" s="867" t="s">
        <v>3274</v>
      </c>
      <c r="N949" s="867" t="s">
        <v>3877</v>
      </c>
      <c r="O949" s="867" t="s">
        <v>4174</v>
      </c>
      <c r="P949" s="869">
        <v>14</v>
      </c>
      <c r="Q949" s="869">
        <v>14</v>
      </c>
      <c r="R949" s="870">
        <v>13</v>
      </c>
      <c r="S949" s="871">
        <v>14</v>
      </c>
      <c r="T949" s="871">
        <v>14</v>
      </c>
      <c r="U949" s="872">
        <v>13</v>
      </c>
      <c r="W949" s="872">
        <v>13</v>
      </c>
    </row>
    <row r="950" spans="1:23" ht="36" x14ac:dyDescent="0.2">
      <c r="A950" s="812" t="s">
        <v>4171</v>
      </c>
      <c r="B950" s="866" t="s">
        <v>4172</v>
      </c>
      <c r="C950" s="866" t="s">
        <v>3966</v>
      </c>
      <c r="D950" s="867" t="s">
        <v>3279</v>
      </c>
      <c r="E950" s="868">
        <v>45554.405474537038</v>
      </c>
      <c r="F950" s="868">
        <v>45763.916655092595</v>
      </c>
      <c r="G950" s="867" t="s">
        <v>1767</v>
      </c>
      <c r="H950" s="867" t="s">
        <v>1770</v>
      </c>
      <c r="I950" s="867" t="s">
        <v>1771</v>
      </c>
      <c r="J950" s="867" t="s">
        <v>3280</v>
      </c>
      <c r="K950" s="867" t="s">
        <v>1804</v>
      </c>
      <c r="L950" s="867" t="s">
        <v>1805</v>
      </c>
      <c r="M950" s="867" t="s">
        <v>3271</v>
      </c>
      <c r="N950" s="867" t="s">
        <v>4019</v>
      </c>
      <c r="O950" s="873" t="s">
        <v>4173</v>
      </c>
      <c r="P950" s="874">
        <v>10</v>
      </c>
      <c r="Q950" s="874">
        <v>10</v>
      </c>
      <c r="R950" s="875">
        <v>0</v>
      </c>
      <c r="S950" s="876">
        <v>10</v>
      </c>
      <c r="T950" s="876">
        <v>10</v>
      </c>
      <c r="U950" s="877">
        <v>0</v>
      </c>
      <c r="W950" s="877">
        <v>0</v>
      </c>
    </row>
    <row r="951" spans="1:23" ht="36" x14ac:dyDescent="0.2">
      <c r="A951" s="812" t="s">
        <v>4171</v>
      </c>
      <c r="B951" s="866" t="s">
        <v>4172</v>
      </c>
      <c r="C951" s="866" t="s">
        <v>3966</v>
      </c>
      <c r="D951" s="867" t="s">
        <v>3281</v>
      </c>
      <c r="E951" s="868">
        <v>45551.444560185184</v>
      </c>
      <c r="F951" s="868">
        <v>45817.916655092595</v>
      </c>
      <c r="G951" s="867" t="s">
        <v>1767</v>
      </c>
      <c r="H951" s="867" t="s">
        <v>1770</v>
      </c>
      <c r="I951" s="867" t="s">
        <v>1771</v>
      </c>
      <c r="J951" s="867" t="s">
        <v>3282</v>
      </c>
      <c r="K951" s="867" t="s">
        <v>1804</v>
      </c>
      <c r="L951" s="867" t="s">
        <v>1805</v>
      </c>
      <c r="M951" s="867" t="s">
        <v>3271</v>
      </c>
      <c r="N951" s="867" t="s">
        <v>4019</v>
      </c>
      <c r="O951" s="867" t="s">
        <v>4173</v>
      </c>
      <c r="P951" s="869">
        <v>14</v>
      </c>
      <c r="Q951" s="869">
        <v>13</v>
      </c>
      <c r="R951" s="870">
        <v>0</v>
      </c>
      <c r="S951" s="871">
        <v>14</v>
      </c>
      <c r="T951" s="871">
        <v>13</v>
      </c>
      <c r="U951" s="872">
        <v>0</v>
      </c>
      <c r="W951" s="872">
        <v>0</v>
      </c>
    </row>
    <row r="952" spans="1:23" ht="36" x14ac:dyDescent="0.2">
      <c r="A952" s="812" t="s">
        <v>4171</v>
      </c>
      <c r="B952" s="866" t="s">
        <v>4172</v>
      </c>
      <c r="C952" s="866" t="s">
        <v>3966</v>
      </c>
      <c r="D952" s="867" t="s">
        <v>3283</v>
      </c>
      <c r="E952" s="868">
        <v>45554.256168981483</v>
      </c>
      <c r="F952" s="868">
        <v>45825.916655092595</v>
      </c>
      <c r="G952" s="867" t="s">
        <v>1767</v>
      </c>
      <c r="H952" s="867" t="s">
        <v>1770</v>
      </c>
      <c r="I952" s="867" t="s">
        <v>1771</v>
      </c>
      <c r="J952" s="867" t="s">
        <v>3284</v>
      </c>
      <c r="K952" s="867" t="s">
        <v>1804</v>
      </c>
      <c r="L952" s="867" t="s">
        <v>1805</v>
      </c>
      <c r="M952" s="867" t="s">
        <v>3271</v>
      </c>
      <c r="N952" s="867" t="s">
        <v>4019</v>
      </c>
      <c r="O952" s="873" t="s">
        <v>4173</v>
      </c>
      <c r="P952" s="874">
        <v>6</v>
      </c>
      <c r="Q952" s="874">
        <v>6</v>
      </c>
      <c r="R952" s="875">
        <v>0</v>
      </c>
      <c r="S952" s="876">
        <v>6</v>
      </c>
      <c r="T952" s="876">
        <v>6</v>
      </c>
      <c r="U952" s="877">
        <v>0</v>
      </c>
      <c r="W952" s="877">
        <v>0</v>
      </c>
    </row>
    <row r="953" spans="1:23" ht="36" x14ac:dyDescent="0.2">
      <c r="A953" s="812" t="s">
        <v>4171</v>
      </c>
      <c r="B953" s="866" t="s">
        <v>4172</v>
      </c>
      <c r="C953" s="866" t="s">
        <v>3966</v>
      </c>
      <c r="D953" s="867" t="s">
        <v>3285</v>
      </c>
      <c r="E953" s="868">
        <v>45538.356481481482</v>
      </c>
      <c r="F953" s="868">
        <v>45838.916655092595</v>
      </c>
      <c r="G953" s="867" t="s">
        <v>1758</v>
      </c>
      <c r="H953" s="867" t="s">
        <v>1759</v>
      </c>
      <c r="I953" s="867" t="s">
        <v>1762</v>
      </c>
      <c r="J953" s="867" t="s">
        <v>3286</v>
      </c>
      <c r="K953" s="867" t="s">
        <v>1804</v>
      </c>
      <c r="L953" s="867" t="s">
        <v>1828</v>
      </c>
      <c r="M953" s="867" t="s">
        <v>3274</v>
      </c>
      <c r="N953" s="867" t="s">
        <v>3877</v>
      </c>
      <c r="O953" s="867" t="s">
        <v>4174</v>
      </c>
      <c r="P953" s="869">
        <v>15</v>
      </c>
      <c r="Q953" s="869">
        <v>15</v>
      </c>
      <c r="R953" s="870">
        <v>11</v>
      </c>
      <c r="S953" s="871">
        <v>15</v>
      </c>
      <c r="T953" s="871">
        <v>15</v>
      </c>
      <c r="U953" s="872">
        <v>11</v>
      </c>
      <c r="W953" s="872">
        <v>11</v>
      </c>
    </row>
    <row r="954" spans="1:23" ht="24" x14ac:dyDescent="0.2">
      <c r="A954" s="865" t="s">
        <v>3287</v>
      </c>
      <c r="B954" s="866">
        <v>17327661</v>
      </c>
      <c r="C954" s="866" t="s">
        <v>3876</v>
      </c>
      <c r="D954" s="1438" t="s">
        <v>3288</v>
      </c>
      <c r="E954" s="1441">
        <v>45538.557268518518</v>
      </c>
      <c r="F954" s="1441">
        <v>45869.916655092595</v>
      </c>
      <c r="G954" s="1438" t="s">
        <v>1758</v>
      </c>
      <c r="H954" s="1438" t="s">
        <v>1759</v>
      </c>
      <c r="I954" s="1438" t="s">
        <v>1760</v>
      </c>
      <c r="J954" s="1438" t="s">
        <v>3289</v>
      </c>
      <c r="K954" s="1438" t="s">
        <v>1804</v>
      </c>
      <c r="L954" s="1438" t="s">
        <v>1805</v>
      </c>
      <c r="M954" s="867" t="s">
        <v>3290</v>
      </c>
      <c r="N954" s="867" t="s">
        <v>4175</v>
      </c>
      <c r="O954" s="873" t="s">
        <v>4176</v>
      </c>
      <c r="P954" s="874">
        <v>4</v>
      </c>
      <c r="Q954" s="874">
        <v>4</v>
      </c>
      <c r="R954" s="875">
        <v>4</v>
      </c>
      <c r="S954" s="876"/>
      <c r="T954" s="876"/>
      <c r="U954" s="877"/>
      <c r="W954" s="877"/>
    </row>
    <row r="955" spans="1:23" ht="24" x14ac:dyDescent="0.2">
      <c r="A955" s="865" t="s">
        <v>3287</v>
      </c>
      <c r="B955" s="866">
        <v>17327661</v>
      </c>
      <c r="C955" s="866" t="s">
        <v>3876</v>
      </c>
      <c r="D955" s="1439"/>
      <c r="E955" s="1442"/>
      <c r="F955" s="1442"/>
      <c r="G955" s="1439"/>
      <c r="H955" s="1439"/>
      <c r="I955" s="1439"/>
      <c r="J955" s="1439"/>
      <c r="K955" s="1439"/>
      <c r="L955" s="1439"/>
      <c r="M955" s="867" t="s">
        <v>3291</v>
      </c>
      <c r="N955" s="867" t="s">
        <v>4177</v>
      </c>
      <c r="O955" s="867" t="s">
        <v>4178</v>
      </c>
      <c r="P955" s="869">
        <v>4</v>
      </c>
      <c r="Q955" s="869">
        <v>4</v>
      </c>
      <c r="R955" s="870">
        <v>4</v>
      </c>
      <c r="S955" s="871"/>
      <c r="T955" s="871"/>
      <c r="U955" s="872"/>
      <c r="W955" s="872"/>
    </row>
    <row r="956" spans="1:23" ht="24" x14ac:dyDescent="0.2">
      <c r="A956" s="865" t="s">
        <v>3287</v>
      </c>
      <c r="B956" s="866">
        <v>17327661</v>
      </c>
      <c r="C956" s="866" t="s">
        <v>3876</v>
      </c>
      <c r="D956" s="1440"/>
      <c r="E956" s="1443"/>
      <c r="F956" s="1443"/>
      <c r="G956" s="1440"/>
      <c r="H956" s="1440"/>
      <c r="I956" s="1440"/>
      <c r="J956" s="1440"/>
      <c r="K956" s="1440"/>
      <c r="L956" s="1440"/>
      <c r="M956" s="867" t="s">
        <v>3292</v>
      </c>
      <c r="N956" s="867" t="s">
        <v>4179</v>
      </c>
      <c r="O956" s="873" t="s">
        <v>4180</v>
      </c>
      <c r="P956" s="874">
        <v>4</v>
      </c>
      <c r="Q956" s="874">
        <v>4</v>
      </c>
      <c r="R956" s="875">
        <v>4</v>
      </c>
      <c r="S956" s="876"/>
      <c r="T956" s="876"/>
      <c r="U956" s="877"/>
      <c r="W956" s="877"/>
    </row>
    <row r="957" spans="1:23" ht="24" x14ac:dyDescent="0.2">
      <c r="A957" s="865" t="s">
        <v>3287</v>
      </c>
      <c r="B957" s="866">
        <v>17327661</v>
      </c>
      <c r="C957" s="866" t="s">
        <v>3876</v>
      </c>
      <c r="D957" s="867" t="s">
        <v>3293</v>
      </c>
      <c r="E957" s="868">
        <v>45524.916666666664</v>
      </c>
      <c r="F957" s="868">
        <v>45616.958333333336</v>
      </c>
      <c r="G957" s="867" t="s">
        <v>1758</v>
      </c>
      <c r="H957" s="867" t="s">
        <v>1765</v>
      </c>
      <c r="I957" s="867" t="s">
        <v>1766</v>
      </c>
      <c r="J957" s="867" t="s">
        <v>3294</v>
      </c>
      <c r="K957" s="867" t="s">
        <v>1804</v>
      </c>
      <c r="L957" s="867" t="s">
        <v>2601</v>
      </c>
      <c r="M957" s="867" t="s">
        <v>3290</v>
      </c>
      <c r="N957" s="867" t="s">
        <v>4175</v>
      </c>
      <c r="O957" s="867" t="s">
        <v>4176</v>
      </c>
      <c r="P957" s="869">
        <v>1</v>
      </c>
      <c r="Q957" s="869">
        <v>1</v>
      </c>
      <c r="R957" s="870">
        <v>0</v>
      </c>
      <c r="S957" s="871"/>
      <c r="T957" s="871"/>
      <c r="U957" s="872"/>
      <c r="W957" s="872"/>
    </row>
    <row r="958" spans="1:23" ht="24" x14ac:dyDescent="0.2">
      <c r="A958" s="865" t="s">
        <v>3287</v>
      </c>
      <c r="B958" s="866">
        <v>17327661</v>
      </c>
      <c r="C958" s="866" t="s">
        <v>3876</v>
      </c>
      <c r="D958" s="867" t="s">
        <v>3295</v>
      </c>
      <c r="E958" s="868">
        <v>45524.916666666664</v>
      </c>
      <c r="F958" s="868">
        <v>45555.916666666664</v>
      </c>
      <c r="G958" s="867" t="s">
        <v>1758</v>
      </c>
      <c r="H958" s="867" t="s">
        <v>1765</v>
      </c>
      <c r="I958" s="867" t="s">
        <v>1766</v>
      </c>
      <c r="J958" s="867" t="s">
        <v>3296</v>
      </c>
      <c r="K958" s="867" t="s">
        <v>1804</v>
      </c>
      <c r="L958" s="867" t="s">
        <v>2601</v>
      </c>
      <c r="M958" s="867" t="s">
        <v>3290</v>
      </c>
      <c r="N958" s="867" t="s">
        <v>4175</v>
      </c>
      <c r="O958" s="873" t="s">
        <v>4176</v>
      </c>
      <c r="P958" s="874">
        <v>1</v>
      </c>
      <c r="Q958" s="874">
        <v>0</v>
      </c>
      <c r="R958" s="875">
        <v>0</v>
      </c>
      <c r="S958" s="876"/>
      <c r="T958" s="876"/>
      <c r="U958" s="877"/>
      <c r="W958" s="877"/>
    </row>
    <row r="959" spans="1:23" ht="24" x14ac:dyDescent="0.2">
      <c r="A959" s="865" t="s">
        <v>3287</v>
      </c>
      <c r="B959" s="866">
        <v>17327661</v>
      </c>
      <c r="C959" s="866" t="s">
        <v>3876</v>
      </c>
      <c r="D959" s="1438" t="s">
        <v>3297</v>
      </c>
      <c r="E959" s="1441">
        <v>45539.461493055554</v>
      </c>
      <c r="F959" s="1441">
        <v>45842.916655092595</v>
      </c>
      <c r="G959" s="1438" t="s">
        <v>1758</v>
      </c>
      <c r="H959" s="1438" t="s">
        <v>1759</v>
      </c>
      <c r="I959" s="1438" t="s">
        <v>1761</v>
      </c>
      <c r="J959" s="1438" t="s">
        <v>3298</v>
      </c>
      <c r="K959" s="1438" t="s">
        <v>1804</v>
      </c>
      <c r="L959" s="1438" t="s">
        <v>1828</v>
      </c>
      <c r="M959" s="867" t="s">
        <v>3290</v>
      </c>
      <c r="N959" s="867" t="s">
        <v>4175</v>
      </c>
      <c r="O959" s="867" t="s">
        <v>4176</v>
      </c>
      <c r="P959" s="869">
        <v>29</v>
      </c>
      <c r="Q959" s="869">
        <v>29</v>
      </c>
      <c r="R959" s="870">
        <v>29</v>
      </c>
      <c r="S959" s="871"/>
      <c r="T959" s="871"/>
      <c r="U959" s="872"/>
      <c r="W959" s="872"/>
    </row>
    <row r="960" spans="1:23" ht="24" x14ac:dyDescent="0.2">
      <c r="A960" s="865" t="s">
        <v>3287</v>
      </c>
      <c r="B960" s="866">
        <v>17327661</v>
      </c>
      <c r="C960" s="866" t="s">
        <v>3876</v>
      </c>
      <c r="D960" s="1439"/>
      <c r="E960" s="1442"/>
      <c r="F960" s="1442"/>
      <c r="G960" s="1439"/>
      <c r="H960" s="1439"/>
      <c r="I960" s="1439"/>
      <c r="J960" s="1439"/>
      <c r="K960" s="1439"/>
      <c r="L960" s="1439"/>
      <c r="M960" s="867" t="s">
        <v>3291</v>
      </c>
      <c r="N960" s="867" t="s">
        <v>4177</v>
      </c>
      <c r="O960" s="873" t="s">
        <v>4178</v>
      </c>
      <c r="P960" s="874">
        <v>29</v>
      </c>
      <c r="Q960" s="874">
        <v>29</v>
      </c>
      <c r="R960" s="875">
        <v>29</v>
      </c>
      <c r="S960" s="876"/>
      <c r="T960" s="876"/>
      <c r="U960" s="877"/>
      <c r="W960" s="877"/>
    </row>
    <row r="961" spans="1:23" ht="24" x14ac:dyDescent="0.2">
      <c r="A961" s="865" t="s">
        <v>3287</v>
      </c>
      <c r="B961" s="866">
        <v>17327661</v>
      </c>
      <c r="C961" s="866" t="s">
        <v>3876</v>
      </c>
      <c r="D961" s="1440"/>
      <c r="E961" s="1443"/>
      <c r="F961" s="1443"/>
      <c r="G961" s="1440"/>
      <c r="H961" s="1440"/>
      <c r="I961" s="1440"/>
      <c r="J961" s="1440"/>
      <c r="K961" s="1440"/>
      <c r="L961" s="1440"/>
      <c r="M961" s="867" t="s">
        <v>3292</v>
      </c>
      <c r="N961" s="867" t="s">
        <v>4179</v>
      </c>
      <c r="O961" s="867" t="s">
        <v>4180</v>
      </c>
      <c r="P961" s="869">
        <v>29</v>
      </c>
      <c r="Q961" s="869">
        <v>29</v>
      </c>
      <c r="R961" s="870">
        <v>29</v>
      </c>
      <c r="S961" s="871"/>
      <c r="T961" s="871"/>
      <c r="U961" s="872"/>
      <c r="W961" s="872"/>
    </row>
    <row r="962" spans="1:23" ht="36" x14ac:dyDescent="0.2">
      <c r="A962" s="865" t="s">
        <v>3287</v>
      </c>
      <c r="B962" s="866">
        <v>17327661</v>
      </c>
      <c r="C962" s="866" t="s">
        <v>3876</v>
      </c>
      <c r="D962" s="867" t="s">
        <v>3299</v>
      </c>
      <c r="E962" s="868">
        <v>45544.328101851854</v>
      </c>
      <c r="F962" s="868">
        <v>45838.916655092595</v>
      </c>
      <c r="G962" s="867" t="s">
        <v>1741</v>
      </c>
      <c r="H962" s="867" t="s">
        <v>1752</v>
      </c>
      <c r="I962" s="867" t="s">
        <v>1754</v>
      </c>
      <c r="J962" s="867" t="s">
        <v>3300</v>
      </c>
      <c r="K962" s="867" t="s">
        <v>1804</v>
      </c>
      <c r="L962" s="867" t="s">
        <v>1930</v>
      </c>
      <c r="M962" s="867" t="s">
        <v>3291</v>
      </c>
      <c r="N962" s="867" t="s">
        <v>4177</v>
      </c>
      <c r="O962" s="873" t="s">
        <v>4178</v>
      </c>
      <c r="P962" s="874">
        <v>27</v>
      </c>
      <c r="Q962" s="874">
        <v>27</v>
      </c>
      <c r="R962" s="875">
        <v>0</v>
      </c>
      <c r="S962" s="876"/>
      <c r="T962" s="876"/>
      <c r="U962" s="877"/>
      <c r="W962" s="877"/>
    </row>
    <row r="963" spans="1:23" ht="24" x14ac:dyDescent="0.2">
      <c r="A963" s="865" t="s">
        <v>3287</v>
      </c>
      <c r="B963" s="866">
        <v>17327661</v>
      </c>
      <c r="C963" s="866" t="s">
        <v>3876</v>
      </c>
      <c r="D963" s="867" t="s">
        <v>3301</v>
      </c>
      <c r="E963" s="868">
        <v>45583.385428240741</v>
      </c>
      <c r="F963" s="868">
        <v>45826.916655092595</v>
      </c>
      <c r="G963" s="867" t="s">
        <v>1758</v>
      </c>
      <c r="H963" s="867" t="s">
        <v>1759</v>
      </c>
      <c r="I963" s="867" t="s">
        <v>1761</v>
      </c>
      <c r="J963" s="867" t="s">
        <v>3302</v>
      </c>
      <c r="K963" s="867" t="s">
        <v>1804</v>
      </c>
      <c r="L963" s="867" t="s">
        <v>1828</v>
      </c>
      <c r="M963" s="867" t="s">
        <v>3292</v>
      </c>
      <c r="N963" s="867" t="s">
        <v>4179</v>
      </c>
      <c r="O963" s="867" t="s">
        <v>4180</v>
      </c>
      <c r="P963" s="869">
        <v>4</v>
      </c>
      <c r="Q963" s="869">
        <v>4</v>
      </c>
      <c r="R963" s="870">
        <v>3</v>
      </c>
      <c r="S963" s="871"/>
      <c r="T963" s="871"/>
      <c r="U963" s="872"/>
      <c r="W963" s="872"/>
    </row>
    <row r="964" spans="1:23" ht="36" x14ac:dyDescent="0.2">
      <c r="A964" s="865" t="s">
        <v>3287</v>
      </c>
      <c r="B964" s="866">
        <v>17327661</v>
      </c>
      <c r="C964" s="866" t="s">
        <v>3876</v>
      </c>
      <c r="D964" s="867" t="s">
        <v>3303</v>
      </c>
      <c r="E964" s="868">
        <v>45554.32644675926</v>
      </c>
      <c r="F964" s="868">
        <v>45868.916655092595</v>
      </c>
      <c r="G964" s="867" t="s">
        <v>1758</v>
      </c>
      <c r="H964" s="867" t="s">
        <v>1759</v>
      </c>
      <c r="I964" s="867" t="s">
        <v>1762</v>
      </c>
      <c r="J964" s="867" t="s">
        <v>3304</v>
      </c>
      <c r="K964" s="867" t="s">
        <v>1804</v>
      </c>
      <c r="L964" s="867" t="s">
        <v>1828</v>
      </c>
      <c r="M964" s="867" t="s">
        <v>3291</v>
      </c>
      <c r="N964" s="867" t="s">
        <v>4177</v>
      </c>
      <c r="O964" s="873" t="s">
        <v>4178</v>
      </c>
      <c r="P964" s="874">
        <v>24</v>
      </c>
      <c r="Q964" s="874">
        <v>24</v>
      </c>
      <c r="R964" s="875">
        <v>5</v>
      </c>
      <c r="S964" s="876"/>
      <c r="T964" s="876"/>
      <c r="U964" s="877"/>
      <c r="W964" s="877"/>
    </row>
    <row r="965" spans="1:23" ht="24" x14ac:dyDescent="0.2">
      <c r="A965" s="865" t="s">
        <v>3287</v>
      </c>
      <c r="B965" s="866">
        <v>17327661</v>
      </c>
      <c r="C965" s="866" t="s">
        <v>3876</v>
      </c>
      <c r="D965" s="867" t="s">
        <v>3305</v>
      </c>
      <c r="E965" s="868">
        <v>45547.291643518518</v>
      </c>
      <c r="F965" s="868">
        <v>45868.916655092595</v>
      </c>
      <c r="G965" s="867" t="s">
        <v>1758</v>
      </c>
      <c r="H965" s="867" t="s">
        <v>1759</v>
      </c>
      <c r="I965" s="867" t="s">
        <v>1761</v>
      </c>
      <c r="J965" s="867" t="s">
        <v>3306</v>
      </c>
      <c r="K965" s="867" t="s">
        <v>1804</v>
      </c>
      <c r="L965" s="867" t="s">
        <v>1828</v>
      </c>
      <c r="M965" s="867" t="s">
        <v>3291</v>
      </c>
      <c r="N965" s="867" t="s">
        <v>4177</v>
      </c>
      <c r="O965" s="867" t="s">
        <v>4178</v>
      </c>
      <c r="P965" s="869">
        <v>30</v>
      </c>
      <c r="Q965" s="869">
        <v>30</v>
      </c>
      <c r="R965" s="870">
        <v>13</v>
      </c>
      <c r="S965" s="871"/>
      <c r="T965" s="871"/>
      <c r="U965" s="872"/>
      <c r="W965" s="872"/>
    </row>
    <row r="966" spans="1:23" ht="36" x14ac:dyDescent="0.2">
      <c r="A966" s="865" t="s">
        <v>3287</v>
      </c>
      <c r="B966" s="866">
        <v>17327661</v>
      </c>
      <c r="C966" s="866" t="s">
        <v>3876</v>
      </c>
      <c r="D966" s="867" t="s">
        <v>3307</v>
      </c>
      <c r="E966" s="868">
        <v>45548.328472222223</v>
      </c>
      <c r="F966" s="868">
        <v>45869.916655092595</v>
      </c>
      <c r="G966" s="867" t="s">
        <v>1758</v>
      </c>
      <c r="H966" s="867" t="s">
        <v>1759</v>
      </c>
      <c r="I966" s="867" t="s">
        <v>1762</v>
      </c>
      <c r="J966" s="867" t="s">
        <v>3308</v>
      </c>
      <c r="K966" s="867" t="s">
        <v>1804</v>
      </c>
      <c r="L966" s="867" t="s">
        <v>1828</v>
      </c>
      <c r="M966" s="867" t="s">
        <v>3291</v>
      </c>
      <c r="N966" s="867" t="s">
        <v>4177</v>
      </c>
      <c r="O966" s="873" t="s">
        <v>4178</v>
      </c>
      <c r="P966" s="874">
        <v>30</v>
      </c>
      <c r="Q966" s="874">
        <v>30</v>
      </c>
      <c r="R966" s="875">
        <v>28</v>
      </c>
      <c r="S966" s="876"/>
      <c r="T966" s="876"/>
      <c r="U966" s="877"/>
      <c r="W966" s="877"/>
    </row>
    <row r="967" spans="1:23" ht="24" x14ac:dyDescent="0.2">
      <c r="A967" s="865" t="s">
        <v>3287</v>
      </c>
      <c r="B967" s="866">
        <v>17327661</v>
      </c>
      <c r="C967" s="866" t="s">
        <v>3876</v>
      </c>
      <c r="D967" s="867" t="s">
        <v>3309</v>
      </c>
      <c r="E967" s="868">
        <v>45560.36440972222</v>
      </c>
      <c r="F967" s="868">
        <v>45838.916655092595</v>
      </c>
      <c r="G967" s="867" t="s">
        <v>1777</v>
      </c>
      <c r="H967" s="867" t="s">
        <v>1765</v>
      </c>
      <c r="I967" s="867" t="s">
        <v>1778</v>
      </c>
      <c r="J967" s="867" t="s">
        <v>3310</v>
      </c>
      <c r="K967" s="867" t="s">
        <v>1804</v>
      </c>
      <c r="L967" s="867" t="s">
        <v>2221</v>
      </c>
      <c r="M967" s="867" t="s">
        <v>3292</v>
      </c>
      <c r="N967" s="867" t="s">
        <v>4179</v>
      </c>
      <c r="O967" s="867" t="s">
        <v>4180</v>
      </c>
      <c r="P967" s="869">
        <v>15</v>
      </c>
      <c r="Q967" s="869">
        <v>11</v>
      </c>
      <c r="R967" s="870">
        <v>0</v>
      </c>
      <c r="S967" s="871"/>
      <c r="T967" s="871"/>
      <c r="U967" s="872"/>
      <c r="W967" s="872"/>
    </row>
    <row r="968" spans="1:23" ht="24" x14ac:dyDescent="0.2">
      <c r="A968" s="865" t="s">
        <v>3287</v>
      </c>
      <c r="B968" s="866">
        <v>17327661</v>
      </c>
      <c r="C968" s="866" t="s">
        <v>3876</v>
      </c>
      <c r="D968" s="1438" t="s">
        <v>3311</v>
      </c>
      <c r="E968" s="1441">
        <v>45538.554861111108</v>
      </c>
      <c r="F968" s="1441">
        <v>45869.916655092595</v>
      </c>
      <c r="G968" s="1438" t="s">
        <v>1758</v>
      </c>
      <c r="H968" s="1438" t="s">
        <v>1759</v>
      </c>
      <c r="I968" s="1438" t="s">
        <v>1762</v>
      </c>
      <c r="J968" s="1438" t="s">
        <v>3312</v>
      </c>
      <c r="K968" s="1438" t="s">
        <v>1804</v>
      </c>
      <c r="L968" s="1438" t="s">
        <v>1828</v>
      </c>
      <c r="M968" s="867" t="s">
        <v>3290</v>
      </c>
      <c r="N968" s="867" t="s">
        <v>4175</v>
      </c>
      <c r="O968" s="873" t="s">
        <v>4176</v>
      </c>
      <c r="P968" s="874">
        <v>26</v>
      </c>
      <c r="Q968" s="874">
        <v>26</v>
      </c>
      <c r="R968" s="875">
        <v>26</v>
      </c>
      <c r="S968" s="876"/>
      <c r="T968" s="876"/>
      <c r="U968" s="877"/>
      <c r="W968" s="877"/>
    </row>
    <row r="969" spans="1:23" ht="24" x14ac:dyDescent="0.2">
      <c r="A969" s="865" t="s">
        <v>3287</v>
      </c>
      <c r="B969" s="866">
        <v>17327661</v>
      </c>
      <c r="C969" s="866" t="s">
        <v>3876</v>
      </c>
      <c r="D969" s="1439"/>
      <c r="E969" s="1442"/>
      <c r="F969" s="1442"/>
      <c r="G969" s="1439"/>
      <c r="H969" s="1439"/>
      <c r="I969" s="1439"/>
      <c r="J969" s="1439"/>
      <c r="K969" s="1439"/>
      <c r="L969" s="1439"/>
      <c r="M969" s="867" t="s">
        <v>3291</v>
      </c>
      <c r="N969" s="867" t="s">
        <v>4177</v>
      </c>
      <c r="O969" s="867" t="s">
        <v>4178</v>
      </c>
      <c r="P969" s="869">
        <v>26</v>
      </c>
      <c r="Q969" s="869">
        <v>26</v>
      </c>
      <c r="R969" s="870">
        <v>26</v>
      </c>
      <c r="S969" s="871"/>
      <c r="T969" s="871"/>
      <c r="U969" s="872"/>
      <c r="W969" s="872"/>
    </row>
    <row r="970" spans="1:23" ht="24" x14ac:dyDescent="0.2">
      <c r="A970" s="865" t="s">
        <v>3287</v>
      </c>
      <c r="B970" s="866">
        <v>17327661</v>
      </c>
      <c r="C970" s="866" t="s">
        <v>3876</v>
      </c>
      <c r="D970" s="1440"/>
      <c r="E970" s="1443"/>
      <c r="F970" s="1443"/>
      <c r="G970" s="1440"/>
      <c r="H970" s="1440"/>
      <c r="I970" s="1440"/>
      <c r="J970" s="1440"/>
      <c r="K970" s="1440"/>
      <c r="L970" s="1440"/>
      <c r="M970" s="867" t="s">
        <v>3292</v>
      </c>
      <c r="N970" s="867" t="s">
        <v>4179</v>
      </c>
      <c r="O970" s="873" t="s">
        <v>4180</v>
      </c>
      <c r="P970" s="874">
        <v>26</v>
      </c>
      <c r="Q970" s="874">
        <v>26</v>
      </c>
      <c r="R970" s="875">
        <v>26</v>
      </c>
      <c r="S970" s="876"/>
      <c r="T970" s="876"/>
      <c r="U970" s="877"/>
      <c r="W970" s="877"/>
    </row>
    <row r="971" spans="1:23" ht="24" x14ac:dyDescent="0.2">
      <c r="A971" s="865" t="s">
        <v>3287</v>
      </c>
      <c r="B971" s="866">
        <v>17327661</v>
      </c>
      <c r="C971" s="866" t="s">
        <v>3876</v>
      </c>
      <c r="D971" s="867" t="s">
        <v>3313</v>
      </c>
      <c r="E971" s="868">
        <v>45538.559479166666</v>
      </c>
      <c r="F971" s="868">
        <v>45869.916655092595</v>
      </c>
      <c r="G971" s="867" t="s">
        <v>1758</v>
      </c>
      <c r="H971" s="867" t="s">
        <v>1765</v>
      </c>
      <c r="I971" s="867" t="s">
        <v>1766</v>
      </c>
      <c r="J971" s="867" t="s">
        <v>1766</v>
      </c>
      <c r="K971" s="867" t="s">
        <v>1804</v>
      </c>
      <c r="L971" s="867" t="s">
        <v>1805</v>
      </c>
      <c r="M971" s="867" t="s">
        <v>3290</v>
      </c>
      <c r="N971" s="867" t="s">
        <v>4175</v>
      </c>
      <c r="O971" s="867" t="s">
        <v>4176</v>
      </c>
      <c r="P971" s="869">
        <v>4</v>
      </c>
      <c r="Q971" s="869">
        <v>4</v>
      </c>
      <c r="R971" s="870">
        <v>3</v>
      </c>
      <c r="S971" s="871"/>
      <c r="T971" s="871"/>
      <c r="U971" s="872"/>
      <c r="W971" s="872"/>
    </row>
    <row r="972" spans="1:23" ht="24" x14ac:dyDescent="0.2">
      <c r="A972" s="865" t="s">
        <v>3287</v>
      </c>
      <c r="B972" s="866">
        <v>17327661</v>
      </c>
      <c r="C972" s="866" t="s">
        <v>3876</v>
      </c>
      <c r="D972" s="1438" t="s">
        <v>3314</v>
      </c>
      <c r="E972" s="1441">
        <v>45539.459872685184</v>
      </c>
      <c r="F972" s="1441">
        <v>45820.916655092595</v>
      </c>
      <c r="G972" s="1438" t="s">
        <v>1758</v>
      </c>
      <c r="H972" s="1438" t="s">
        <v>1759</v>
      </c>
      <c r="I972" s="1438" t="s">
        <v>1760</v>
      </c>
      <c r="J972" s="1438" t="s">
        <v>3315</v>
      </c>
      <c r="K972" s="1438" t="s">
        <v>1804</v>
      </c>
      <c r="L972" s="1438" t="s">
        <v>1805</v>
      </c>
      <c r="M972" s="867" t="s">
        <v>3290</v>
      </c>
      <c r="N972" s="867" t="s">
        <v>4175</v>
      </c>
      <c r="O972" s="873" t="s">
        <v>4176</v>
      </c>
      <c r="P972" s="874">
        <v>18</v>
      </c>
      <c r="Q972" s="874">
        <v>17</v>
      </c>
      <c r="R972" s="875">
        <v>16</v>
      </c>
      <c r="S972" s="876"/>
      <c r="T972" s="876"/>
      <c r="U972" s="877"/>
      <c r="W972" s="877"/>
    </row>
    <row r="973" spans="1:23" ht="24" x14ac:dyDescent="0.2">
      <c r="A973" s="865" t="s">
        <v>3287</v>
      </c>
      <c r="B973" s="866">
        <v>17327661</v>
      </c>
      <c r="C973" s="866" t="s">
        <v>3876</v>
      </c>
      <c r="D973" s="1439"/>
      <c r="E973" s="1442"/>
      <c r="F973" s="1442"/>
      <c r="G973" s="1439"/>
      <c r="H973" s="1439"/>
      <c r="I973" s="1439"/>
      <c r="J973" s="1439"/>
      <c r="K973" s="1439"/>
      <c r="L973" s="1439"/>
      <c r="M973" s="867" t="s">
        <v>3291</v>
      </c>
      <c r="N973" s="867" t="s">
        <v>4177</v>
      </c>
      <c r="O973" s="867" t="s">
        <v>4178</v>
      </c>
      <c r="P973" s="869">
        <v>18</v>
      </c>
      <c r="Q973" s="869">
        <v>17</v>
      </c>
      <c r="R973" s="870">
        <v>16</v>
      </c>
      <c r="S973" s="871"/>
      <c r="T973" s="871"/>
      <c r="U973" s="872"/>
      <c r="W973" s="872"/>
    </row>
    <row r="974" spans="1:23" ht="24" x14ac:dyDescent="0.2">
      <c r="A974" s="865" t="s">
        <v>3287</v>
      </c>
      <c r="B974" s="866">
        <v>17327661</v>
      </c>
      <c r="C974" s="866" t="s">
        <v>3876</v>
      </c>
      <c r="D974" s="1440"/>
      <c r="E974" s="1443"/>
      <c r="F974" s="1443"/>
      <c r="G974" s="1440"/>
      <c r="H974" s="1440"/>
      <c r="I974" s="1440"/>
      <c r="J974" s="1440"/>
      <c r="K974" s="1440"/>
      <c r="L974" s="1440"/>
      <c r="M974" s="867" t="s">
        <v>3292</v>
      </c>
      <c r="N974" s="867" t="s">
        <v>4179</v>
      </c>
      <c r="O974" s="873" t="s">
        <v>4180</v>
      </c>
      <c r="P974" s="874">
        <v>18</v>
      </c>
      <c r="Q974" s="874">
        <v>17</v>
      </c>
      <c r="R974" s="875">
        <v>16</v>
      </c>
      <c r="S974" s="876"/>
      <c r="T974" s="876"/>
      <c r="U974" s="877"/>
      <c r="W974" s="877"/>
    </row>
    <row r="975" spans="1:23" ht="36" x14ac:dyDescent="0.2">
      <c r="A975" s="865" t="s">
        <v>3287</v>
      </c>
      <c r="B975" s="866">
        <v>17327661</v>
      </c>
      <c r="C975" s="866" t="s">
        <v>3876</v>
      </c>
      <c r="D975" s="867" t="s">
        <v>3316</v>
      </c>
      <c r="E975" s="868">
        <v>45628.589861111112</v>
      </c>
      <c r="F975" s="868">
        <v>45835.916655092595</v>
      </c>
      <c r="G975" s="867" t="s">
        <v>1758</v>
      </c>
      <c r="H975" s="867" t="s">
        <v>1759</v>
      </c>
      <c r="I975" s="867" t="s">
        <v>1762</v>
      </c>
      <c r="J975" s="867" t="s">
        <v>3317</v>
      </c>
      <c r="K975" s="867" t="s">
        <v>1804</v>
      </c>
      <c r="L975" s="867" t="s">
        <v>1828</v>
      </c>
      <c r="M975" s="867" t="s">
        <v>3292</v>
      </c>
      <c r="N975" s="867" t="s">
        <v>4179</v>
      </c>
      <c r="O975" s="867" t="s">
        <v>4180</v>
      </c>
      <c r="P975" s="869">
        <v>21</v>
      </c>
      <c r="Q975" s="869">
        <v>19</v>
      </c>
      <c r="R975" s="870">
        <v>0</v>
      </c>
      <c r="S975" s="871"/>
      <c r="T975" s="871"/>
      <c r="U975" s="872"/>
      <c r="W975" s="872"/>
    </row>
    <row r="976" spans="1:23" ht="24" x14ac:dyDescent="0.2">
      <c r="A976" s="865" t="s">
        <v>3287</v>
      </c>
      <c r="B976" s="866">
        <v>17327661</v>
      </c>
      <c r="C976" s="866" t="s">
        <v>3876</v>
      </c>
      <c r="D976" s="867" t="s">
        <v>3318</v>
      </c>
      <c r="E976" s="868">
        <v>45560.39371527778</v>
      </c>
      <c r="F976" s="868">
        <v>45838.916655092595</v>
      </c>
      <c r="G976" s="867" t="s">
        <v>1777</v>
      </c>
      <c r="H976" s="867" t="s">
        <v>1765</v>
      </c>
      <c r="I976" s="867" t="s">
        <v>1778</v>
      </c>
      <c r="J976" s="867" t="s">
        <v>3319</v>
      </c>
      <c r="K976" s="867" t="s">
        <v>1804</v>
      </c>
      <c r="L976" s="867" t="s">
        <v>2221</v>
      </c>
      <c r="M976" s="867" t="s">
        <v>3292</v>
      </c>
      <c r="N976" s="867" t="s">
        <v>4179</v>
      </c>
      <c r="O976" s="873" t="s">
        <v>4180</v>
      </c>
      <c r="P976" s="874">
        <v>32</v>
      </c>
      <c r="Q976" s="874">
        <v>20</v>
      </c>
      <c r="R976" s="875">
        <v>0</v>
      </c>
      <c r="S976" s="876"/>
      <c r="T976" s="876"/>
      <c r="U976" s="877"/>
      <c r="W976" s="877"/>
    </row>
    <row r="977" spans="1:23" ht="24" x14ac:dyDescent="0.2">
      <c r="A977" s="865" t="s">
        <v>3287</v>
      </c>
      <c r="B977" s="866">
        <v>17327661</v>
      </c>
      <c r="C977" s="866" t="s">
        <v>3876</v>
      </c>
      <c r="D977" s="867" t="s">
        <v>3320</v>
      </c>
      <c r="E977" s="868">
        <v>45553.468900462962</v>
      </c>
      <c r="F977" s="868">
        <v>45869.916655092595</v>
      </c>
      <c r="G977" s="867" t="s">
        <v>1758</v>
      </c>
      <c r="H977" s="867" t="s">
        <v>1759</v>
      </c>
      <c r="I977" s="867" t="s">
        <v>1761</v>
      </c>
      <c r="J977" s="867" t="s">
        <v>3321</v>
      </c>
      <c r="K977" s="867" t="s">
        <v>1804</v>
      </c>
      <c r="L977" s="867" t="s">
        <v>1828</v>
      </c>
      <c r="M977" s="867" t="s">
        <v>3291</v>
      </c>
      <c r="N977" s="867" t="s">
        <v>4177</v>
      </c>
      <c r="O977" s="867" t="s">
        <v>4178</v>
      </c>
      <c r="P977" s="869">
        <v>30</v>
      </c>
      <c r="Q977" s="869">
        <v>30</v>
      </c>
      <c r="R977" s="870">
        <v>19</v>
      </c>
      <c r="S977" s="871"/>
      <c r="T977" s="871"/>
      <c r="U977" s="872"/>
      <c r="W977" s="872"/>
    </row>
    <row r="978" spans="1:23" ht="36" x14ac:dyDescent="0.2">
      <c r="A978" s="812" t="s">
        <v>4181</v>
      </c>
      <c r="B978" s="866">
        <v>17319161</v>
      </c>
      <c r="C978" s="866" t="s">
        <v>3876</v>
      </c>
      <c r="D978" s="867" t="s">
        <v>3322</v>
      </c>
      <c r="E978" s="868">
        <v>45541.255613425928</v>
      </c>
      <c r="F978" s="868">
        <v>45906.916655092595</v>
      </c>
      <c r="G978" s="867" t="s">
        <v>1758</v>
      </c>
      <c r="H978" s="867" t="s">
        <v>1759</v>
      </c>
      <c r="I978" s="867" t="s">
        <v>1762</v>
      </c>
      <c r="J978" s="867" t="s">
        <v>3323</v>
      </c>
      <c r="K978" s="867" t="s">
        <v>1804</v>
      </c>
      <c r="L978" s="867" t="s">
        <v>1828</v>
      </c>
      <c r="M978" s="867" t="s">
        <v>3324</v>
      </c>
      <c r="N978" s="867" t="s">
        <v>4182</v>
      </c>
      <c r="O978" s="873" t="s">
        <v>4183</v>
      </c>
      <c r="P978" s="874">
        <v>21</v>
      </c>
      <c r="Q978" s="874">
        <v>21</v>
      </c>
      <c r="R978" s="875">
        <v>6</v>
      </c>
      <c r="S978" s="876"/>
      <c r="T978" s="876"/>
      <c r="U978" s="877"/>
      <c r="W978" s="877"/>
    </row>
    <row r="979" spans="1:23" ht="48" x14ac:dyDescent="0.2">
      <c r="A979" s="812" t="s">
        <v>4181</v>
      </c>
      <c r="B979" s="866">
        <v>17319161</v>
      </c>
      <c r="C979" s="866" t="s">
        <v>3876</v>
      </c>
      <c r="D979" s="867" t="s">
        <v>3325</v>
      </c>
      <c r="E979" s="868">
        <v>45551.916666666664</v>
      </c>
      <c r="F979" s="868">
        <v>45930.916655092595</v>
      </c>
      <c r="G979" s="867" t="s">
        <v>1758</v>
      </c>
      <c r="H979" s="867" t="s">
        <v>1759</v>
      </c>
      <c r="I979" s="867" t="s">
        <v>1760</v>
      </c>
      <c r="J979" s="867" t="s">
        <v>3326</v>
      </c>
      <c r="K979" s="867" t="s">
        <v>1804</v>
      </c>
      <c r="L979" s="867" t="s">
        <v>1805</v>
      </c>
      <c r="M979" s="867" t="s">
        <v>3327</v>
      </c>
      <c r="N979" s="867" t="s">
        <v>3994</v>
      </c>
      <c r="O979" s="867" t="s">
        <v>4184</v>
      </c>
      <c r="P979" s="869">
        <v>15</v>
      </c>
      <c r="Q979" s="869">
        <v>15</v>
      </c>
      <c r="R979" s="870">
        <v>12</v>
      </c>
      <c r="S979" s="871"/>
      <c r="T979" s="871"/>
      <c r="U979" s="872"/>
      <c r="W979" s="872"/>
    </row>
    <row r="980" spans="1:23" ht="24" x14ac:dyDescent="0.2">
      <c r="A980" s="812" t="s">
        <v>4181</v>
      </c>
      <c r="B980" s="866">
        <v>17319161</v>
      </c>
      <c r="C980" s="866" t="s">
        <v>3876</v>
      </c>
      <c r="D980" s="867" t="s">
        <v>3328</v>
      </c>
      <c r="E980" s="868">
        <v>45540.256180555552</v>
      </c>
      <c r="F980" s="868">
        <v>45905.916655092595</v>
      </c>
      <c r="G980" s="867" t="s">
        <v>1758</v>
      </c>
      <c r="H980" s="867" t="s">
        <v>1759</v>
      </c>
      <c r="I980" s="867" t="s">
        <v>1761</v>
      </c>
      <c r="J980" s="867" t="s">
        <v>3329</v>
      </c>
      <c r="K980" s="867" t="s">
        <v>1804</v>
      </c>
      <c r="L980" s="867" t="s">
        <v>1828</v>
      </c>
      <c r="M980" s="867" t="s">
        <v>3324</v>
      </c>
      <c r="N980" s="867" t="s">
        <v>4182</v>
      </c>
      <c r="O980" s="873" t="s">
        <v>4183</v>
      </c>
      <c r="P980" s="874">
        <v>29</v>
      </c>
      <c r="Q980" s="874">
        <v>29</v>
      </c>
      <c r="R980" s="875">
        <v>22</v>
      </c>
      <c r="S980" s="876"/>
      <c r="T980" s="876"/>
      <c r="U980" s="877"/>
      <c r="W980" s="877"/>
    </row>
    <row r="981" spans="1:23" ht="36" x14ac:dyDescent="0.2">
      <c r="A981" s="812" t="s">
        <v>4181</v>
      </c>
      <c r="B981" s="866">
        <v>17319161</v>
      </c>
      <c r="C981" s="866" t="s">
        <v>3876</v>
      </c>
      <c r="D981" s="867" t="s">
        <v>3330</v>
      </c>
      <c r="E981" s="868">
        <v>45551.998194444444</v>
      </c>
      <c r="F981" s="868">
        <v>45930.916655092595</v>
      </c>
      <c r="G981" s="867" t="s">
        <v>1758</v>
      </c>
      <c r="H981" s="867" t="s">
        <v>1759</v>
      </c>
      <c r="I981" s="867" t="s">
        <v>1762</v>
      </c>
      <c r="J981" s="867" t="s">
        <v>3331</v>
      </c>
      <c r="K981" s="867" t="s">
        <v>1804</v>
      </c>
      <c r="L981" s="867" t="s">
        <v>1828</v>
      </c>
      <c r="M981" s="867" t="s">
        <v>3327</v>
      </c>
      <c r="N981" s="867" t="s">
        <v>3994</v>
      </c>
      <c r="O981" s="867" t="s">
        <v>4184</v>
      </c>
      <c r="P981" s="869">
        <v>13</v>
      </c>
      <c r="Q981" s="869">
        <v>13</v>
      </c>
      <c r="R981" s="870">
        <v>13</v>
      </c>
      <c r="S981" s="871"/>
      <c r="T981" s="871"/>
      <c r="U981" s="872"/>
      <c r="W981" s="872"/>
    </row>
    <row r="982" spans="1:23" ht="24" x14ac:dyDescent="0.2">
      <c r="A982" s="812" t="s">
        <v>4181</v>
      </c>
      <c r="B982" s="866">
        <v>17319161</v>
      </c>
      <c r="C982" s="866" t="s">
        <v>3876</v>
      </c>
      <c r="D982" s="867" t="s">
        <v>3332</v>
      </c>
      <c r="E982" s="868">
        <v>45299.958333333336</v>
      </c>
      <c r="F982" s="868">
        <v>45535.916666666664</v>
      </c>
      <c r="G982" s="867" t="s">
        <v>1772</v>
      </c>
      <c r="H982" s="867" t="s">
        <v>1765</v>
      </c>
      <c r="I982" s="867" t="s">
        <v>1774</v>
      </c>
      <c r="J982" s="867" t="s">
        <v>3333</v>
      </c>
      <c r="K982" s="867" t="s">
        <v>1804</v>
      </c>
      <c r="L982" s="867" t="s">
        <v>1805</v>
      </c>
      <c r="M982" s="867" t="s">
        <v>3334</v>
      </c>
      <c r="N982" s="867" t="s">
        <v>3861</v>
      </c>
      <c r="O982" s="873" t="s">
        <v>4185</v>
      </c>
      <c r="P982" s="874">
        <v>26</v>
      </c>
      <c r="Q982" s="874">
        <v>26</v>
      </c>
      <c r="R982" s="875">
        <v>0</v>
      </c>
      <c r="S982" s="876"/>
      <c r="T982" s="876"/>
      <c r="U982" s="877"/>
      <c r="W982" s="877"/>
    </row>
    <row r="983" spans="1:23" ht="24" x14ac:dyDescent="0.2">
      <c r="A983" s="812" t="s">
        <v>4181</v>
      </c>
      <c r="B983" s="866">
        <v>17319161</v>
      </c>
      <c r="C983" s="866" t="s">
        <v>3876</v>
      </c>
      <c r="D983" s="867" t="s">
        <v>3335</v>
      </c>
      <c r="E983" s="868">
        <v>45299.958333333336</v>
      </c>
      <c r="F983" s="868">
        <v>45535.916666666664</v>
      </c>
      <c r="G983" s="867" t="s">
        <v>1772</v>
      </c>
      <c r="H983" s="867" t="s">
        <v>1765</v>
      </c>
      <c r="I983" s="867" t="s">
        <v>1774</v>
      </c>
      <c r="J983" s="867" t="s">
        <v>3336</v>
      </c>
      <c r="K983" s="867" t="s">
        <v>1804</v>
      </c>
      <c r="L983" s="867" t="s">
        <v>1805</v>
      </c>
      <c r="M983" s="867" t="s">
        <v>3334</v>
      </c>
      <c r="N983" s="867" t="s">
        <v>3861</v>
      </c>
      <c r="O983" s="867" t="s">
        <v>4185</v>
      </c>
      <c r="P983" s="869">
        <v>23</v>
      </c>
      <c r="Q983" s="869">
        <v>22</v>
      </c>
      <c r="R983" s="870">
        <v>0</v>
      </c>
      <c r="S983" s="871"/>
      <c r="T983" s="871"/>
      <c r="U983" s="872"/>
      <c r="W983" s="872"/>
    </row>
    <row r="984" spans="1:23" ht="36" x14ac:dyDescent="0.2">
      <c r="A984" s="812" t="s">
        <v>4181</v>
      </c>
      <c r="B984" s="866">
        <v>17319161</v>
      </c>
      <c r="C984" s="866" t="s">
        <v>3876</v>
      </c>
      <c r="D984" s="867" t="s">
        <v>3337</v>
      </c>
      <c r="E984" s="868">
        <v>45377.958333333336</v>
      </c>
      <c r="F984" s="868">
        <v>45535.916666666664</v>
      </c>
      <c r="G984" s="867" t="s">
        <v>1758</v>
      </c>
      <c r="H984" s="867" t="s">
        <v>1759</v>
      </c>
      <c r="I984" s="867" t="s">
        <v>1817</v>
      </c>
      <c r="J984" s="867" t="s">
        <v>3338</v>
      </c>
      <c r="K984" s="867" t="s">
        <v>1804</v>
      </c>
      <c r="L984" s="867" t="s">
        <v>1819</v>
      </c>
      <c r="M984" s="867" t="s">
        <v>3324</v>
      </c>
      <c r="N984" s="867" t="s">
        <v>4182</v>
      </c>
      <c r="O984" s="873" t="s">
        <v>4183</v>
      </c>
      <c r="P984" s="874">
        <v>4</v>
      </c>
      <c r="Q984" s="874">
        <v>2</v>
      </c>
      <c r="R984" s="875">
        <v>0</v>
      </c>
      <c r="S984" s="876"/>
      <c r="T984" s="876"/>
      <c r="U984" s="877"/>
      <c r="W984" s="877"/>
    </row>
    <row r="985" spans="1:23" ht="24" x14ac:dyDescent="0.2">
      <c r="A985" s="812" t="s">
        <v>4181</v>
      </c>
      <c r="B985" s="866">
        <v>17319161</v>
      </c>
      <c r="C985" s="866" t="s">
        <v>3876</v>
      </c>
      <c r="D985" s="867" t="s">
        <v>3339</v>
      </c>
      <c r="E985" s="868">
        <v>45541.286759259259</v>
      </c>
      <c r="F985" s="868">
        <v>45906.916655092595</v>
      </c>
      <c r="G985" s="867" t="s">
        <v>1758</v>
      </c>
      <c r="H985" s="867" t="s">
        <v>1759</v>
      </c>
      <c r="I985" s="867" t="s">
        <v>1761</v>
      </c>
      <c r="J985" s="867" t="s">
        <v>3340</v>
      </c>
      <c r="K985" s="867" t="s">
        <v>1804</v>
      </c>
      <c r="L985" s="867" t="s">
        <v>1828</v>
      </c>
      <c r="M985" s="867" t="s">
        <v>3324</v>
      </c>
      <c r="N985" s="867" t="s">
        <v>4182</v>
      </c>
      <c r="O985" s="867" t="s">
        <v>4183</v>
      </c>
      <c r="P985" s="869">
        <v>17</v>
      </c>
      <c r="Q985" s="869">
        <v>17</v>
      </c>
      <c r="R985" s="870">
        <v>9</v>
      </c>
      <c r="S985" s="871"/>
      <c r="T985" s="871"/>
      <c r="U985" s="872"/>
      <c r="W985" s="872"/>
    </row>
    <row r="986" spans="1:23" ht="36" x14ac:dyDescent="0.2">
      <c r="A986" s="812" t="s">
        <v>4181</v>
      </c>
      <c r="B986" s="866">
        <v>17319161</v>
      </c>
      <c r="C986" s="866" t="s">
        <v>3876</v>
      </c>
      <c r="D986" s="867" t="s">
        <v>3341</v>
      </c>
      <c r="E986" s="868">
        <v>45551.319432870368</v>
      </c>
      <c r="F986" s="868">
        <v>45916.916655092595</v>
      </c>
      <c r="G986" s="867" t="s">
        <v>1741</v>
      </c>
      <c r="H986" s="867" t="s">
        <v>1752</v>
      </c>
      <c r="I986" s="867" t="s">
        <v>1754</v>
      </c>
      <c r="J986" s="867" t="s">
        <v>3342</v>
      </c>
      <c r="K986" s="867" t="s">
        <v>1804</v>
      </c>
      <c r="L986" s="867" t="s">
        <v>1930</v>
      </c>
      <c r="M986" s="867" t="s">
        <v>3334</v>
      </c>
      <c r="N986" s="867" t="s">
        <v>3861</v>
      </c>
      <c r="O986" s="873" t="s">
        <v>4185</v>
      </c>
      <c r="P986" s="874">
        <v>21</v>
      </c>
      <c r="Q986" s="874">
        <v>21</v>
      </c>
      <c r="R986" s="875">
        <v>15</v>
      </c>
      <c r="S986" s="876"/>
      <c r="T986" s="876"/>
      <c r="U986" s="877"/>
      <c r="W986" s="877"/>
    </row>
    <row r="987" spans="1:23" ht="36" x14ac:dyDescent="0.2">
      <c r="A987" s="812" t="s">
        <v>4181</v>
      </c>
      <c r="B987" s="866">
        <v>17319161</v>
      </c>
      <c r="C987" s="866" t="s">
        <v>3876</v>
      </c>
      <c r="D987" s="867" t="s">
        <v>3343</v>
      </c>
      <c r="E987" s="868">
        <v>45547.470636574071</v>
      </c>
      <c r="F987" s="868">
        <v>45912.916655092595</v>
      </c>
      <c r="G987" s="867" t="s">
        <v>1741</v>
      </c>
      <c r="H987" s="867" t="s">
        <v>1752</v>
      </c>
      <c r="I987" s="867" t="s">
        <v>1754</v>
      </c>
      <c r="J987" s="867" t="s">
        <v>3344</v>
      </c>
      <c r="K987" s="867" t="s">
        <v>1804</v>
      </c>
      <c r="L987" s="867" t="s">
        <v>1930</v>
      </c>
      <c r="M987" s="867" t="s">
        <v>3334</v>
      </c>
      <c r="N987" s="867" t="s">
        <v>3861</v>
      </c>
      <c r="O987" s="867" t="s">
        <v>4185</v>
      </c>
      <c r="P987" s="869">
        <v>12</v>
      </c>
      <c r="Q987" s="869">
        <v>10</v>
      </c>
      <c r="R987" s="870">
        <v>0</v>
      </c>
      <c r="S987" s="871"/>
      <c r="T987" s="871"/>
      <c r="U987" s="872"/>
      <c r="W987" s="872"/>
    </row>
    <row r="988" spans="1:23" ht="36" x14ac:dyDescent="0.2">
      <c r="A988" s="812" t="s">
        <v>4181</v>
      </c>
      <c r="B988" s="866">
        <v>17319161</v>
      </c>
      <c r="C988" s="866" t="s">
        <v>3876</v>
      </c>
      <c r="D988" s="867" t="s">
        <v>3345</v>
      </c>
      <c r="E988" s="868">
        <v>45552.001296296294</v>
      </c>
      <c r="F988" s="868">
        <v>45930.916655092595</v>
      </c>
      <c r="G988" s="867" t="s">
        <v>1758</v>
      </c>
      <c r="H988" s="867" t="s">
        <v>1759</v>
      </c>
      <c r="I988" s="867" t="s">
        <v>1762</v>
      </c>
      <c r="J988" s="867" t="s">
        <v>3346</v>
      </c>
      <c r="K988" s="867" t="s">
        <v>1804</v>
      </c>
      <c r="L988" s="867" t="s">
        <v>1828</v>
      </c>
      <c r="M988" s="867" t="s">
        <v>3327</v>
      </c>
      <c r="N988" s="867" t="s">
        <v>3994</v>
      </c>
      <c r="O988" s="873" t="s">
        <v>4184</v>
      </c>
      <c r="P988" s="874">
        <v>14</v>
      </c>
      <c r="Q988" s="874">
        <v>14</v>
      </c>
      <c r="R988" s="875">
        <v>13</v>
      </c>
      <c r="S988" s="876"/>
      <c r="T988" s="876"/>
      <c r="U988" s="877"/>
      <c r="W988" s="877"/>
    </row>
    <row r="989" spans="1:23" ht="36" x14ac:dyDescent="0.2">
      <c r="A989" s="812" t="s">
        <v>4181</v>
      </c>
      <c r="B989" s="866">
        <v>17319161</v>
      </c>
      <c r="C989" s="866" t="s">
        <v>3876</v>
      </c>
      <c r="D989" s="867" t="s">
        <v>3347</v>
      </c>
      <c r="E989" s="868">
        <v>45551.412060185183</v>
      </c>
      <c r="F989" s="868">
        <v>45838.916655092595</v>
      </c>
      <c r="G989" s="867" t="s">
        <v>1758</v>
      </c>
      <c r="H989" s="867" t="s">
        <v>1759</v>
      </c>
      <c r="I989" s="867" t="s">
        <v>1762</v>
      </c>
      <c r="J989" s="867" t="s">
        <v>3348</v>
      </c>
      <c r="K989" s="867" t="s">
        <v>1804</v>
      </c>
      <c r="L989" s="867" t="s">
        <v>1828</v>
      </c>
      <c r="M989" s="867" t="s">
        <v>2092</v>
      </c>
      <c r="N989" s="867" t="s">
        <v>3897</v>
      </c>
      <c r="O989" s="867" t="s">
        <v>3898</v>
      </c>
      <c r="P989" s="869">
        <v>27</v>
      </c>
      <c r="Q989" s="869">
        <v>27</v>
      </c>
      <c r="R989" s="870">
        <v>18</v>
      </c>
      <c r="S989" s="871"/>
      <c r="T989" s="871"/>
      <c r="U989" s="872"/>
      <c r="W989" s="872"/>
    </row>
    <row r="990" spans="1:23" ht="24" x14ac:dyDescent="0.2">
      <c r="A990" s="812" t="s">
        <v>4181</v>
      </c>
      <c r="B990" s="866">
        <v>17319161</v>
      </c>
      <c r="C990" s="866" t="s">
        <v>3876</v>
      </c>
      <c r="D990" s="867" t="s">
        <v>3349</v>
      </c>
      <c r="E990" s="868">
        <v>45544.376956018517</v>
      </c>
      <c r="F990" s="868">
        <v>45906.916655092595</v>
      </c>
      <c r="G990" s="867" t="s">
        <v>1758</v>
      </c>
      <c r="H990" s="867" t="s">
        <v>1759</v>
      </c>
      <c r="I990" s="867" t="s">
        <v>1761</v>
      </c>
      <c r="J990" s="867" t="s">
        <v>3350</v>
      </c>
      <c r="K990" s="867" t="s">
        <v>1804</v>
      </c>
      <c r="L990" s="867" t="s">
        <v>1828</v>
      </c>
      <c r="M990" s="867" t="s">
        <v>3324</v>
      </c>
      <c r="N990" s="867" t="s">
        <v>4182</v>
      </c>
      <c r="O990" s="873" t="s">
        <v>4183</v>
      </c>
      <c r="P990" s="874">
        <v>22</v>
      </c>
      <c r="Q990" s="874">
        <v>22</v>
      </c>
      <c r="R990" s="875">
        <v>7</v>
      </c>
      <c r="S990" s="876"/>
      <c r="T990" s="876"/>
      <c r="U990" s="877"/>
      <c r="W990" s="877"/>
    </row>
    <row r="991" spans="1:23" ht="48" x14ac:dyDescent="0.2">
      <c r="A991" s="812" t="s">
        <v>4181</v>
      </c>
      <c r="B991" s="866">
        <v>17319161</v>
      </c>
      <c r="C991" s="866" t="s">
        <v>3876</v>
      </c>
      <c r="D991" s="867" t="s">
        <v>3351</v>
      </c>
      <c r="E991" s="868">
        <v>45551.916666666664</v>
      </c>
      <c r="F991" s="868">
        <v>45930.916655092595</v>
      </c>
      <c r="G991" s="867" t="s">
        <v>1758</v>
      </c>
      <c r="H991" s="867" t="s">
        <v>1759</v>
      </c>
      <c r="I991" s="867" t="s">
        <v>1760</v>
      </c>
      <c r="J991" s="867" t="s">
        <v>3352</v>
      </c>
      <c r="K991" s="867" t="s">
        <v>1804</v>
      </c>
      <c r="L991" s="867" t="s">
        <v>1805</v>
      </c>
      <c r="M991" s="867" t="s">
        <v>3327</v>
      </c>
      <c r="N991" s="867" t="s">
        <v>3994</v>
      </c>
      <c r="O991" s="867" t="s">
        <v>4184</v>
      </c>
      <c r="P991" s="869">
        <v>14</v>
      </c>
      <c r="Q991" s="869">
        <v>14</v>
      </c>
      <c r="R991" s="870">
        <v>13</v>
      </c>
      <c r="S991" s="871"/>
      <c r="T991" s="871"/>
      <c r="U991" s="872"/>
      <c r="W991" s="872"/>
    </row>
    <row r="992" spans="1:23" ht="48" x14ac:dyDescent="0.2">
      <c r="A992" s="812" t="s">
        <v>4181</v>
      </c>
      <c r="B992" s="866">
        <v>17319161</v>
      </c>
      <c r="C992" s="866" t="s">
        <v>3876</v>
      </c>
      <c r="D992" s="867" t="s">
        <v>3353</v>
      </c>
      <c r="E992" s="868">
        <v>45551.916666666664</v>
      </c>
      <c r="F992" s="868">
        <v>45930.916655092595</v>
      </c>
      <c r="G992" s="867" t="s">
        <v>1758</v>
      </c>
      <c r="H992" s="867" t="s">
        <v>1759</v>
      </c>
      <c r="I992" s="867" t="s">
        <v>1760</v>
      </c>
      <c r="J992" s="867" t="s">
        <v>3354</v>
      </c>
      <c r="K992" s="867" t="s">
        <v>1804</v>
      </c>
      <c r="L992" s="867" t="s">
        <v>1805</v>
      </c>
      <c r="M992" s="867" t="s">
        <v>3327</v>
      </c>
      <c r="N992" s="867" t="s">
        <v>3994</v>
      </c>
      <c r="O992" s="873" t="s">
        <v>4184</v>
      </c>
      <c r="P992" s="874">
        <v>13</v>
      </c>
      <c r="Q992" s="874">
        <v>12</v>
      </c>
      <c r="R992" s="875">
        <v>11</v>
      </c>
      <c r="S992" s="876"/>
      <c r="T992" s="876"/>
      <c r="U992" s="877"/>
      <c r="W992" s="877"/>
    </row>
    <row r="993" spans="1:23" ht="48" x14ac:dyDescent="0.2">
      <c r="A993" s="812" t="s">
        <v>4181</v>
      </c>
      <c r="B993" s="866">
        <v>17319161</v>
      </c>
      <c r="C993" s="866" t="s">
        <v>3876</v>
      </c>
      <c r="D993" s="867" t="s">
        <v>3355</v>
      </c>
      <c r="E993" s="868">
        <v>45551.916666666664</v>
      </c>
      <c r="F993" s="868">
        <v>45930.916655092595</v>
      </c>
      <c r="G993" s="867" t="s">
        <v>1758</v>
      </c>
      <c r="H993" s="867" t="s">
        <v>1759</v>
      </c>
      <c r="I993" s="867" t="s">
        <v>1760</v>
      </c>
      <c r="J993" s="867" t="s">
        <v>3356</v>
      </c>
      <c r="K993" s="867" t="s">
        <v>1804</v>
      </c>
      <c r="L993" s="867" t="s">
        <v>1805</v>
      </c>
      <c r="M993" s="867" t="s">
        <v>3327</v>
      </c>
      <c r="N993" s="867" t="s">
        <v>3994</v>
      </c>
      <c r="O993" s="867" t="s">
        <v>4184</v>
      </c>
      <c r="P993" s="869">
        <v>14</v>
      </c>
      <c r="Q993" s="869">
        <v>14</v>
      </c>
      <c r="R993" s="870">
        <v>13</v>
      </c>
      <c r="S993" s="871"/>
      <c r="T993" s="871"/>
      <c r="U993" s="872"/>
      <c r="W993" s="872"/>
    </row>
    <row r="994" spans="1:23" ht="36" x14ac:dyDescent="0.2">
      <c r="A994" s="812" t="s">
        <v>4181</v>
      </c>
      <c r="B994" s="866">
        <v>17319161</v>
      </c>
      <c r="C994" s="866" t="s">
        <v>3876</v>
      </c>
      <c r="D994" s="867" t="s">
        <v>3357</v>
      </c>
      <c r="E994" s="868">
        <v>45546.501898148148</v>
      </c>
      <c r="F994" s="868">
        <v>45911.916655092595</v>
      </c>
      <c r="G994" s="867" t="s">
        <v>1758</v>
      </c>
      <c r="H994" s="867" t="s">
        <v>1759</v>
      </c>
      <c r="I994" s="867" t="s">
        <v>1762</v>
      </c>
      <c r="J994" s="867" t="s">
        <v>3358</v>
      </c>
      <c r="K994" s="867" t="s">
        <v>1804</v>
      </c>
      <c r="L994" s="867" t="s">
        <v>1828</v>
      </c>
      <c r="M994" s="867" t="s">
        <v>3334</v>
      </c>
      <c r="N994" s="867" t="s">
        <v>3861</v>
      </c>
      <c r="O994" s="873" t="s">
        <v>4185</v>
      </c>
      <c r="P994" s="874">
        <v>13</v>
      </c>
      <c r="Q994" s="874">
        <v>13</v>
      </c>
      <c r="R994" s="875">
        <v>6</v>
      </c>
      <c r="S994" s="876"/>
      <c r="T994" s="876"/>
      <c r="U994" s="877"/>
      <c r="W994" s="877"/>
    </row>
    <row r="995" spans="1:23" ht="48" x14ac:dyDescent="0.2">
      <c r="A995" s="812" t="s">
        <v>4181</v>
      </c>
      <c r="B995" s="866">
        <v>17319161</v>
      </c>
      <c r="C995" s="866" t="s">
        <v>3876</v>
      </c>
      <c r="D995" s="867" t="s">
        <v>3359</v>
      </c>
      <c r="E995" s="868">
        <v>45551.916666666664</v>
      </c>
      <c r="F995" s="868">
        <v>45930.916655092595</v>
      </c>
      <c r="G995" s="867" t="s">
        <v>1758</v>
      </c>
      <c r="H995" s="867" t="s">
        <v>1759</v>
      </c>
      <c r="I995" s="867" t="s">
        <v>1760</v>
      </c>
      <c r="J995" s="867" t="s">
        <v>3360</v>
      </c>
      <c r="K995" s="867" t="s">
        <v>1804</v>
      </c>
      <c r="L995" s="867" t="s">
        <v>1805</v>
      </c>
      <c r="M995" s="867" t="s">
        <v>3327</v>
      </c>
      <c r="N995" s="867" t="s">
        <v>3994</v>
      </c>
      <c r="O995" s="867" t="s">
        <v>4184</v>
      </c>
      <c r="P995" s="869">
        <v>13</v>
      </c>
      <c r="Q995" s="869">
        <v>13</v>
      </c>
      <c r="R995" s="870">
        <v>13</v>
      </c>
      <c r="S995" s="871"/>
      <c r="T995" s="871"/>
      <c r="U995" s="872"/>
      <c r="W995" s="872"/>
    </row>
    <row r="996" spans="1:23" ht="48" x14ac:dyDescent="0.2">
      <c r="A996" s="812" t="s">
        <v>4181</v>
      </c>
      <c r="B996" s="866">
        <v>17319161</v>
      </c>
      <c r="C996" s="866" t="s">
        <v>3876</v>
      </c>
      <c r="D996" s="867" t="s">
        <v>3361</v>
      </c>
      <c r="E996" s="868">
        <v>45551.916666666664</v>
      </c>
      <c r="F996" s="868">
        <v>45930.916655092595</v>
      </c>
      <c r="G996" s="867" t="s">
        <v>1758</v>
      </c>
      <c r="H996" s="867" t="s">
        <v>1759</v>
      </c>
      <c r="I996" s="867" t="s">
        <v>1760</v>
      </c>
      <c r="J996" s="867" t="s">
        <v>3362</v>
      </c>
      <c r="K996" s="867" t="s">
        <v>1804</v>
      </c>
      <c r="L996" s="867" t="s">
        <v>1805</v>
      </c>
      <c r="M996" s="867" t="s">
        <v>3327</v>
      </c>
      <c r="N996" s="867" t="s">
        <v>3994</v>
      </c>
      <c r="O996" s="873" t="s">
        <v>4184</v>
      </c>
      <c r="P996" s="874">
        <v>15</v>
      </c>
      <c r="Q996" s="874">
        <v>15</v>
      </c>
      <c r="R996" s="875">
        <v>10</v>
      </c>
      <c r="S996" s="876"/>
      <c r="T996" s="876"/>
      <c r="U996" s="877"/>
      <c r="W996" s="877"/>
    </row>
    <row r="997" spans="1:23" ht="36" x14ac:dyDescent="0.2">
      <c r="A997" s="812" t="s">
        <v>4181</v>
      </c>
      <c r="B997" s="866">
        <v>17319161</v>
      </c>
      <c r="C997" s="866" t="s">
        <v>3876</v>
      </c>
      <c r="D997" s="867" t="s">
        <v>3363</v>
      </c>
      <c r="E997" s="868">
        <v>45548.444155092591</v>
      </c>
      <c r="F997" s="868">
        <v>45913.916655092595</v>
      </c>
      <c r="G997" s="867" t="s">
        <v>1741</v>
      </c>
      <c r="H997" s="867" t="s">
        <v>1752</v>
      </c>
      <c r="I997" s="867" t="s">
        <v>1754</v>
      </c>
      <c r="J997" s="867" t="s">
        <v>3364</v>
      </c>
      <c r="K997" s="867" t="s">
        <v>1804</v>
      </c>
      <c r="L997" s="867" t="s">
        <v>1930</v>
      </c>
      <c r="M997" s="867" t="s">
        <v>3334</v>
      </c>
      <c r="N997" s="867" t="s">
        <v>3861</v>
      </c>
      <c r="O997" s="867" t="s">
        <v>4185</v>
      </c>
      <c r="P997" s="869">
        <v>14</v>
      </c>
      <c r="Q997" s="869">
        <v>14</v>
      </c>
      <c r="R997" s="870">
        <v>0</v>
      </c>
      <c r="S997" s="871"/>
      <c r="T997" s="871"/>
      <c r="U997" s="872"/>
      <c r="W997" s="872"/>
    </row>
    <row r="998" spans="1:23" ht="24" x14ac:dyDescent="0.2">
      <c r="A998" s="812" t="s">
        <v>4181</v>
      </c>
      <c r="B998" s="866">
        <v>17319161</v>
      </c>
      <c r="C998" s="866" t="s">
        <v>3876</v>
      </c>
      <c r="D998" s="867" t="s">
        <v>3365</v>
      </c>
      <c r="E998" s="868">
        <v>45552.227187500001</v>
      </c>
      <c r="F998" s="868">
        <v>45917.916655092595</v>
      </c>
      <c r="G998" s="867" t="s">
        <v>1758</v>
      </c>
      <c r="H998" s="867" t="s">
        <v>1759</v>
      </c>
      <c r="I998" s="867" t="s">
        <v>1761</v>
      </c>
      <c r="J998" s="867" t="s">
        <v>1761</v>
      </c>
      <c r="K998" s="867" t="s">
        <v>1804</v>
      </c>
      <c r="L998" s="867" t="s">
        <v>1828</v>
      </c>
      <c r="M998" s="867" t="s">
        <v>3334</v>
      </c>
      <c r="N998" s="867" t="s">
        <v>3861</v>
      </c>
      <c r="O998" s="873" t="s">
        <v>4185</v>
      </c>
      <c r="P998" s="874">
        <v>30</v>
      </c>
      <c r="Q998" s="874">
        <v>30</v>
      </c>
      <c r="R998" s="875">
        <v>29</v>
      </c>
      <c r="S998" s="876"/>
      <c r="T998" s="876"/>
      <c r="U998" s="877"/>
      <c r="W998" s="877"/>
    </row>
    <row r="999" spans="1:23" ht="24" x14ac:dyDescent="0.2">
      <c r="A999" s="812" t="s">
        <v>4181</v>
      </c>
      <c r="B999" s="866">
        <v>17319161</v>
      </c>
      <c r="C999" s="866" t="s">
        <v>3876</v>
      </c>
      <c r="D999" s="867" t="s">
        <v>3366</v>
      </c>
      <c r="E999" s="868">
        <v>45601.559803240743</v>
      </c>
      <c r="F999" s="868">
        <v>45838.916655092595</v>
      </c>
      <c r="G999" s="867" t="s">
        <v>1758</v>
      </c>
      <c r="H999" s="867" t="s">
        <v>1759</v>
      </c>
      <c r="I999" s="867" t="s">
        <v>1761</v>
      </c>
      <c r="J999" s="867" t="s">
        <v>3367</v>
      </c>
      <c r="K999" s="867" t="s">
        <v>1804</v>
      </c>
      <c r="L999" s="867" t="s">
        <v>1828</v>
      </c>
      <c r="M999" s="867" t="s">
        <v>3324</v>
      </c>
      <c r="N999" s="867" t="s">
        <v>4182</v>
      </c>
      <c r="O999" s="867" t="s">
        <v>4183</v>
      </c>
      <c r="P999" s="869">
        <v>2</v>
      </c>
      <c r="Q999" s="869">
        <v>2</v>
      </c>
      <c r="R999" s="870">
        <v>0</v>
      </c>
      <c r="S999" s="871"/>
      <c r="T999" s="871"/>
      <c r="U999" s="872"/>
      <c r="W999" s="872"/>
    </row>
    <row r="1000" spans="1:23" ht="36" x14ac:dyDescent="0.2">
      <c r="A1000" s="812" t="s">
        <v>4181</v>
      </c>
      <c r="B1000" s="866">
        <v>17319161</v>
      </c>
      <c r="C1000" s="866" t="s">
        <v>3876</v>
      </c>
      <c r="D1000" s="867" t="s">
        <v>3368</v>
      </c>
      <c r="E1000" s="868">
        <v>45553.501250000001</v>
      </c>
      <c r="F1000" s="868">
        <v>45930.916655092595</v>
      </c>
      <c r="G1000" s="867" t="s">
        <v>1758</v>
      </c>
      <c r="H1000" s="867" t="s">
        <v>1759</v>
      </c>
      <c r="I1000" s="867" t="s">
        <v>1762</v>
      </c>
      <c r="J1000" s="867" t="s">
        <v>3369</v>
      </c>
      <c r="K1000" s="867" t="s">
        <v>1804</v>
      </c>
      <c r="L1000" s="867" t="s">
        <v>1828</v>
      </c>
      <c r="M1000" s="867" t="s">
        <v>3327</v>
      </c>
      <c r="N1000" s="867" t="s">
        <v>3994</v>
      </c>
      <c r="O1000" s="873" t="s">
        <v>4184</v>
      </c>
      <c r="P1000" s="874">
        <v>14</v>
      </c>
      <c r="Q1000" s="874">
        <v>14</v>
      </c>
      <c r="R1000" s="875">
        <v>12</v>
      </c>
      <c r="S1000" s="876"/>
      <c r="T1000" s="876"/>
      <c r="U1000" s="877"/>
      <c r="W1000" s="877"/>
    </row>
    <row r="1001" spans="1:23" ht="36" x14ac:dyDescent="0.2">
      <c r="A1001" s="812" t="s">
        <v>4186</v>
      </c>
      <c r="B1001" s="866" t="s">
        <v>3890</v>
      </c>
      <c r="C1001" s="866" t="s">
        <v>3890</v>
      </c>
      <c r="D1001" s="867" t="s">
        <v>3370</v>
      </c>
      <c r="E1001" s="868">
        <v>45598.82775462963</v>
      </c>
      <c r="F1001" s="868">
        <v>45963.833321759259</v>
      </c>
      <c r="G1001" s="867" t="s">
        <v>1758</v>
      </c>
      <c r="H1001" s="867" t="s">
        <v>1759</v>
      </c>
      <c r="I1001" s="867" t="s">
        <v>1762</v>
      </c>
      <c r="J1001" s="867" t="s">
        <v>1762</v>
      </c>
      <c r="K1001" s="867" t="s">
        <v>1804</v>
      </c>
      <c r="L1001" s="867" t="s">
        <v>1828</v>
      </c>
      <c r="M1001" s="867" t="s">
        <v>3371</v>
      </c>
      <c r="N1001" s="867" t="s">
        <v>4187</v>
      </c>
      <c r="O1001" s="867" t="s">
        <v>4188</v>
      </c>
      <c r="P1001" s="869">
        <v>2</v>
      </c>
      <c r="Q1001" s="869">
        <v>2</v>
      </c>
      <c r="R1001" s="870">
        <v>0</v>
      </c>
      <c r="S1001" s="871"/>
      <c r="T1001" s="871"/>
      <c r="U1001" s="872"/>
      <c r="W1001" s="872"/>
    </row>
    <row r="1002" spans="1:23" ht="36" x14ac:dyDescent="0.2">
      <c r="A1002" s="812" t="s">
        <v>4186</v>
      </c>
      <c r="B1002" s="866" t="s">
        <v>3890</v>
      </c>
      <c r="C1002" s="866" t="s">
        <v>3890</v>
      </c>
      <c r="D1002" s="867" t="s">
        <v>3372</v>
      </c>
      <c r="E1002" s="868">
        <v>45536.782939814817</v>
      </c>
      <c r="F1002" s="868">
        <v>45900.833321759259</v>
      </c>
      <c r="G1002" s="867" t="s">
        <v>1741</v>
      </c>
      <c r="H1002" s="867" t="s">
        <v>1752</v>
      </c>
      <c r="I1002" s="867" t="s">
        <v>1753</v>
      </c>
      <c r="J1002" s="867" t="s">
        <v>1753</v>
      </c>
      <c r="K1002" s="867" t="s">
        <v>1804</v>
      </c>
      <c r="L1002" s="867" t="s">
        <v>1805</v>
      </c>
      <c r="M1002" s="867" t="s">
        <v>3371</v>
      </c>
      <c r="N1002" s="867" t="s">
        <v>4187</v>
      </c>
      <c r="O1002" s="873" t="s">
        <v>4188</v>
      </c>
      <c r="P1002" s="874">
        <v>2</v>
      </c>
      <c r="Q1002" s="874">
        <v>1</v>
      </c>
      <c r="R1002" s="875">
        <v>0</v>
      </c>
      <c r="S1002" s="876"/>
      <c r="T1002" s="876"/>
      <c r="U1002" s="877"/>
      <c r="W1002" s="877"/>
    </row>
    <row r="1003" spans="1:23" ht="36" x14ac:dyDescent="0.2">
      <c r="A1003" s="812" t="s">
        <v>4186</v>
      </c>
      <c r="B1003" s="866" t="s">
        <v>3890</v>
      </c>
      <c r="C1003" s="866" t="s">
        <v>3890</v>
      </c>
      <c r="D1003" s="867" t="s">
        <v>3373</v>
      </c>
      <c r="E1003" s="868">
        <v>45341.833333333336</v>
      </c>
      <c r="F1003" s="868">
        <v>45595.833333333336</v>
      </c>
      <c r="G1003" s="867" t="s">
        <v>1758</v>
      </c>
      <c r="H1003" s="867" t="s">
        <v>1759</v>
      </c>
      <c r="I1003" s="867" t="s">
        <v>1823</v>
      </c>
      <c r="J1003" s="867" t="s">
        <v>3374</v>
      </c>
      <c r="K1003" s="867" t="s">
        <v>3375</v>
      </c>
      <c r="L1003" s="867" t="s">
        <v>3376</v>
      </c>
      <c r="M1003" s="867" t="s">
        <v>3377</v>
      </c>
      <c r="N1003" s="867" t="s">
        <v>4189</v>
      </c>
      <c r="O1003" s="867" t="s">
        <v>4190</v>
      </c>
      <c r="P1003" s="869">
        <v>5</v>
      </c>
      <c r="Q1003" s="869">
        <v>2</v>
      </c>
      <c r="R1003" s="870">
        <v>0</v>
      </c>
      <c r="S1003" s="871"/>
      <c r="T1003" s="871"/>
      <c r="U1003" s="872"/>
      <c r="W1003" s="872"/>
    </row>
    <row r="1004" spans="1:23" ht="36" x14ac:dyDescent="0.2">
      <c r="A1004" s="812" t="s">
        <v>4186</v>
      </c>
      <c r="B1004" s="866" t="s">
        <v>3890</v>
      </c>
      <c r="C1004" s="866" t="s">
        <v>3890</v>
      </c>
      <c r="D1004" s="867" t="s">
        <v>3378</v>
      </c>
      <c r="E1004" s="868">
        <v>45306</v>
      </c>
      <c r="F1004" s="868">
        <v>45642</v>
      </c>
      <c r="G1004" s="867" t="s">
        <v>1758</v>
      </c>
      <c r="H1004" s="867" t="s">
        <v>1759</v>
      </c>
      <c r="I1004" s="867" t="s">
        <v>1823</v>
      </c>
      <c r="J1004" s="867" t="s">
        <v>3379</v>
      </c>
      <c r="K1004" s="867" t="s">
        <v>1804</v>
      </c>
      <c r="L1004" s="867" t="s">
        <v>1819</v>
      </c>
      <c r="M1004" s="867" t="s">
        <v>3380</v>
      </c>
      <c r="N1004" s="867" t="s">
        <v>4191</v>
      </c>
      <c r="O1004" s="873" t="s">
        <v>4192</v>
      </c>
      <c r="P1004" s="874">
        <v>1</v>
      </c>
      <c r="Q1004" s="874">
        <v>1</v>
      </c>
      <c r="R1004" s="875">
        <v>0</v>
      </c>
      <c r="S1004" s="876"/>
      <c r="T1004" s="876"/>
      <c r="U1004" s="877"/>
      <c r="W1004" s="877"/>
    </row>
    <row r="1005" spans="1:23" ht="36" x14ac:dyDescent="0.2">
      <c r="A1005" s="812" t="s">
        <v>4186</v>
      </c>
      <c r="B1005" s="866" t="s">
        <v>3890</v>
      </c>
      <c r="C1005" s="866" t="s">
        <v>3890</v>
      </c>
      <c r="D1005" s="867" t="s">
        <v>3381</v>
      </c>
      <c r="E1005" s="868">
        <v>45583.265162037038</v>
      </c>
      <c r="F1005" s="868">
        <v>45948.833321759259</v>
      </c>
      <c r="G1005" s="867" t="s">
        <v>1741</v>
      </c>
      <c r="H1005" s="867" t="s">
        <v>1749</v>
      </c>
      <c r="I1005" s="867" t="s">
        <v>1749</v>
      </c>
      <c r="J1005" s="867" t="s">
        <v>1875</v>
      </c>
      <c r="K1005" s="867" t="s">
        <v>1804</v>
      </c>
      <c r="L1005" s="867" t="s">
        <v>1869</v>
      </c>
      <c r="M1005" s="867" t="s">
        <v>3371</v>
      </c>
      <c r="N1005" s="867" t="s">
        <v>4187</v>
      </c>
      <c r="O1005" s="867" t="s">
        <v>4188</v>
      </c>
      <c r="P1005" s="869">
        <v>4</v>
      </c>
      <c r="Q1005" s="869">
        <v>3</v>
      </c>
      <c r="R1005" s="870">
        <v>1</v>
      </c>
      <c r="S1005" s="871"/>
      <c r="T1005" s="871"/>
      <c r="U1005" s="872"/>
      <c r="W1005" s="872"/>
    </row>
    <row r="1006" spans="1:23" ht="36" x14ac:dyDescent="0.2">
      <c r="A1006" s="812" t="s">
        <v>4186</v>
      </c>
      <c r="B1006" s="866" t="s">
        <v>3890</v>
      </c>
      <c r="C1006" s="866" t="s">
        <v>3890</v>
      </c>
      <c r="D1006" s="867" t="s">
        <v>3382</v>
      </c>
      <c r="E1006" s="868">
        <v>45531.868009259262</v>
      </c>
      <c r="F1006" s="868">
        <v>45896.833321759259</v>
      </c>
      <c r="G1006" s="867" t="s">
        <v>1741</v>
      </c>
      <c r="H1006" s="867" t="s">
        <v>1752</v>
      </c>
      <c r="I1006" s="867" t="s">
        <v>1754</v>
      </c>
      <c r="J1006" s="867" t="s">
        <v>1754</v>
      </c>
      <c r="K1006" s="867" t="s">
        <v>1804</v>
      </c>
      <c r="L1006" s="867" t="s">
        <v>1930</v>
      </c>
      <c r="M1006" s="867" t="s">
        <v>3371</v>
      </c>
      <c r="N1006" s="867" t="s">
        <v>4187</v>
      </c>
      <c r="O1006" s="873" t="s">
        <v>4188</v>
      </c>
      <c r="P1006" s="874">
        <v>1</v>
      </c>
      <c r="Q1006" s="874">
        <v>0</v>
      </c>
      <c r="R1006" s="875">
        <v>0</v>
      </c>
      <c r="S1006" s="876"/>
      <c r="T1006" s="876"/>
      <c r="U1006" s="877"/>
      <c r="W1006" s="877"/>
    </row>
    <row r="1007" spans="1:23" ht="24" x14ac:dyDescent="0.2">
      <c r="A1007" s="812" t="s">
        <v>4186</v>
      </c>
      <c r="B1007" s="866" t="s">
        <v>3890</v>
      </c>
      <c r="C1007" s="866" t="s">
        <v>3890</v>
      </c>
      <c r="D1007" s="867" t="s">
        <v>3383</v>
      </c>
      <c r="E1007" s="868">
        <v>45530.24759259259</v>
      </c>
      <c r="F1007" s="868">
        <v>45926.833321759259</v>
      </c>
      <c r="G1007" s="867" t="s">
        <v>1772</v>
      </c>
      <c r="H1007" s="867" t="s">
        <v>1765</v>
      </c>
      <c r="I1007" s="867" t="s">
        <v>1773</v>
      </c>
      <c r="J1007" s="867" t="s">
        <v>1773</v>
      </c>
      <c r="K1007" s="867" t="s">
        <v>1804</v>
      </c>
      <c r="L1007" s="867" t="s">
        <v>1805</v>
      </c>
      <c r="M1007" s="867" t="s">
        <v>3371</v>
      </c>
      <c r="N1007" s="867" t="s">
        <v>4187</v>
      </c>
      <c r="O1007" s="867" t="s">
        <v>4188</v>
      </c>
      <c r="P1007" s="869">
        <v>1</v>
      </c>
      <c r="Q1007" s="869">
        <v>1</v>
      </c>
      <c r="R1007" s="870">
        <v>0</v>
      </c>
      <c r="S1007" s="871"/>
      <c r="T1007" s="871"/>
      <c r="U1007" s="872"/>
      <c r="W1007" s="872"/>
    </row>
    <row r="1008" spans="1:23" x14ac:dyDescent="0.2">
      <c r="A1008" s="812" t="s">
        <v>4186</v>
      </c>
      <c r="B1008" s="866" t="s">
        <v>3890</v>
      </c>
      <c r="C1008" s="866" t="s">
        <v>3890</v>
      </c>
      <c r="D1008" s="867" t="s">
        <v>3384</v>
      </c>
      <c r="E1008" s="868">
        <v>45644.809965277775</v>
      </c>
      <c r="F1008" s="868">
        <v>45747.833321759259</v>
      </c>
      <c r="G1008" s="867" t="s">
        <v>1787</v>
      </c>
      <c r="H1008" s="867" t="s">
        <v>1788</v>
      </c>
      <c r="I1008" s="867" t="s">
        <v>1789</v>
      </c>
      <c r="J1008" s="867" t="s">
        <v>1789</v>
      </c>
      <c r="K1008" s="867" t="s">
        <v>1804</v>
      </c>
      <c r="L1008" s="867" t="s">
        <v>1805</v>
      </c>
      <c r="M1008" s="867" t="s">
        <v>3377</v>
      </c>
      <c r="N1008" s="867" t="s">
        <v>4189</v>
      </c>
      <c r="O1008" s="873" t="s">
        <v>4190</v>
      </c>
      <c r="P1008" s="874">
        <v>1</v>
      </c>
      <c r="Q1008" s="874">
        <v>1</v>
      </c>
      <c r="R1008" s="875">
        <v>0</v>
      </c>
      <c r="S1008" s="876"/>
      <c r="T1008" s="876"/>
      <c r="U1008" s="877"/>
      <c r="W1008" s="877"/>
    </row>
    <row r="1009" spans="1:23" ht="24" x14ac:dyDescent="0.2">
      <c r="A1009" s="812" t="s">
        <v>4186</v>
      </c>
      <c r="B1009" s="866" t="s">
        <v>3890</v>
      </c>
      <c r="C1009" s="866" t="s">
        <v>3890</v>
      </c>
      <c r="D1009" s="867" t="s">
        <v>3385</v>
      </c>
      <c r="E1009" s="868">
        <v>45560.52783564815</v>
      </c>
      <c r="F1009" s="868">
        <v>45924.833321759259</v>
      </c>
      <c r="G1009" s="867" t="s">
        <v>1758</v>
      </c>
      <c r="H1009" s="867" t="s">
        <v>1759</v>
      </c>
      <c r="I1009" s="867" t="s">
        <v>1761</v>
      </c>
      <c r="J1009" s="867" t="s">
        <v>1761</v>
      </c>
      <c r="K1009" s="867" t="s">
        <v>1804</v>
      </c>
      <c r="L1009" s="867" t="s">
        <v>1828</v>
      </c>
      <c r="M1009" s="867" t="s">
        <v>3371</v>
      </c>
      <c r="N1009" s="867" t="s">
        <v>4187</v>
      </c>
      <c r="O1009" s="867" t="s">
        <v>4188</v>
      </c>
      <c r="P1009" s="869">
        <v>5</v>
      </c>
      <c r="Q1009" s="869">
        <v>4</v>
      </c>
      <c r="R1009" s="870">
        <v>0</v>
      </c>
      <c r="S1009" s="871"/>
      <c r="T1009" s="871"/>
      <c r="U1009" s="872"/>
      <c r="W1009" s="872"/>
    </row>
    <row r="1010" spans="1:23" ht="24" x14ac:dyDescent="0.2">
      <c r="A1010" s="812" t="s">
        <v>4186</v>
      </c>
      <c r="B1010" s="866" t="s">
        <v>3890</v>
      </c>
      <c r="C1010" s="866" t="s">
        <v>3890</v>
      </c>
      <c r="D1010" s="867" t="s">
        <v>3386</v>
      </c>
      <c r="E1010" s="868">
        <v>45656.331296296295</v>
      </c>
      <c r="F1010" s="868">
        <v>45839.833321759259</v>
      </c>
      <c r="G1010" s="867" t="s">
        <v>1758</v>
      </c>
      <c r="H1010" s="867" t="s">
        <v>1759</v>
      </c>
      <c r="I1010" s="867" t="s">
        <v>1761</v>
      </c>
      <c r="J1010" s="867" t="s">
        <v>1761</v>
      </c>
      <c r="K1010" s="867" t="s">
        <v>1804</v>
      </c>
      <c r="L1010" s="867" t="s">
        <v>1828</v>
      </c>
      <c r="M1010" s="867" t="s">
        <v>3377</v>
      </c>
      <c r="N1010" s="867" t="s">
        <v>4189</v>
      </c>
      <c r="O1010" s="873" t="s">
        <v>4190</v>
      </c>
      <c r="P1010" s="874">
        <v>2</v>
      </c>
      <c r="Q1010" s="874">
        <v>2</v>
      </c>
      <c r="R1010" s="875">
        <v>0</v>
      </c>
      <c r="S1010" s="876"/>
      <c r="T1010" s="876"/>
      <c r="U1010" s="877"/>
      <c r="W1010" s="877"/>
    </row>
    <row r="1011" spans="1:23" ht="36" x14ac:dyDescent="0.2">
      <c r="A1011" s="812" t="s">
        <v>4186</v>
      </c>
      <c r="B1011" s="866" t="s">
        <v>3890</v>
      </c>
      <c r="C1011" s="866" t="s">
        <v>3890</v>
      </c>
      <c r="D1011" s="867" t="s">
        <v>3387</v>
      </c>
      <c r="E1011" s="868">
        <v>45536.789652777778</v>
      </c>
      <c r="F1011" s="868">
        <v>45900.833321759259</v>
      </c>
      <c r="G1011" s="867" t="s">
        <v>1741</v>
      </c>
      <c r="H1011" s="867" t="s">
        <v>1752</v>
      </c>
      <c r="I1011" s="867" t="s">
        <v>2038</v>
      </c>
      <c r="J1011" s="867" t="s">
        <v>2038</v>
      </c>
      <c r="K1011" s="867" t="s">
        <v>1804</v>
      </c>
      <c r="L1011" s="867" t="s">
        <v>1805</v>
      </c>
      <c r="M1011" s="867" t="s">
        <v>3371</v>
      </c>
      <c r="N1011" s="867" t="s">
        <v>4187</v>
      </c>
      <c r="O1011" s="867" t="s">
        <v>4188</v>
      </c>
      <c r="P1011" s="869">
        <v>1</v>
      </c>
      <c r="Q1011" s="869">
        <v>0</v>
      </c>
      <c r="R1011" s="870">
        <v>0</v>
      </c>
      <c r="S1011" s="871"/>
      <c r="T1011" s="871"/>
      <c r="U1011" s="872"/>
      <c r="W1011" s="872"/>
    </row>
    <row r="1012" spans="1:23" ht="24" x14ac:dyDescent="0.2">
      <c r="A1012" s="812" t="s">
        <v>4186</v>
      </c>
      <c r="B1012" s="866" t="s">
        <v>3890</v>
      </c>
      <c r="C1012" s="866" t="s">
        <v>3890</v>
      </c>
      <c r="D1012" s="867" t="s">
        <v>3388</v>
      </c>
      <c r="E1012" s="868">
        <v>45644.794594907406</v>
      </c>
      <c r="F1012" s="868">
        <v>45869.833321759259</v>
      </c>
      <c r="G1012" s="867" t="s">
        <v>1767</v>
      </c>
      <c r="H1012" s="867" t="s">
        <v>1770</v>
      </c>
      <c r="I1012" s="867" t="s">
        <v>1770</v>
      </c>
      <c r="J1012" s="867" t="s">
        <v>1770</v>
      </c>
      <c r="K1012" s="867" t="s">
        <v>1804</v>
      </c>
      <c r="L1012" s="867" t="s">
        <v>2097</v>
      </c>
      <c r="M1012" s="867" t="s">
        <v>3377</v>
      </c>
      <c r="N1012" s="867" t="s">
        <v>4189</v>
      </c>
      <c r="O1012" s="873" t="s">
        <v>4190</v>
      </c>
      <c r="P1012" s="874">
        <v>1</v>
      </c>
      <c r="Q1012" s="874">
        <v>1</v>
      </c>
      <c r="R1012" s="875">
        <v>0</v>
      </c>
      <c r="S1012" s="876"/>
      <c r="T1012" s="876"/>
      <c r="U1012" s="877"/>
      <c r="W1012" s="877"/>
    </row>
    <row r="1013" spans="1:23" ht="36" x14ac:dyDescent="0.2">
      <c r="A1013" s="812" t="s">
        <v>4193</v>
      </c>
      <c r="B1013" s="866" t="s">
        <v>3890</v>
      </c>
      <c r="C1013" s="866" t="s">
        <v>3890</v>
      </c>
      <c r="D1013" s="867" t="s">
        <v>3389</v>
      </c>
      <c r="E1013" s="868">
        <v>45516.916666666664</v>
      </c>
      <c r="F1013" s="868">
        <v>45656.958333333336</v>
      </c>
      <c r="G1013" s="867" t="s">
        <v>1758</v>
      </c>
      <c r="H1013" s="867" t="s">
        <v>1759</v>
      </c>
      <c r="I1013" s="867" t="s">
        <v>1817</v>
      </c>
      <c r="J1013" s="867" t="s">
        <v>3390</v>
      </c>
      <c r="K1013" s="867" t="s">
        <v>1804</v>
      </c>
      <c r="L1013" s="867" t="s">
        <v>1819</v>
      </c>
      <c r="M1013" s="867" t="s">
        <v>3391</v>
      </c>
      <c r="N1013" s="867" t="s">
        <v>3987</v>
      </c>
      <c r="O1013" s="867" t="s">
        <v>4194</v>
      </c>
      <c r="P1013" s="869">
        <v>1</v>
      </c>
      <c r="Q1013" s="869">
        <v>1</v>
      </c>
      <c r="R1013" s="870">
        <v>0</v>
      </c>
      <c r="S1013" s="871"/>
      <c r="T1013" s="871"/>
      <c r="U1013" s="872"/>
      <c r="W1013" s="872"/>
    </row>
    <row r="1014" spans="1:23" ht="36" x14ac:dyDescent="0.2">
      <c r="A1014" s="812" t="s">
        <v>4193</v>
      </c>
      <c r="B1014" s="866" t="s">
        <v>3890</v>
      </c>
      <c r="C1014" s="866" t="s">
        <v>3890</v>
      </c>
      <c r="D1014" s="867" t="s">
        <v>3392</v>
      </c>
      <c r="E1014" s="868">
        <v>45611.361319444448</v>
      </c>
      <c r="F1014" s="868">
        <v>45838.916655092595</v>
      </c>
      <c r="G1014" s="867" t="s">
        <v>1777</v>
      </c>
      <c r="H1014" s="867" t="s">
        <v>1888</v>
      </c>
      <c r="I1014" s="867" t="s">
        <v>1889</v>
      </c>
      <c r="J1014" s="867" t="s">
        <v>1889</v>
      </c>
      <c r="K1014" s="867" t="s">
        <v>1804</v>
      </c>
      <c r="L1014" s="867" t="s">
        <v>1805</v>
      </c>
      <c r="M1014" s="867" t="s">
        <v>3393</v>
      </c>
      <c r="N1014" s="867" t="s">
        <v>4168</v>
      </c>
      <c r="O1014" s="873" t="s">
        <v>4195</v>
      </c>
      <c r="P1014" s="874">
        <v>3</v>
      </c>
      <c r="Q1014" s="874">
        <v>3</v>
      </c>
      <c r="R1014" s="875">
        <v>1</v>
      </c>
      <c r="S1014" s="876"/>
      <c r="T1014" s="876"/>
      <c r="U1014" s="877"/>
      <c r="W1014" s="877"/>
    </row>
    <row r="1015" spans="1:23" ht="36" x14ac:dyDescent="0.2">
      <c r="A1015" s="812" t="s">
        <v>4193</v>
      </c>
      <c r="B1015" s="866" t="s">
        <v>3890</v>
      </c>
      <c r="C1015" s="866" t="s">
        <v>3890</v>
      </c>
      <c r="D1015" s="867" t="s">
        <v>3394</v>
      </c>
      <c r="E1015" s="868">
        <v>45567.467592592591</v>
      </c>
      <c r="F1015" s="868">
        <v>45657.958321759259</v>
      </c>
      <c r="G1015" s="867" t="s">
        <v>1777</v>
      </c>
      <c r="H1015" s="867" t="s">
        <v>1784</v>
      </c>
      <c r="I1015" s="867" t="s">
        <v>1785</v>
      </c>
      <c r="J1015" s="867" t="s">
        <v>1785</v>
      </c>
      <c r="K1015" s="867" t="s">
        <v>1804</v>
      </c>
      <c r="L1015" s="867" t="s">
        <v>1805</v>
      </c>
      <c r="M1015" s="867" t="s">
        <v>3393</v>
      </c>
      <c r="N1015" s="867" t="s">
        <v>4168</v>
      </c>
      <c r="O1015" s="867" t="s">
        <v>4195</v>
      </c>
      <c r="P1015" s="869">
        <v>1</v>
      </c>
      <c r="Q1015" s="869">
        <v>1</v>
      </c>
      <c r="R1015" s="870">
        <v>0</v>
      </c>
      <c r="S1015" s="871"/>
      <c r="T1015" s="871"/>
      <c r="U1015" s="872"/>
      <c r="W1015" s="872"/>
    </row>
    <row r="1016" spans="1:23" ht="36" x14ac:dyDescent="0.2">
      <c r="A1016" s="812" t="s">
        <v>4193</v>
      </c>
      <c r="B1016" s="866" t="s">
        <v>3890</v>
      </c>
      <c r="C1016" s="866" t="s">
        <v>3890</v>
      </c>
      <c r="D1016" s="867" t="s">
        <v>3395</v>
      </c>
      <c r="E1016" s="868">
        <v>45638.3908912037</v>
      </c>
      <c r="F1016" s="868">
        <v>45838.916655092595</v>
      </c>
      <c r="G1016" s="867" t="s">
        <v>1767</v>
      </c>
      <c r="H1016" s="867" t="s">
        <v>1770</v>
      </c>
      <c r="I1016" s="867" t="s">
        <v>1771</v>
      </c>
      <c r="J1016" s="867" t="s">
        <v>1771</v>
      </c>
      <c r="K1016" s="867" t="s">
        <v>1804</v>
      </c>
      <c r="L1016" s="867" t="s">
        <v>1805</v>
      </c>
      <c r="M1016" s="867" t="s">
        <v>3393</v>
      </c>
      <c r="N1016" s="867" t="s">
        <v>4168</v>
      </c>
      <c r="O1016" s="873" t="s">
        <v>4195</v>
      </c>
      <c r="P1016" s="874">
        <v>35</v>
      </c>
      <c r="Q1016" s="874">
        <v>31</v>
      </c>
      <c r="R1016" s="875">
        <v>1</v>
      </c>
      <c r="S1016" s="876"/>
      <c r="T1016" s="876"/>
      <c r="U1016" s="877"/>
      <c r="W1016" s="877"/>
    </row>
    <row r="1017" spans="1:23" ht="36" x14ac:dyDescent="0.2">
      <c r="A1017" s="812" t="s">
        <v>4196</v>
      </c>
      <c r="B1017" s="866" t="s">
        <v>3890</v>
      </c>
      <c r="C1017" s="866" t="s">
        <v>3890</v>
      </c>
      <c r="D1017" s="867" t="s">
        <v>3396</v>
      </c>
      <c r="E1017" s="868">
        <v>45575.981504629628</v>
      </c>
      <c r="F1017" s="868">
        <v>45931.874988425923</v>
      </c>
      <c r="G1017" s="867" t="s">
        <v>1758</v>
      </c>
      <c r="H1017" s="867" t="s">
        <v>1759</v>
      </c>
      <c r="I1017" s="867" t="s">
        <v>1762</v>
      </c>
      <c r="J1017" s="867" t="s">
        <v>3397</v>
      </c>
      <c r="K1017" s="867" t="s">
        <v>1804</v>
      </c>
      <c r="L1017" s="867" t="s">
        <v>1828</v>
      </c>
      <c r="M1017" s="867" t="s">
        <v>3398</v>
      </c>
      <c r="N1017" s="867" t="s">
        <v>4197</v>
      </c>
      <c r="O1017" s="867" t="s">
        <v>4198</v>
      </c>
      <c r="P1017" s="869">
        <v>2</v>
      </c>
      <c r="Q1017" s="869">
        <v>1</v>
      </c>
      <c r="R1017" s="870">
        <v>0</v>
      </c>
      <c r="S1017" s="871"/>
      <c r="T1017" s="871"/>
      <c r="U1017" s="872"/>
      <c r="W1017" s="872"/>
    </row>
    <row r="1018" spans="1:23" ht="36" x14ac:dyDescent="0.2">
      <c r="A1018" s="812" t="s">
        <v>4196</v>
      </c>
      <c r="B1018" s="866" t="s">
        <v>3890</v>
      </c>
      <c r="C1018" s="866" t="s">
        <v>3890</v>
      </c>
      <c r="D1018" s="867" t="s">
        <v>3399</v>
      </c>
      <c r="E1018" s="868">
        <v>45594.823414351849</v>
      </c>
      <c r="F1018" s="868">
        <v>45930.874988425923</v>
      </c>
      <c r="G1018" s="867" t="s">
        <v>1758</v>
      </c>
      <c r="H1018" s="867" t="s">
        <v>1759</v>
      </c>
      <c r="I1018" s="867" t="s">
        <v>1761</v>
      </c>
      <c r="J1018" s="867" t="s">
        <v>3400</v>
      </c>
      <c r="K1018" s="867" t="s">
        <v>1804</v>
      </c>
      <c r="L1018" s="867" t="s">
        <v>1828</v>
      </c>
      <c r="M1018" s="867" t="s">
        <v>3401</v>
      </c>
      <c r="N1018" s="867" t="s">
        <v>4199</v>
      </c>
      <c r="O1018" s="873" t="s">
        <v>4200</v>
      </c>
      <c r="P1018" s="874">
        <v>17</v>
      </c>
      <c r="Q1018" s="874">
        <v>16</v>
      </c>
      <c r="R1018" s="875">
        <v>12</v>
      </c>
      <c r="S1018" s="876"/>
      <c r="T1018" s="876"/>
      <c r="U1018" s="877"/>
      <c r="W1018" s="877"/>
    </row>
    <row r="1019" spans="1:23" ht="36" x14ac:dyDescent="0.2">
      <c r="A1019" s="812" t="s">
        <v>4196</v>
      </c>
      <c r="B1019" s="866" t="s">
        <v>3890</v>
      </c>
      <c r="C1019" s="866" t="s">
        <v>3890</v>
      </c>
      <c r="D1019" s="867" t="s">
        <v>3402</v>
      </c>
      <c r="E1019" s="868">
        <v>45297.916666666664</v>
      </c>
      <c r="F1019" s="868">
        <v>45656.916666666664</v>
      </c>
      <c r="G1019" s="867" t="s">
        <v>1758</v>
      </c>
      <c r="H1019" s="867" t="s">
        <v>1759</v>
      </c>
      <c r="I1019" s="867" t="s">
        <v>1817</v>
      </c>
      <c r="J1019" s="867" t="s">
        <v>3403</v>
      </c>
      <c r="K1019" s="867" t="s">
        <v>1804</v>
      </c>
      <c r="L1019" s="867" t="s">
        <v>1819</v>
      </c>
      <c r="M1019" s="867" t="s">
        <v>3398</v>
      </c>
      <c r="N1019" s="867" t="s">
        <v>4197</v>
      </c>
      <c r="O1019" s="867" t="s">
        <v>4198</v>
      </c>
      <c r="P1019" s="869">
        <v>11</v>
      </c>
      <c r="Q1019" s="869">
        <v>11</v>
      </c>
      <c r="R1019" s="870">
        <v>11</v>
      </c>
      <c r="S1019" s="871"/>
      <c r="T1019" s="871"/>
      <c r="U1019" s="872"/>
      <c r="W1019" s="872"/>
    </row>
    <row r="1020" spans="1:23" ht="48" x14ac:dyDescent="0.2">
      <c r="A1020" s="812" t="s">
        <v>4196</v>
      </c>
      <c r="B1020" s="866" t="s">
        <v>3890</v>
      </c>
      <c r="C1020" s="866" t="s">
        <v>3890</v>
      </c>
      <c r="D1020" s="867" t="s">
        <v>3404</v>
      </c>
      <c r="E1020" s="868">
        <v>45349.916666666664</v>
      </c>
      <c r="F1020" s="868">
        <v>45712</v>
      </c>
      <c r="G1020" s="867" t="s">
        <v>1758</v>
      </c>
      <c r="H1020" s="867" t="s">
        <v>1759</v>
      </c>
      <c r="I1020" s="867" t="s">
        <v>1858</v>
      </c>
      <c r="J1020" s="867" t="s">
        <v>3405</v>
      </c>
      <c r="K1020" s="867" t="s">
        <v>1804</v>
      </c>
      <c r="L1020" s="867" t="s">
        <v>1819</v>
      </c>
      <c r="M1020" s="867" t="s">
        <v>3398</v>
      </c>
      <c r="N1020" s="867" t="s">
        <v>4197</v>
      </c>
      <c r="O1020" s="873" t="s">
        <v>4198</v>
      </c>
      <c r="P1020" s="874">
        <v>11</v>
      </c>
      <c r="Q1020" s="874">
        <v>11</v>
      </c>
      <c r="R1020" s="875">
        <v>11</v>
      </c>
      <c r="S1020" s="876"/>
      <c r="T1020" s="876"/>
      <c r="U1020" s="877"/>
      <c r="W1020" s="877"/>
    </row>
    <row r="1021" spans="1:23" ht="36" x14ac:dyDescent="0.2">
      <c r="A1021" s="812" t="s">
        <v>4196</v>
      </c>
      <c r="B1021" s="866" t="s">
        <v>3890</v>
      </c>
      <c r="C1021" s="866" t="s">
        <v>3890</v>
      </c>
      <c r="D1021" s="867" t="s">
        <v>3406</v>
      </c>
      <c r="E1021" s="868">
        <v>45369.916666666664</v>
      </c>
      <c r="F1021" s="868">
        <v>45712</v>
      </c>
      <c r="G1021" s="867" t="s">
        <v>1758</v>
      </c>
      <c r="H1021" s="867" t="s">
        <v>1763</v>
      </c>
      <c r="I1021" s="867" t="s">
        <v>1764</v>
      </c>
      <c r="J1021" s="867" t="s">
        <v>3407</v>
      </c>
      <c r="K1021" s="867" t="s">
        <v>1804</v>
      </c>
      <c r="L1021" s="867" t="s">
        <v>3066</v>
      </c>
      <c r="M1021" s="867" t="s">
        <v>3408</v>
      </c>
      <c r="N1021" s="867" t="s">
        <v>4201</v>
      </c>
      <c r="O1021" s="867" t="s">
        <v>4202</v>
      </c>
      <c r="P1021" s="869">
        <v>10</v>
      </c>
      <c r="Q1021" s="869">
        <v>6</v>
      </c>
      <c r="R1021" s="870">
        <v>0</v>
      </c>
      <c r="S1021" s="871"/>
      <c r="T1021" s="871"/>
      <c r="U1021" s="872"/>
      <c r="W1021" s="872"/>
    </row>
    <row r="1022" spans="1:23" ht="36" x14ac:dyDescent="0.2">
      <c r="A1022" s="812" t="s">
        <v>4196</v>
      </c>
      <c r="B1022" s="866" t="s">
        <v>3890</v>
      </c>
      <c r="C1022" s="866" t="s">
        <v>3890</v>
      </c>
      <c r="D1022" s="867" t="s">
        <v>3409</v>
      </c>
      <c r="E1022" s="868">
        <v>45369.875</v>
      </c>
      <c r="F1022" s="868">
        <v>45688.875</v>
      </c>
      <c r="G1022" s="867" t="s">
        <v>1758</v>
      </c>
      <c r="H1022" s="867" t="s">
        <v>1759</v>
      </c>
      <c r="I1022" s="867" t="s">
        <v>1823</v>
      </c>
      <c r="J1022" s="867" t="s">
        <v>3410</v>
      </c>
      <c r="K1022" s="867" t="s">
        <v>1804</v>
      </c>
      <c r="L1022" s="867" t="s">
        <v>1819</v>
      </c>
      <c r="M1022" s="867" t="s">
        <v>3401</v>
      </c>
      <c r="N1022" s="867" t="s">
        <v>4199</v>
      </c>
      <c r="O1022" s="873" t="s">
        <v>4200</v>
      </c>
      <c r="P1022" s="874">
        <v>10</v>
      </c>
      <c r="Q1022" s="874">
        <v>10</v>
      </c>
      <c r="R1022" s="875">
        <v>8</v>
      </c>
      <c r="S1022" s="876"/>
      <c r="T1022" s="876"/>
      <c r="U1022" s="877"/>
      <c r="W1022" s="877"/>
    </row>
    <row r="1023" spans="1:23" ht="36" x14ac:dyDescent="0.2">
      <c r="A1023" s="812" t="s">
        <v>4196</v>
      </c>
      <c r="B1023" s="866" t="s">
        <v>3890</v>
      </c>
      <c r="C1023" s="866" t="s">
        <v>3890</v>
      </c>
      <c r="D1023" s="867" t="s">
        <v>3411</v>
      </c>
      <c r="E1023" s="868">
        <v>45389.875</v>
      </c>
      <c r="F1023" s="868">
        <v>45712</v>
      </c>
      <c r="G1023" s="867" t="s">
        <v>1758</v>
      </c>
      <c r="H1023" s="867" t="s">
        <v>1759</v>
      </c>
      <c r="I1023" s="867" t="s">
        <v>1817</v>
      </c>
      <c r="J1023" s="867" t="s">
        <v>3412</v>
      </c>
      <c r="K1023" s="867" t="s">
        <v>1804</v>
      </c>
      <c r="L1023" s="867" t="s">
        <v>1819</v>
      </c>
      <c r="M1023" s="867" t="s">
        <v>3398</v>
      </c>
      <c r="N1023" s="867" t="s">
        <v>4197</v>
      </c>
      <c r="O1023" s="867" t="s">
        <v>4198</v>
      </c>
      <c r="P1023" s="869">
        <v>10</v>
      </c>
      <c r="Q1023" s="869">
        <v>10</v>
      </c>
      <c r="R1023" s="870">
        <v>9</v>
      </c>
      <c r="S1023" s="871"/>
      <c r="T1023" s="871"/>
      <c r="U1023" s="872"/>
      <c r="W1023" s="872"/>
    </row>
    <row r="1024" spans="1:23" ht="36" x14ac:dyDescent="0.2">
      <c r="A1024" s="812" t="s">
        <v>4196</v>
      </c>
      <c r="B1024" s="866" t="s">
        <v>3890</v>
      </c>
      <c r="C1024" s="866" t="s">
        <v>3890</v>
      </c>
      <c r="D1024" s="867" t="s">
        <v>3413</v>
      </c>
      <c r="E1024" s="868">
        <v>45424.875</v>
      </c>
      <c r="F1024" s="868">
        <v>45610.916666666664</v>
      </c>
      <c r="G1024" s="867" t="s">
        <v>1741</v>
      </c>
      <c r="H1024" s="867" t="s">
        <v>1755</v>
      </c>
      <c r="I1024" s="867" t="s">
        <v>1861</v>
      </c>
      <c r="J1024" s="867" t="s">
        <v>3414</v>
      </c>
      <c r="K1024" s="867" t="s">
        <v>1804</v>
      </c>
      <c r="L1024" s="867" t="s">
        <v>1953</v>
      </c>
      <c r="M1024" s="867" t="s">
        <v>3415</v>
      </c>
      <c r="N1024" s="867" t="s">
        <v>4203</v>
      </c>
      <c r="O1024" s="873" t="s">
        <v>4204</v>
      </c>
      <c r="P1024" s="874">
        <v>7</v>
      </c>
      <c r="Q1024" s="874">
        <v>7</v>
      </c>
      <c r="R1024" s="875">
        <v>0</v>
      </c>
      <c r="S1024" s="876"/>
      <c r="T1024" s="876"/>
      <c r="U1024" s="877"/>
      <c r="W1024" s="877"/>
    </row>
    <row r="1025" spans="1:23" ht="36" x14ac:dyDescent="0.2">
      <c r="A1025" s="812" t="s">
        <v>4196</v>
      </c>
      <c r="B1025" s="866" t="s">
        <v>3890</v>
      </c>
      <c r="C1025" s="866" t="s">
        <v>3890</v>
      </c>
      <c r="D1025" s="867" t="s">
        <v>3416</v>
      </c>
      <c r="E1025" s="868">
        <v>45425.875</v>
      </c>
      <c r="F1025" s="868">
        <v>45689.875</v>
      </c>
      <c r="G1025" s="867" t="s">
        <v>1758</v>
      </c>
      <c r="H1025" s="867" t="s">
        <v>1759</v>
      </c>
      <c r="I1025" s="867" t="s">
        <v>1817</v>
      </c>
      <c r="J1025" s="867" t="s">
        <v>3417</v>
      </c>
      <c r="K1025" s="867" t="s">
        <v>1804</v>
      </c>
      <c r="L1025" s="867" t="s">
        <v>1819</v>
      </c>
      <c r="M1025" s="867" t="s">
        <v>3401</v>
      </c>
      <c r="N1025" s="867" t="s">
        <v>4199</v>
      </c>
      <c r="O1025" s="867" t="s">
        <v>4200</v>
      </c>
      <c r="P1025" s="869">
        <v>9</v>
      </c>
      <c r="Q1025" s="869">
        <v>9</v>
      </c>
      <c r="R1025" s="870">
        <v>8</v>
      </c>
      <c r="S1025" s="871"/>
      <c r="T1025" s="871"/>
      <c r="U1025" s="872"/>
      <c r="W1025" s="872"/>
    </row>
    <row r="1026" spans="1:23" ht="48" x14ac:dyDescent="0.2">
      <c r="A1026" s="812" t="s">
        <v>4196</v>
      </c>
      <c r="B1026" s="866" t="s">
        <v>3890</v>
      </c>
      <c r="C1026" s="866" t="s">
        <v>3890</v>
      </c>
      <c r="D1026" s="867" t="s">
        <v>3418</v>
      </c>
      <c r="E1026" s="868">
        <v>45441.875</v>
      </c>
      <c r="F1026" s="868">
        <v>45690.875</v>
      </c>
      <c r="G1026" s="867" t="s">
        <v>1758</v>
      </c>
      <c r="H1026" s="867" t="s">
        <v>1759</v>
      </c>
      <c r="I1026" s="867" t="s">
        <v>1858</v>
      </c>
      <c r="J1026" s="867" t="s">
        <v>3419</v>
      </c>
      <c r="K1026" s="867" t="s">
        <v>1804</v>
      </c>
      <c r="L1026" s="867" t="s">
        <v>1819</v>
      </c>
      <c r="M1026" s="867" t="s">
        <v>3401</v>
      </c>
      <c r="N1026" s="867" t="s">
        <v>4199</v>
      </c>
      <c r="O1026" s="873" t="s">
        <v>4200</v>
      </c>
      <c r="P1026" s="874">
        <v>8</v>
      </c>
      <c r="Q1026" s="874">
        <v>8</v>
      </c>
      <c r="R1026" s="875">
        <v>8</v>
      </c>
      <c r="S1026" s="876"/>
      <c r="T1026" s="876"/>
      <c r="U1026" s="877"/>
      <c r="W1026" s="877"/>
    </row>
    <row r="1027" spans="1:23" ht="36" x14ac:dyDescent="0.2">
      <c r="A1027" s="812" t="s">
        <v>4196</v>
      </c>
      <c r="B1027" s="866" t="s">
        <v>3890</v>
      </c>
      <c r="C1027" s="866" t="s">
        <v>3890</v>
      </c>
      <c r="D1027" s="867" t="s">
        <v>3420</v>
      </c>
      <c r="E1027" s="868">
        <v>45445.875</v>
      </c>
      <c r="F1027" s="868">
        <v>45687.916666666664</v>
      </c>
      <c r="G1027" s="867" t="s">
        <v>1758</v>
      </c>
      <c r="H1027" s="867" t="s">
        <v>1759</v>
      </c>
      <c r="I1027" s="867" t="s">
        <v>1823</v>
      </c>
      <c r="J1027" s="867" t="s">
        <v>3421</v>
      </c>
      <c r="K1027" s="867" t="s">
        <v>1804</v>
      </c>
      <c r="L1027" s="867" t="s">
        <v>1819</v>
      </c>
      <c r="M1027" s="867" t="s">
        <v>3422</v>
      </c>
      <c r="N1027" s="867" t="s">
        <v>4205</v>
      </c>
      <c r="O1027" s="867" t="s">
        <v>4206</v>
      </c>
      <c r="P1027" s="869">
        <v>6</v>
      </c>
      <c r="Q1027" s="869">
        <v>6</v>
      </c>
      <c r="R1027" s="870">
        <v>0</v>
      </c>
      <c r="S1027" s="871"/>
      <c r="T1027" s="871"/>
      <c r="U1027" s="872"/>
      <c r="W1027" s="872"/>
    </row>
    <row r="1028" spans="1:23" ht="48" x14ac:dyDescent="0.2">
      <c r="A1028" s="812" t="s">
        <v>4196</v>
      </c>
      <c r="B1028" s="866" t="s">
        <v>3890</v>
      </c>
      <c r="C1028" s="866" t="s">
        <v>3890</v>
      </c>
      <c r="D1028" s="867" t="s">
        <v>3423</v>
      </c>
      <c r="E1028" s="868">
        <v>45447.875</v>
      </c>
      <c r="F1028" s="868">
        <v>45699.916666666664</v>
      </c>
      <c r="G1028" s="867" t="s">
        <v>1758</v>
      </c>
      <c r="H1028" s="867" t="s">
        <v>1759</v>
      </c>
      <c r="I1028" s="867" t="s">
        <v>1858</v>
      </c>
      <c r="J1028" s="867" t="s">
        <v>3424</v>
      </c>
      <c r="K1028" s="867" t="s">
        <v>1804</v>
      </c>
      <c r="L1028" s="867" t="s">
        <v>1819</v>
      </c>
      <c r="M1028" s="867" t="s">
        <v>3398</v>
      </c>
      <c r="N1028" s="867" t="s">
        <v>4197</v>
      </c>
      <c r="O1028" s="873" t="s">
        <v>4198</v>
      </c>
      <c r="P1028" s="874">
        <v>10</v>
      </c>
      <c r="Q1028" s="874">
        <v>10</v>
      </c>
      <c r="R1028" s="875">
        <v>9</v>
      </c>
      <c r="S1028" s="876"/>
      <c r="T1028" s="876"/>
      <c r="U1028" s="877"/>
      <c r="W1028" s="877"/>
    </row>
    <row r="1029" spans="1:23" ht="48" x14ac:dyDescent="0.2">
      <c r="A1029" s="812" t="s">
        <v>4196</v>
      </c>
      <c r="B1029" s="866" t="s">
        <v>3890</v>
      </c>
      <c r="C1029" s="866" t="s">
        <v>3890</v>
      </c>
      <c r="D1029" s="867" t="s">
        <v>3425</v>
      </c>
      <c r="E1029" s="868">
        <v>45575.976458333331</v>
      </c>
      <c r="F1029" s="868">
        <v>45941.874988425923</v>
      </c>
      <c r="G1029" s="867" t="s">
        <v>1758</v>
      </c>
      <c r="H1029" s="867" t="s">
        <v>1759</v>
      </c>
      <c r="I1029" s="867" t="s">
        <v>1760</v>
      </c>
      <c r="J1029" s="867" t="s">
        <v>3426</v>
      </c>
      <c r="K1029" s="867" t="s">
        <v>1804</v>
      </c>
      <c r="L1029" s="867" t="s">
        <v>1805</v>
      </c>
      <c r="M1029" s="867" t="s">
        <v>3398</v>
      </c>
      <c r="N1029" s="867" t="s">
        <v>4197</v>
      </c>
      <c r="O1029" s="867" t="s">
        <v>4198</v>
      </c>
      <c r="P1029" s="869">
        <v>2</v>
      </c>
      <c r="Q1029" s="869">
        <v>2</v>
      </c>
      <c r="R1029" s="870">
        <v>0</v>
      </c>
      <c r="S1029" s="871"/>
      <c r="T1029" s="871"/>
      <c r="U1029" s="872"/>
      <c r="W1029" s="872"/>
    </row>
    <row r="1030" spans="1:23" ht="36" x14ac:dyDescent="0.2">
      <c r="A1030" s="812" t="s">
        <v>4196</v>
      </c>
      <c r="B1030" s="866" t="s">
        <v>3890</v>
      </c>
      <c r="C1030" s="866" t="s">
        <v>3890</v>
      </c>
      <c r="D1030" s="867" t="s">
        <v>3427</v>
      </c>
      <c r="E1030" s="868">
        <v>45575.980312500003</v>
      </c>
      <c r="F1030" s="868">
        <v>45931.874988425923</v>
      </c>
      <c r="G1030" s="867" t="s">
        <v>1758</v>
      </c>
      <c r="H1030" s="867" t="s">
        <v>1759</v>
      </c>
      <c r="I1030" s="867" t="s">
        <v>1761</v>
      </c>
      <c r="J1030" s="867" t="s">
        <v>3428</v>
      </c>
      <c r="K1030" s="867" t="s">
        <v>1804</v>
      </c>
      <c r="L1030" s="867" t="s">
        <v>1828</v>
      </c>
      <c r="M1030" s="867" t="s">
        <v>3398</v>
      </c>
      <c r="N1030" s="867" t="s">
        <v>4197</v>
      </c>
      <c r="O1030" s="873" t="s">
        <v>4198</v>
      </c>
      <c r="P1030" s="874">
        <v>2</v>
      </c>
      <c r="Q1030" s="874">
        <v>2</v>
      </c>
      <c r="R1030" s="875">
        <v>0</v>
      </c>
      <c r="S1030" s="876"/>
      <c r="T1030" s="876"/>
      <c r="U1030" s="877"/>
      <c r="W1030" s="877"/>
    </row>
    <row r="1031" spans="1:23" ht="36" x14ac:dyDescent="0.2">
      <c r="A1031" s="812" t="s">
        <v>4196</v>
      </c>
      <c r="B1031" s="866" t="s">
        <v>3890</v>
      </c>
      <c r="C1031" s="866" t="s">
        <v>3890</v>
      </c>
      <c r="D1031" s="867" t="s">
        <v>3429</v>
      </c>
      <c r="E1031" s="868">
        <v>45615.780497685184</v>
      </c>
      <c r="F1031" s="868">
        <v>45688.916655092595</v>
      </c>
      <c r="G1031" s="867" t="s">
        <v>1758</v>
      </c>
      <c r="H1031" s="867" t="s">
        <v>1759</v>
      </c>
      <c r="I1031" s="867" t="s">
        <v>1762</v>
      </c>
      <c r="J1031" s="867" t="s">
        <v>1762</v>
      </c>
      <c r="K1031" s="867" t="s">
        <v>1804</v>
      </c>
      <c r="L1031" s="867" t="s">
        <v>1828</v>
      </c>
      <c r="M1031" s="867" t="s">
        <v>3422</v>
      </c>
      <c r="N1031" s="867" t="s">
        <v>4205</v>
      </c>
      <c r="O1031" s="867" t="s">
        <v>4206</v>
      </c>
      <c r="P1031" s="869">
        <v>4</v>
      </c>
      <c r="Q1031" s="869">
        <v>4</v>
      </c>
      <c r="R1031" s="870">
        <v>0</v>
      </c>
      <c r="S1031" s="871"/>
      <c r="T1031" s="871"/>
      <c r="U1031" s="872"/>
      <c r="W1031" s="872"/>
    </row>
    <row r="1032" spans="1:23" ht="36" x14ac:dyDescent="0.2">
      <c r="A1032" s="812" t="s">
        <v>4196</v>
      </c>
      <c r="B1032" s="866" t="s">
        <v>3890</v>
      </c>
      <c r="C1032" s="866" t="s">
        <v>3890</v>
      </c>
      <c r="D1032" s="867" t="s">
        <v>3430</v>
      </c>
      <c r="E1032" s="868">
        <v>45629.307372685187</v>
      </c>
      <c r="F1032" s="868">
        <v>45993.916655092595</v>
      </c>
      <c r="G1032" s="867" t="s">
        <v>1758</v>
      </c>
      <c r="H1032" s="867" t="s">
        <v>1763</v>
      </c>
      <c r="I1032" s="867" t="s">
        <v>1764</v>
      </c>
      <c r="J1032" s="867" t="s">
        <v>3431</v>
      </c>
      <c r="K1032" s="867" t="s">
        <v>1804</v>
      </c>
      <c r="L1032" s="867" t="s">
        <v>1805</v>
      </c>
      <c r="M1032" s="867" t="s">
        <v>3398</v>
      </c>
      <c r="N1032" s="867" t="s">
        <v>4197</v>
      </c>
      <c r="O1032" s="873" t="s">
        <v>4198</v>
      </c>
      <c r="P1032" s="874">
        <v>7</v>
      </c>
      <c r="Q1032" s="874">
        <v>4</v>
      </c>
      <c r="R1032" s="875">
        <v>0</v>
      </c>
      <c r="S1032" s="876"/>
      <c r="T1032" s="876"/>
      <c r="U1032" s="877"/>
      <c r="W1032" s="877"/>
    </row>
    <row r="1033" spans="1:23" ht="48" x14ac:dyDescent="0.2">
      <c r="A1033" s="812" t="s">
        <v>4196</v>
      </c>
      <c r="B1033" s="866" t="s">
        <v>3890</v>
      </c>
      <c r="C1033" s="866" t="s">
        <v>3890</v>
      </c>
      <c r="D1033" s="867" t="s">
        <v>3432</v>
      </c>
      <c r="E1033" s="868">
        <v>45622.317870370367</v>
      </c>
      <c r="F1033" s="868">
        <v>46138.874988425923</v>
      </c>
      <c r="G1033" s="867" t="s">
        <v>1758</v>
      </c>
      <c r="H1033" s="867" t="s">
        <v>1759</v>
      </c>
      <c r="I1033" s="867" t="s">
        <v>1760</v>
      </c>
      <c r="J1033" s="867" t="s">
        <v>3433</v>
      </c>
      <c r="K1033" s="867" t="s">
        <v>1804</v>
      </c>
      <c r="L1033" s="867" t="s">
        <v>1805</v>
      </c>
      <c r="M1033" s="867" t="s">
        <v>3434</v>
      </c>
      <c r="N1033" s="867" t="s">
        <v>4207</v>
      </c>
      <c r="O1033" s="867" t="s">
        <v>4208</v>
      </c>
      <c r="P1033" s="869">
        <v>10</v>
      </c>
      <c r="Q1033" s="869">
        <v>9</v>
      </c>
      <c r="R1033" s="870">
        <v>0</v>
      </c>
      <c r="S1033" s="871"/>
      <c r="T1033" s="871"/>
      <c r="U1033" s="872"/>
      <c r="W1033" s="872"/>
    </row>
    <row r="1034" spans="1:23" ht="36" x14ac:dyDescent="0.2">
      <c r="A1034" s="812" t="s">
        <v>4196</v>
      </c>
      <c r="B1034" s="866" t="s">
        <v>3890</v>
      </c>
      <c r="C1034" s="866" t="s">
        <v>3890</v>
      </c>
      <c r="D1034" s="867" t="s">
        <v>3435</v>
      </c>
      <c r="E1034" s="868">
        <v>45530.300138888888</v>
      </c>
      <c r="F1034" s="868">
        <v>45605.916655092595</v>
      </c>
      <c r="G1034" s="867" t="s">
        <v>1758</v>
      </c>
      <c r="H1034" s="867" t="s">
        <v>1759</v>
      </c>
      <c r="I1034" s="867" t="s">
        <v>1762</v>
      </c>
      <c r="J1034" s="867" t="s">
        <v>1762</v>
      </c>
      <c r="K1034" s="867" t="s">
        <v>1804</v>
      </c>
      <c r="L1034" s="867" t="s">
        <v>1828</v>
      </c>
      <c r="M1034" s="867" t="s">
        <v>3422</v>
      </c>
      <c r="N1034" s="867" t="s">
        <v>4205</v>
      </c>
      <c r="O1034" s="873" t="s">
        <v>4206</v>
      </c>
      <c r="P1034" s="874">
        <v>6</v>
      </c>
      <c r="Q1034" s="874">
        <v>6</v>
      </c>
      <c r="R1034" s="875">
        <v>6</v>
      </c>
      <c r="S1034" s="876"/>
      <c r="T1034" s="876"/>
      <c r="U1034" s="877"/>
      <c r="W1034" s="877"/>
    </row>
    <row r="1035" spans="1:23" ht="48" x14ac:dyDescent="0.2">
      <c r="A1035" s="812" t="s">
        <v>4196</v>
      </c>
      <c r="B1035" s="866" t="s">
        <v>3890</v>
      </c>
      <c r="C1035" s="866" t="s">
        <v>3890</v>
      </c>
      <c r="D1035" s="867" t="s">
        <v>3436</v>
      </c>
      <c r="E1035" s="868">
        <v>45595.099293981482</v>
      </c>
      <c r="F1035" s="868">
        <v>45696.916655092595</v>
      </c>
      <c r="G1035" s="867" t="s">
        <v>1758</v>
      </c>
      <c r="H1035" s="867" t="s">
        <v>1759</v>
      </c>
      <c r="I1035" s="867" t="s">
        <v>1760</v>
      </c>
      <c r="J1035" s="867" t="s">
        <v>1760</v>
      </c>
      <c r="K1035" s="867" t="s">
        <v>1804</v>
      </c>
      <c r="L1035" s="867" t="s">
        <v>1805</v>
      </c>
      <c r="M1035" s="867" t="s">
        <v>3422</v>
      </c>
      <c r="N1035" s="867" t="s">
        <v>4205</v>
      </c>
      <c r="O1035" s="867" t="s">
        <v>4206</v>
      </c>
      <c r="P1035" s="869">
        <v>6</v>
      </c>
      <c r="Q1035" s="869">
        <v>6</v>
      </c>
      <c r="R1035" s="870">
        <v>6</v>
      </c>
      <c r="S1035" s="871"/>
      <c r="T1035" s="871"/>
      <c r="U1035" s="872"/>
      <c r="W1035" s="872"/>
    </row>
    <row r="1036" spans="1:23" ht="36" x14ac:dyDescent="0.2">
      <c r="A1036" s="812" t="s">
        <v>4196</v>
      </c>
      <c r="B1036" s="866" t="s">
        <v>3890</v>
      </c>
      <c r="C1036" s="866" t="s">
        <v>3890</v>
      </c>
      <c r="D1036" s="867" t="s">
        <v>3437</v>
      </c>
      <c r="E1036" s="868">
        <v>45629.310416666667</v>
      </c>
      <c r="F1036" s="868">
        <v>45993.916655092595</v>
      </c>
      <c r="G1036" s="867" t="s">
        <v>1758</v>
      </c>
      <c r="H1036" s="867" t="s">
        <v>1763</v>
      </c>
      <c r="I1036" s="867" t="s">
        <v>2048</v>
      </c>
      <c r="J1036" s="867" t="s">
        <v>3438</v>
      </c>
      <c r="K1036" s="867" t="s">
        <v>1804</v>
      </c>
      <c r="L1036" s="867" t="s">
        <v>1805</v>
      </c>
      <c r="M1036" s="867" t="s">
        <v>3398</v>
      </c>
      <c r="N1036" s="867" t="s">
        <v>4197</v>
      </c>
      <c r="O1036" s="873" t="s">
        <v>4198</v>
      </c>
      <c r="P1036" s="874">
        <v>7</v>
      </c>
      <c r="Q1036" s="874">
        <v>1</v>
      </c>
      <c r="R1036" s="875">
        <v>0</v>
      </c>
      <c r="S1036" s="876"/>
      <c r="T1036" s="876"/>
      <c r="U1036" s="877"/>
      <c r="W1036" s="877"/>
    </row>
    <row r="1037" spans="1:23" ht="36" x14ac:dyDescent="0.2">
      <c r="A1037" s="812" t="s">
        <v>4196</v>
      </c>
      <c r="B1037" s="866" t="s">
        <v>3890</v>
      </c>
      <c r="C1037" s="866" t="s">
        <v>3890</v>
      </c>
      <c r="D1037" s="867" t="s">
        <v>3439</v>
      </c>
      <c r="E1037" s="868">
        <v>45622.316886574074</v>
      </c>
      <c r="F1037" s="868">
        <v>46079.916655092595</v>
      </c>
      <c r="G1037" s="867" t="s">
        <v>1758</v>
      </c>
      <c r="H1037" s="867" t="s">
        <v>1759</v>
      </c>
      <c r="I1037" s="867" t="s">
        <v>1762</v>
      </c>
      <c r="J1037" s="867" t="s">
        <v>3440</v>
      </c>
      <c r="K1037" s="867" t="s">
        <v>1804</v>
      </c>
      <c r="L1037" s="867" t="s">
        <v>1828</v>
      </c>
      <c r="M1037" s="867" t="s">
        <v>3434</v>
      </c>
      <c r="N1037" s="867" t="s">
        <v>4207</v>
      </c>
      <c r="O1037" s="867" t="s">
        <v>4208</v>
      </c>
      <c r="P1037" s="869">
        <v>10</v>
      </c>
      <c r="Q1037" s="869">
        <v>7</v>
      </c>
      <c r="R1037" s="870">
        <v>0</v>
      </c>
      <c r="S1037" s="871"/>
      <c r="T1037" s="871"/>
      <c r="U1037" s="872"/>
      <c r="W1037" s="872"/>
    </row>
    <row r="1038" spans="1:23" ht="36" x14ac:dyDescent="0.2">
      <c r="A1038" s="812" t="s">
        <v>4196</v>
      </c>
      <c r="B1038" s="866" t="s">
        <v>3890</v>
      </c>
      <c r="C1038" s="866" t="s">
        <v>3890</v>
      </c>
      <c r="D1038" s="867" t="s">
        <v>3441</v>
      </c>
      <c r="E1038" s="868">
        <v>45622.300821759258</v>
      </c>
      <c r="F1038" s="868">
        <v>46015.916655092595</v>
      </c>
      <c r="G1038" s="867" t="s">
        <v>1758</v>
      </c>
      <c r="H1038" s="867" t="s">
        <v>1759</v>
      </c>
      <c r="I1038" s="867" t="s">
        <v>1761</v>
      </c>
      <c r="J1038" s="867" t="s">
        <v>3442</v>
      </c>
      <c r="K1038" s="867" t="s">
        <v>1804</v>
      </c>
      <c r="L1038" s="867" t="s">
        <v>1828</v>
      </c>
      <c r="M1038" s="867" t="s">
        <v>3434</v>
      </c>
      <c r="N1038" s="867" t="s">
        <v>4207</v>
      </c>
      <c r="O1038" s="873" t="s">
        <v>4208</v>
      </c>
      <c r="P1038" s="874">
        <v>11</v>
      </c>
      <c r="Q1038" s="874">
        <v>9</v>
      </c>
      <c r="R1038" s="875">
        <v>0</v>
      </c>
      <c r="S1038" s="876"/>
      <c r="T1038" s="876"/>
      <c r="U1038" s="877"/>
      <c r="W1038" s="877"/>
    </row>
    <row r="1039" spans="1:23" ht="36" x14ac:dyDescent="0.2">
      <c r="A1039" s="812" t="s">
        <v>4196</v>
      </c>
      <c r="B1039" s="866" t="s">
        <v>3890</v>
      </c>
      <c r="C1039" s="866" t="s">
        <v>3890</v>
      </c>
      <c r="D1039" s="867" t="s">
        <v>3443</v>
      </c>
      <c r="E1039" s="868">
        <v>45530.283356481479</v>
      </c>
      <c r="F1039" s="868">
        <v>45688.916655092595</v>
      </c>
      <c r="G1039" s="867" t="s">
        <v>1758</v>
      </c>
      <c r="H1039" s="867" t="s">
        <v>1759</v>
      </c>
      <c r="I1039" s="867" t="s">
        <v>1761</v>
      </c>
      <c r="J1039" s="867" t="s">
        <v>1761</v>
      </c>
      <c r="K1039" s="867" t="s">
        <v>1804</v>
      </c>
      <c r="L1039" s="867" t="s">
        <v>1828</v>
      </c>
      <c r="M1039" s="867" t="s">
        <v>3422</v>
      </c>
      <c r="N1039" s="867" t="s">
        <v>4205</v>
      </c>
      <c r="O1039" s="867" t="s">
        <v>4206</v>
      </c>
      <c r="P1039" s="869">
        <v>6</v>
      </c>
      <c r="Q1039" s="869">
        <v>6</v>
      </c>
      <c r="R1039" s="870">
        <v>6</v>
      </c>
      <c r="S1039" s="871"/>
      <c r="T1039" s="871"/>
      <c r="U1039" s="872"/>
      <c r="W1039" s="872"/>
    </row>
    <row r="1040" spans="1:23" ht="56.25" customHeight="1" x14ac:dyDescent="0.2">
      <c r="A1040" s="812" t="s">
        <v>4209</v>
      </c>
      <c r="B1040" s="866" t="s">
        <v>4210</v>
      </c>
      <c r="C1040" s="866" t="s">
        <v>4001</v>
      </c>
      <c r="D1040" s="867" t="s">
        <v>3444</v>
      </c>
      <c r="E1040" s="868">
        <v>45574.491099537037</v>
      </c>
      <c r="F1040" s="868">
        <v>45576.916655092595</v>
      </c>
      <c r="G1040" s="867" t="s">
        <v>1758</v>
      </c>
      <c r="H1040" s="867" t="s">
        <v>1759</v>
      </c>
      <c r="I1040" s="867" t="s">
        <v>1760</v>
      </c>
      <c r="J1040" s="867" t="s">
        <v>3445</v>
      </c>
      <c r="K1040" s="867" t="s">
        <v>1804</v>
      </c>
      <c r="L1040" s="867" t="s">
        <v>1805</v>
      </c>
      <c r="M1040" s="867" t="s">
        <v>3446</v>
      </c>
      <c r="N1040" s="867" t="s">
        <v>4211</v>
      </c>
      <c r="O1040" s="873" t="s">
        <v>4212</v>
      </c>
      <c r="P1040" s="874">
        <v>1</v>
      </c>
      <c r="Q1040" s="874">
        <v>1</v>
      </c>
      <c r="R1040" s="875">
        <v>0</v>
      </c>
      <c r="S1040" s="876">
        <v>1</v>
      </c>
      <c r="T1040" s="876">
        <v>1</v>
      </c>
      <c r="U1040" s="877">
        <v>0</v>
      </c>
      <c r="W1040" s="877">
        <v>0</v>
      </c>
    </row>
    <row r="1041" spans="1:23" ht="24" x14ac:dyDescent="0.2">
      <c r="A1041" s="812" t="s">
        <v>4209</v>
      </c>
      <c r="B1041" s="866" t="s">
        <v>4210</v>
      </c>
      <c r="C1041" s="866" t="s">
        <v>4001</v>
      </c>
      <c r="D1041" s="867" t="s">
        <v>3447</v>
      </c>
      <c r="E1041" s="868">
        <v>45559.481319444443</v>
      </c>
      <c r="F1041" s="868">
        <v>45808.916655092595</v>
      </c>
      <c r="G1041" s="867" t="s">
        <v>1758</v>
      </c>
      <c r="H1041" s="867" t="s">
        <v>1763</v>
      </c>
      <c r="I1041" s="867" t="s">
        <v>2048</v>
      </c>
      <c r="J1041" s="867" t="s">
        <v>2048</v>
      </c>
      <c r="K1041" s="867" t="s">
        <v>1804</v>
      </c>
      <c r="L1041" s="867" t="s">
        <v>1805</v>
      </c>
      <c r="M1041" s="867" t="s">
        <v>2465</v>
      </c>
      <c r="N1041" s="867" t="s">
        <v>3904</v>
      </c>
      <c r="O1041" s="867" t="s">
        <v>3983</v>
      </c>
      <c r="P1041" s="869">
        <v>33</v>
      </c>
      <c r="Q1041" s="869">
        <v>32</v>
      </c>
      <c r="R1041" s="870">
        <v>11</v>
      </c>
      <c r="S1041" s="871">
        <v>33</v>
      </c>
      <c r="T1041" s="871">
        <v>32</v>
      </c>
      <c r="U1041" s="872">
        <v>11</v>
      </c>
      <c r="W1041" s="872">
        <v>11</v>
      </c>
    </row>
    <row r="1042" spans="1:23" ht="24" x14ac:dyDescent="0.2">
      <c r="A1042" s="812" t="s">
        <v>4209</v>
      </c>
      <c r="B1042" s="866" t="s">
        <v>4210</v>
      </c>
      <c r="C1042" s="866" t="s">
        <v>4001</v>
      </c>
      <c r="D1042" s="867" t="s">
        <v>3448</v>
      </c>
      <c r="E1042" s="868">
        <v>45573.647280092591</v>
      </c>
      <c r="F1042" s="868">
        <v>45716.958321759259</v>
      </c>
      <c r="G1042" s="867" t="s">
        <v>1758</v>
      </c>
      <c r="H1042" s="867" t="s">
        <v>1759</v>
      </c>
      <c r="I1042" s="867" t="s">
        <v>1761</v>
      </c>
      <c r="J1042" s="867" t="s">
        <v>1761</v>
      </c>
      <c r="K1042" s="867" t="s">
        <v>1804</v>
      </c>
      <c r="L1042" s="867" t="s">
        <v>1828</v>
      </c>
      <c r="M1042" s="867" t="s">
        <v>3446</v>
      </c>
      <c r="N1042" s="867" t="s">
        <v>4211</v>
      </c>
      <c r="O1042" s="873" t="s">
        <v>4212</v>
      </c>
      <c r="P1042" s="874">
        <v>9</v>
      </c>
      <c r="Q1042" s="874">
        <v>9</v>
      </c>
      <c r="R1042" s="875">
        <v>0</v>
      </c>
      <c r="S1042" s="876">
        <v>9</v>
      </c>
      <c r="T1042" s="876">
        <v>9</v>
      </c>
      <c r="U1042" s="877">
        <v>0</v>
      </c>
      <c r="W1042" s="877">
        <v>0</v>
      </c>
    </row>
    <row r="1043" spans="1:23" ht="36" x14ac:dyDescent="0.2">
      <c r="A1043" s="812" t="s">
        <v>4213</v>
      </c>
      <c r="B1043" s="866" t="s">
        <v>3890</v>
      </c>
      <c r="C1043" s="866" t="s">
        <v>3890</v>
      </c>
      <c r="D1043" s="867" t="s">
        <v>3449</v>
      </c>
      <c r="E1043" s="868">
        <v>45643.723101851851</v>
      </c>
      <c r="F1043" s="868">
        <v>46008.916655092595</v>
      </c>
      <c r="G1043" s="867" t="s">
        <v>1758</v>
      </c>
      <c r="H1043" s="867" t="s">
        <v>1759</v>
      </c>
      <c r="I1043" s="867" t="s">
        <v>1762</v>
      </c>
      <c r="J1043" s="867" t="s">
        <v>1762</v>
      </c>
      <c r="K1043" s="867" t="s">
        <v>1804</v>
      </c>
      <c r="L1043" s="867" t="s">
        <v>1828</v>
      </c>
      <c r="M1043" s="867" t="s">
        <v>3450</v>
      </c>
      <c r="N1043" s="867" t="s">
        <v>4214</v>
      </c>
      <c r="O1043" s="867" t="s">
        <v>4215</v>
      </c>
      <c r="P1043" s="869">
        <v>9</v>
      </c>
      <c r="Q1043" s="869">
        <v>6</v>
      </c>
      <c r="R1043" s="870">
        <v>0</v>
      </c>
      <c r="S1043" s="871"/>
      <c r="T1043" s="871"/>
      <c r="U1043" s="872"/>
      <c r="W1043" s="872"/>
    </row>
    <row r="1044" spans="1:23" ht="24" x14ac:dyDescent="0.2">
      <c r="A1044" s="812" t="s">
        <v>4213</v>
      </c>
      <c r="B1044" s="866" t="s">
        <v>3890</v>
      </c>
      <c r="C1044" s="866" t="s">
        <v>3890</v>
      </c>
      <c r="D1044" s="867" t="s">
        <v>3451</v>
      </c>
      <c r="E1044" s="868">
        <v>45539.860902777778</v>
      </c>
      <c r="F1044" s="868">
        <v>45903.874988425923</v>
      </c>
      <c r="G1044" s="867" t="s">
        <v>1758</v>
      </c>
      <c r="H1044" s="867" t="s">
        <v>1759</v>
      </c>
      <c r="I1044" s="867" t="s">
        <v>1761</v>
      </c>
      <c r="J1044" s="867" t="s">
        <v>3452</v>
      </c>
      <c r="K1044" s="867" t="s">
        <v>1804</v>
      </c>
      <c r="L1044" s="867" t="s">
        <v>1828</v>
      </c>
      <c r="M1044" s="867" t="s">
        <v>3450</v>
      </c>
      <c r="N1044" s="867" t="s">
        <v>4214</v>
      </c>
      <c r="O1044" s="873" t="s">
        <v>4215</v>
      </c>
      <c r="P1044" s="874">
        <v>38</v>
      </c>
      <c r="Q1044" s="874">
        <v>38</v>
      </c>
      <c r="R1044" s="875">
        <v>0</v>
      </c>
      <c r="S1044" s="876"/>
      <c r="T1044" s="876"/>
      <c r="U1044" s="877"/>
      <c r="W1044" s="877"/>
    </row>
    <row r="1045" spans="1:23" ht="36" x14ac:dyDescent="0.2">
      <c r="A1045" s="812" t="s">
        <v>4213</v>
      </c>
      <c r="B1045" s="866" t="s">
        <v>3890</v>
      </c>
      <c r="C1045" s="866" t="s">
        <v>3890</v>
      </c>
      <c r="D1045" s="867" t="s">
        <v>3453</v>
      </c>
      <c r="E1045" s="868">
        <v>45306.916666666664</v>
      </c>
      <c r="F1045" s="868">
        <v>45671.916666666664</v>
      </c>
      <c r="G1045" s="867" t="s">
        <v>1758</v>
      </c>
      <c r="H1045" s="867" t="s">
        <v>1759</v>
      </c>
      <c r="I1045" s="867" t="s">
        <v>1823</v>
      </c>
      <c r="J1045" s="867" t="s">
        <v>3454</v>
      </c>
      <c r="K1045" s="867" t="s">
        <v>1804</v>
      </c>
      <c r="L1045" s="867" t="s">
        <v>1819</v>
      </c>
      <c r="M1045" s="867" t="s">
        <v>3450</v>
      </c>
      <c r="N1045" s="867" t="s">
        <v>4214</v>
      </c>
      <c r="O1045" s="867" t="s">
        <v>4215</v>
      </c>
      <c r="P1045" s="869">
        <v>18</v>
      </c>
      <c r="Q1045" s="869">
        <v>10</v>
      </c>
      <c r="R1045" s="870">
        <v>3</v>
      </c>
      <c r="S1045" s="871"/>
      <c r="T1045" s="871"/>
      <c r="U1045" s="872"/>
      <c r="W1045" s="872"/>
    </row>
    <row r="1046" spans="1:23" ht="36" x14ac:dyDescent="0.2">
      <c r="A1046" s="812" t="s">
        <v>4213</v>
      </c>
      <c r="B1046" s="866" t="s">
        <v>3890</v>
      </c>
      <c r="C1046" s="866" t="s">
        <v>3890</v>
      </c>
      <c r="D1046" s="867" t="s">
        <v>3455</v>
      </c>
      <c r="E1046" s="868">
        <v>45328.916666666664</v>
      </c>
      <c r="F1046" s="868">
        <v>45694.916666666664</v>
      </c>
      <c r="G1046" s="867" t="s">
        <v>1758</v>
      </c>
      <c r="H1046" s="867" t="s">
        <v>1759</v>
      </c>
      <c r="I1046" s="867" t="s">
        <v>1823</v>
      </c>
      <c r="J1046" s="867" t="s">
        <v>3456</v>
      </c>
      <c r="K1046" s="867" t="s">
        <v>1804</v>
      </c>
      <c r="L1046" s="867" t="s">
        <v>1819</v>
      </c>
      <c r="M1046" s="867" t="s">
        <v>3450</v>
      </c>
      <c r="N1046" s="867" t="s">
        <v>4214</v>
      </c>
      <c r="O1046" s="873" t="s">
        <v>4215</v>
      </c>
      <c r="P1046" s="874">
        <v>80</v>
      </c>
      <c r="Q1046" s="874">
        <v>65</v>
      </c>
      <c r="R1046" s="875">
        <v>56</v>
      </c>
      <c r="S1046" s="876"/>
      <c r="T1046" s="876"/>
      <c r="U1046" s="877"/>
      <c r="W1046" s="877"/>
    </row>
    <row r="1047" spans="1:23" ht="36" x14ac:dyDescent="0.2">
      <c r="A1047" s="812" t="s">
        <v>4213</v>
      </c>
      <c r="B1047" s="866" t="s">
        <v>3890</v>
      </c>
      <c r="C1047" s="866" t="s">
        <v>3890</v>
      </c>
      <c r="D1047" s="867" t="s">
        <v>3457</v>
      </c>
      <c r="E1047" s="868">
        <v>45363.916666666664</v>
      </c>
      <c r="F1047" s="868">
        <v>45712</v>
      </c>
      <c r="G1047" s="867" t="s">
        <v>1758</v>
      </c>
      <c r="H1047" s="867" t="s">
        <v>1759</v>
      </c>
      <c r="I1047" s="867" t="s">
        <v>1817</v>
      </c>
      <c r="J1047" s="867" t="s">
        <v>3458</v>
      </c>
      <c r="K1047" s="867" t="s">
        <v>1804</v>
      </c>
      <c r="L1047" s="867" t="s">
        <v>1819</v>
      </c>
      <c r="M1047" s="867" t="s">
        <v>3450</v>
      </c>
      <c r="N1047" s="867" t="s">
        <v>4214</v>
      </c>
      <c r="O1047" s="867" t="s">
        <v>4215</v>
      </c>
      <c r="P1047" s="869">
        <v>77</v>
      </c>
      <c r="Q1047" s="869">
        <v>9</v>
      </c>
      <c r="R1047" s="870">
        <v>1</v>
      </c>
      <c r="S1047" s="871"/>
      <c r="T1047" s="871"/>
      <c r="U1047" s="872"/>
      <c r="W1047" s="872"/>
    </row>
    <row r="1048" spans="1:23" ht="24" x14ac:dyDescent="0.2">
      <c r="A1048" s="812" t="s">
        <v>4213</v>
      </c>
      <c r="B1048" s="866" t="s">
        <v>3890</v>
      </c>
      <c r="C1048" s="866" t="s">
        <v>3890</v>
      </c>
      <c r="D1048" s="867" t="s">
        <v>3459</v>
      </c>
      <c r="E1048" s="868">
        <v>45372.916666666664</v>
      </c>
      <c r="F1048" s="868">
        <v>45712</v>
      </c>
      <c r="G1048" s="867" t="s">
        <v>1777</v>
      </c>
      <c r="H1048" s="867" t="s">
        <v>1770</v>
      </c>
      <c r="I1048" s="867" t="s">
        <v>1808</v>
      </c>
      <c r="J1048" s="867" t="s">
        <v>3460</v>
      </c>
      <c r="K1048" s="867" t="s">
        <v>1804</v>
      </c>
      <c r="L1048" s="867" t="s">
        <v>3461</v>
      </c>
      <c r="M1048" s="867" t="s">
        <v>3450</v>
      </c>
      <c r="N1048" s="867" t="s">
        <v>4214</v>
      </c>
      <c r="O1048" s="873" t="s">
        <v>4215</v>
      </c>
      <c r="P1048" s="874">
        <v>11</v>
      </c>
      <c r="Q1048" s="874">
        <v>4</v>
      </c>
      <c r="R1048" s="875">
        <v>0</v>
      </c>
      <c r="S1048" s="876"/>
      <c r="T1048" s="876"/>
      <c r="U1048" s="877"/>
      <c r="W1048" s="877"/>
    </row>
    <row r="1049" spans="1:23" ht="48" x14ac:dyDescent="0.2">
      <c r="A1049" s="812" t="s">
        <v>4213</v>
      </c>
      <c r="B1049" s="866" t="s">
        <v>3890</v>
      </c>
      <c r="C1049" s="866" t="s">
        <v>3890</v>
      </c>
      <c r="D1049" s="867" t="s">
        <v>3462</v>
      </c>
      <c r="E1049" s="868">
        <v>45384.875</v>
      </c>
      <c r="F1049" s="868">
        <v>45712</v>
      </c>
      <c r="G1049" s="867" t="s">
        <v>1758</v>
      </c>
      <c r="H1049" s="867" t="s">
        <v>1759</v>
      </c>
      <c r="I1049" s="867" t="s">
        <v>1858</v>
      </c>
      <c r="J1049" s="867" t="s">
        <v>3463</v>
      </c>
      <c r="K1049" s="867" t="s">
        <v>1804</v>
      </c>
      <c r="L1049" s="867" t="s">
        <v>1819</v>
      </c>
      <c r="M1049" s="867" t="s">
        <v>3450</v>
      </c>
      <c r="N1049" s="867" t="s">
        <v>4214</v>
      </c>
      <c r="O1049" s="867" t="s">
        <v>4215</v>
      </c>
      <c r="P1049" s="869">
        <v>1</v>
      </c>
      <c r="Q1049" s="869">
        <v>0</v>
      </c>
      <c r="R1049" s="870">
        <v>0</v>
      </c>
      <c r="S1049" s="871"/>
      <c r="T1049" s="871"/>
      <c r="U1049" s="872"/>
      <c r="W1049" s="872"/>
    </row>
    <row r="1050" spans="1:23" ht="36" x14ac:dyDescent="0.2">
      <c r="A1050" s="812" t="s">
        <v>4213</v>
      </c>
      <c r="B1050" s="866" t="s">
        <v>3890</v>
      </c>
      <c r="C1050" s="866" t="s">
        <v>3890</v>
      </c>
      <c r="D1050" s="867" t="s">
        <v>3464</v>
      </c>
      <c r="E1050" s="868">
        <v>45384.875</v>
      </c>
      <c r="F1050" s="868">
        <v>45712</v>
      </c>
      <c r="G1050" s="867" t="s">
        <v>1758</v>
      </c>
      <c r="H1050" s="867" t="s">
        <v>1759</v>
      </c>
      <c r="I1050" s="867" t="s">
        <v>1817</v>
      </c>
      <c r="J1050" s="867" t="s">
        <v>3465</v>
      </c>
      <c r="K1050" s="867" t="s">
        <v>1804</v>
      </c>
      <c r="L1050" s="867" t="s">
        <v>1819</v>
      </c>
      <c r="M1050" s="867" t="s">
        <v>3450</v>
      </c>
      <c r="N1050" s="867" t="s">
        <v>4214</v>
      </c>
      <c r="O1050" s="873" t="s">
        <v>4215</v>
      </c>
      <c r="P1050" s="874">
        <v>11</v>
      </c>
      <c r="Q1050" s="874">
        <v>5</v>
      </c>
      <c r="R1050" s="875">
        <v>0</v>
      </c>
      <c r="S1050" s="876"/>
      <c r="T1050" s="876"/>
      <c r="U1050" s="877"/>
      <c r="W1050" s="877"/>
    </row>
    <row r="1051" spans="1:23" ht="48" x14ac:dyDescent="0.2">
      <c r="A1051" s="812" t="s">
        <v>4213</v>
      </c>
      <c r="B1051" s="866" t="s">
        <v>3890</v>
      </c>
      <c r="C1051" s="866" t="s">
        <v>3890</v>
      </c>
      <c r="D1051" s="867" t="s">
        <v>3466</v>
      </c>
      <c r="E1051" s="868">
        <v>45397.875</v>
      </c>
      <c r="F1051" s="868">
        <v>45712</v>
      </c>
      <c r="G1051" s="867" t="s">
        <v>1758</v>
      </c>
      <c r="H1051" s="867" t="s">
        <v>1759</v>
      </c>
      <c r="I1051" s="867" t="s">
        <v>1858</v>
      </c>
      <c r="J1051" s="867" t="s">
        <v>3467</v>
      </c>
      <c r="K1051" s="867" t="s">
        <v>1804</v>
      </c>
      <c r="L1051" s="867" t="s">
        <v>1819</v>
      </c>
      <c r="M1051" s="867" t="s">
        <v>3450</v>
      </c>
      <c r="N1051" s="867" t="s">
        <v>4214</v>
      </c>
      <c r="O1051" s="867" t="s">
        <v>4215</v>
      </c>
      <c r="P1051" s="869">
        <v>67</v>
      </c>
      <c r="Q1051" s="869">
        <v>6</v>
      </c>
      <c r="R1051" s="870">
        <v>0</v>
      </c>
      <c r="S1051" s="871"/>
      <c r="T1051" s="871"/>
      <c r="U1051" s="872"/>
      <c r="W1051" s="872"/>
    </row>
    <row r="1052" spans="1:23" ht="48" x14ac:dyDescent="0.2">
      <c r="A1052" s="812" t="s">
        <v>4213</v>
      </c>
      <c r="B1052" s="866" t="s">
        <v>3890</v>
      </c>
      <c r="C1052" s="866" t="s">
        <v>3890</v>
      </c>
      <c r="D1052" s="867" t="s">
        <v>3468</v>
      </c>
      <c r="E1052" s="868">
        <v>45421.875</v>
      </c>
      <c r="F1052" s="868">
        <v>45712</v>
      </c>
      <c r="G1052" s="867" t="s">
        <v>1758</v>
      </c>
      <c r="H1052" s="867" t="s">
        <v>1759</v>
      </c>
      <c r="I1052" s="867" t="s">
        <v>1858</v>
      </c>
      <c r="J1052" s="867" t="s">
        <v>3463</v>
      </c>
      <c r="K1052" s="867" t="s">
        <v>1804</v>
      </c>
      <c r="L1052" s="867" t="s">
        <v>1819</v>
      </c>
      <c r="M1052" s="867" t="s">
        <v>3450</v>
      </c>
      <c r="N1052" s="867" t="s">
        <v>4214</v>
      </c>
      <c r="O1052" s="873" t="s">
        <v>4215</v>
      </c>
      <c r="P1052" s="874">
        <v>13</v>
      </c>
      <c r="Q1052" s="874">
        <v>3</v>
      </c>
      <c r="R1052" s="875">
        <v>0</v>
      </c>
      <c r="S1052" s="876"/>
      <c r="T1052" s="876"/>
      <c r="U1052" s="877"/>
      <c r="W1052" s="877"/>
    </row>
    <row r="1053" spans="1:23" ht="36" x14ac:dyDescent="0.2">
      <c r="A1053" s="812" t="s">
        <v>4213</v>
      </c>
      <c r="B1053" s="866" t="s">
        <v>3890</v>
      </c>
      <c r="C1053" s="866" t="s">
        <v>3890</v>
      </c>
      <c r="D1053" s="867" t="s">
        <v>3469</v>
      </c>
      <c r="E1053" s="868">
        <v>45643.721307870372</v>
      </c>
      <c r="F1053" s="868">
        <v>46008.916655092595</v>
      </c>
      <c r="G1053" s="867" t="s">
        <v>1777</v>
      </c>
      <c r="H1053" s="867" t="s">
        <v>1888</v>
      </c>
      <c r="I1053" s="867" t="s">
        <v>1889</v>
      </c>
      <c r="J1053" s="867" t="s">
        <v>1889</v>
      </c>
      <c r="K1053" s="867" t="s">
        <v>1804</v>
      </c>
      <c r="L1053" s="867" t="s">
        <v>1805</v>
      </c>
      <c r="M1053" s="867" t="s">
        <v>3450</v>
      </c>
      <c r="N1053" s="867" t="s">
        <v>4214</v>
      </c>
      <c r="O1053" s="867" t="s">
        <v>4215</v>
      </c>
      <c r="P1053" s="869">
        <v>1</v>
      </c>
      <c r="Q1053" s="869">
        <v>1</v>
      </c>
      <c r="R1053" s="870">
        <v>0</v>
      </c>
      <c r="S1053" s="871"/>
      <c r="T1053" s="871"/>
      <c r="U1053" s="872"/>
      <c r="W1053" s="872"/>
    </row>
    <row r="1054" spans="1:23" ht="36" x14ac:dyDescent="0.2">
      <c r="A1054" s="812" t="s">
        <v>4213</v>
      </c>
      <c r="B1054" s="866" t="s">
        <v>3890</v>
      </c>
      <c r="C1054" s="866" t="s">
        <v>3890</v>
      </c>
      <c r="D1054" s="867" t="s">
        <v>3470</v>
      </c>
      <c r="E1054" s="868">
        <v>45541.711435185185</v>
      </c>
      <c r="F1054" s="868">
        <v>45906.874988425923</v>
      </c>
      <c r="G1054" s="867" t="s">
        <v>1758</v>
      </c>
      <c r="H1054" s="867" t="s">
        <v>1759</v>
      </c>
      <c r="I1054" s="867" t="s">
        <v>1762</v>
      </c>
      <c r="J1054" s="867" t="s">
        <v>3471</v>
      </c>
      <c r="K1054" s="867" t="s">
        <v>1804</v>
      </c>
      <c r="L1054" s="867" t="s">
        <v>1828</v>
      </c>
      <c r="M1054" s="867" t="s">
        <v>3450</v>
      </c>
      <c r="N1054" s="867" t="s">
        <v>4214</v>
      </c>
      <c r="O1054" s="873" t="s">
        <v>4215</v>
      </c>
      <c r="P1054" s="874">
        <v>10</v>
      </c>
      <c r="Q1054" s="874">
        <v>3</v>
      </c>
      <c r="R1054" s="875">
        <v>0</v>
      </c>
      <c r="S1054" s="876"/>
      <c r="T1054" s="876"/>
      <c r="U1054" s="877"/>
      <c r="W1054" s="877"/>
    </row>
    <row r="1055" spans="1:23" ht="24" x14ac:dyDescent="0.2">
      <c r="A1055" s="812" t="s">
        <v>4213</v>
      </c>
      <c r="B1055" s="866" t="s">
        <v>3890</v>
      </c>
      <c r="C1055" s="866" t="s">
        <v>3890</v>
      </c>
      <c r="D1055" s="867" t="s">
        <v>3472</v>
      </c>
      <c r="E1055" s="868">
        <v>45541.708796296298</v>
      </c>
      <c r="F1055" s="868">
        <v>45906.874988425923</v>
      </c>
      <c r="G1055" s="867" t="s">
        <v>1758</v>
      </c>
      <c r="H1055" s="867" t="s">
        <v>1759</v>
      </c>
      <c r="I1055" s="867" t="s">
        <v>1761</v>
      </c>
      <c r="J1055" s="867" t="s">
        <v>3473</v>
      </c>
      <c r="K1055" s="867" t="s">
        <v>1804</v>
      </c>
      <c r="L1055" s="867" t="s">
        <v>1828</v>
      </c>
      <c r="M1055" s="867" t="s">
        <v>3450</v>
      </c>
      <c r="N1055" s="867" t="s">
        <v>4214</v>
      </c>
      <c r="O1055" s="867" t="s">
        <v>4215</v>
      </c>
      <c r="P1055" s="869">
        <v>11</v>
      </c>
      <c r="Q1055" s="869">
        <v>10</v>
      </c>
      <c r="R1055" s="870">
        <v>0</v>
      </c>
      <c r="S1055" s="871"/>
      <c r="T1055" s="871"/>
      <c r="U1055" s="872"/>
      <c r="W1055" s="872"/>
    </row>
    <row r="1056" spans="1:23" ht="24" x14ac:dyDescent="0.2">
      <c r="A1056" s="812" t="s">
        <v>4213</v>
      </c>
      <c r="B1056" s="866" t="s">
        <v>3890</v>
      </c>
      <c r="C1056" s="866" t="s">
        <v>3890</v>
      </c>
      <c r="D1056" s="867" t="s">
        <v>3474</v>
      </c>
      <c r="E1056" s="868">
        <v>45565.899050925924</v>
      </c>
      <c r="F1056" s="868">
        <v>45931.874988425923</v>
      </c>
      <c r="G1056" s="867" t="s">
        <v>1772</v>
      </c>
      <c r="H1056" s="867" t="s">
        <v>1765</v>
      </c>
      <c r="I1056" s="867" t="s">
        <v>1774</v>
      </c>
      <c r="J1056" s="867" t="s">
        <v>3475</v>
      </c>
      <c r="K1056" s="867" t="s">
        <v>1804</v>
      </c>
      <c r="L1056" s="867" t="s">
        <v>1805</v>
      </c>
      <c r="M1056" s="867" t="s">
        <v>3450</v>
      </c>
      <c r="N1056" s="867" t="s">
        <v>4214</v>
      </c>
      <c r="O1056" s="873" t="s">
        <v>4215</v>
      </c>
      <c r="P1056" s="874">
        <v>4</v>
      </c>
      <c r="Q1056" s="874">
        <v>2</v>
      </c>
      <c r="R1056" s="875">
        <v>0</v>
      </c>
      <c r="S1056" s="876"/>
      <c r="T1056" s="876"/>
      <c r="U1056" s="877"/>
      <c r="W1056" s="877"/>
    </row>
    <row r="1057" spans="1:23" ht="48" x14ac:dyDescent="0.2">
      <c r="A1057" s="812" t="s">
        <v>4213</v>
      </c>
      <c r="B1057" s="866" t="s">
        <v>3890</v>
      </c>
      <c r="C1057" s="866" t="s">
        <v>3890</v>
      </c>
      <c r="D1057" s="867" t="s">
        <v>3476</v>
      </c>
      <c r="E1057" s="868">
        <v>45541.712766203702</v>
      </c>
      <c r="F1057" s="868">
        <v>45906.874988425923</v>
      </c>
      <c r="G1057" s="867" t="s">
        <v>1758</v>
      </c>
      <c r="H1057" s="867" t="s">
        <v>1759</v>
      </c>
      <c r="I1057" s="867" t="s">
        <v>1760</v>
      </c>
      <c r="J1057" s="867" t="s">
        <v>3477</v>
      </c>
      <c r="K1057" s="867" t="s">
        <v>1804</v>
      </c>
      <c r="L1057" s="867" t="s">
        <v>1805</v>
      </c>
      <c r="M1057" s="867" t="s">
        <v>3450</v>
      </c>
      <c r="N1057" s="867" t="s">
        <v>4214</v>
      </c>
      <c r="O1057" s="867" t="s">
        <v>4215</v>
      </c>
      <c r="P1057" s="869">
        <v>10</v>
      </c>
      <c r="Q1057" s="869">
        <v>5</v>
      </c>
      <c r="R1057" s="870">
        <v>0</v>
      </c>
      <c r="S1057" s="871"/>
      <c r="T1057" s="871"/>
      <c r="U1057" s="872"/>
      <c r="W1057" s="872"/>
    </row>
    <row r="1058" spans="1:23" ht="24" x14ac:dyDescent="0.2">
      <c r="A1058" s="812" t="s">
        <v>4213</v>
      </c>
      <c r="B1058" s="866" t="s">
        <v>3890</v>
      </c>
      <c r="C1058" s="866" t="s">
        <v>3890</v>
      </c>
      <c r="D1058" s="867" t="s">
        <v>3478</v>
      </c>
      <c r="E1058" s="868">
        <v>45610.631365740737</v>
      </c>
      <c r="F1058" s="868">
        <v>45975.916655092595</v>
      </c>
      <c r="G1058" s="867" t="s">
        <v>1758</v>
      </c>
      <c r="H1058" s="867" t="s">
        <v>1759</v>
      </c>
      <c r="I1058" s="867" t="s">
        <v>1761</v>
      </c>
      <c r="J1058" s="867" t="s">
        <v>1761</v>
      </c>
      <c r="K1058" s="867" t="s">
        <v>1804</v>
      </c>
      <c r="L1058" s="867" t="s">
        <v>1828</v>
      </c>
      <c r="M1058" s="867" t="s">
        <v>3450</v>
      </c>
      <c r="N1058" s="867" t="s">
        <v>4214</v>
      </c>
      <c r="O1058" s="873" t="s">
        <v>4215</v>
      </c>
      <c r="P1058" s="874">
        <v>10</v>
      </c>
      <c r="Q1058" s="874">
        <v>9</v>
      </c>
      <c r="R1058" s="875">
        <v>1</v>
      </c>
      <c r="S1058" s="876"/>
      <c r="T1058" s="876"/>
      <c r="U1058" s="877"/>
      <c r="W1058" s="877"/>
    </row>
    <row r="1059" spans="1:23" ht="24" x14ac:dyDescent="0.2">
      <c r="A1059" s="812" t="s">
        <v>4216</v>
      </c>
      <c r="B1059" s="866" t="s">
        <v>4210</v>
      </c>
      <c r="C1059" s="866" t="s">
        <v>4001</v>
      </c>
      <c r="D1059" s="867" t="s">
        <v>3479</v>
      </c>
      <c r="E1059" s="868">
        <v>45530.655034722222</v>
      </c>
      <c r="F1059" s="868">
        <v>45535.916655092595</v>
      </c>
      <c r="G1059" s="867" t="s">
        <v>1772</v>
      </c>
      <c r="H1059" s="867" t="s">
        <v>1765</v>
      </c>
      <c r="I1059" s="867" t="s">
        <v>1773</v>
      </c>
      <c r="J1059" s="867" t="s">
        <v>1773</v>
      </c>
      <c r="K1059" s="867" t="s">
        <v>1804</v>
      </c>
      <c r="L1059" s="867" t="s">
        <v>1805</v>
      </c>
      <c r="M1059" s="867" t="s">
        <v>3446</v>
      </c>
      <c r="N1059" s="867" t="s">
        <v>4211</v>
      </c>
      <c r="O1059" s="867" t="s">
        <v>4212</v>
      </c>
      <c r="P1059" s="869">
        <v>1</v>
      </c>
      <c r="Q1059" s="869">
        <v>1</v>
      </c>
      <c r="R1059" s="870">
        <v>0</v>
      </c>
      <c r="S1059" s="871">
        <v>1</v>
      </c>
      <c r="T1059" s="871">
        <v>1</v>
      </c>
      <c r="U1059" s="872">
        <v>0</v>
      </c>
      <c r="W1059" s="872">
        <v>0</v>
      </c>
    </row>
    <row r="1060" spans="1:23" ht="36" x14ac:dyDescent="0.2">
      <c r="A1060" s="812" t="s">
        <v>4216</v>
      </c>
      <c r="B1060" s="866" t="s">
        <v>4210</v>
      </c>
      <c r="C1060" s="866" t="s">
        <v>4001</v>
      </c>
      <c r="D1060" s="867" t="s">
        <v>3480</v>
      </c>
      <c r="E1060" s="868">
        <v>45531.489479166667</v>
      </c>
      <c r="F1060" s="868">
        <v>45535.916655092595</v>
      </c>
      <c r="G1060" s="867" t="s">
        <v>1758</v>
      </c>
      <c r="H1060" s="867" t="s">
        <v>1759</v>
      </c>
      <c r="I1060" s="867" t="s">
        <v>1762</v>
      </c>
      <c r="J1060" s="867" t="s">
        <v>1762</v>
      </c>
      <c r="K1060" s="867" t="s">
        <v>1804</v>
      </c>
      <c r="L1060" s="867" t="s">
        <v>1828</v>
      </c>
      <c r="M1060" s="867" t="s">
        <v>3446</v>
      </c>
      <c r="N1060" s="867" t="s">
        <v>4211</v>
      </c>
      <c r="O1060" s="873" t="s">
        <v>4212</v>
      </c>
      <c r="P1060" s="874">
        <v>1</v>
      </c>
      <c r="Q1060" s="874">
        <v>1</v>
      </c>
      <c r="R1060" s="875">
        <v>0</v>
      </c>
      <c r="S1060" s="876">
        <v>1</v>
      </c>
      <c r="T1060" s="876">
        <v>1</v>
      </c>
      <c r="U1060" s="877">
        <v>0</v>
      </c>
      <c r="W1060" s="877">
        <v>0</v>
      </c>
    </row>
    <row r="1061" spans="1:23" ht="36" x14ac:dyDescent="0.2">
      <c r="A1061" s="812" t="s">
        <v>4216</v>
      </c>
      <c r="B1061" s="866" t="s">
        <v>4210</v>
      </c>
      <c r="C1061" s="866" t="s">
        <v>4001</v>
      </c>
      <c r="D1061" s="867" t="s">
        <v>3481</v>
      </c>
      <c r="E1061" s="868">
        <v>45356.958333333336</v>
      </c>
      <c r="F1061" s="868">
        <v>45625.958333333336</v>
      </c>
      <c r="G1061" s="867" t="s">
        <v>1758</v>
      </c>
      <c r="H1061" s="867" t="s">
        <v>1759</v>
      </c>
      <c r="I1061" s="867" t="s">
        <v>1823</v>
      </c>
      <c r="J1061" s="867" t="s">
        <v>3482</v>
      </c>
      <c r="K1061" s="867" t="s">
        <v>1804</v>
      </c>
      <c r="L1061" s="867" t="s">
        <v>1819</v>
      </c>
      <c r="M1061" s="867" t="s">
        <v>3446</v>
      </c>
      <c r="N1061" s="867" t="s">
        <v>4211</v>
      </c>
      <c r="O1061" s="867" t="s">
        <v>4212</v>
      </c>
      <c r="P1061" s="869">
        <v>2</v>
      </c>
      <c r="Q1061" s="869">
        <v>2</v>
      </c>
      <c r="R1061" s="870">
        <v>0</v>
      </c>
      <c r="S1061" s="871">
        <v>2</v>
      </c>
      <c r="T1061" s="871">
        <v>2</v>
      </c>
      <c r="U1061" s="872">
        <v>0</v>
      </c>
      <c r="W1061" s="872">
        <v>0</v>
      </c>
    </row>
    <row r="1062" spans="1:23" ht="24" x14ac:dyDescent="0.2">
      <c r="A1062" s="812" t="s">
        <v>4216</v>
      </c>
      <c r="B1062" s="866" t="s">
        <v>4210</v>
      </c>
      <c r="C1062" s="866" t="s">
        <v>4001</v>
      </c>
      <c r="D1062" s="867" t="s">
        <v>3483</v>
      </c>
      <c r="E1062" s="868">
        <v>45393.916666666664</v>
      </c>
      <c r="F1062" s="868">
        <v>45534.916666666664</v>
      </c>
      <c r="G1062" s="867" t="s">
        <v>1758</v>
      </c>
      <c r="H1062" s="867" t="s">
        <v>2635</v>
      </c>
      <c r="I1062" s="867" t="s">
        <v>2635</v>
      </c>
      <c r="J1062" s="867" t="s">
        <v>3484</v>
      </c>
      <c r="K1062" s="867" t="s">
        <v>1804</v>
      </c>
      <c r="L1062" s="867" t="s">
        <v>3485</v>
      </c>
      <c r="M1062" s="867" t="s">
        <v>3446</v>
      </c>
      <c r="N1062" s="867" t="s">
        <v>4211</v>
      </c>
      <c r="O1062" s="873" t="s">
        <v>4212</v>
      </c>
      <c r="P1062" s="874">
        <v>6</v>
      </c>
      <c r="Q1062" s="874">
        <v>3</v>
      </c>
      <c r="R1062" s="875">
        <v>1</v>
      </c>
      <c r="S1062" s="876">
        <v>6</v>
      </c>
      <c r="T1062" s="876">
        <v>3</v>
      </c>
      <c r="U1062" s="877">
        <v>1</v>
      </c>
      <c r="W1062" s="877">
        <v>1</v>
      </c>
    </row>
    <row r="1063" spans="1:23" ht="24" x14ac:dyDescent="0.2">
      <c r="A1063" s="812" t="s">
        <v>4216</v>
      </c>
      <c r="B1063" s="866" t="s">
        <v>4210</v>
      </c>
      <c r="C1063" s="866" t="s">
        <v>4001</v>
      </c>
      <c r="D1063" s="867" t="s">
        <v>3486</v>
      </c>
      <c r="E1063" s="868">
        <v>45420.916666666664</v>
      </c>
      <c r="F1063" s="868">
        <v>45564.916666666664</v>
      </c>
      <c r="G1063" s="867" t="s">
        <v>1758</v>
      </c>
      <c r="H1063" s="867" t="s">
        <v>1765</v>
      </c>
      <c r="I1063" s="867" t="s">
        <v>1766</v>
      </c>
      <c r="J1063" s="867" t="s">
        <v>3487</v>
      </c>
      <c r="K1063" s="867" t="s">
        <v>1804</v>
      </c>
      <c r="L1063" s="867" t="s">
        <v>2601</v>
      </c>
      <c r="M1063" s="867" t="s">
        <v>3488</v>
      </c>
      <c r="N1063" s="867" t="s">
        <v>4012</v>
      </c>
      <c r="O1063" s="867" t="s">
        <v>4217</v>
      </c>
      <c r="P1063" s="869">
        <v>4</v>
      </c>
      <c r="Q1063" s="869">
        <v>3</v>
      </c>
      <c r="R1063" s="870">
        <v>2</v>
      </c>
      <c r="S1063" s="871">
        <v>4</v>
      </c>
      <c r="T1063" s="871">
        <v>3</v>
      </c>
      <c r="U1063" s="872">
        <v>2</v>
      </c>
      <c r="W1063" s="872">
        <v>2</v>
      </c>
    </row>
    <row r="1064" spans="1:23" ht="24" x14ac:dyDescent="0.2">
      <c r="A1064" s="812" t="s">
        <v>4216</v>
      </c>
      <c r="B1064" s="866" t="s">
        <v>4210</v>
      </c>
      <c r="C1064" s="866" t="s">
        <v>4001</v>
      </c>
      <c r="D1064" s="1438" t="s">
        <v>3489</v>
      </c>
      <c r="E1064" s="1441">
        <v>45482.916666666664</v>
      </c>
      <c r="F1064" s="1441">
        <v>45513.916666666664</v>
      </c>
      <c r="G1064" s="1438" t="s">
        <v>1758</v>
      </c>
      <c r="H1064" s="1438" t="s">
        <v>1759</v>
      </c>
      <c r="I1064" s="1438" t="s">
        <v>1823</v>
      </c>
      <c r="J1064" s="1438" t="s">
        <v>3490</v>
      </c>
      <c r="K1064" s="1438" t="s">
        <v>1804</v>
      </c>
      <c r="L1064" s="1438" t="s">
        <v>1819</v>
      </c>
      <c r="M1064" s="867" t="s">
        <v>2465</v>
      </c>
      <c r="N1064" s="867" t="s">
        <v>3904</v>
      </c>
      <c r="O1064" s="873" t="s">
        <v>3983</v>
      </c>
      <c r="P1064" s="874">
        <v>3</v>
      </c>
      <c r="Q1064" s="874">
        <v>3</v>
      </c>
      <c r="R1064" s="875">
        <v>3</v>
      </c>
      <c r="S1064" s="876">
        <v>3</v>
      </c>
      <c r="T1064" s="876">
        <v>3</v>
      </c>
      <c r="U1064" s="877">
        <v>3</v>
      </c>
      <c r="W1064" s="877">
        <v>3</v>
      </c>
    </row>
    <row r="1065" spans="1:23" ht="24" x14ac:dyDescent="0.2">
      <c r="A1065" s="812" t="s">
        <v>4216</v>
      </c>
      <c r="B1065" s="866" t="s">
        <v>4210</v>
      </c>
      <c r="C1065" s="866" t="s">
        <v>4001</v>
      </c>
      <c r="D1065" s="1439"/>
      <c r="E1065" s="1442"/>
      <c r="F1065" s="1442"/>
      <c r="G1065" s="1439"/>
      <c r="H1065" s="1439"/>
      <c r="I1065" s="1439"/>
      <c r="J1065" s="1439"/>
      <c r="K1065" s="1439"/>
      <c r="L1065" s="1439"/>
      <c r="M1065" s="867" t="s">
        <v>3491</v>
      </c>
      <c r="N1065" s="867" t="s">
        <v>3877</v>
      </c>
      <c r="O1065" s="867" t="s">
        <v>4218</v>
      </c>
      <c r="P1065" s="869">
        <v>3</v>
      </c>
      <c r="Q1065" s="869">
        <v>3</v>
      </c>
      <c r="R1065" s="870">
        <v>3</v>
      </c>
      <c r="S1065" s="871">
        <v>3</v>
      </c>
      <c r="T1065" s="871">
        <v>3</v>
      </c>
      <c r="U1065" s="872">
        <v>3</v>
      </c>
      <c r="W1065" s="872">
        <v>3</v>
      </c>
    </row>
    <row r="1066" spans="1:23" ht="24" x14ac:dyDescent="0.2">
      <c r="A1066" s="812" t="s">
        <v>4216</v>
      </c>
      <c r="B1066" s="866" t="s">
        <v>4210</v>
      </c>
      <c r="C1066" s="866" t="s">
        <v>4001</v>
      </c>
      <c r="D1066" s="1440"/>
      <c r="E1066" s="1443"/>
      <c r="F1066" s="1443"/>
      <c r="G1066" s="1440"/>
      <c r="H1066" s="1440"/>
      <c r="I1066" s="1440"/>
      <c r="J1066" s="1440"/>
      <c r="K1066" s="1440"/>
      <c r="L1066" s="1440"/>
      <c r="M1066" s="867" t="s">
        <v>3492</v>
      </c>
      <c r="N1066" s="867" t="s">
        <v>3882</v>
      </c>
      <c r="O1066" s="873" t="s">
        <v>4219</v>
      </c>
      <c r="P1066" s="874">
        <v>3</v>
      </c>
      <c r="Q1066" s="874">
        <v>3</v>
      </c>
      <c r="R1066" s="875">
        <v>3</v>
      </c>
      <c r="S1066" s="876">
        <v>3</v>
      </c>
      <c r="T1066" s="876">
        <v>3</v>
      </c>
      <c r="U1066" s="877">
        <v>3</v>
      </c>
      <c r="W1066" s="877">
        <v>3</v>
      </c>
    </row>
    <row r="1067" spans="1:23" ht="24" x14ac:dyDescent="0.2">
      <c r="A1067" s="812" t="s">
        <v>4216</v>
      </c>
      <c r="B1067" s="866" t="s">
        <v>4210</v>
      </c>
      <c r="C1067" s="866" t="s">
        <v>4001</v>
      </c>
      <c r="D1067" s="867" t="s">
        <v>3493</v>
      </c>
      <c r="E1067" s="868">
        <v>45530.631493055553</v>
      </c>
      <c r="F1067" s="868">
        <v>45535.916655092595</v>
      </c>
      <c r="G1067" s="867" t="s">
        <v>1758</v>
      </c>
      <c r="H1067" s="867" t="s">
        <v>1759</v>
      </c>
      <c r="I1067" s="867" t="s">
        <v>1761</v>
      </c>
      <c r="J1067" s="867" t="s">
        <v>1761</v>
      </c>
      <c r="K1067" s="867" t="s">
        <v>1804</v>
      </c>
      <c r="L1067" s="867" t="s">
        <v>1828</v>
      </c>
      <c r="M1067" s="867" t="s">
        <v>3446</v>
      </c>
      <c r="N1067" s="867" t="s">
        <v>4211</v>
      </c>
      <c r="O1067" s="867" t="s">
        <v>4212</v>
      </c>
      <c r="P1067" s="869">
        <v>1</v>
      </c>
      <c r="Q1067" s="869">
        <v>1</v>
      </c>
      <c r="R1067" s="870">
        <v>1</v>
      </c>
      <c r="S1067" s="871">
        <v>1</v>
      </c>
      <c r="T1067" s="871">
        <v>1</v>
      </c>
      <c r="U1067" s="872">
        <v>1</v>
      </c>
      <c r="W1067" s="872">
        <v>1</v>
      </c>
    </row>
    <row r="1068" spans="1:23" ht="48" x14ac:dyDescent="0.2">
      <c r="A1068" s="812" t="s">
        <v>4216</v>
      </c>
      <c r="B1068" s="866" t="s">
        <v>4210</v>
      </c>
      <c r="C1068" s="866" t="s">
        <v>4001</v>
      </c>
      <c r="D1068" s="867" t="s">
        <v>3494</v>
      </c>
      <c r="E1068" s="868">
        <v>45557.366643518515</v>
      </c>
      <c r="F1068" s="868">
        <v>45839.916655092595</v>
      </c>
      <c r="G1068" s="867" t="s">
        <v>1758</v>
      </c>
      <c r="H1068" s="867" t="s">
        <v>1759</v>
      </c>
      <c r="I1068" s="867" t="s">
        <v>1760</v>
      </c>
      <c r="J1068" s="867" t="s">
        <v>3495</v>
      </c>
      <c r="K1068" s="867" t="s">
        <v>1804</v>
      </c>
      <c r="L1068" s="867" t="s">
        <v>1805</v>
      </c>
      <c r="M1068" s="867" t="s">
        <v>3496</v>
      </c>
      <c r="N1068" s="867" t="s">
        <v>4008</v>
      </c>
      <c r="O1068" s="873" t="s">
        <v>4220</v>
      </c>
      <c r="P1068" s="874">
        <v>112</v>
      </c>
      <c r="Q1068" s="874">
        <v>112</v>
      </c>
      <c r="R1068" s="875">
        <v>0</v>
      </c>
      <c r="S1068" s="876">
        <v>112</v>
      </c>
      <c r="T1068" s="876">
        <v>112</v>
      </c>
      <c r="U1068" s="877">
        <v>0</v>
      </c>
      <c r="W1068" s="877">
        <v>0</v>
      </c>
    </row>
    <row r="1069" spans="1:23" ht="24" x14ac:dyDescent="0.2">
      <c r="A1069" s="812" t="s">
        <v>4216</v>
      </c>
      <c r="B1069" s="866" t="s">
        <v>4210</v>
      </c>
      <c r="C1069" s="866" t="s">
        <v>4001</v>
      </c>
      <c r="D1069" s="1438" t="s">
        <v>3497</v>
      </c>
      <c r="E1069" s="1441">
        <v>45581.391250000001</v>
      </c>
      <c r="F1069" s="1441">
        <v>45705.958321759259</v>
      </c>
      <c r="G1069" s="1438" t="s">
        <v>1758</v>
      </c>
      <c r="H1069" s="1438" t="s">
        <v>1759</v>
      </c>
      <c r="I1069" s="1438" t="s">
        <v>1760</v>
      </c>
      <c r="J1069" s="1438" t="s">
        <v>3498</v>
      </c>
      <c r="K1069" s="1438" t="s">
        <v>1804</v>
      </c>
      <c r="L1069" s="1438" t="s">
        <v>1805</v>
      </c>
      <c r="M1069" s="867" t="s">
        <v>3499</v>
      </c>
      <c r="N1069" s="867" t="s">
        <v>4221</v>
      </c>
      <c r="O1069" s="867" t="s">
        <v>4222</v>
      </c>
      <c r="P1069" s="869">
        <v>84</v>
      </c>
      <c r="Q1069" s="869">
        <v>64</v>
      </c>
      <c r="R1069" s="870">
        <v>41</v>
      </c>
      <c r="S1069" s="871">
        <v>84</v>
      </c>
      <c r="T1069" s="871">
        <v>64</v>
      </c>
      <c r="U1069" s="872">
        <v>41</v>
      </c>
      <c r="W1069" s="872">
        <v>41</v>
      </c>
    </row>
    <row r="1070" spans="1:23" ht="24" x14ac:dyDescent="0.2">
      <c r="A1070" s="812" t="s">
        <v>4216</v>
      </c>
      <c r="B1070" s="866" t="s">
        <v>4210</v>
      </c>
      <c r="C1070" s="866" t="s">
        <v>4001</v>
      </c>
      <c r="D1070" s="1439"/>
      <c r="E1070" s="1442"/>
      <c r="F1070" s="1442"/>
      <c r="G1070" s="1439"/>
      <c r="H1070" s="1439"/>
      <c r="I1070" s="1439"/>
      <c r="J1070" s="1439"/>
      <c r="K1070" s="1439"/>
      <c r="L1070" s="1439"/>
      <c r="M1070" s="867" t="s">
        <v>3500</v>
      </c>
      <c r="N1070" s="867" t="s">
        <v>3879</v>
      </c>
      <c r="O1070" s="873" t="s">
        <v>4223</v>
      </c>
      <c r="P1070" s="874">
        <v>84</v>
      </c>
      <c r="Q1070" s="874">
        <v>64</v>
      </c>
      <c r="R1070" s="875">
        <v>41</v>
      </c>
      <c r="S1070" s="876">
        <v>84</v>
      </c>
      <c r="T1070" s="876">
        <v>64</v>
      </c>
      <c r="U1070" s="877">
        <v>41</v>
      </c>
      <c r="W1070" s="877">
        <v>41</v>
      </c>
    </row>
    <row r="1071" spans="1:23" ht="24" x14ac:dyDescent="0.2">
      <c r="A1071" s="812" t="s">
        <v>4216</v>
      </c>
      <c r="B1071" s="866" t="s">
        <v>4210</v>
      </c>
      <c r="C1071" s="866" t="s">
        <v>4001</v>
      </c>
      <c r="D1071" s="1439"/>
      <c r="E1071" s="1442"/>
      <c r="F1071" s="1442"/>
      <c r="G1071" s="1439"/>
      <c r="H1071" s="1439"/>
      <c r="I1071" s="1439"/>
      <c r="J1071" s="1439"/>
      <c r="K1071" s="1439"/>
      <c r="L1071" s="1439"/>
      <c r="M1071" s="867" t="s">
        <v>2465</v>
      </c>
      <c r="N1071" s="867" t="s">
        <v>3904</v>
      </c>
      <c r="O1071" s="867" t="s">
        <v>3983</v>
      </c>
      <c r="P1071" s="869">
        <v>84</v>
      </c>
      <c r="Q1071" s="869">
        <v>64</v>
      </c>
      <c r="R1071" s="870">
        <v>41</v>
      </c>
      <c r="S1071" s="871">
        <v>84</v>
      </c>
      <c r="T1071" s="871">
        <v>64</v>
      </c>
      <c r="U1071" s="872">
        <v>41</v>
      </c>
      <c r="W1071" s="872">
        <v>41</v>
      </c>
    </row>
    <row r="1072" spans="1:23" ht="24" x14ac:dyDescent="0.2">
      <c r="A1072" s="812" t="s">
        <v>4216</v>
      </c>
      <c r="B1072" s="866" t="s">
        <v>4210</v>
      </c>
      <c r="C1072" s="866" t="s">
        <v>4001</v>
      </c>
      <c r="D1072" s="1439"/>
      <c r="E1072" s="1442"/>
      <c r="F1072" s="1442"/>
      <c r="G1072" s="1439"/>
      <c r="H1072" s="1439"/>
      <c r="I1072" s="1439"/>
      <c r="J1072" s="1439"/>
      <c r="K1072" s="1439"/>
      <c r="L1072" s="1439"/>
      <c r="M1072" s="867" t="s">
        <v>3446</v>
      </c>
      <c r="N1072" s="867" t="s">
        <v>4211</v>
      </c>
      <c r="O1072" s="873" t="s">
        <v>4212</v>
      </c>
      <c r="P1072" s="874">
        <v>84</v>
      </c>
      <c r="Q1072" s="874">
        <v>64</v>
      </c>
      <c r="R1072" s="875">
        <v>41</v>
      </c>
      <c r="S1072" s="876">
        <v>84</v>
      </c>
      <c r="T1072" s="876">
        <v>64</v>
      </c>
      <c r="U1072" s="877">
        <v>41</v>
      </c>
      <c r="W1072" s="877">
        <v>41</v>
      </c>
    </row>
    <row r="1073" spans="1:24" ht="24" x14ac:dyDescent="0.2">
      <c r="A1073" s="812" t="s">
        <v>4216</v>
      </c>
      <c r="B1073" s="866" t="s">
        <v>4210</v>
      </c>
      <c r="C1073" s="866" t="s">
        <v>4001</v>
      </c>
      <c r="D1073" s="1440"/>
      <c r="E1073" s="1443"/>
      <c r="F1073" s="1443"/>
      <c r="G1073" s="1440"/>
      <c r="H1073" s="1440"/>
      <c r="I1073" s="1440"/>
      <c r="J1073" s="1440"/>
      <c r="K1073" s="1440"/>
      <c r="L1073" s="1440"/>
      <c r="M1073" s="867" t="s">
        <v>3488</v>
      </c>
      <c r="N1073" s="867" t="s">
        <v>4012</v>
      </c>
      <c r="O1073" s="867" t="s">
        <v>4217</v>
      </c>
      <c r="P1073" s="869">
        <v>84</v>
      </c>
      <c r="Q1073" s="869">
        <v>64</v>
      </c>
      <c r="R1073" s="870">
        <v>41</v>
      </c>
      <c r="S1073" s="871">
        <v>84</v>
      </c>
      <c r="T1073" s="871">
        <v>64</v>
      </c>
      <c r="U1073" s="872">
        <v>41</v>
      </c>
      <c r="W1073" s="872">
        <v>41</v>
      </c>
    </row>
    <row r="1074" spans="1:24" ht="24" x14ac:dyDescent="0.2">
      <c r="A1074" s="812" t="s">
        <v>4216</v>
      </c>
      <c r="B1074" s="866" t="s">
        <v>4210</v>
      </c>
      <c r="C1074" s="866" t="s">
        <v>4001</v>
      </c>
      <c r="D1074" s="867" t="s">
        <v>3501</v>
      </c>
      <c r="E1074" s="868">
        <v>45557.916666666664</v>
      </c>
      <c r="F1074" s="868">
        <v>45695.958321759259</v>
      </c>
      <c r="G1074" s="867" t="s">
        <v>1758</v>
      </c>
      <c r="H1074" s="867" t="s">
        <v>1759</v>
      </c>
      <c r="I1074" s="867" t="s">
        <v>1761</v>
      </c>
      <c r="J1074" s="867" t="s">
        <v>3502</v>
      </c>
      <c r="K1074" s="867" t="s">
        <v>1804</v>
      </c>
      <c r="L1074" s="867" t="s">
        <v>1828</v>
      </c>
      <c r="M1074" s="867" t="s">
        <v>3496</v>
      </c>
      <c r="N1074" s="867" t="s">
        <v>4008</v>
      </c>
      <c r="O1074" s="873" t="s">
        <v>4220</v>
      </c>
      <c r="P1074" s="874">
        <v>123</v>
      </c>
      <c r="Q1074" s="874">
        <v>122</v>
      </c>
      <c r="R1074" s="875">
        <v>14</v>
      </c>
      <c r="S1074" s="876">
        <v>123</v>
      </c>
      <c r="T1074" s="876">
        <v>122</v>
      </c>
      <c r="U1074" s="877">
        <v>14</v>
      </c>
      <c r="W1074" s="877">
        <v>14</v>
      </c>
    </row>
    <row r="1075" spans="1:24" ht="24" x14ac:dyDescent="0.2">
      <c r="A1075" s="812" t="s">
        <v>4216</v>
      </c>
      <c r="B1075" s="866" t="s">
        <v>4210</v>
      </c>
      <c r="C1075" s="866" t="s">
        <v>4001</v>
      </c>
      <c r="D1075" s="1438" t="s">
        <v>3503</v>
      </c>
      <c r="E1075" s="1441">
        <v>45558.55159722222</v>
      </c>
      <c r="F1075" s="1441">
        <v>45705.958321759259</v>
      </c>
      <c r="G1075" s="1438" t="s">
        <v>1758</v>
      </c>
      <c r="H1075" s="1438" t="s">
        <v>1759</v>
      </c>
      <c r="I1075" s="1438" t="s">
        <v>1762</v>
      </c>
      <c r="J1075" s="1438" t="s">
        <v>3504</v>
      </c>
      <c r="K1075" s="1438" t="s">
        <v>1804</v>
      </c>
      <c r="L1075" s="1438" t="s">
        <v>1828</v>
      </c>
      <c r="M1075" s="867" t="s">
        <v>3499</v>
      </c>
      <c r="N1075" s="867" t="s">
        <v>4221</v>
      </c>
      <c r="O1075" s="867" t="s">
        <v>4222</v>
      </c>
      <c r="P1075" s="869">
        <v>84</v>
      </c>
      <c r="Q1075" s="869">
        <v>82</v>
      </c>
      <c r="R1075" s="870">
        <v>44</v>
      </c>
      <c r="S1075" s="871">
        <v>84</v>
      </c>
      <c r="T1075" s="871">
        <v>82</v>
      </c>
      <c r="U1075" s="872">
        <v>44</v>
      </c>
      <c r="W1075" s="872">
        <v>44</v>
      </c>
    </row>
    <row r="1076" spans="1:24" ht="24" x14ac:dyDescent="0.2">
      <c r="A1076" s="812" t="s">
        <v>4216</v>
      </c>
      <c r="B1076" s="866" t="s">
        <v>4210</v>
      </c>
      <c r="C1076" s="866" t="s">
        <v>4001</v>
      </c>
      <c r="D1076" s="1439"/>
      <c r="E1076" s="1442"/>
      <c r="F1076" s="1442"/>
      <c r="G1076" s="1439"/>
      <c r="H1076" s="1439"/>
      <c r="I1076" s="1439"/>
      <c r="J1076" s="1439"/>
      <c r="K1076" s="1439"/>
      <c r="L1076" s="1439"/>
      <c r="M1076" s="867" t="s">
        <v>3500</v>
      </c>
      <c r="N1076" s="867" t="s">
        <v>3879</v>
      </c>
      <c r="O1076" s="873" t="s">
        <v>4223</v>
      </c>
      <c r="P1076" s="874">
        <v>84</v>
      </c>
      <c r="Q1076" s="874">
        <v>82</v>
      </c>
      <c r="R1076" s="875">
        <v>44</v>
      </c>
      <c r="S1076" s="876">
        <v>84</v>
      </c>
      <c r="T1076" s="876">
        <v>82</v>
      </c>
      <c r="U1076" s="877">
        <v>44</v>
      </c>
      <c r="W1076" s="877">
        <v>44</v>
      </c>
    </row>
    <row r="1077" spans="1:24" ht="24" x14ac:dyDescent="0.2">
      <c r="A1077" s="812" t="s">
        <v>4216</v>
      </c>
      <c r="B1077" s="866" t="s">
        <v>4210</v>
      </c>
      <c r="C1077" s="866" t="s">
        <v>4001</v>
      </c>
      <c r="D1077" s="1439"/>
      <c r="E1077" s="1442"/>
      <c r="F1077" s="1442"/>
      <c r="G1077" s="1439"/>
      <c r="H1077" s="1439"/>
      <c r="I1077" s="1439"/>
      <c r="J1077" s="1439"/>
      <c r="K1077" s="1439"/>
      <c r="L1077" s="1439"/>
      <c r="M1077" s="867" t="s">
        <v>2465</v>
      </c>
      <c r="N1077" s="867" t="s">
        <v>3904</v>
      </c>
      <c r="O1077" s="867" t="s">
        <v>3983</v>
      </c>
      <c r="P1077" s="869">
        <v>84</v>
      </c>
      <c r="Q1077" s="869">
        <v>82</v>
      </c>
      <c r="R1077" s="870">
        <v>44</v>
      </c>
      <c r="S1077" s="871">
        <v>84</v>
      </c>
      <c r="T1077" s="871">
        <v>82</v>
      </c>
      <c r="U1077" s="872">
        <v>44</v>
      </c>
      <c r="W1077" s="872">
        <v>44</v>
      </c>
    </row>
    <row r="1078" spans="1:24" ht="24" x14ac:dyDescent="0.2">
      <c r="A1078" s="812" t="s">
        <v>4216</v>
      </c>
      <c r="B1078" s="866" t="s">
        <v>4210</v>
      </c>
      <c r="C1078" s="866" t="s">
        <v>4001</v>
      </c>
      <c r="D1078" s="1439"/>
      <c r="E1078" s="1442"/>
      <c r="F1078" s="1442"/>
      <c r="G1078" s="1439"/>
      <c r="H1078" s="1439"/>
      <c r="I1078" s="1439"/>
      <c r="J1078" s="1439"/>
      <c r="K1078" s="1439"/>
      <c r="L1078" s="1439"/>
      <c r="M1078" s="867" t="s">
        <v>3446</v>
      </c>
      <c r="N1078" s="867" t="s">
        <v>4211</v>
      </c>
      <c r="O1078" s="873" t="s">
        <v>4212</v>
      </c>
      <c r="P1078" s="874">
        <v>84</v>
      </c>
      <c r="Q1078" s="874">
        <v>82</v>
      </c>
      <c r="R1078" s="875">
        <v>44</v>
      </c>
      <c r="S1078" s="876">
        <v>84</v>
      </c>
      <c r="T1078" s="876">
        <v>82</v>
      </c>
      <c r="U1078" s="877">
        <v>44</v>
      </c>
      <c r="W1078" s="877">
        <v>44</v>
      </c>
    </row>
    <row r="1079" spans="1:24" ht="24" x14ac:dyDescent="0.2">
      <c r="A1079" s="812" t="s">
        <v>4216</v>
      </c>
      <c r="B1079" s="866" t="s">
        <v>4210</v>
      </c>
      <c r="C1079" s="866" t="s">
        <v>4001</v>
      </c>
      <c r="D1079" s="1440"/>
      <c r="E1079" s="1443"/>
      <c r="F1079" s="1443"/>
      <c r="G1079" s="1440"/>
      <c r="H1079" s="1440"/>
      <c r="I1079" s="1440"/>
      <c r="J1079" s="1440"/>
      <c r="K1079" s="1440"/>
      <c r="L1079" s="1440"/>
      <c r="M1079" s="867" t="s">
        <v>3488</v>
      </c>
      <c r="N1079" s="867" t="s">
        <v>4012</v>
      </c>
      <c r="O1079" s="867" t="s">
        <v>4217</v>
      </c>
      <c r="P1079" s="869">
        <v>84</v>
      </c>
      <c r="Q1079" s="869">
        <v>82</v>
      </c>
      <c r="R1079" s="870">
        <v>44</v>
      </c>
      <c r="S1079" s="871">
        <v>84</v>
      </c>
      <c r="T1079" s="871">
        <v>82</v>
      </c>
      <c r="U1079" s="872">
        <v>44</v>
      </c>
      <c r="W1079" s="872">
        <v>44</v>
      </c>
    </row>
    <row r="1080" spans="1:24" ht="24" x14ac:dyDescent="0.2">
      <c r="A1080" s="812" t="s">
        <v>4216</v>
      </c>
      <c r="B1080" s="866" t="s">
        <v>4210</v>
      </c>
      <c r="C1080" s="866" t="s">
        <v>4001</v>
      </c>
      <c r="D1080" s="867" t="s">
        <v>3505</v>
      </c>
      <c r="E1080" s="868">
        <v>45558.373969907407</v>
      </c>
      <c r="F1080" s="868">
        <v>45672.958321759259</v>
      </c>
      <c r="G1080" s="867" t="s">
        <v>1772</v>
      </c>
      <c r="H1080" s="867" t="s">
        <v>1765</v>
      </c>
      <c r="I1080" s="867" t="s">
        <v>1774</v>
      </c>
      <c r="J1080" s="867" t="s">
        <v>3506</v>
      </c>
      <c r="K1080" s="867" t="s">
        <v>1804</v>
      </c>
      <c r="L1080" s="867" t="s">
        <v>1805</v>
      </c>
      <c r="M1080" s="867" t="s">
        <v>3488</v>
      </c>
      <c r="N1080" s="867" t="s">
        <v>4012</v>
      </c>
      <c r="O1080" s="873" t="s">
        <v>4217</v>
      </c>
      <c r="P1080" s="874">
        <v>28</v>
      </c>
      <c r="Q1080" s="874">
        <v>28</v>
      </c>
      <c r="R1080" s="875">
        <v>15</v>
      </c>
      <c r="S1080" s="876">
        <v>28</v>
      </c>
      <c r="T1080" s="876">
        <v>28</v>
      </c>
      <c r="U1080" s="877">
        <v>15</v>
      </c>
      <c r="W1080" s="877">
        <v>15</v>
      </c>
    </row>
    <row r="1081" spans="1:24" ht="24" x14ac:dyDescent="0.2">
      <c r="A1081" s="812" t="s">
        <v>4216</v>
      </c>
      <c r="B1081" s="866" t="s">
        <v>4210</v>
      </c>
      <c r="C1081" s="866" t="s">
        <v>4001</v>
      </c>
      <c r="D1081" s="867" t="s">
        <v>3507</v>
      </c>
      <c r="E1081" s="868">
        <v>45621.975092592591</v>
      </c>
      <c r="F1081" s="868">
        <v>45747.916655092595</v>
      </c>
      <c r="G1081" s="867" t="s">
        <v>1758</v>
      </c>
      <c r="H1081" s="867" t="s">
        <v>1765</v>
      </c>
      <c r="I1081" s="867" t="s">
        <v>1766</v>
      </c>
      <c r="J1081" s="867" t="s">
        <v>1766</v>
      </c>
      <c r="K1081" s="867" t="s">
        <v>1804</v>
      </c>
      <c r="L1081" s="867" t="s">
        <v>1805</v>
      </c>
      <c r="M1081" s="867" t="s">
        <v>3446</v>
      </c>
      <c r="N1081" s="867" t="s">
        <v>4211</v>
      </c>
      <c r="O1081" s="867" t="s">
        <v>4212</v>
      </c>
      <c r="P1081" s="869">
        <v>5</v>
      </c>
      <c r="Q1081" s="869">
        <v>2</v>
      </c>
      <c r="R1081" s="870">
        <v>0</v>
      </c>
      <c r="S1081" s="871">
        <v>5</v>
      </c>
      <c r="T1081" s="871">
        <v>2</v>
      </c>
      <c r="U1081" s="872">
        <v>0</v>
      </c>
      <c r="W1081" s="872">
        <v>0</v>
      </c>
      <c r="X1081" s="814" t="s">
        <v>4224</v>
      </c>
    </row>
    <row r="1082" spans="1:24" x14ac:dyDescent="0.2">
      <c r="P1082" s="881">
        <f t="shared" ref="P1082:U1082" si="0">SUM(P3:P1081)</f>
        <v>18681</v>
      </c>
      <c r="Q1082" s="881">
        <f t="shared" si="0"/>
        <v>16889</v>
      </c>
      <c r="R1082" s="881">
        <f t="shared" si="0"/>
        <v>8215</v>
      </c>
      <c r="S1082" s="882">
        <f t="shared" si="0"/>
        <v>14275</v>
      </c>
      <c r="T1082" s="882">
        <f t="shared" si="0"/>
        <v>12906</v>
      </c>
      <c r="U1082" s="882">
        <f t="shared" si="0"/>
        <v>6839</v>
      </c>
      <c r="W1082" s="882">
        <f t="shared" ref="W1082" si="1">SUM(W3:W1081)</f>
        <v>1828</v>
      </c>
      <c r="X1082" s="883">
        <f>W1082/U1082</f>
        <v>0.26729053955256615</v>
      </c>
    </row>
    <row r="1084" spans="1:24" x14ac:dyDescent="0.2">
      <c r="P1084" s="782" t="s">
        <v>4225</v>
      </c>
      <c r="S1084" s="884" t="s">
        <v>4226</v>
      </c>
      <c r="T1084" s="885"/>
      <c r="U1084" s="885"/>
      <c r="W1084" s="885"/>
    </row>
  </sheetData>
  <autoFilter ref="A2:U1081" xr:uid="{713E7BB6-D2FE-4EDF-B69B-B83B39C16284}"/>
  <mergeCells count="1738">
    <mergeCell ref="A1:R1"/>
    <mergeCell ref="D4:D5"/>
    <mergeCell ref="E4:E5"/>
    <mergeCell ref="F4:F5"/>
    <mergeCell ref="G4:G5"/>
    <mergeCell ref="H4:H5"/>
    <mergeCell ref="I4:I5"/>
    <mergeCell ref="J4:J5"/>
    <mergeCell ref="K4:K5"/>
    <mergeCell ref="L4:L5"/>
    <mergeCell ref="K10:K11"/>
    <mergeCell ref="L10:L11"/>
    <mergeCell ref="D31:D33"/>
    <mergeCell ref="E31:E33"/>
    <mergeCell ref="F31:F33"/>
    <mergeCell ref="G31:G33"/>
    <mergeCell ref="H31:H33"/>
    <mergeCell ref="I31:I33"/>
    <mergeCell ref="J31:J33"/>
    <mergeCell ref="K31:K33"/>
    <mergeCell ref="J6:J7"/>
    <mergeCell ref="K6:K7"/>
    <mergeCell ref="L6:L7"/>
    <mergeCell ref="D10:D11"/>
    <mergeCell ref="E10:E11"/>
    <mergeCell ref="F10:F11"/>
    <mergeCell ref="G10:G11"/>
    <mergeCell ref="H10:H11"/>
    <mergeCell ref="I10:I11"/>
    <mergeCell ref="J10:J11"/>
    <mergeCell ref="D6:D7"/>
    <mergeCell ref="E6:E7"/>
    <mergeCell ref="F6:F7"/>
    <mergeCell ref="G6:G7"/>
    <mergeCell ref="H6:H7"/>
    <mergeCell ref="I6:I7"/>
    <mergeCell ref="J63:J64"/>
    <mergeCell ref="K63:K64"/>
    <mergeCell ref="L63:L64"/>
    <mergeCell ref="D66:D67"/>
    <mergeCell ref="E66:E67"/>
    <mergeCell ref="F66:F67"/>
    <mergeCell ref="G66:G67"/>
    <mergeCell ref="H66:H67"/>
    <mergeCell ref="I66:I67"/>
    <mergeCell ref="J66:J67"/>
    <mergeCell ref="D63:D64"/>
    <mergeCell ref="E63:E64"/>
    <mergeCell ref="F63:F64"/>
    <mergeCell ref="G63:G64"/>
    <mergeCell ref="H63:H64"/>
    <mergeCell ref="I63:I64"/>
    <mergeCell ref="L31:L33"/>
    <mergeCell ref="D48:D49"/>
    <mergeCell ref="E48:E49"/>
    <mergeCell ref="F48:F49"/>
    <mergeCell ref="G48:G49"/>
    <mergeCell ref="H48:H49"/>
    <mergeCell ref="I48:I49"/>
    <mergeCell ref="J48:J49"/>
    <mergeCell ref="K48:K49"/>
    <mergeCell ref="L48:L49"/>
    <mergeCell ref="L68:L69"/>
    <mergeCell ref="D70:D71"/>
    <mergeCell ref="E70:E71"/>
    <mergeCell ref="F70:F71"/>
    <mergeCell ref="G70:G71"/>
    <mergeCell ref="H70:H71"/>
    <mergeCell ref="I70:I71"/>
    <mergeCell ref="J70:J71"/>
    <mergeCell ref="K70:K71"/>
    <mergeCell ref="L70:L71"/>
    <mergeCell ref="K66:K67"/>
    <mergeCell ref="L66:L67"/>
    <mergeCell ref="D68:D69"/>
    <mergeCell ref="E68:E69"/>
    <mergeCell ref="F68:F69"/>
    <mergeCell ref="G68:G69"/>
    <mergeCell ref="H68:H69"/>
    <mergeCell ref="I68:I69"/>
    <mergeCell ref="J68:J69"/>
    <mergeCell ref="K68:K69"/>
    <mergeCell ref="K75:K76"/>
    <mergeCell ref="L75:L76"/>
    <mergeCell ref="D77:D78"/>
    <mergeCell ref="E77:E78"/>
    <mergeCell ref="F77:F78"/>
    <mergeCell ref="G77:G78"/>
    <mergeCell ref="H77:H78"/>
    <mergeCell ref="I77:I78"/>
    <mergeCell ref="J77:J78"/>
    <mergeCell ref="K77:K78"/>
    <mergeCell ref="J72:J73"/>
    <mergeCell ref="K72:K73"/>
    <mergeCell ref="L72:L73"/>
    <mergeCell ref="D75:D76"/>
    <mergeCell ref="E75:E76"/>
    <mergeCell ref="F75:F76"/>
    <mergeCell ref="G75:G76"/>
    <mergeCell ref="H75:H76"/>
    <mergeCell ref="I75:I76"/>
    <mergeCell ref="J75:J76"/>
    <mergeCell ref="D72:D73"/>
    <mergeCell ref="E72:E73"/>
    <mergeCell ref="F72:F73"/>
    <mergeCell ref="G72:G73"/>
    <mergeCell ref="H72:H73"/>
    <mergeCell ref="I72:I73"/>
    <mergeCell ref="J82:J83"/>
    <mergeCell ref="K82:K83"/>
    <mergeCell ref="L82:L83"/>
    <mergeCell ref="D84:D85"/>
    <mergeCell ref="E84:E85"/>
    <mergeCell ref="F84:F85"/>
    <mergeCell ref="G84:G85"/>
    <mergeCell ref="H84:H85"/>
    <mergeCell ref="I84:I85"/>
    <mergeCell ref="J84:J85"/>
    <mergeCell ref="D82:D83"/>
    <mergeCell ref="E82:E83"/>
    <mergeCell ref="F82:F83"/>
    <mergeCell ref="G82:G83"/>
    <mergeCell ref="H82:H83"/>
    <mergeCell ref="I82:I83"/>
    <mergeCell ref="L77:L78"/>
    <mergeCell ref="D80:D81"/>
    <mergeCell ref="E80:E81"/>
    <mergeCell ref="F80:F81"/>
    <mergeCell ref="G80:G81"/>
    <mergeCell ref="H80:H81"/>
    <mergeCell ref="I80:I81"/>
    <mergeCell ref="J80:J81"/>
    <mergeCell ref="K80:K81"/>
    <mergeCell ref="L80:L81"/>
    <mergeCell ref="L87:L88"/>
    <mergeCell ref="D92:D93"/>
    <mergeCell ref="E92:E93"/>
    <mergeCell ref="F92:F93"/>
    <mergeCell ref="G92:G93"/>
    <mergeCell ref="H92:H93"/>
    <mergeCell ref="I92:I93"/>
    <mergeCell ref="J92:J93"/>
    <mergeCell ref="K92:K93"/>
    <mergeCell ref="L92:L93"/>
    <mergeCell ref="K84:K85"/>
    <mergeCell ref="L84:L85"/>
    <mergeCell ref="D87:D88"/>
    <mergeCell ref="E87:E88"/>
    <mergeCell ref="F87:F88"/>
    <mergeCell ref="G87:G88"/>
    <mergeCell ref="H87:H88"/>
    <mergeCell ref="I87:I88"/>
    <mergeCell ref="J87:J88"/>
    <mergeCell ref="K87:K88"/>
    <mergeCell ref="K100:K101"/>
    <mergeCell ref="L100:L101"/>
    <mergeCell ref="D105:D106"/>
    <mergeCell ref="E105:E106"/>
    <mergeCell ref="F105:F106"/>
    <mergeCell ref="G105:G106"/>
    <mergeCell ref="H105:H106"/>
    <mergeCell ref="I105:I106"/>
    <mergeCell ref="J105:J106"/>
    <mergeCell ref="K105:K106"/>
    <mergeCell ref="J98:J99"/>
    <mergeCell ref="K98:K99"/>
    <mergeCell ref="L98:L99"/>
    <mergeCell ref="D100:D101"/>
    <mergeCell ref="E100:E101"/>
    <mergeCell ref="F100:F101"/>
    <mergeCell ref="G100:G101"/>
    <mergeCell ref="H100:H101"/>
    <mergeCell ref="I100:I101"/>
    <mergeCell ref="J100:J101"/>
    <mergeCell ref="D98:D99"/>
    <mergeCell ref="E98:E99"/>
    <mergeCell ref="F98:F99"/>
    <mergeCell ref="G98:G99"/>
    <mergeCell ref="H98:H99"/>
    <mergeCell ref="I98:I99"/>
    <mergeCell ref="J109:J110"/>
    <mergeCell ref="K109:K110"/>
    <mergeCell ref="L109:L110"/>
    <mergeCell ref="D111:D112"/>
    <mergeCell ref="E111:E112"/>
    <mergeCell ref="F111:F112"/>
    <mergeCell ref="G111:G112"/>
    <mergeCell ref="H111:H112"/>
    <mergeCell ref="I111:I112"/>
    <mergeCell ref="J111:J112"/>
    <mergeCell ref="D109:D110"/>
    <mergeCell ref="E109:E110"/>
    <mergeCell ref="F109:F110"/>
    <mergeCell ref="G109:G110"/>
    <mergeCell ref="H109:H110"/>
    <mergeCell ref="I109:I110"/>
    <mergeCell ref="L105:L106"/>
    <mergeCell ref="D107:D108"/>
    <mergeCell ref="E107:E108"/>
    <mergeCell ref="F107:F108"/>
    <mergeCell ref="G107:G108"/>
    <mergeCell ref="H107:H108"/>
    <mergeCell ref="I107:I108"/>
    <mergeCell ref="J107:J108"/>
    <mergeCell ref="K107:K108"/>
    <mergeCell ref="L107:L108"/>
    <mergeCell ref="L113:L114"/>
    <mergeCell ref="D116:D117"/>
    <mergeCell ref="E116:E117"/>
    <mergeCell ref="F116:F117"/>
    <mergeCell ref="G116:G117"/>
    <mergeCell ref="H116:H117"/>
    <mergeCell ref="I116:I117"/>
    <mergeCell ref="J116:J117"/>
    <mergeCell ref="K116:K117"/>
    <mergeCell ref="L116:L117"/>
    <mergeCell ref="K111:K112"/>
    <mergeCell ref="L111:L112"/>
    <mergeCell ref="D113:D114"/>
    <mergeCell ref="E113:E114"/>
    <mergeCell ref="F113:F114"/>
    <mergeCell ref="G113:G114"/>
    <mergeCell ref="H113:H114"/>
    <mergeCell ref="I113:I114"/>
    <mergeCell ref="J113:J114"/>
    <mergeCell ref="K113:K114"/>
    <mergeCell ref="K132:K133"/>
    <mergeCell ref="L132:L133"/>
    <mergeCell ref="D144:D145"/>
    <mergeCell ref="E144:E145"/>
    <mergeCell ref="F144:F145"/>
    <mergeCell ref="G144:G145"/>
    <mergeCell ref="H144:H145"/>
    <mergeCell ref="I144:I145"/>
    <mergeCell ref="J144:J145"/>
    <mergeCell ref="K144:K145"/>
    <mergeCell ref="J122:J123"/>
    <mergeCell ref="K122:K123"/>
    <mergeCell ref="L122:L123"/>
    <mergeCell ref="D132:D133"/>
    <mergeCell ref="E132:E133"/>
    <mergeCell ref="F132:F133"/>
    <mergeCell ref="G132:G133"/>
    <mergeCell ref="H132:H133"/>
    <mergeCell ref="I132:I133"/>
    <mergeCell ref="J132:J133"/>
    <mergeCell ref="D122:D123"/>
    <mergeCell ref="E122:E123"/>
    <mergeCell ref="F122:F123"/>
    <mergeCell ref="G122:G123"/>
    <mergeCell ref="H122:H123"/>
    <mergeCell ref="I122:I123"/>
    <mergeCell ref="J150:J151"/>
    <mergeCell ref="K150:K151"/>
    <mergeCell ref="L150:L151"/>
    <mergeCell ref="D153:D154"/>
    <mergeCell ref="E153:E154"/>
    <mergeCell ref="F153:F154"/>
    <mergeCell ref="G153:G154"/>
    <mergeCell ref="H153:H154"/>
    <mergeCell ref="I153:I154"/>
    <mergeCell ref="J153:J154"/>
    <mergeCell ref="D150:D151"/>
    <mergeCell ref="E150:E151"/>
    <mergeCell ref="F150:F151"/>
    <mergeCell ref="G150:G151"/>
    <mergeCell ref="H150:H151"/>
    <mergeCell ref="I150:I151"/>
    <mergeCell ref="L144:L145"/>
    <mergeCell ref="D147:D148"/>
    <mergeCell ref="E147:E148"/>
    <mergeCell ref="F147:F148"/>
    <mergeCell ref="G147:G148"/>
    <mergeCell ref="H147:H148"/>
    <mergeCell ref="I147:I148"/>
    <mergeCell ref="J147:J148"/>
    <mergeCell ref="K147:K148"/>
    <mergeCell ref="L147:L148"/>
    <mergeCell ref="L155:L156"/>
    <mergeCell ref="D169:D170"/>
    <mergeCell ref="E169:E170"/>
    <mergeCell ref="F169:F170"/>
    <mergeCell ref="G169:G170"/>
    <mergeCell ref="H169:H170"/>
    <mergeCell ref="I169:I170"/>
    <mergeCell ref="J169:J170"/>
    <mergeCell ref="K169:K170"/>
    <mergeCell ref="L169:L170"/>
    <mergeCell ref="K153:K154"/>
    <mergeCell ref="L153:L154"/>
    <mergeCell ref="D155:D156"/>
    <mergeCell ref="E155:E156"/>
    <mergeCell ref="F155:F156"/>
    <mergeCell ref="G155:G156"/>
    <mergeCell ref="H155:H156"/>
    <mergeCell ref="I155:I156"/>
    <mergeCell ref="J155:J156"/>
    <mergeCell ref="K155:K156"/>
    <mergeCell ref="K188:K189"/>
    <mergeCell ref="L188:L189"/>
    <mergeCell ref="D199:D200"/>
    <mergeCell ref="E199:E200"/>
    <mergeCell ref="F199:F200"/>
    <mergeCell ref="G199:G200"/>
    <mergeCell ref="H199:H200"/>
    <mergeCell ref="I199:I200"/>
    <mergeCell ref="J199:J200"/>
    <mergeCell ref="K199:K200"/>
    <mergeCell ref="J177:J178"/>
    <mergeCell ref="K177:K178"/>
    <mergeCell ref="L177:L178"/>
    <mergeCell ref="D188:D189"/>
    <mergeCell ref="E188:E189"/>
    <mergeCell ref="F188:F189"/>
    <mergeCell ref="G188:G189"/>
    <mergeCell ref="H188:H189"/>
    <mergeCell ref="I188:I189"/>
    <mergeCell ref="J188:J189"/>
    <mergeCell ref="D177:D178"/>
    <mergeCell ref="E177:E178"/>
    <mergeCell ref="F177:F178"/>
    <mergeCell ref="G177:G178"/>
    <mergeCell ref="H177:H178"/>
    <mergeCell ref="I177:I178"/>
    <mergeCell ref="J210:J211"/>
    <mergeCell ref="K210:K211"/>
    <mergeCell ref="L210:L211"/>
    <mergeCell ref="D226:D227"/>
    <mergeCell ref="E226:E227"/>
    <mergeCell ref="F226:F227"/>
    <mergeCell ref="G226:G227"/>
    <mergeCell ref="H226:H227"/>
    <mergeCell ref="I226:I227"/>
    <mergeCell ref="J226:J227"/>
    <mergeCell ref="D210:D211"/>
    <mergeCell ref="E210:E211"/>
    <mergeCell ref="F210:F211"/>
    <mergeCell ref="G210:G211"/>
    <mergeCell ref="H210:H211"/>
    <mergeCell ref="I210:I211"/>
    <mergeCell ref="L199:L200"/>
    <mergeCell ref="D202:D203"/>
    <mergeCell ref="E202:E203"/>
    <mergeCell ref="F202:F203"/>
    <mergeCell ref="G202:G203"/>
    <mergeCell ref="H202:H203"/>
    <mergeCell ref="I202:I203"/>
    <mergeCell ref="J202:J203"/>
    <mergeCell ref="K202:K203"/>
    <mergeCell ref="L202:L203"/>
    <mergeCell ref="L229:L230"/>
    <mergeCell ref="D242:D244"/>
    <mergeCell ref="E242:E244"/>
    <mergeCell ref="F242:F244"/>
    <mergeCell ref="G242:G244"/>
    <mergeCell ref="H242:H244"/>
    <mergeCell ref="I242:I244"/>
    <mergeCell ref="J242:J244"/>
    <mergeCell ref="K242:K244"/>
    <mergeCell ref="L242:L244"/>
    <mergeCell ref="K226:K227"/>
    <mergeCell ref="L226:L227"/>
    <mergeCell ref="D229:D230"/>
    <mergeCell ref="E229:E230"/>
    <mergeCell ref="F229:F230"/>
    <mergeCell ref="G229:G230"/>
    <mergeCell ref="H229:H230"/>
    <mergeCell ref="I229:I230"/>
    <mergeCell ref="J229:J230"/>
    <mergeCell ref="K229:K230"/>
    <mergeCell ref="K286:K287"/>
    <mergeCell ref="L286:L287"/>
    <mergeCell ref="D290:D291"/>
    <mergeCell ref="E290:E291"/>
    <mergeCell ref="F290:F291"/>
    <mergeCell ref="G290:G291"/>
    <mergeCell ref="H290:H291"/>
    <mergeCell ref="I290:I291"/>
    <mergeCell ref="J290:J291"/>
    <mergeCell ref="K290:K291"/>
    <mergeCell ref="J275:J276"/>
    <mergeCell ref="K275:K276"/>
    <mergeCell ref="L275:L276"/>
    <mergeCell ref="D286:D287"/>
    <mergeCell ref="E286:E287"/>
    <mergeCell ref="F286:F287"/>
    <mergeCell ref="G286:G287"/>
    <mergeCell ref="H286:H287"/>
    <mergeCell ref="I286:I287"/>
    <mergeCell ref="J286:J287"/>
    <mergeCell ref="D275:D276"/>
    <mergeCell ref="E275:E276"/>
    <mergeCell ref="F275:F276"/>
    <mergeCell ref="G275:G276"/>
    <mergeCell ref="H275:H276"/>
    <mergeCell ref="I275:I276"/>
    <mergeCell ref="J296:J297"/>
    <mergeCell ref="K296:K297"/>
    <mergeCell ref="L296:L297"/>
    <mergeCell ref="D298:D299"/>
    <mergeCell ref="E298:E299"/>
    <mergeCell ref="F298:F299"/>
    <mergeCell ref="G298:G299"/>
    <mergeCell ref="H298:H299"/>
    <mergeCell ref="I298:I299"/>
    <mergeCell ref="J298:J299"/>
    <mergeCell ref="D296:D297"/>
    <mergeCell ref="E296:E297"/>
    <mergeCell ref="F296:F297"/>
    <mergeCell ref="G296:G297"/>
    <mergeCell ref="H296:H297"/>
    <mergeCell ref="I296:I297"/>
    <mergeCell ref="L290:L291"/>
    <mergeCell ref="D293:D294"/>
    <mergeCell ref="E293:E294"/>
    <mergeCell ref="F293:F294"/>
    <mergeCell ref="G293:G294"/>
    <mergeCell ref="H293:H294"/>
    <mergeCell ref="I293:I294"/>
    <mergeCell ref="J293:J294"/>
    <mergeCell ref="K293:K294"/>
    <mergeCell ref="L293:L294"/>
    <mergeCell ref="L301:L302"/>
    <mergeCell ref="D310:D311"/>
    <mergeCell ref="E310:E311"/>
    <mergeCell ref="F310:F311"/>
    <mergeCell ref="G310:G311"/>
    <mergeCell ref="H310:H311"/>
    <mergeCell ref="I310:I311"/>
    <mergeCell ref="J310:J311"/>
    <mergeCell ref="K310:K311"/>
    <mergeCell ref="L310:L311"/>
    <mergeCell ref="K298:K299"/>
    <mergeCell ref="L298:L299"/>
    <mergeCell ref="D301:D302"/>
    <mergeCell ref="E301:E302"/>
    <mergeCell ref="F301:F302"/>
    <mergeCell ref="G301:G302"/>
    <mergeCell ref="H301:H302"/>
    <mergeCell ref="I301:I302"/>
    <mergeCell ref="J301:J302"/>
    <mergeCell ref="K301:K302"/>
    <mergeCell ref="K314:K315"/>
    <mergeCell ref="L314:L315"/>
    <mergeCell ref="D320:D321"/>
    <mergeCell ref="E320:E321"/>
    <mergeCell ref="F320:F321"/>
    <mergeCell ref="G320:G321"/>
    <mergeCell ref="H320:H321"/>
    <mergeCell ref="I320:I321"/>
    <mergeCell ref="J320:J321"/>
    <mergeCell ref="K320:K321"/>
    <mergeCell ref="J312:J313"/>
    <mergeCell ref="K312:K313"/>
    <mergeCell ref="L312:L313"/>
    <mergeCell ref="D314:D315"/>
    <mergeCell ref="E314:E315"/>
    <mergeCell ref="F314:F315"/>
    <mergeCell ref="G314:G315"/>
    <mergeCell ref="H314:H315"/>
    <mergeCell ref="I314:I315"/>
    <mergeCell ref="J314:J315"/>
    <mergeCell ref="D312:D313"/>
    <mergeCell ref="E312:E313"/>
    <mergeCell ref="F312:F313"/>
    <mergeCell ref="G312:G313"/>
    <mergeCell ref="H312:H313"/>
    <mergeCell ref="I312:I313"/>
    <mergeCell ref="J327:J333"/>
    <mergeCell ref="K327:K333"/>
    <mergeCell ref="L327:L333"/>
    <mergeCell ref="D334:D335"/>
    <mergeCell ref="E334:E335"/>
    <mergeCell ref="F334:F335"/>
    <mergeCell ref="G334:G335"/>
    <mergeCell ref="H334:H335"/>
    <mergeCell ref="I334:I335"/>
    <mergeCell ref="J334:J335"/>
    <mergeCell ref="D327:D333"/>
    <mergeCell ref="E327:E333"/>
    <mergeCell ref="F327:F333"/>
    <mergeCell ref="G327:G333"/>
    <mergeCell ref="H327:H333"/>
    <mergeCell ref="I327:I333"/>
    <mergeCell ref="L320:L321"/>
    <mergeCell ref="D324:D325"/>
    <mergeCell ref="E324:E325"/>
    <mergeCell ref="F324:F325"/>
    <mergeCell ref="G324:G325"/>
    <mergeCell ref="H324:H325"/>
    <mergeCell ref="I324:I325"/>
    <mergeCell ref="J324:J325"/>
    <mergeCell ref="K324:K325"/>
    <mergeCell ref="L324:L325"/>
    <mergeCell ref="L337:L338"/>
    <mergeCell ref="D339:D340"/>
    <mergeCell ref="E339:E340"/>
    <mergeCell ref="F339:F340"/>
    <mergeCell ref="G339:G340"/>
    <mergeCell ref="H339:H340"/>
    <mergeCell ref="I339:I340"/>
    <mergeCell ref="J339:J340"/>
    <mergeCell ref="K339:K340"/>
    <mergeCell ref="L339:L340"/>
    <mergeCell ref="K334:K335"/>
    <mergeCell ref="L334:L335"/>
    <mergeCell ref="D337:D338"/>
    <mergeCell ref="E337:E338"/>
    <mergeCell ref="F337:F338"/>
    <mergeCell ref="G337:G338"/>
    <mergeCell ref="H337:H338"/>
    <mergeCell ref="I337:I338"/>
    <mergeCell ref="J337:J338"/>
    <mergeCell ref="K337:K338"/>
    <mergeCell ref="K346:K347"/>
    <mergeCell ref="L346:L347"/>
    <mergeCell ref="D352:D353"/>
    <mergeCell ref="E352:E353"/>
    <mergeCell ref="F352:F353"/>
    <mergeCell ref="G352:G353"/>
    <mergeCell ref="H352:H353"/>
    <mergeCell ref="I352:I353"/>
    <mergeCell ref="J352:J353"/>
    <mergeCell ref="K352:K353"/>
    <mergeCell ref="J343:J344"/>
    <mergeCell ref="K343:K344"/>
    <mergeCell ref="L343:L344"/>
    <mergeCell ref="D346:D347"/>
    <mergeCell ref="E346:E347"/>
    <mergeCell ref="F346:F347"/>
    <mergeCell ref="G346:G347"/>
    <mergeCell ref="H346:H347"/>
    <mergeCell ref="I346:I347"/>
    <mergeCell ref="J346:J347"/>
    <mergeCell ref="D343:D344"/>
    <mergeCell ref="E343:E344"/>
    <mergeCell ref="F343:F344"/>
    <mergeCell ref="G343:G344"/>
    <mergeCell ref="H343:H344"/>
    <mergeCell ref="I343:I344"/>
    <mergeCell ref="J372:J374"/>
    <mergeCell ref="K372:K374"/>
    <mergeCell ref="L372:L374"/>
    <mergeCell ref="D379:D381"/>
    <mergeCell ref="E379:E381"/>
    <mergeCell ref="F379:F381"/>
    <mergeCell ref="G379:G381"/>
    <mergeCell ref="H379:H381"/>
    <mergeCell ref="I379:I381"/>
    <mergeCell ref="J379:J381"/>
    <mergeCell ref="D372:D374"/>
    <mergeCell ref="E372:E374"/>
    <mergeCell ref="F372:F374"/>
    <mergeCell ref="G372:G374"/>
    <mergeCell ref="H372:H374"/>
    <mergeCell ref="I372:I374"/>
    <mergeCell ref="L352:L353"/>
    <mergeCell ref="D366:D367"/>
    <mergeCell ref="E366:E367"/>
    <mergeCell ref="F366:F367"/>
    <mergeCell ref="G366:G367"/>
    <mergeCell ref="H366:H367"/>
    <mergeCell ref="I366:I367"/>
    <mergeCell ref="J366:J367"/>
    <mergeCell ref="K366:K367"/>
    <mergeCell ref="L366:L367"/>
    <mergeCell ref="L382:L383"/>
    <mergeCell ref="D384:D385"/>
    <mergeCell ref="E384:E385"/>
    <mergeCell ref="F384:F385"/>
    <mergeCell ref="G384:G385"/>
    <mergeCell ref="H384:H385"/>
    <mergeCell ref="I384:I385"/>
    <mergeCell ref="J384:J385"/>
    <mergeCell ref="K384:K385"/>
    <mergeCell ref="L384:L385"/>
    <mergeCell ref="K379:K381"/>
    <mergeCell ref="L379:L381"/>
    <mergeCell ref="D382:D383"/>
    <mergeCell ref="E382:E383"/>
    <mergeCell ref="F382:F383"/>
    <mergeCell ref="G382:G383"/>
    <mergeCell ref="H382:H383"/>
    <mergeCell ref="I382:I383"/>
    <mergeCell ref="J382:J383"/>
    <mergeCell ref="K382:K383"/>
    <mergeCell ref="K389:K390"/>
    <mergeCell ref="L389:L390"/>
    <mergeCell ref="D408:D409"/>
    <mergeCell ref="E408:E409"/>
    <mergeCell ref="F408:F409"/>
    <mergeCell ref="G408:G409"/>
    <mergeCell ref="H408:H409"/>
    <mergeCell ref="I408:I409"/>
    <mergeCell ref="J408:J409"/>
    <mergeCell ref="K408:K409"/>
    <mergeCell ref="J387:J388"/>
    <mergeCell ref="K387:K388"/>
    <mergeCell ref="L387:L388"/>
    <mergeCell ref="D389:D390"/>
    <mergeCell ref="E389:E390"/>
    <mergeCell ref="F389:F390"/>
    <mergeCell ref="G389:G390"/>
    <mergeCell ref="H389:H390"/>
    <mergeCell ref="I389:I390"/>
    <mergeCell ref="J389:J390"/>
    <mergeCell ref="D387:D388"/>
    <mergeCell ref="E387:E388"/>
    <mergeCell ref="F387:F388"/>
    <mergeCell ref="G387:G388"/>
    <mergeCell ref="H387:H388"/>
    <mergeCell ref="I387:I388"/>
    <mergeCell ref="J412:J413"/>
    <mergeCell ref="K412:K413"/>
    <mergeCell ref="L412:L413"/>
    <mergeCell ref="D415:D416"/>
    <mergeCell ref="E415:E416"/>
    <mergeCell ref="F415:F416"/>
    <mergeCell ref="G415:G416"/>
    <mergeCell ref="H415:H416"/>
    <mergeCell ref="I415:I416"/>
    <mergeCell ref="J415:J416"/>
    <mergeCell ref="D412:D413"/>
    <mergeCell ref="E412:E413"/>
    <mergeCell ref="F412:F413"/>
    <mergeCell ref="G412:G413"/>
    <mergeCell ref="H412:H413"/>
    <mergeCell ref="I412:I413"/>
    <mergeCell ref="L408:L409"/>
    <mergeCell ref="D410:D411"/>
    <mergeCell ref="E410:E411"/>
    <mergeCell ref="F410:F411"/>
    <mergeCell ref="G410:G411"/>
    <mergeCell ref="H410:H411"/>
    <mergeCell ref="I410:I411"/>
    <mergeCell ref="J410:J411"/>
    <mergeCell ref="K410:K411"/>
    <mergeCell ref="L410:L411"/>
    <mergeCell ref="L417:L418"/>
    <mergeCell ref="D419:D420"/>
    <mergeCell ref="E419:E420"/>
    <mergeCell ref="F419:F420"/>
    <mergeCell ref="G419:G420"/>
    <mergeCell ref="H419:H420"/>
    <mergeCell ref="I419:I420"/>
    <mergeCell ref="J419:J420"/>
    <mergeCell ref="K419:K420"/>
    <mergeCell ref="L419:L420"/>
    <mergeCell ref="K415:K416"/>
    <mergeCell ref="L415:L416"/>
    <mergeCell ref="D417:D418"/>
    <mergeCell ref="E417:E418"/>
    <mergeCell ref="F417:F418"/>
    <mergeCell ref="G417:G418"/>
    <mergeCell ref="H417:H418"/>
    <mergeCell ref="I417:I418"/>
    <mergeCell ref="J417:J418"/>
    <mergeCell ref="K417:K418"/>
    <mergeCell ref="K426:K427"/>
    <mergeCell ref="L426:L427"/>
    <mergeCell ref="D430:D431"/>
    <mergeCell ref="E430:E431"/>
    <mergeCell ref="F430:F431"/>
    <mergeCell ref="G430:G431"/>
    <mergeCell ref="H430:H431"/>
    <mergeCell ref="I430:I431"/>
    <mergeCell ref="J430:J431"/>
    <mergeCell ref="K430:K431"/>
    <mergeCell ref="J422:J424"/>
    <mergeCell ref="K422:K424"/>
    <mergeCell ref="L422:L424"/>
    <mergeCell ref="D426:D427"/>
    <mergeCell ref="E426:E427"/>
    <mergeCell ref="F426:F427"/>
    <mergeCell ref="G426:G427"/>
    <mergeCell ref="H426:H427"/>
    <mergeCell ref="I426:I427"/>
    <mergeCell ref="J426:J427"/>
    <mergeCell ref="D422:D424"/>
    <mergeCell ref="E422:E424"/>
    <mergeCell ref="F422:F424"/>
    <mergeCell ref="G422:G424"/>
    <mergeCell ref="H422:H424"/>
    <mergeCell ref="I422:I424"/>
    <mergeCell ref="J434:J435"/>
    <mergeCell ref="K434:K435"/>
    <mergeCell ref="L434:L435"/>
    <mergeCell ref="D436:D440"/>
    <mergeCell ref="E436:E440"/>
    <mergeCell ref="F436:F440"/>
    <mergeCell ref="G436:G440"/>
    <mergeCell ref="H436:H440"/>
    <mergeCell ref="I436:I440"/>
    <mergeCell ref="J436:J440"/>
    <mergeCell ref="D434:D435"/>
    <mergeCell ref="E434:E435"/>
    <mergeCell ref="F434:F435"/>
    <mergeCell ref="G434:G435"/>
    <mergeCell ref="H434:H435"/>
    <mergeCell ref="I434:I435"/>
    <mergeCell ref="L430:L431"/>
    <mergeCell ref="D432:D433"/>
    <mergeCell ref="E432:E433"/>
    <mergeCell ref="F432:F433"/>
    <mergeCell ref="G432:G433"/>
    <mergeCell ref="H432:H433"/>
    <mergeCell ref="I432:I433"/>
    <mergeCell ref="J432:J433"/>
    <mergeCell ref="K432:K433"/>
    <mergeCell ref="L432:L433"/>
    <mergeCell ref="L441:L442"/>
    <mergeCell ref="D443:D444"/>
    <mergeCell ref="E443:E444"/>
    <mergeCell ref="F443:F444"/>
    <mergeCell ref="G443:G444"/>
    <mergeCell ref="H443:H444"/>
    <mergeCell ref="I443:I444"/>
    <mergeCell ref="J443:J444"/>
    <mergeCell ref="K443:K444"/>
    <mergeCell ref="L443:L444"/>
    <mergeCell ref="K436:K440"/>
    <mergeCell ref="L436:L440"/>
    <mergeCell ref="D441:D442"/>
    <mergeCell ref="E441:E442"/>
    <mergeCell ref="F441:F442"/>
    <mergeCell ref="G441:G442"/>
    <mergeCell ref="H441:H442"/>
    <mergeCell ref="I441:I442"/>
    <mergeCell ref="J441:J442"/>
    <mergeCell ref="K441:K442"/>
    <mergeCell ref="K449:K451"/>
    <mergeCell ref="L449:L451"/>
    <mergeCell ref="D452:D454"/>
    <mergeCell ref="E452:E454"/>
    <mergeCell ref="F452:F454"/>
    <mergeCell ref="G452:G454"/>
    <mergeCell ref="H452:H454"/>
    <mergeCell ref="I452:I454"/>
    <mergeCell ref="J452:J454"/>
    <mergeCell ref="K452:K454"/>
    <mergeCell ref="J447:J448"/>
    <mergeCell ref="K447:K448"/>
    <mergeCell ref="L447:L448"/>
    <mergeCell ref="D449:D451"/>
    <mergeCell ref="E449:E451"/>
    <mergeCell ref="F449:F451"/>
    <mergeCell ref="G449:G451"/>
    <mergeCell ref="H449:H451"/>
    <mergeCell ref="I449:I451"/>
    <mergeCell ref="J449:J451"/>
    <mergeCell ref="D447:D448"/>
    <mergeCell ref="E447:E448"/>
    <mergeCell ref="F447:F448"/>
    <mergeCell ref="G447:G448"/>
    <mergeCell ref="H447:H448"/>
    <mergeCell ref="I447:I448"/>
    <mergeCell ref="J457:J460"/>
    <mergeCell ref="K457:K460"/>
    <mergeCell ref="L457:L460"/>
    <mergeCell ref="D461:D462"/>
    <mergeCell ref="E461:E462"/>
    <mergeCell ref="F461:F462"/>
    <mergeCell ref="G461:G462"/>
    <mergeCell ref="H461:H462"/>
    <mergeCell ref="I461:I462"/>
    <mergeCell ref="J461:J462"/>
    <mergeCell ref="D457:D460"/>
    <mergeCell ref="E457:E460"/>
    <mergeCell ref="F457:F460"/>
    <mergeCell ref="G457:G460"/>
    <mergeCell ref="H457:H460"/>
    <mergeCell ref="I457:I460"/>
    <mergeCell ref="L452:L454"/>
    <mergeCell ref="D455:D456"/>
    <mergeCell ref="E455:E456"/>
    <mergeCell ref="F455:F456"/>
    <mergeCell ref="G455:G456"/>
    <mergeCell ref="H455:H456"/>
    <mergeCell ref="I455:I456"/>
    <mergeCell ref="J455:J456"/>
    <mergeCell ref="K455:K456"/>
    <mergeCell ref="L455:L456"/>
    <mergeCell ref="L464:L465"/>
    <mergeCell ref="D469:D473"/>
    <mergeCell ref="E469:E473"/>
    <mergeCell ref="F469:F473"/>
    <mergeCell ref="G469:G473"/>
    <mergeCell ref="H469:H473"/>
    <mergeCell ref="I469:I473"/>
    <mergeCell ref="J469:J473"/>
    <mergeCell ref="K469:K473"/>
    <mergeCell ref="L469:L473"/>
    <mergeCell ref="K461:K462"/>
    <mergeCell ref="L461:L462"/>
    <mergeCell ref="D464:D465"/>
    <mergeCell ref="E464:E465"/>
    <mergeCell ref="F464:F465"/>
    <mergeCell ref="G464:G465"/>
    <mergeCell ref="H464:H465"/>
    <mergeCell ref="I464:I465"/>
    <mergeCell ref="J464:J465"/>
    <mergeCell ref="K464:K465"/>
    <mergeCell ref="K480:K484"/>
    <mergeCell ref="L480:L484"/>
    <mergeCell ref="D488:D489"/>
    <mergeCell ref="E488:E489"/>
    <mergeCell ref="F488:F489"/>
    <mergeCell ref="G488:G489"/>
    <mergeCell ref="H488:H489"/>
    <mergeCell ref="I488:I489"/>
    <mergeCell ref="J488:J489"/>
    <mergeCell ref="K488:K489"/>
    <mergeCell ref="J474:J478"/>
    <mergeCell ref="K474:K478"/>
    <mergeCell ref="L474:L478"/>
    <mergeCell ref="D480:D484"/>
    <mergeCell ref="E480:E484"/>
    <mergeCell ref="F480:F484"/>
    <mergeCell ref="G480:G484"/>
    <mergeCell ref="H480:H484"/>
    <mergeCell ref="I480:I484"/>
    <mergeCell ref="J480:J484"/>
    <mergeCell ref="D474:D478"/>
    <mergeCell ref="E474:E478"/>
    <mergeCell ref="F474:F478"/>
    <mergeCell ref="G474:G478"/>
    <mergeCell ref="H474:H478"/>
    <mergeCell ref="I474:I478"/>
    <mergeCell ref="J492:J493"/>
    <mergeCell ref="K492:K493"/>
    <mergeCell ref="L492:L493"/>
    <mergeCell ref="D495:D497"/>
    <mergeCell ref="E495:E497"/>
    <mergeCell ref="F495:F497"/>
    <mergeCell ref="G495:G497"/>
    <mergeCell ref="H495:H497"/>
    <mergeCell ref="I495:I497"/>
    <mergeCell ref="J495:J497"/>
    <mergeCell ref="D492:D493"/>
    <mergeCell ref="E492:E493"/>
    <mergeCell ref="F492:F493"/>
    <mergeCell ref="G492:G493"/>
    <mergeCell ref="H492:H493"/>
    <mergeCell ref="I492:I493"/>
    <mergeCell ref="L488:L489"/>
    <mergeCell ref="D490:D491"/>
    <mergeCell ref="E490:E491"/>
    <mergeCell ref="F490:F491"/>
    <mergeCell ref="G490:G491"/>
    <mergeCell ref="H490:H491"/>
    <mergeCell ref="I490:I491"/>
    <mergeCell ref="J490:J491"/>
    <mergeCell ref="K490:K491"/>
    <mergeCell ref="L490:L491"/>
    <mergeCell ref="L500:L503"/>
    <mergeCell ref="D505:D506"/>
    <mergeCell ref="E505:E506"/>
    <mergeCell ref="F505:F506"/>
    <mergeCell ref="G505:G506"/>
    <mergeCell ref="H505:H506"/>
    <mergeCell ref="I505:I506"/>
    <mergeCell ref="J505:J506"/>
    <mergeCell ref="K505:K506"/>
    <mergeCell ref="L505:L506"/>
    <mergeCell ref="K495:K497"/>
    <mergeCell ref="L495:L497"/>
    <mergeCell ref="D500:D503"/>
    <mergeCell ref="E500:E503"/>
    <mergeCell ref="F500:F503"/>
    <mergeCell ref="G500:G503"/>
    <mergeCell ref="H500:H503"/>
    <mergeCell ref="I500:I503"/>
    <mergeCell ref="J500:J503"/>
    <mergeCell ref="K500:K503"/>
    <mergeCell ref="K513:K516"/>
    <mergeCell ref="L513:L516"/>
    <mergeCell ref="D517:D518"/>
    <mergeCell ref="E517:E518"/>
    <mergeCell ref="F517:F518"/>
    <mergeCell ref="G517:G518"/>
    <mergeCell ref="H517:H518"/>
    <mergeCell ref="I517:I518"/>
    <mergeCell ref="J517:J518"/>
    <mergeCell ref="K517:K518"/>
    <mergeCell ref="J511:J512"/>
    <mergeCell ref="K511:K512"/>
    <mergeCell ref="L511:L512"/>
    <mergeCell ref="D513:D516"/>
    <mergeCell ref="E513:E516"/>
    <mergeCell ref="F513:F516"/>
    <mergeCell ref="G513:G516"/>
    <mergeCell ref="H513:H516"/>
    <mergeCell ref="I513:I516"/>
    <mergeCell ref="J513:J516"/>
    <mergeCell ref="D511:D512"/>
    <mergeCell ref="E511:E512"/>
    <mergeCell ref="F511:F512"/>
    <mergeCell ref="G511:G512"/>
    <mergeCell ref="H511:H512"/>
    <mergeCell ref="I511:I512"/>
    <mergeCell ref="J522:J523"/>
    <mergeCell ref="K522:K523"/>
    <mergeCell ref="L522:L523"/>
    <mergeCell ref="D525:D526"/>
    <mergeCell ref="E525:E526"/>
    <mergeCell ref="F525:F526"/>
    <mergeCell ref="G525:G526"/>
    <mergeCell ref="H525:H526"/>
    <mergeCell ref="I525:I526"/>
    <mergeCell ref="J525:J526"/>
    <mergeCell ref="D522:D523"/>
    <mergeCell ref="E522:E523"/>
    <mergeCell ref="F522:F523"/>
    <mergeCell ref="G522:G523"/>
    <mergeCell ref="H522:H523"/>
    <mergeCell ref="I522:I523"/>
    <mergeCell ref="L517:L518"/>
    <mergeCell ref="D520:D521"/>
    <mergeCell ref="E520:E521"/>
    <mergeCell ref="F520:F521"/>
    <mergeCell ref="G520:G521"/>
    <mergeCell ref="H520:H521"/>
    <mergeCell ref="I520:I521"/>
    <mergeCell ref="J520:J521"/>
    <mergeCell ref="K520:K521"/>
    <mergeCell ref="L520:L521"/>
    <mergeCell ref="L537:L538"/>
    <mergeCell ref="D539:D540"/>
    <mergeCell ref="E539:E540"/>
    <mergeCell ref="F539:F540"/>
    <mergeCell ref="G539:G540"/>
    <mergeCell ref="H539:H540"/>
    <mergeCell ref="I539:I540"/>
    <mergeCell ref="J539:J540"/>
    <mergeCell ref="K539:K540"/>
    <mergeCell ref="L539:L540"/>
    <mergeCell ref="K525:K526"/>
    <mergeCell ref="L525:L526"/>
    <mergeCell ref="D537:D538"/>
    <mergeCell ref="E537:E538"/>
    <mergeCell ref="F537:F538"/>
    <mergeCell ref="G537:G538"/>
    <mergeCell ref="H537:H538"/>
    <mergeCell ref="I537:I538"/>
    <mergeCell ref="J537:J538"/>
    <mergeCell ref="K537:K538"/>
    <mergeCell ref="K547:K549"/>
    <mergeCell ref="L547:L549"/>
    <mergeCell ref="D551:D553"/>
    <mergeCell ref="E551:E553"/>
    <mergeCell ref="F551:F553"/>
    <mergeCell ref="G551:G553"/>
    <mergeCell ref="H551:H553"/>
    <mergeCell ref="I551:I553"/>
    <mergeCell ref="J551:J553"/>
    <mergeCell ref="K551:K553"/>
    <mergeCell ref="J545:J546"/>
    <mergeCell ref="K545:K546"/>
    <mergeCell ref="L545:L546"/>
    <mergeCell ref="D547:D549"/>
    <mergeCell ref="E547:E549"/>
    <mergeCell ref="F547:F549"/>
    <mergeCell ref="G547:G549"/>
    <mergeCell ref="H547:H549"/>
    <mergeCell ref="I547:I549"/>
    <mergeCell ref="J547:J549"/>
    <mergeCell ref="D545:D546"/>
    <mergeCell ref="E545:E546"/>
    <mergeCell ref="F545:F546"/>
    <mergeCell ref="G545:G546"/>
    <mergeCell ref="H545:H546"/>
    <mergeCell ref="I545:I546"/>
    <mergeCell ref="J556:J557"/>
    <mergeCell ref="K556:K557"/>
    <mergeCell ref="L556:L557"/>
    <mergeCell ref="D558:D559"/>
    <mergeCell ref="E558:E559"/>
    <mergeCell ref="F558:F559"/>
    <mergeCell ref="G558:G559"/>
    <mergeCell ref="H558:H559"/>
    <mergeCell ref="I558:I559"/>
    <mergeCell ref="J558:J559"/>
    <mergeCell ref="D556:D557"/>
    <mergeCell ref="E556:E557"/>
    <mergeCell ref="F556:F557"/>
    <mergeCell ref="G556:G557"/>
    <mergeCell ref="H556:H557"/>
    <mergeCell ref="I556:I557"/>
    <mergeCell ref="L551:L553"/>
    <mergeCell ref="D554:D555"/>
    <mergeCell ref="E554:E555"/>
    <mergeCell ref="F554:F555"/>
    <mergeCell ref="G554:G555"/>
    <mergeCell ref="H554:H555"/>
    <mergeCell ref="I554:I555"/>
    <mergeCell ref="J554:J555"/>
    <mergeCell ref="K554:K555"/>
    <mergeCell ref="L554:L555"/>
    <mergeCell ref="L560:L562"/>
    <mergeCell ref="D564:D567"/>
    <mergeCell ref="E564:E567"/>
    <mergeCell ref="F564:F567"/>
    <mergeCell ref="G564:G567"/>
    <mergeCell ref="H564:H567"/>
    <mergeCell ref="I564:I567"/>
    <mergeCell ref="J564:J567"/>
    <mergeCell ref="K564:K567"/>
    <mergeCell ref="L564:L567"/>
    <mergeCell ref="K558:K559"/>
    <mergeCell ref="L558:L559"/>
    <mergeCell ref="D560:D562"/>
    <mergeCell ref="E560:E562"/>
    <mergeCell ref="F560:F562"/>
    <mergeCell ref="G560:G562"/>
    <mergeCell ref="H560:H562"/>
    <mergeCell ref="I560:I562"/>
    <mergeCell ref="J560:J562"/>
    <mergeCell ref="K560:K562"/>
    <mergeCell ref="K570:K571"/>
    <mergeCell ref="L570:L571"/>
    <mergeCell ref="D572:D573"/>
    <mergeCell ref="E572:E573"/>
    <mergeCell ref="F572:F573"/>
    <mergeCell ref="G572:G573"/>
    <mergeCell ref="H572:H573"/>
    <mergeCell ref="I572:I573"/>
    <mergeCell ref="J572:J573"/>
    <mergeCell ref="K572:K573"/>
    <mergeCell ref="J568:J569"/>
    <mergeCell ref="K568:K569"/>
    <mergeCell ref="L568:L569"/>
    <mergeCell ref="D570:D571"/>
    <mergeCell ref="E570:E571"/>
    <mergeCell ref="F570:F571"/>
    <mergeCell ref="G570:G571"/>
    <mergeCell ref="H570:H571"/>
    <mergeCell ref="I570:I571"/>
    <mergeCell ref="J570:J571"/>
    <mergeCell ref="D568:D569"/>
    <mergeCell ref="E568:E569"/>
    <mergeCell ref="F568:F569"/>
    <mergeCell ref="G568:G569"/>
    <mergeCell ref="H568:H569"/>
    <mergeCell ref="I568:I569"/>
    <mergeCell ref="J577:J579"/>
    <mergeCell ref="K577:K579"/>
    <mergeCell ref="L577:L579"/>
    <mergeCell ref="D581:D582"/>
    <mergeCell ref="E581:E582"/>
    <mergeCell ref="F581:F582"/>
    <mergeCell ref="G581:G582"/>
    <mergeCell ref="H581:H582"/>
    <mergeCell ref="I581:I582"/>
    <mergeCell ref="J581:J582"/>
    <mergeCell ref="D577:D579"/>
    <mergeCell ref="E577:E579"/>
    <mergeCell ref="F577:F579"/>
    <mergeCell ref="G577:G579"/>
    <mergeCell ref="H577:H579"/>
    <mergeCell ref="I577:I579"/>
    <mergeCell ref="L572:L573"/>
    <mergeCell ref="D574:D576"/>
    <mergeCell ref="E574:E576"/>
    <mergeCell ref="F574:F576"/>
    <mergeCell ref="G574:G576"/>
    <mergeCell ref="H574:H576"/>
    <mergeCell ref="I574:I576"/>
    <mergeCell ref="J574:J576"/>
    <mergeCell ref="K574:K576"/>
    <mergeCell ref="L574:L576"/>
    <mergeCell ref="L584:L586"/>
    <mergeCell ref="D588:D590"/>
    <mergeCell ref="E588:E590"/>
    <mergeCell ref="F588:F590"/>
    <mergeCell ref="G588:G590"/>
    <mergeCell ref="H588:H590"/>
    <mergeCell ref="I588:I590"/>
    <mergeCell ref="J588:J590"/>
    <mergeCell ref="K588:K590"/>
    <mergeCell ref="L588:L590"/>
    <mergeCell ref="K581:K582"/>
    <mergeCell ref="L581:L582"/>
    <mergeCell ref="D584:D586"/>
    <mergeCell ref="E584:E586"/>
    <mergeCell ref="F584:F586"/>
    <mergeCell ref="G584:G586"/>
    <mergeCell ref="H584:H586"/>
    <mergeCell ref="I584:I586"/>
    <mergeCell ref="J584:J586"/>
    <mergeCell ref="K584:K586"/>
    <mergeCell ref="K601:K602"/>
    <mergeCell ref="L601:L602"/>
    <mergeCell ref="D603:D604"/>
    <mergeCell ref="E603:E604"/>
    <mergeCell ref="F603:F604"/>
    <mergeCell ref="G603:G604"/>
    <mergeCell ref="H603:H604"/>
    <mergeCell ref="I603:I604"/>
    <mergeCell ref="J603:J604"/>
    <mergeCell ref="K603:K604"/>
    <mergeCell ref="J591:J594"/>
    <mergeCell ref="K591:K594"/>
    <mergeCell ref="L591:L594"/>
    <mergeCell ref="D601:D602"/>
    <mergeCell ref="E601:E602"/>
    <mergeCell ref="F601:F602"/>
    <mergeCell ref="G601:G602"/>
    <mergeCell ref="H601:H602"/>
    <mergeCell ref="I601:I602"/>
    <mergeCell ref="J601:J602"/>
    <mergeCell ref="D591:D594"/>
    <mergeCell ref="E591:E594"/>
    <mergeCell ref="F591:F594"/>
    <mergeCell ref="G591:G594"/>
    <mergeCell ref="H591:H594"/>
    <mergeCell ref="I591:I594"/>
    <mergeCell ref="J626:J627"/>
    <mergeCell ref="K626:K627"/>
    <mergeCell ref="L626:L627"/>
    <mergeCell ref="D629:D630"/>
    <mergeCell ref="E629:E630"/>
    <mergeCell ref="F629:F630"/>
    <mergeCell ref="G629:G630"/>
    <mergeCell ref="H629:H630"/>
    <mergeCell ref="I629:I630"/>
    <mergeCell ref="J629:J630"/>
    <mergeCell ref="D626:D627"/>
    <mergeCell ref="E626:E627"/>
    <mergeCell ref="F626:F627"/>
    <mergeCell ref="G626:G627"/>
    <mergeCell ref="H626:H627"/>
    <mergeCell ref="I626:I627"/>
    <mergeCell ref="L603:L604"/>
    <mergeCell ref="D618:D619"/>
    <mergeCell ref="E618:E619"/>
    <mergeCell ref="F618:F619"/>
    <mergeCell ref="G618:G619"/>
    <mergeCell ref="H618:H619"/>
    <mergeCell ref="I618:I619"/>
    <mergeCell ref="J618:J619"/>
    <mergeCell ref="K618:K619"/>
    <mergeCell ref="L618:L619"/>
    <mergeCell ref="L636:L638"/>
    <mergeCell ref="D644:D645"/>
    <mergeCell ref="E644:E645"/>
    <mergeCell ref="F644:F645"/>
    <mergeCell ref="G644:G645"/>
    <mergeCell ref="H644:H645"/>
    <mergeCell ref="I644:I645"/>
    <mergeCell ref="J644:J645"/>
    <mergeCell ref="K644:K645"/>
    <mergeCell ref="L644:L645"/>
    <mergeCell ref="K629:K630"/>
    <mergeCell ref="L629:L630"/>
    <mergeCell ref="D636:D638"/>
    <mergeCell ref="E636:E638"/>
    <mergeCell ref="F636:F638"/>
    <mergeCell ref="G636:G638"/>
    <mergeCell ref="H636:H638"/>
    <mergeCell ref="I636:I638"/>
    <mergeCell ref="J636:J638"/>
    <mergeCell ref="K636:K638"/>
    <mergeCell ref="K654:K655"/>
    <mergeCell ref="L654:L655"/>
    <mergeCell ref="D683:D684"/>
    <mergeCell ref="E683:E684"/>
    <mergeCell ref="F683:F684"/>
    <mergeCell ref="G683:G684"/>
    <mergeCell ref="H683:H684"/>
    <mergeCell ref="I683:I684"/>
    <mergeCell ref="J683:J684"/>
    <mergeCell ref="K683:K684"/>
    <mergeCell ref="J652:J653"/>
    <mergeCell ref="K652:K653"/>
    <mergeCell ref="L652:L653"/>
    <mergeCell ref="D654:D655"/>
    <mergeCell ref="E654:E655"/>
    <mergeCell ref="F654:F655"/>
    <mergeCell ref="G654:G655"/>
    <mergeCell ref="H654:H655"/>
    <mergeCell ref="I654:I655"/>
    <mergeCell ref="J654:J655"/>
    <mergeCell ref="D652:D653"/>
    <mergeCell ref="E652:E653"/>
    <mergeCell ref="F652:F653"/>
    <mergeCell ref="G652:G653"/>
    <mergeCell ref="H652:H653"/>
    <mergeCell ref="I652:I653"/>
    <mergeCell ref="J689:J690"/>
    <mergeCell ref="K689:K690"/>
    <mergeCell ref="L689:L690"/>
    <mergeCell ref="D691:D692"/>
    <mergeCell ref="E691:E692"/>
    <mergeCell ref="F691:F692"/>
    <mergeCell ref="G691:G692"/>
    <mergeCell ref="H691:H692"/>
    <mergeCell ref="I691:I692"/>
    <mergeCell ref="J691:J692"/>
    <mergeCell ref="D689:D690"/>
    <mergeCell ref="E689:E690"/>
    <mergeCell ref="F689:F690"/>
    <mergeCell ref="G689:G690"/>
    <mergeCell ref="H689:H690"/>
    <mergeCell ref="I689:I690"/>
    <mergeCell ref="L683:L684"/>
    <mergeCell ref="D687:D688"/>
    <mergeCell ref="E687:E688"/>
    <mergeCell ref="F687:F688"/>
    <mergeCell ref="G687:G688"/>
    <mergeCell ref="H687:H688"/>
    <mergeCell ref="I687:I688"/>
    <mergeCell ref="J687:J688"/>
    <mergeCell ref="K687:K688"/>
    <mergeCell ref="L687:L688"/>
    <mergeCell ref="L693:L694"/>
    <mergeCell ref="D695:D696"/>
    <mergeCell ref="E695:E696"/>
    <mergeCell ref="F695:F696"/>
    <mergeCell ref="G695:G696"/>
    <mergeCell ref="H695:H696"/>
    <mergeCell ref="I695:I696"/>
    <mergeCell ref="J695:J696"/>
    <mergeCell ref="K695:K696"/>
    <mergeCell ref="L695:L696"/>
    <mergeCell ref="K691:K692"/>
    <mergeCell ref="L691:L692"/>
    <mergeCell ref="D693:D694"/>
    <mergeCell ref="E693:E694"/>
    <mergeCell ref="F693:F694"/>
    <mergeCell ref="G693:G694"/>
    <mergeCell ref="H693:H694"/>
    <mergeCell ref="I693:I694"/>
    <mergeCell ref="J693:J694"/>
    <mergeCell ref="K693:K694"/>
    <mergeCell ref="K708:K709"/>
    <mergeCell ref="L708:L709"/>
    <mergeCell ref="D710:D711"/>
    <mergeCell ref="E710:E711"/>
    <mergeCell ref="F710:F711"/>
    <mergeCell ref="G710:G711"/>
    <mergeCell ref="H710:H711"/>
    <mergeCell ref="I710:I711"/>
    <mergeCell ref="J710:J711"/>
    <mergeCell ref="K710:K711"/>
    <mergeCell ref="J700:J701"/>
    <mergeCell ref="K700:K701"/>
    <mergeCell ref="L700:L701"/>
    <mergeCell ref="D708:D709"/>
    <mergeCell ref="E708:E709"/>
    <mergeCell ref="F708:F709"/>
    <mergeCell ref="G708:G709"/>
    <mergeCell ref="H708:H709"/>
    <mergeCell ref="I708:I709"/>
    <mergeCell ref="J708:J709"/>
    <mergeCell ref="D700:D701"/>
    <mergeCell ref="E700:E701"/>
    <mergeCell ref="F700:F701"/>
    <mergeCell ref="G700:G701"/>
    <mergeCell ref="H700:H701"/>
    <mergeCell ref="I700:I701"/>
    <mergeCell ref="J721:J722"/>
    <mergeCell ref="K721:K722"/>
    <mergeCell ref="L721:L722"/>
    <mergeCell ref="D730:D731"/>
    <mergeCell ref="E730:E731"/>
    <mergeCell ref="F730:F731"/>
    <mergeCell ref="G730:G731"/>
    <mergeCell ref="H730:H731"/>
    <mergeCell ref="I730:I731"/>
    <mergeCell ref="J730:J731"/>
    <mergeCell ref="D721:D722"/>
    <mergeCell ref="E721:E722"/>
    <mergeCell ref="F721:F722"/>
    <mergeCell ref="G721:G722"/>
    <mergeCell ref="H721:H722"/>
    <mergeCell ref="I721:I722"/>
    <mergeCell ref="L710:L711"/>
    <mergeCell ref="D719:D720"/>
    <mergeCell ref="E719:E720"/>
    <mergeCell ref="F719:F720"/>
    <mergeCell ref="G719:G720"/>
    <mergeCell ref="H719:H720"/>
    <mergeCell ref="I719:I720"/>
    <mergeCell ref="J719:J720"/>
    <mergeCell ref="K719:K720"/>
    <mergeCell ref="L719:L720"/>
    <mergeCell ref="L736:L738"/>
    <mergeCell ref="D748:D749"/>
    <mergeCell ref="E748:E749"/>
    <mergeCell ref="F748:F749"/>
    <mergeCell ref="G748:G749"/>
    <mergeCell ref="H748:H749"/>
    <mergeCell ref="I748:I749"/>
    <mergeCell ref="J748:J749"/>
    <mergeCell ref="K748:K749"/>
    <mergeCell ref="L748:L749"/>
    <mergeCell ref="K730:K731"/>
    <mergeCell ref="L730:L731"/>
    <mergeCell ref="D736:D738"/>
    <mergeCell ref="E736:E738"/>
    <mergeCell ref="F736:F738"/>
    <mergeCell ref="G736:G738"/>
    <mergeCell ref="H736:H738"/>
    <mergeCell ref="I736:I738"/>
    <mergeCell ref="J736:J738"/>
    <mergeCell ref="K736:K738"/>
    <mergeCell ref="K763:K765"/>
    <mergeCell ref="L763:L765"/>
    <mergeCell ref="D766:D768"/>
    <mergeCell ref="E766:E768"/>
    <mergeCell ref="F766:F768"/>
    <mergeCell ref="G766:G768"/>
    <mergeCell ref="H766:H768"/>
    <mergeCell ref="I766:I768"/>
    <mergeCell ref="J766:J768"/>
    <mergeCell ref="K766:K768"/>
    <mergeCell ref="J758:J762"/>
    <mergeCell ref="K758:K762"/>
    <mergeCell ref="L758:L762"/>
    <mergeCell ref="D763:D765"/>
    <mergeCell ref="E763:E765"/>
    <mergeCell ref="F763:F765"/>
    <mergeCell ref="G763:G765"/>
    <mergeCell ref="H763:H765"/>
    <mergeCell ref="I763:I765"/>
    <mergeCell ref="J763:J765"/>
    <mergeCell ref="D758:D762"/>
    <mergeCell ref="E758:E762"/>
    <mergeCell ref="F758:F762"/>
    <mergeCell ref="G758:G762"/>
    <mergeCell ref="H758:H762"/>
    <mergeCell ref="I758:I762"/>
    <mergeCell ref="J771:J772"/>
    <mergeCell ref="K771:K772"/>
    <mergeCell ref="L771:L772"/>
    <mergeCell ref="D773:D777"/>
    <mergeCell ref="E773:E777"/>
    <mergeCell ref="F773:F777"/>
    <mergeCell ref="G773:G777"/>
    <mergeCell ref="H773:H777"/>
    <mergeCell ref="I773:I777"/>
    <mergeCell ref="J773:J777"/>
    <mergeCell ref="D771:D772"/>
    <mergeCell ref="E771:E772"/>
    <mergeCell ref="F771:F772"/>
    <mergeCell ref="G771:G772"/>
    <mergeCell ref="H771:H772"/>
    <mergeCell ref="I771:I772"/>
    <mergeCell ref="L766:L768"/>
    <mergeCell ref="D769:D770"/>
    <mergeCell ref="E769:E770"/>
    <mergeCell ref="F769:F770"/>
    <mergeCell ref="G769:G770"/>
    <mergeCell ref="H769:H770"/>
    <mergeCell ref="I769:I770"/>
    <mergeCell ref="J769:J770"/>
    <mergeCell ref="K769:K770"/>
    <mergeCell ref="L769:L770"/>
    <mergeCell ref="L779:L782"/>
    <mergeCell ref="D783:D786"/>
    <mergeCell ref="E783:E786"/>
    <mergeCell ref="F783:F786"/>
    <mergeCell ref="G783:G786"/>
    <mergeCell ref="H783:H786"/>
    <mergeCell ref="I783:I786"/>
    <mergeCell ref="J783:J786"/>
    <mergeCell ref="K783:K786"/>
    <mergeCell ref="L783:L786"/>
    <mergeCell ref="K773:K777"/>
    <mergeCell ref="L773:L777"/>
    <mergeCell ref="D779:D782"/>
    <mergeCell ref="E779:E782"/>
    <mergeCell ref="F779:F782"/>
    <mergeCell ref="G779:G782"/>
    <mergeCell ref="H779:H782"/>
    <mergeCell ref="I779:I782"/>
    <mergeCell ref="J779:J782"/>
    <mergeCell ref="K779:K782"/>
    <mergeCell ref="K791:K794"/>
    <mergeCell ref="L791:L794"/>
    <mergeCell ref="D795:D796"/>
    <mergeCell ref="E795:E796"/>
    <mergeCell ref="F795:F796"/>
    <mergeCell ref="G795:G796"/>
    <mergeCell ref="H795:H796"/>
    <mergeCell ref="I795:I796"/>
    <mergeCell ref="J795:J796"/>
    <mergeCell ref="K795:K796"/>
    <mergeCell ref="J787:J790"/>
    <mergeCell ref="K787:K790"/>
    <mergeCell ref="L787:L790"/>
    <mergeCell ref="D791:D794"/>
    <mergeCell ref="E791:E794"/>
    <mergeCell ref="F791:F794"/>
    <mergeCell ref="G791:G794"/>
    <mergeCell ref="H791:H794"/>
    <mergeCell ref="I791:I794"/>
    <mergeCell ref="J791:J794"/>
    <mergeCell ref="D787:D790"/>
    <mergeCell ref="E787:E790"/>
    <mergeCell ref="F787:F790"/>
    <mergeCell ref="G787:G790"/>
    <mergeCell ref="H787:H790"/>
    <mergeCell ref="I787:I790"/>
    <mergeCell ref="J801:J804"/>
    <mergeCell ref="K801:K804"/>
    <mergeCell ref="L801:L804"/>
    <mergeCell ref="D805:D808"/>
    <mergeCell ref="E805:E808"/>
    <mergeCell ref="F805:F808"/>
    <mergeCell ref="G805:G808"/>
    <mergeCell ref="H805:H808"/>
    <mergeCell ref="I805:I808"/>
    <mergeCell ref="J805:J808"/>
    <mergeCell ref="D801:D804"/>
    <mergeCell ref="E801:E804"/>
    <mergeCell ref="F801:F804"/>
    <mergeCell ref="G801:G804"/>
    <mergeCell ref="H801:H804"/>
    <mergeCell ref="I801:I804"/>
    <mergeCell ref="L795:L796"/>
    <mergeCell ref="D797:D800"/>
    <mergeCell ref="E797:E800"/>
    <mergeCell ref="F797:F800"/>
    <mergeCell ref="G797:G800"/>
    <mergeCell ref="H797:H800"/>
    <mergeCell ref="I797:I800"/>
    <mergeCell ref="J797:J800"/>
    <mergeCell ref="K797:K800"/>
    <mergeCell ref="L797:L800"/>
    <mergeCell ref="L809:L812"/>
    <mergeCell ref="D814:D818"/>
    <mergeCell ref="E814:E818"/>
    <mergeCell ref="F814:F818"/>
    <mergeCell ref="G814:G818"/>
    <mergeCell ref="H814:H818"/>
    <mergeCell ref="I814:I818"/>
    <mergeCell ref="J814:J818"/>
    <mergeCell ref="K814:K818"/>
    <mergeCell ref="L814:L818"/>
    <mergeCell ref="K805:K808"/>
    <mergeCell ref="L805:L808"/>
    <mergeCell ref="D809:D812"/>
    <mergeCell ref="E809:E812"/>
    <mergeCell ref="F809:F812"/>
    <mergeCell ref="G809:G812"/>
    <mergeCell ref="H809:H812"/>
    <mergeCell ref="I809:I812"/>
    <mergeCell ref="J809:J812"/>
    <mergeCell ref="K809:K812"/>
    <mergeCell ref="K823:K826"/>
    <mergeCell ref="L823:L826"/>
    <mergeCell ref="D827:D830"/>
    <mergeCell ref="E827:E830"/>
    <mergeCell ref="F827:F830"/>
    <mergeCell ref="G827:G830"/>
    <mergeCell ref="H827:H830"/>
    <mergeCell ref="I827:I830"/>
    <mergeCell ref="J827:J830"/>
    <mergeCell ref="K827:K830"/>
    <mergeCell ref="J819:J822"/>
    <mergeCell ref="K819:K822"/>
    <mergeCell ref="L819:L822"/>
    <mergeCell ref="D823:D826"/>
    <mergeCell ref="E823:E826"/>
    <mergeCell ref="F823:F826"/>
    <mergeCell ref="G823:G826"/>
    <mergeCell ref="H823:H826"/>
    <mergeCell ref="I823:I826"/>
    <mergeCell ref="J823:J826"/>
    <mergeCell ref="D819:D822"/>
    <mergeCell ref="E819:E822"/>
    <mergeCell ref="F819:F822"/>
    <mergeCell ref="G819:G822"/>
    <mergeCell ref="H819:H822"/>
    <mergeCell ref="I819:I822"/>
    <mergeCell ref="J835:J838"/>
    <mergeCell ref="K835:K838"/>
    <mergeCell ref="L835:L838"/>
    <mergeCell ref="D839:D842"/>
    <mergeCell ref="E839:E842"/>
    <mergeCell ref="F839:F842"/>
    <mergeCell ref="G839:G842"/>
    <mergeCell ref="H839:H842"/>
    <mergeCell ref="I839:I842"/>
    <mergeCell ref="J839:J842"/>
    <mergeCell ref="D835:D838"/>
    <mergeCell ref="E835:E838"/>
    <mergeCell ref="F835:F838"/>
    <mergeCell ref="G835:G838"/>
    <mergeCell ref="H835:H838"/>
    <mergeCell ref="I835:I838"/>
    <mergeCell ref="L827:L830"/>
    <mergeCell ref="D831:D834"/>
    <mergeCell ref="E831:E834"/>
    <mergeCell ref="F831:F834"/>
    <mergeCell ref="G831:G834"/>
    <mergeCell ref="H831:H834"/>
    <mergeCell ref="I831:I834"/>
    <mergeCell ref="J831:J834"/>
    <mergeCell ref="K831:K834"/>
    <mergeCell ref="L831:L834"/>
    <mergeCell ref="L850:L851"/>
    <mergeCell ref="D853:D854"/>
    <mergeCell ref="E853:E854"/>
    <mergeCell ref="F853:F854"/>
    <mergeCell ref="G853:G854"/>
    <mergeCell ref="H853:H854"/>
    <mergeCell ref="I853:I854"/>
    <mergeCell ref="J853:J854"/>
    <mergeCell ref="K853:K854"/>
    <mergeCell ref="L853:L854"/>
    <mergeCell ref="K839:K842"/>
    <mergeCell ref="L839:L842"/>
    <mergeCell ref="D850:D851"/>
    <mergeCell ref="E850:E851"/>
    <mergeCell ref="F850:F851"/>
    <mergeCell ref="G850:G851"/>
    <mergeCell ref="H850:H851"/>
    <mergeCell ref="I850:I851"/>
    <mergeCell ref="J850:J851"/>
    <mergeCell ref="K850:K851"/>
    <mergeCell ref="K868:K869"/>
    <mergeCell ref="L868:L869"/>
    <mergeCell ref="D871:D872"/>
    <mergeCell ref="E871:E872"/>
    <mergeCell ref="F871:F872"/>
    <mergeCell ref="G871:G872"/>
    <mergeCell ref="H871:H872"/>
    <mergeCell ref="I871:I872"/>
    <mergeCell ref="J871:J872"/>
    <mergeCell ref="K871:K872"/>
    <mergeCell ref="J863:J864"/>
    <mergeCell ref="K863:K864"/>
    <mergeCell ref="L863:L864"/>
    <mergeCell ref="D868:D869"/>
    <mergeCell ref="E868:E869"/>
    <mergeCell ref="F868:F869"/>
    <mergeCell ref="G868:G869"/>
    <mergeCell ref="H868:H869"/>
    <mergeCell ref="I868:I869"/>
    <mergeCell ref="J868:J869"/>
    <mergeCell ref="D863:D864"/>
    <mergeCell ref="E863:E864"/>
    <mergeCell ref="F863:F864"/>
    <mergeCell ref="G863:G864"/>
    <mergeCell ref="H863:H864"/>
    <mergeCell ref="I863:I864"/>
    <mergeCell ref="J875:J876"/>
    <mergeCell ref="K875:K876"/>
    <mergeCell ref="L875:L876"/>
    <mergeCell ref="D877:D878"/>
    <mergeCell ref="E877:E878"/>
    <mergeCell ref="F877:F878"/>
    <mergeCell ref="G877:G878"/>
    <mergeCell ref="H877:H878"/>
    <mergeCell ref="I877:I878"/>
    <mergeCell ref="J877:J878"/>
    <mergeCell ref="D875:D876"/>
    <mergeCell ref="E875:E876"/>
    <mergeCell ref="F875:F876"/>
    <mergeCell ref="G875:G876"/>
    <mergeCell ref="H875:H876"/>
    <mergeCell ref="I875:I876"/>
    <mergeCell ref="L871:L872"/>
    <mergeCell ref="D873:D874"/>
    <mergeCell ref="E873:E874"/>
    <mergeCell ref="F873:F874"/>
    <mergeCell ref="G873:G874"/>
    <mergeCell ref="H873:H874"/>
    <mergeCell ref="I873:I874"/>
    <mergeCell ref="J873:J874"/>
    <mergeCell ref="K873:K874"/>
    <mergeCell ref="L873:L874"/>
    <mergeCell ref="L879:L880"/>
    <mergeCell ref="D881:D882"/>
    <mergeCell ref="E881:E882"/>
    <mergeCell ref="F881:F882"/>
    <mergeCell ref="G881:G882"/>
    <mergeCell ref="H881:H882"/>
    <mergeCell ref="I881:I882"/>
    <mergeCell ref="J881:J882"/>
    <mergeCell ref="K881:K882"/>
    <mergeCell ref="L881:L882"/>
    <mergeCell ref="K877:K878"/>
    <mergeCell ref="L877:L878"/>
    <mergeCell ref="D879:D880"/>
    <mergeCell ref="E879:E880"/>
    <mergeCell ref="F879:F880"/>
    <mergeCell ref="G879:G880"/>
    <mergeCell ref="H879:H880"/>
    <mergeCell ref="I879:I880"/>
    <mergeCell ref="J879:J880"/>
    <mergeCell ref="K879:K880"/>
    <mergeCell ref="K885:K886"/>
    <mergeCell ref="L885:L886"/>
    <mergeCell ref="D887:D888"/>
    <mergeCell ref="E887:E888"/>
    <mergeCell ref="F887:F888"/>
    <mergeCell ref="G887:G888"/>
    <mergeCell ref="H887:H888"/>
    <mergeCell ref="I887:I888"/>
    <mergeCell ref="J887:J888"/>
    <mergeCell ref="K887:K888"/>
    <mergeCell ref="J883:J884"/>
    <mergeCell ref="K883:K884"/>
    <mergeCell ref="L883:L884"/>
    <mergeCell ref="D885:D886"/>
    <mergeCell ref="E885:E886"/>
    <mergeCell ref="F885:F886"/>
    <mergeCell ref="G885:G886"/>
    <mergeCell ref="H885:H886"/>
    <mergeCell ref="I885:I886"/>
    <mergeCell ref="J885:J886"/>
    <mergeCell ref="D883:D884"/>
    <mergeCell ref="E883:E884"/>
    <mergeCell ref="F883:F884"/>
    <mergeCell ref="G883:G884"/>
    <mergeCell ref="H883:H884"/>
    <mergeCell ref="I883:I884"/>
    <mergeCell ref="J899:J900"/>
    <mergeCell ref="K899:K900"/>
    <mergeCell ref="L899:L900"/>
    <mergeCell ref="D922:D925"/>
    <mergeCell ref="E922:E925"/>
    <mergeCell ref="F922:F925"/>
    <mergeCell ref="G922:G925"/>
    <mergeCell ref="H922:H925"/>
    <mergeCell ref="I922:I925"/>
    <mergeCell ref="J922:J925"/>
    <mergeCell ref="D899:D900"/>
    <mergeCell ref="E899:E900"/>
    <mergeCell ref="F899:F900"/>
    <mergeCell ref="G899:G900"/>
    <mergeCell ref="H899:H900"/>
    <mergeCell ref="I899:I900"/>
    <mergeCell ref="L887:L888"/>
    <mergeCell ref="D891:D892"/>
    <mergeCell ref="E891:E892"/>
    <mergeCell ref="F891:F892"/>
    <mergeCell ref="G891:G892"/>
    <mergeCell ref="H891:H892"/>
    <mergeCell ref="I891:I892"/>
    <mergeCell ref="J891:J892"/>
    <mergeCell ref="K891:K892"/>
    <mergeCell ref="L891:L892"/>
    <mergeCell ref="L926:L929"/>
    <mergeCell ref="D930:D933"/>
    <mergeCell ref="E930:E933"/>
    <mergeCell ref="F930:F933"/>
    <mergeCell ref="G930:G933"/>
    <mergeCell ref="H930:H933"/>
    <mergeCell ref="I930:I933"/>
    <mergeCell ref="J930:J933"/>
    <mergeCell ref="K930:K933"/>
    <mergeCell ref="L930:L933"/>
    <mergeCell ref="K922:K925"/>
    <mergeCell ref="L922:L925"/>
    <mergeCell ref="D926:D929"/>
    <mergeCell ref="E926:E929"/>
    <mergeCell ref="F926:F929"/>
    <mergeCell ref="G926:G929"/>
    <mergeCell ref="H926:H929"/>
    <mergeCell ref="I926:I929"/>
    <mergeCell ref="J926:J929"/>
    <mergeCell ref="K926:K929"/>
    <mergeCell ref="K954:K956"/>
    <mergeCell ref="L954:L956"/>
    <mergeCell ref="D959:D961"/>
    <mergeCell ref="E959:E961"/>
    <mergeCell ref="F959:F961"/>
    <mergeCell ref="G959:G961"/>
    <mergeCell ref="H959:H961"/>
    <mergeCell ref="I959:I961"/>
    <mergeCell ref="J959:J961"/>
    <mergeCell ref="K959:K961"/>
    <mergeCell ref="J934:J937"/>
    <mergeCell ref="K934:K937"/>
    <mergeCell ref="L934:L937"/>
    <mergeCell ref="D954:D956"/>
    <mergeCell ref="E954:E956"/>
    <mergeCell ref="F954:F956"/>
    <mergeCell ref="G954:G956"/>
    <mergeCell ref="H954:H956"/>
    <mergeCell ref="I954:I956"/>
    <mergeCell ref="J954:J956"/>
    <mergeCell ref="D934:D937"/>
    <mergeCell ref="E934:E937"/>
    <mergeCell ref="F934:F937"/>
    <mergeCell ref="G934:G937"/>
    <mergeCell ref="H934:H937"/>
    <mergeCell ref="I934:I937"/>
    <mergeCell ref="J972:J974"/>
    <mergeCell ref="K972:K974"/>
    <mergeCell ref="L972:L974"/>
    <mergeCell ref="D1064:D1066"/>
    <mergeCell ref="E1064:E1066"/>
    <mergeCell ref="F1064:F1066"/>
    <mergeCell ref="G1064:G1066"/>
    <mergeCell ref="H1064:H1066"/>
    <mergeCell ref="I1064:I1066"/>
    <mergeCell ref="J1064:J1066"/>
    <mergeCell ref="D972:D974"/>
    <mergeCell ref="E972:E974"/>
    <mergeCell ref="F972:F974"/>
    <mergeCell ref="G972:G974"/>
    <mergeCell ref="H972:H974"/>
    <mergeCell ref="I972:I974"/>
    <mergeCell ref="L959:L961"/>
    <mergeCell ref="D968:D970"/>
    <mergeCell ref="E968:E970"/>
    <mergeCell ref="F968:F970"/>
    <mergeCell ref="G968:G970"/>
    <mergeCell ref="H968:H970"/>
    <mergeCell ref="I968:I970"/>
    <mergeCell ref="J968:J970"/>
    <mergeCell ref="K968:K970"/>
    <mergeCell ref="L968:L970"/>
    <mergeCell ref="L1069:L1073"/>
    <mergeCell ref="D1075:D1079"/>
    <mergeCell ref="E1075:E1079"/>
    <mergeCell ref="F1075:F1079"/>
    <mergeCell ref="G1075:G1079"/>
    <mergeCell ref="H1075:H1079"/>
    <mergeCell ref="I1075:I1079"/>
    <mergeCell ref="J1075:J1079"/>
    <mergeCell ref="K1075:K1079"/>
    <mergeCell ref="L1075:L1079"/>
    <mergeCell ref="K1064:K1066"/>
    <mergeCell ref="L1064:L1066"/>
    <mergeCell ref="D1069:D1073"/>
    <mergeCell ref="E1069:E1073"/>
    <mergeCell ref="F1069:F1073"/>
    <mergeCell ref="G1069:G1073"/>
    <mergeCell ref="H1069:H1073"/>
    <mergeCell ref="I1069:I1073"/>
    <mergeCell ref="J1069:J1073"/>
    <mergeCell ref="K1069:K107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DFCF-6CEE-344F-BA97-084F6AA10731}">
  <dimension ref="A1:J60"/>
  <sheetViews>
    <sheetView zoomScale="85" zoomScaleNormal="85" workbookViewId="0">
      <selection activeCell="H75" sqref="H75"/>
    </sheetView>
  </sheetViews>
  <sheetFormatPr baseColWidth="10" defaultColWidth="8.83203125" defaultRowHeight="15" x14ac:dyDescent="0.2"/>
  <cols>
    <col min="1" max="1" width="61.33203125" style="777" bestFit="1" customWidth="1"/>
    <col min="2" max="2" width="25.1640625" style="779" bestFit="1" customWidth="1"/>
    <col min="3" max="3" width="25.83203125" style="779" bestFit="1" customWidth="1"/>
    <col min="4" max="4" width="26.6640625" style="779" bestFit="1" customWidth="1"/>
    <col min="5" max="5" width="3.33203125" style="777" bestFit="1" customWidth="1"/>
    <col min="6" max="6" width="51.83203125" style="777" bestFit="1" customWidth="1"/>
    <col min="7" max="7" width="19.1640625" style="780" bestFit="1" customWidth="1"/>
    <col min="8" max="8" width="27.5" style="780" customWidth="1"/>
    <col min="9" max="10" width="24.6640625" style="780" bestFit="1" customWidth="1"/>
    <col min="11" max="11" width="13.33203125" style="777" bestFit="1" customWidth="1"/>
    <col min="12" max="16384" width="8.83203125" style="777"/>
  </cols>
  <sheetData>
    <row r="1" spans="1:10" x14ac:dyDescent="0.2">
      <c r="A1" s="818" t="s">
        <v>4227</v>
      </c>
    </row>
    <row r="2" spans="1:10" x14ac:dyDescent="0.2">
      <c r="A2" s="777" t="s">
        <v>3508</v>
      </c>
      <c r="B2" s="779" t="s">
        <v>4228</v>
      </c>
      <c r="C2" s="779" t="s">
        <v>4229</v>
      </c>
      <c r="D2" s="779" t="s">
        <v>4230</v>
      </c>
      <c r="F2" s="886" t="s">
        <v>4231</v>
      </c>
      <c r="G2" s="887" t="s">
        <v>4232</v>
      </c>
      <c r="H2" s="887" t="s">
        <v>4233</v>
      </c>
      <c r="I2" s="887" t="s">
        <v>4234</v>
      </c>
      <c r="J2" s="887" t="s">
        <v>4235</v>
      </c>
    </row>
    <row r="3" spans="1:10" x14ac:dyDescent="0.2">
      <c r="A3" s="781" t="s">
        <v>1743</v>
      </c>
      <c r="B3" s="779">
        <v>105</v>
      </c>
      <c r="C3" s="779">
        <v>99</v>
      </c>
      <c r="D3" s="779">
        <v>5</v>
      </c>
      <c r="F3" s="781" t="s">
        <v>1743</v>
      </c>
      <c r="G3" s="780">
        <f>_xlfn.XLOOKUP(F3,'[3]Prieskum trhu TOP kurzy zdroj3'!$A:$A,'[3]Prieskum trhu TOP kurzy zdroj3'!$Q:$Q,"???")</f>
        <v>183.81207317073171</v>
      </c>
      <c r="H3" s="780">
        <f t="shared" ref="H3:H57" si="0">B3*G3</f>
        <v>19300.267682926828</v>
      </c>
      <c r="I3" s="780">
        <f t="shared" ref="I3:I57" si="1">C3*G3</f>
        <v>18197.39524390244</v>
      </c>
      <c r="J3" s="780">
        <f t="shared" ref="J3:J57" si="2">D3*G3</f>
        <v>919.0603658536586</v>
      </c>
    </row>
    <row r="4" spans="1:10" x14ac:dyDescent="0.2">
      <c r="A4" s="781" t="s">
        <v>1744</v>
      </c>
      <c r="B4" s="779">
        <v>5</v>
      </c>
      <c r="C4" s="779">
        <v>4</v>
      </c>
      <c r="D4" s="779">
        <v>2</v>
      </c>
      <c r="F4" s="782" t="s">
        <v>1744</v>
      </c>
      <c r="G4" s="780">
        <f>_xlfn.XLOOKUP(F4,'[3]Prieskum trhu TOP kurzy zdroj3'!$A:$A,'[3]Prieskum trhu TOP kurzy zdroj3'!$Q:$Q,"???")</f>
        <v>183.81207317073171</v>
      </c>
      <c r="H4" s="780">
        <f t="shared" si="0"/>
        <v>919.0603658536586</v>
      </c>
      <c r="I4" s="780">
        <f t="shared" si="1"/>
        <v>735.24829268292683</v>
      </c>
      <c r="J4" s="780">
        <f t="shared" si="2"/>
        <v>367.62414634146342</v>
      </c>
    </row>
    <row r="5" spans="1:10" x14ac:dyDescent="0.2">
      <c r="A5" s="781" t="s">
        <v>1746</v>
      </c>
      <c r="B5" s="779">
        <v>1</v>
      </c>
      <c r="C5" s="779">
        <v>0</v>
      </c>
      <c r="D5" s="779">
        <v>0</v>
      </c>
      <c r="F5" s="773" t="s">
        <v>1746</v>
      </c>
      <c r="G5" s="780">
        <f>_xlfn.XLOOKUP(F5,'[3]Prieskum trhu TOP kurzy zdroj3'!$A:$A,'[3]Prieskum trhu TOP kurzy zdroj3'!$Q:$Q,"???")</f>
        <v>183.81207317073171</v>
      </c>
      <c r="H5" s="780">
        <f t="shared" si="0"/>
        <v>183.81207317073171</v>
      </c>
      <c r="I5" s="780">
        <f t="shared" si="1"/>
        <v>0</v>
      </c>
      <c r="J5" s="780">
        <f t="shared" si="2"/>
        <v>0</v>
      </c>
    </row>
    <row r="6" spans="1:10" x14ac:dyDescent="0.2">
      <c r="A6" s="781" t="s">
        <v>1747</v>
      </c>
      <c r="B6" s="779">
        <v>1</v>
      </c>
      <c r="C6" s="779">
        <v>1</v>
      </c>
      <c r="D6" s="779">
        <v>1</v>
      </c>
      <c r="F6" s="773" t="s">
        <v>1747</v>
      </c>
      <c r="G6" s="780">
        <f>_xlfn.XLOOKUP(F6,'[3]Prieskum trhu TOP kurzy zdroj3'!$A:$A,'[3]Prieskum trhu TOP kurzy zdroj3'!$Q:$Q,"???")</f>
        <v>183.81207317073171</v>
      </c>
      <c r="H6" s="780">
        <f t="shared" si="0"/>
        <v>183.81207317073171</v>
      </c>
      <c r="I6" s="780">
        <f t="shared" si="1"/>
        <v>183.81207317073171</v>
      </c>
      <c r="J6" s="780">
        <f t="shared" si="2"/>
        <v>183.81207317073171</v>
      </c>
    </row>
    <row r="7" spans="1:10" x14ac:dyDescent="0.2">
      <c r="A7" s="781" t="s">
        <v>1748</v>
      </c>
      <c r="F7" s="773" t="s">
        <v>1747</v>
      </c>
      <c r="G7" s="780">
        <f>_xlfn.XLOOKUP(F7,'[3]Prieskum trhu TOP kurzy zdroj3'!$A:$A,'[3]Prieskum trhu TOP kurzy zdroj3'!$Q:$Q,"???")</f>
        <v>183.81207317073171</v>
      </c>
      <c r="H7" s="780">
        <f t="shared" si="0"/>
        <v>0</v>
      </c>
      <c r="I7" s="780">
        <f t="shared" si="1"/>
        <v>0</v>
      </c>
      <c r="J7" s="780">
        <f t="shared" si="2"/>
        <v>0</v>
      </c>
    </row>
    <row r="8" spans="1:10" x14ac:dyDescent="0.2">
      <c r="A8" s="781" t="s">
        <v>1760</v>
      </c>
      <c r="B8" s="779">
        <v>1065</v>
      </c>
      <c r="C8" s="779">
        <v>968</v>
      </c>
      <c r="D8" s="779">
        <v>424</v>
      </c>
      <c r="F8" s="773" t="s">
        <v>1760</v>
      </c>
      <c r="G8" s="780">
        <f>_xlfn.XLOOKUP(F8,'[3]Prieskum trhu TOP kurzy zdroj3'!$A:$A,'[3]Prieskum trhu TOP kurzy zdroj3'!$Q:$Q,"???")</f>
        <v>1210</v>
      </c>
      <c r="H8" s="780">
        <f t="shared" si="0"/>
        <v>1288650</v>
      </c>
      <c r="I8" s="780">
        <f t="shared" si="1"/>
        <v>1171280</v>
      </c>
      <c r="J8" s="780">
        <f t="shared" si="2"/>
        <v>513040</v>
      </c>
    </row>
    <row r="9" spans="1:10" x14ac:dyDescent="0.2">
      <c r="A9" s="781" t="s">
        <v>1761</v>
      </c>
      <c r="B9" s="779">
        <v>2166</v>
      </c>
      <c r="C9" s="779">
        <v>2047</v>
      </c>
      <c r="D9" s="779">
        <v>617</v>
      </c>
      <c r="F9" s="777" t="s">
        <v>1761</v>
      </c>
      <c r="G9" s="780">
        <f>_xlfn.XLOOKUP(F9,'[3]Prieskum trhu TOP kurzy zdroj3'!$A:$A,'[3]Prieskum trhu TOP kurzy zdroj3'!$Q:$Q,"???")</f>
        <v>520</v>
      </c>
      <c r="H9" s="780">
        <f t="shared" si="0"/>
        <v>1126320</v>
      </c>
      <c r="I9" s="780">
        <f t="shared" si="1"/>
        <v>1064440</v>
      </c>
      <c r="J9" s="780">
        <f t="shared" si="2"/>
        <v>320840</v>
      </c>
    </row>
    <row r="10" spans="1:10" x14ac:dyDescent="0.2">
      <c r="A10" s="781" t="s">
        <v>1762</v>
      </c>
      <c r="B10" s="779">
        <v>1637</v>
      </c>
      <c r="C10" s="779">
        <v>1562</v>
      </c>
      <c r="D10" s="779">
        <v>715</v>
      </c>
      <c r="F10" s="777" t="s">
        <v>1762</v>
      </c>
      <c r="G10" s="780">
        <f>_xlfn.XLOOKUP(F10,'[3]Prieskum trhu TOP kurzy zdroj3'!$A:$A,'[3]Prieskum trhu TOP kurzy zdroj3'!$Q:$Q,"???")</f>
        <v>520</v>
      </c>
      <c r="H10" s="780">
        <f t="shared" si="0"/>
        <v>851240</v>
      </c>
      <c r="I10" s="780">
        <f t="shared" si="1"/>
        <v>812240</v>
      </c>
      <c r="J10" s="780">
        <f t="shared" si="2"/>
        <v>371800</v>
      </c>
    </row>
    <row r="11" spans="1:10" x14ac:dyDescent="0.2">
      <c r="A11" s="781" t="s">
        <v>1858</v>
      </c>
      <c r="B11" s="779">
        <v>218</v>
      </c>
      <c r="C11" s="779">
        <v>187</v>
      </c>
      <c r="D11" s="779">
        <v>165</v>
      </c>
      <c r="F11" s="777" t="s">
        <v>1760</v>
      </c>
      <c r="G11" s="780">
        <f>_xlfn.XLOOKUP(F11,'[3]Prieskum trhu TOP kurzy zdroj3'!$A:$A,'[3]Prieskum trhu TOP kurzy zdroj3'!$Q:$Q,"???")</f>
        <v>1210</v>
      </c>
      <c r="H11" s="780">
        <f t="shared" si="0"/>
        <v>263780</v>
      </c>
      <c r="I11" s="780">
        <f t="shared" si="1"/>
        <v>226270</v>
      </c>
      <c r="J11" s="780">
        <f t="shared" si="2"/>
        <v>199650</v>
      </c>
    </row>
    <row r="12" spans="1:10" x14ac:dyDescent="0.2">
      <c r="A12" s="781" t="s">
        <v>1823</v>
      </c>
      <c r="B12" s="779">
        <v>575</v>
      </c>
      <c r="C12" s="779">
        <v>445</v>
      </c>
      <c r="D12" s="779">
        <v>336</v>
      </c>
      <c r="F12" s="777" t="s">
        <v>1761</v>
      </c>
      <c r="G12" s="780">
        <f>_xlfn.XLOOKUP(F12,'[3]Prieskum trhu TOP kurzy zdroj3'!$A:$A,'[3]Prieskum trhu TOP kurzy zdroj3'!$Q:$Q,"???")</f>
        <v>520</v>
      </c>
      <c r="H12" s="780">
        <f t="shared" si="0"/>
        <v>299000</v>
      </c>
      <c r="I12" s="780">
        <f t="shared" si="1"/>
        <v>231400</v>
      </c>
      <c r="J12" s="780">
        <f t="shared" si="2"/>
        <v>174720</v>
      </c>
    </row>
    <row r="13" spans="1:10" x14ac:dyDescent="0.2">
      <c r="A13" s="781" t="s">
        <v>1817</v>
      </c>
      <c r="B13" s="779">
        <v>278</v>
      </c>
      <c r="C13" s="779">
        <v>181</v>
      </c>
      <c r="D13" s="779">
        <v>54</v>
      </c>
      <c r="F13" s="777" t="s">
        <v>1762</v>
      </c>
      <c r="G13" s="780">
        <f>_xlfn.XLOOKUP(F13,'[3]Prieskum trhu TOP kurzy zdroj3'!$A:$A,'[3]Prieskum trhu TOP kurzy zdroj3'!$Q:$Q,"???")</f>
        <v>520</v>
      </c>
      <c r="H13" s="780">
        <f t="shared" si="0"/>
        <v>144560</v>
      </c>
      <c r="I13" s="780">
        <f t="shared" si="1"/>
        <v>94120</v>
      </c>
      <c r="J13" s="780">
        <f t="shared" si="2"/>
        <v>28080</v>
      </c>
    </row>
    <row r="14" spans="1:10" x14ac:dyDescent="0.2">
      <c r="A14" s="781" t="s">
        <v>2048</v>
      </c>
      <c r="B14" s="779">
        <v>33</v>
      </c>
      <c r="C14" s="779">
        <v>32</v>
      </c>
      <c r="D14" s="779">
        <v>11</v>
      </c>
      <c r="F14" s="777" t="s">
        <v>2048</v>
      </c>
      <c r="G14" s="780">
        <f>_xlfn.XLOOKUP(F14,'[3]Prieskum trhu TOP kurzy zdroj3'!$A:$A,'[3]Prieskum trhu TOP kurzy zdroj3'!$Q:$Q,"???")</f>
        <v>520</v>
      </c>
      <c r="H14" s="780">
        <f t="shared" si="0"/>
        <v>17160</v>
      </c>
      <c r="I14" s="780">
        <f t="shared" si="1"/>
        <v>16640</v>
      </c>
      <c r="J14" s="780">
        <f t="shared" si="2"/>
        <v>5720</v>
      </c>
    </row>
    <row r="15" spans="1:10" x14ac:dyDescent="0.2">
      <c r="A15" s="781" t="s">
        <v>1764</v>
      </c>
      <c r="B15" s="779">
        <v>2</v>
      </c>
      <c r="C15" s="779">
        <v>2</v>
      </c>
      <c r="D15" s="779">
        <v>0</v>
      </c>
      <c r="F15" s="777" t="s">
        <v>1764</v>
      </c>
      <c r="G15" s="780">
        <f>_xlfn.XLOOKUP(F15,'[3]Prieskum trhu TOP kurzy zdroj3'!$A:$A,'[3]Prieskum trhu TOP kurzy zdroj3'!$Q:$Q,"???")</f>
        <v>1913</v>
      </c>
      <c r="H15" s="780">
        <f t="shared" si="0"/>
        <v>3826</v>
      </c>
      <c r="I15" s="780">
        <f t="shared" si="1"/>
        <v>3826</v>
      </c>
      <c r="J15" s="780">
        <f t="shared" si="2"/>
        <v>0</v>
      </c>
    </row>
    <row r="16" spans="1:10" x14ac:dyDescent="0.2">
      <c r="A16" s="781" t="s">
        <v>1785</v>
      </c>
      <c r="B16" s="779">
        <v>70</v>
      </c>
      <c r="C16" s="779">
        <v>70</v>
      </c>
      <c r="D16" s="779">
        <v>52</v>
      </c>
      <c r="F16" s="777" t="s">
        <v>1785</v>
      </c>
      <c r="G16" s="780">
        <f>_xlfn.XLOOKUP(F16,'[3]Prieskum trhu TOP kurzy zdroj3'!$A:$A,'[3]Prieskum trhu TOP kurzy zdroj3'!$Q:$Q,"???")</f>
        <v>104.12</v>
      </c>
      <c r="H16" s="780">
        <f t="shared" si="0"/>
        <v>7288.4000000000005</v>
      </c>
      <c r="I16" s="780">
        <f t="shared" si="1"/>
        <v>7288.4000000000005</v>
      </c>
      <c r="J16" s="780">
        <f t="shared" si="2"/>
        <v>5414.24</v>
      </c>
    </row>
    <row r="17" spans="1:10" x14ac:dyDescent="0.2">
      <c r="A17" s="781" t="s">
        <v>1768</v>
      </c>
      <c r="B17" s="779">
        <v>1</v>
      </c>
      <c r="C17" s="779">
        <v>1</v>
      </c>
      <c r="D17" s="779">
        <v>0</v>
      </c>
      <c r="F17" s="777" t="s">
        <v>1768</v>
      </c>
      <c r="G17" s="780">
        <f>_xlfn.XLOOKUP(F17,'[3]Prieskum trhu TOP kurzy zdroj3'!$A:$A,'[3]Prieskum trhu TOP kurzy zdroj3'!$Q:$Q,"???")</f>
        <v>1485.33</v>
      </c>
      <c r="H17" s="780">
        <f t="shared" si="0"/>
        <v>1485.33</v>
      </c>
      <c r="I17" s="780">
        <f t="shared" si="1"/>
        <v>1485.33</v>
      </c>
      <c r="J17" s="780">
        <f t="shared" si="2"/>
        <v>0</v>
      </c>
    </row>
    <row r="18" spans="1:10" x14ac:dyDescent="0.2">
      <c r="A18" s="781" t="s">
        <v>1766</v>
      </c>
      <c r="B18" s="779">
        <v>227</v>
      </c>
      <c r="C18" s="779">
        <v>189</v>
      </c>
      <c r="D18" s="779">
        <v>61</v>
      </c>
      <c r="F18" s="777" t="s">
        <v>1766</v>
      </c>
      <c r="G18" s="780">
        <f>_xlfn.XLOOKUP(F18,'[3]Prieskum trhu TOP kurzy zdroj3'!$A:$A,'[3]Prieskum trhu TOP kurzy zdroj3'!$Q:$Q,"???")</f>
        <v>660</v>
      </c>
      <c r="H18" s="780">
        <f t="shared" si="0"/>
        <v>149820</v>
      </c>
      <c r="I18" s="780">
        <f t="shared" si="1"/>
        <v>124740</v>
      </c>
      <c r="J18" s="780">
        <f t="shared" si="2"/>
        <v>40260</v>
      </c>
    </row>
    <row r="19" spans="1:10" x14ac:dyDescent="0.2">
      <c r="A19" s="781" t="s">
        <v>1769</v>
      </c>
      <c r="B19" s="779">
        <v>143</v>
      </c>
      <c r="C19" s="779">
        <v>141</v>
      </c>
      <c r="D19" s="779">
        <v>87</v>
      </c>
      <c r="F19" s="777" t="s">
        <v>1769</v>
      </c>
      <c r="G19" s="780">
        <f>_xlfn.XLOOKUP(F19,'[3]Prieskum trhu TOP kurzy zdroj3'!$A:$A,'[3]Prieskum trhu TOP kurzy zdroj3'!$Q:$Q,"???")</f>
        <v>1485.33</v>
      </c>
      <c r="H19" s="780">
        <f t="shared" si="0"/>
        <v>212402.19</v>
      </c>
      <c r="I19" s="780">
        <f t="shared" si="1"/>
        <v>209431.53</v>
      </c>
      <c r="J19" s="780">
        <f t="shared" si="2"/>
        <v>129223.70999999999</v>
      </c>
    </row>
    <row r="20" spans="1:10" x14ac:dyDescent="0.2">
      <c r="A20" s="781" t="s">
        <v>2405</v>
      </c>
      <c r="B20" s="779">
        <v>8</v>
      </c>
      <c r="C20" s="779">
        <v>8</v>
      </c>
      <c r="D20" s="779">
        <v>6</v>
      </c>
      <c r="F20" s="777" t="s">
        <v>2405</v>
      </c>
      <c r="G20" s="780">
        <f>_xlfn.XLOOKUP(F20,'[3]Prieskum trhu TOP kurzy zdroj3'!$A:$A,'[3]Prieskum trhu TOP kurzy zdroj3'!$Q:$Q,"???")</f>
        <v>1485.33</v>
      </c>
      <c r="H20" s="780">
        <f t="shared" si="0"/>
        <v>11882.64</v>
      </c>
      <c r="I20" s="780">
        <f t="shared" si="1"/>
        <v>11882.64</v>
      </c>
      <c r="J20" s="780">
        <f t="shared" si="2"/>
        <v>8911.98</v>
      </c>
    </row>
    <row r="21" spans="1:10" x14ac:dyDescent="0.2">
      <c r="A21" s="781" t="s">
        <v>1776</v>
      </c>
      <c r="B21" s="779">
        <v>48</v>
      </c>
      <c r="C21" s="779">
        <v>48</v>
      </c>
      <c r="D21" s="779">
        <v>11</v>
      </c>
      <c r="F21" s="777" t="s">
        <v>1776</v>
      </c>
      <c r="G21" s="780">
        <f>_xlfn.XLOOKUP(F21,'[3]Prieskum trhu TOP kurzy zdroj3'!$A:$A,'[3]Prieskum trhu TOP kurzy zdroj3'!$Q:$Q,"???")</f>
        <v>300</v>
      </c>
      <c r="H21" s="780">
        <f t="shared" si="0"/>
        <v>14400</v>
      </c>
      <c r="I21" s="780">
        <f t="shared" si="1"/>
        <v>14400</v>
      </c>
      <c r="J21" s="780">
        <f t="shared" si="2"/>
        <v>3300</v>
      </c>
    </row>
    <row r="22" spans="1:10" x14ac:dyDescent="0.2">
      <c r="A22" s="781" t="s">
        <v>2635</v>
      </c>
      <c r="B22" s="779">
        <v>71</v>
      </c>
      <c r="C22" s="779">
        <v>68</v>
      </c>
      <c r="D22" s="779">
        <v>50</v>
      </c>
      <c r="F22" s="777" t="s">
        <v>2635</v>
      </c>
      <c r="G22" s="780">
        <f>_xlfn.XLOOKUP(F22,'[3]Prieskum trhu TOP kurzy zdroj3'!$A:$A,'[3]Prieskum trhu TOP kurzy zdroj3'!$Q:$Q,"???")</f>
        <v>300</v>
      </c>
      <c r="H22" s="780">
        <f t="shared" si="0"/>
        <v>21300</v>
      </c>
      <c r="I22" s="780">
        <f t="shared" si="1"/>
        <v>20400</v>
      </c>
      <c r="J22" s="780">
        <f t="shared" si="2"/>
        <v>15000</v>
      </c>
    </row>
    <row r="23" spans="1:10" x14ac:dyDescent="0.2">
      <c r="A23" s="781" t="s">
        <v>1780</v>
      </c>
      <c r="B23" s="779">
        <v>1</v>
      </c>
      <c r="C23" s="779">
        <v>1</v>
      </c>
      <c r="D23" s="779">
        <v>0</v>
      </c>
      <c r="F23" s="777" t="s">
        <v>1780</v>
      </c>
      <c r="G23" s="780">
        <f>_xlfn.XLOOKUP(F23,'[3]Prieskum trhu TOP kurzy zdroj3'!$A:$A,'[3]Prieskum trhu TOP kurzy zdroj3'!$Q:$Q,"???")</f>
        <v>0</v>
      </c>
      <c r="H23" s="780">
        <f t="shared" si="0"/>
        <v>0</v>
      </c>
      <c r="I23" s="780">
        <f t="shared" si="1"/>
        <v>0</v>
      </c>
      <c r="J23" s="780">
        <f t="shared" si="2"/>
        <v>0</v>
      </c>
    </row>
    <row r="24" spans="1:10" x14ac:dyDescent="0.2">
      <c r="A24" s="781" t="s">
        <v>2784</v>
      </c>
      <c r="B24" s="779">
        <v>1</v>
      </c>
      <c r="C24" s="779">
        <v>0</v>
      </c>
      <c r="D24" s="779">
        <v>0</v>
      </c>
      <c r="F24" s="777" t="s">
        <v>2784</v>
      </c>
      <c r="G24" s="780">
        <f>_xlfn.XLOOKUP(F24,'[3]Prieskum trhu TOP kurzy zdroj3'!$A:$A,'[3]Prieskum trhu TOP kurzy zdroj3'!$Q:$Q,"???")</f>
        <v>50</v>
      </c>
      <c r="H24" s="780">
        <f t="shared" si="0"/>
        <v>50</v>
      </c>
      <c r="I24" s="780">
        <f t="shared" si="1"/>
        <v>0</v>
      </c>
      <c r="J24" s="780">
        <f t="shared" si="2"/>
        <v>0</v>
      </c>
    </row>
    <row r="25" spans="1:10" x14ac:dyDescent="0.2">
      <c r="A25" s="781" t="s">
        <v>2438</v>
      </c>
      <c r="B25" s="779">
        <v>25</v>
      </c>
      <c r="C25" s="779">
        <v>24</v>
      </c>
      <c r="D25" s="779">
        <v>5</v>
      </c>
      <c r="F25" s="777" t="s">
        <v>2438</v>
      </c>
      <c r="G25" s="780">
        <f>_xlfn.XLOOKUP(F25,'[3]Prieskum trhu TOP kurzy zdroj3'!$A:$A,'[3]Prieskum trhu TOP kurzy zdroj3'!$Q:$Q,"???")</f>
        <v>0</v>
      </c>
      <c r="H25" s="780">
        <f t="shared" si="0"/>
        <v>0</v>
      </c>
      <c r="I25" s="780">
        <f t="shared" si="1"/>
        <v>0</v>
      </c>
      <c r="J25" s="780">
        <f t="shared" si="2"/>
        <v>0</v>
      </c>
    </row>
    <row r="26" spans="1:10" x14ac:dyDescent="0.2">
      <c r="A26" s="781" t="s">
        <v>1789</v>
      </c>
      <c r="B26" s="779">
        <v>135</v>
      </c>
      <c r="C26" s="779">
        <v>113</v>
      </c>
      <c r="D26" s="779">
        <v>78</v>
      </c>
      <c r="F26" s="777" t="s">
        <v>1789</v>
      </c>
      <c r="G26" s="780">
        <f>_xlfn.XLOOKUP(F26,'[3]Prieskum trhu TOP kurzy zdroj3'!$A:$A,'[3]Prieskum trhu TOP kurzy zdroj3'!$Q:$Q,"???")</f>
        <v>256.25</v>
      </c>
      <c r="H26" s="780">
        <f t="shared" si="0"/>
        <v>34593.75</v>
      </c>
      <c r="I26" s="780">
        <f t="shared" si="1"/>
        <v>28956.25</v>
      </c>
      <c r="J26" s="780">
        <f t="shared" si="2"/>
        <v>19987.5</v>
      </c>
    </row>
    <row r="27" spans="1:10" x14ac:dyDescent="0.2">
      <c r="A27" s="781" t="s">
        <v>1773</v>
      </c>
      <c r="B27" s="779">
        <v>147</v>
      </c>
      <c r="C27" s="779">
        <v>137</v>
      </c>
      <c r="D27" s="779">
        <v>77</v>
      </c>
      <c r="F27" s="777" t="s">
        <v>1773</v>
      </c>
      <c r="G27" s="780">
        <f>_xlfn.XLOOKUP(F27,'[3]Prieskum trhu TOP kurzy zdroj3'!$A:$A,'[3]Prieskum trhu TOP kurzy zdroj3'!$Q:$Q,"???")</f>
        <v>2342.85</v>
      </c>
      <c r="H27" s="780">
        <f t="shared" si="0"/>
        <v>344398.95</v>
      </c>
      <c r="I27" s="780">
        <f t="shared" si="1"/>
        <v>320970.45</v>
      </c>
      <c r="J27" s="780">
        <f t="shared" si="2"/>
        <v>180399.44999999998</v>
      </c>
    </row>
    <row r="28" spans="1:10" x14ac:dyDescent="0.2">
      <c r="A28" s="781" t="s">
        <v>3010</v>
      </c>
      <c r="B28" s="779">
        <v>11</v>
      </c>
      <c r="C28" s="779">
        <v>5</v>
      </c>
      <c r="D28" s="779">
        <v>3</v>
      </c>
      <c r="F28" s="777" t="s">
        <v>3010</v>
      </c>
      <c r="G28" s="780">
        <f>_xlfn.XLOOKUP(F28,'[3]Prieskum trhu TOP kurzy zdroj3'!$A:$A,'[3]Prieskum trhu TOP kurzy zdroj3'!$Q:$Q,"???")</f>
        <v>0</v>
      </c>
      <c r="H28" s="780">
        <f t="shared" si="0"/>
        <v>0</v>
      </c>
      <c r="I28" s="780">
        <f t="shared" si="1"/>
        <v>0</v>
      </c>
      <c r="J28" s="780">
        <f t="shared" si="2"/>
        <v>0</v>
      </c>
    </row>
    <row r="29" spans="1:10" x14ac:dyDescent="0.2">
      <c r="A29" s="781" t="s">
        <v>1889</v>
      </c>
      <c r="B29" s="779">
        <v>53</v>
      </c>
      <c r="C29" s="779">
        <v>26</v>
      </c>
      <c r="D29" s="779">
        <v>16</v>
      </c>
      <c r="F29" s="777" t="s">
        <v>1889</v>
      </c>
      <c r="G29" s="780">
        <f>_xlfn.XLOOKUP(F29,'[3]Prieskum trhu TOP kurzy zdroj3'!$A:$A,'[3]Prieskum trhu TOP kurzy zdroj3'!$Q:$Q,"???")</f>
        <v>0</v>
      </c>
      <c r="H29" s="780">
        <f t="shared" si="0"/>
        <v>0</v>
      </c>
      <c r="I29" s="780">
        <f t="shared" si="1"/>
        <v>0</v>
      </c>
      <c r="J29" s="780">
        <f t="shared" si="2"/>
        <v>0</v>
      </c>
    </row>
    <row r="30" spans="1:10" x14ac:dyDescent="0.2">
      <c r="A30" s="781" t="s">
        <v>2429</v>
      </c>
      <c r="B30" s="779">
        <v>4</v>
      </c>
      <c r="C30" s="779">
        <v>3</v>
      </c>
      <c r="D30" s="779">
        <v>0</v>
      </c>
      <c r="F30" s="777" t="s">
        <v>2429</v>
      </c>
      <c r="G30" s="780">
        <f>_xlfn.XLOOKUP(F30,'[3]Prieskum trhu TOP kurzy zdroj3'!$A:$A,'[3]Prieskum trhu TOP kurzy zdroj3'!$Q:$Q,"???")</f>
        <v>0</v>
      </c>
      <c r="H30" s="780">
        <f t="shared" si="0"/>
        <v>0</v>
      </c>
      <c r="I30" s="780">
        <f t="shared" si="1"/>
        <v>0</v>
      </c>
      <c r="J30" s="780">
        <f t="shared" si="2"/>
        <v>0</v>
      </c>
    </row>
    <row r="31" spans="1:10" x14ac:dyDescent="0.2">
      <c r="A31" s="781" t="s">
        <v>1778</v>
      </c>
      <c r="B31" s="779">
        <v>374</v>
      </c>
      <c r="C31" s="779">
        <v>353</v>
      </c>
      <c r="D31" s="779">
        <v>278</v>
      </c>
      <c r="F31" s="777" t="s">
        <v>1778</v>
      </c>
      <c r="G31" s="780">
        <f>_xlfn.XLOOKUP(F31,'[3]Prieskum trhu TOP kurzy zdroj3'!$A:$A,'[3]Prieskum trhu TOP kurzy zdroj3'!$Q:$Q,"???")</f>
        <v>390</v>
      </c>
      <c r="H31" s="780">
        <f t="shared" si="0"/>
        <v>145860</v>
      </c>
      <c r="I31" s="780">
        <f t="shared" si="1"/>
        <v>137670</v>
      </c>
      <c r="J31" s="780">
        <f t="shared" si="2"/>
        <v>108420</v>
      </c>
    </row>
    <row r="32" spans="1:10" x14ac:dyDescent="0.2">
      <c r="A32" s="781" t="s">
        <v>1783</v>
      </c>
      <c r="B32" s="779">
        <v>84</v>
      </c>
      <c r="C32" s="779">
        <v>80</v>
      </c>
      <c r="D32" s="779">
        <v>1</v>
      </c>
      <c r="F32" s="777" t="s">
        <v>1783</v>
      </c>
      <c r="G32" s="780">
        <f>_xlfn.XLOOKUP(F32,'[3]Prieskum trhu TOP kurzy zdroj3'!$A:$A,'[3]Prieskum trhu TOP kurzy zdroj3'!$Q:$Q,"???")</f>
        <v>0</v>
      </c>
      <c r="H32" s="780">
        <f t="shared" si="0"/>
        <v>0</v>
      </c>
      <c r="I32" s="780">
        <f t="shared" si="1"/>
        <v>0</v>
      </c>
      <c r="J32" s="780">
        <f t="shared" si="2"/>
        <v>0</v>
      </c>
    </row>
    <row r="33" spans="1:10" x14ac:dyDescent="0.2">
      <c r="A33" s="781" t="s">
        <v>1749</v>
      </c>
      <c r="B33" s="779">
        <v>339</v>
      </c>
      <c r="C33" s="779">
        <v>328</v>
      </c>
      <c r="D33" s="779">
        <v>196</v>
      </c>
      <c r="F33" s="777" t="s">
        <v>1749</v>
      </c>
      <c r="G33" s="780">
        <f>_xlfn.XLOOKUP(F33,'[3]Prieskum trhu TOP kurzy zdroj3'!$A:$A,'[3]Prieskum trhu TOP kurzy zdroj3'!$Q:$Q,"???")</f>
        <v>296.94715447154471</v>
      </c>
      <c r="H33" s="780">
        <f t="shared" si="0"/>
        <v>100665.08536585365</v>
      </c>
      <c r="I33" s="780">
        <f t="shared" si="1"/>
        <v>97398.666666666657</v>
      </c>
      <c r="J33" s="780">
        <f t="shared" si="2"/>
        <v>58201.642276422761</v>
      </c>
    </row>
    <row r="34" spans="1:10" x14ac:dyDescent="0.2">
      <c r="A34" s="781" t="s">
        <v>1750</v>
      </c>
      <c r="B34" s="779">
        <v>197</v>
      </c>
      <c r="C34" s="779">
        <v>180</v>
      </c>
      <c r="D34" s="779">
        <v>145</v>
      </c>
      <c r="F34" s="777" t="s">
        <v>1750</v>
      </c>
      <c r="G34" s="780">
        <f>_xlfn.XLOOKUP(F34,'[3]Prieskum trhu TOP kurzy zdroj3'!$A:$A,'[3]Prieskum trhu TOP kurzy zdroj3'!$Q:$Q,"???")</f>
        <v>296.94715447154471</v>
      </c>
      <c r="H34" s="780">
        <f t="shared" si="0"/>
        <v>58498.58943089431</v>
      </c>
      <c r="I34" s="780">
        <f t="shared" si="1"/>
        <v>53450.487804878045</v>
      </c>
      <c r="J34" s="780">
        <f t="shared" si="2"/>
        <v>43057.33739837398</v>
      </c>
    </row>
    <row r="35" spans="1:10" x14ac:dyDescent="0.2">
      <c r="A35" s="781" t="s">
        <v>1813</v>
      </c>
      <c r="B35" s="779">
        <v>7</v>
      </c>
      <c r="C35" s="779">
        <v>4</v>
      </c>
      <c r="D35" s="779">
        <v>0</v>
      </c>
      <c r="F35" s="777" t="s">
        <v>1813</v>
      </c>
      <c r="G35" s="780">
        <f>_xlfn.XLOOKUP(F35,'[3]Prieskum trhu TOP kurzy zdroj3'!$A:$A,'[3]Prieskum trhu TOP kurzy zdroj3'!$Q:$Q,"???")</f>
        <v>0</v>
      </c>
      <c r="H35" s="780">
        <f t="shared" si="0"/>
        <v>0</v>
      </c>
      <c r="I35" s="780">
        <f t="shared" si="1"/>
        <v>0</v>
      </c>
      <c r="J35" s="780">
        <f t="shared" si="2"/>
        <v>0</v>
      </c>
    </row>
    <row r="36" spans="1:10" x14ac:dyDescent="0.2">
      <c r="A36" s="781" t="s">
        <v>1753</v>
      </c>
      <c r="B36" s="779">
        <v>1</v>
      </c>
      <c r="C36" s="779">
        <v>0</v>
      </c>
      <c r="D36" s="779">
        <v>0</v>
      </c>
      <c r="F36" s="777" t="s">
        <v>1753</v>
      </c>
      <c r="G36" s="780">
        <f>_xlfn.XLOOKUP(F36,'[3]Prieskum trhu TOP kurzy zdroj3'!$A:$A,'[3]Prieskum trhu TOP kurzy zdroj3'!$Q:$Q,"???")</f>
        <v>307.66333333333336</v>
      </c>
      <c r="H36" s="780">
        <f t="shared" si="0"/>
        <v>307.66333333333336</v>
      </c>
      <c r="I36" s="780">
        <f t="shared" si="1"/>
        <v>0</v>
      </c>
      <c r="J36" s="780">
        <f t="shared" si="2"/>
        <v>0</v>
      </c>
    </row>
    <row r="37" spans="1:10" x14ac:dyDescent="0.2">
      <c r="A37" s="781" t="s">
        <v>2038</v>
      </c>
      <c r="F37" s="777" t="s">
        <v>1753</v>
      </c>
      <c r="G37" s="780">
        <f>_xlfn.XLOOKUP(F37,'[3]Prieskum trhu TOP kurzy zdroj3'!$A:$A,'[3]Prieskum trhu TOP kurzy zdroj3'!$Q:$Q,"???")</f>
        <v>307.66333333333336</v>
      </c>
      <c r="H37" s="780">
        <f t="shared" si="0"/>
        <v>0</v>
      </c>
      <c r="I37" s="780">
        <f t="shared" si="1"/>
        <v>0</v>
      </c>
      <c r="J37" s="780">
        <f t="shared" si="2"/>
        <v>0</v>
      </c>
    </row>
    <row r="38" spans="1:10" x14ac:dyDescent="0.2">
      <c r="A38" s="781" t="s">
        <v>1754</v>
      </c>
      <c r="B38" s="779">
        <v>97</v>
      </c>
      <c r="C38" s="779">
        <v>64</v>
      </c>
      <c r="D38" s="779">
        <v>47</v>
      </c>
      <c r="F38" s="777" t="s">
        <v>1754</v>
      </c>
      <c r="G38" s="780">
        <f>_xlfn.XLOOKUP(F38,'[3]Prieskum trhu TOP kurzy zdroj3'!$A:$A,'[3]Prieskum trhu TOP kurzy zdroj3'!$Q:$Q,"???")</f>
        <v>307.66333333333336</v>
      </c>
      <c r="H38" s="780">
        <f t="shared" si="0"/>
        <v>29843.343333333334</v>
      </c>
      <c r="I38" s="780">
        <f t="shared" si="1"/>
        <v>19690.453333333335</v>
      </c>
      <c r="J38" s="780">
        <f t="shared" si="2"/>
        <v>14460.176666666668</v>
      </c>
    </row>
    <row r="39" spans="1:10" x14ac:dyDescent="0.2">
      <c r="A39" s="781" t="s">
        <v>2980</v>
      </c>
      <c r="B39" s="779">
        <v>24</v>
      </c>
      <c r="C39" s="779">
        <v>23</v>
      </c>
      <c r="D39" s="779">
        <v>4</v>
      </c>
      <c r="F39" s="777" t="s">
        <v>2980</v>
      </c>
      <c r="G39" s="780">
        <f>_xlfn.XLOOKUP(F39,'[3]Prieskum trhu TOP kurzy zdroj3'!$A:$A,'[3]Prieskum trhu TOP kurzy zdroj3'!$Q:$Q,"???")</f>
        <v>0</v>
      </c>
      <c r="H39" s="780">
        <f t="shared" si="0"/>
        <v>0</v>
      </c>
      <c r="I39" s="780">
        <f t="shared" si="1"/>
        <v>0</v>
      </c>
      <c r="J39" s="780">
        <f t="shared" si="2"/>
        <v>0</v>
      </c>
    </row>
    <row r="40" spans="1:10" x14ac:dyDescent="0.2">
      <c r="A40" s="781" t="s">
        <v>1774</v>
      </c>
      <c r="B40" s="779">
        <v>109</v>
      </c>
      <c r="C40" s="779">
        <v>108</v>
      </c>
      <c r="D40" s="779">
        <v>51</v>
      </c>
      <c r="F40" s="777" t="s">
        <v>1774</v>
      </c>
      <c r="G40" s="780">
        <f>_xlfn.XLOOKUP(F40,'[3]Prieskum trhu TOP kurzy zdroj3'!$A:$A,'[3]Prieskum trhu TOP kurzy zdroj3'!$Q:$Q,"???")</f>
        <v>276.995</v>
      </c>
      <c r="H40" s="780">
        <f t="shared" si="0"/>
        <v>30192.455000000002</v>
      </c>
      <c r="I40" s="780">
        <f t="shared" si="1"/>
        <v>29915.46</v>
      </c>
      <c r="J40" s="780">
        <f t="shared" si="2"/>
        <v>14126.745000000001</v>
      </c>
    </row>
    <row r="41" spans="1:10" x14ac:dyDescent="0.2">
      <c r="A41" s="781" t="s">
        <v>2875</v>
      </c>
      <c r="B41" s="779">
        <v>13</v>
      </c>
      <c r="C41" s="779">
        <v>12</v>
      </c>
      <c r="D41" s="779">
        <v>0</v>
      </c>
      <c r="F41" s="777" t="s">
        <v>2875</v>
      </c>
      <c r="G41" s="780">
        <f>_xlfn.XLOOKUP(F41,'[3]Prieskum trhu TOP kurzy zdroj3'!$A:$A,'[3]Prieskum trhu TOP kurzy zdroj3'!$Q:$Q,"???")</f>
        <v>276.995</v>
      </c>
      <c r="H41" s="780">
        <f t="shared" si="0"/>
        <v>3600.9349999999999</v>
      </c>
      <c r="I41" s="780">
        <f t="shared" si="1"/>
        <v>3323.94</v>
      </c>
      <c r="J41" s="780">
        <f t="shared" si="2"/>
        <v>0</v>
      </c>
    </row>
    <row r="42" spans="1:10" x14ac:dyDescent="0.2">
      <c r="A42" s="781" t="s">
        <v>1771</v>
      </c>
      <c r="B42" s="779">
        <v>138</v>
      </c>
      <c r="C42" s="779">
        <v>129</v>
      </c>
      <c r="D42" s="779">
        <v>30</v>
      </c>
      <c r="F42" s="777" t="s">
        <v>1771</v>
      </c>
      <c r="G42" s="780">
        <f>_xlfn.XLOOKUP(F42,'[3]Prieskum trhu TOP kurzy zdroj3'!$A:$A,'[3]Prieskum trhu TOP kurzy zdroj3'!$Q:$Q,"???")</f>
        <v>348.83</v>
      </c>
      <c r="H42" s="780">
        <f t="shared" si="0"/>
        <v>48138.54</v>
      </c>
      <c r="I42" s="780">
        <f t="shared" si="1"/>
        <v>44999.07</v>
      </c>
      <c r="J42" s="780">
        <f t="shared" si="2"/>
        <v>10464.9</v>
      </c>
    </row>
    <row r="43" spans="1:10" x14ac:dyDescent="0.2">
      <c r="A43" s="781" t="s">
        <v>2849</v>
      </c>
      <c r="B43" s="779">
        <v>90</v>
      </c>
      <c r="C43" s="779">
        <v>89</v>
      </c>
      <c r="D43" s="779">
        <v>0</v>
      </c>
      <c r="F43" s="777" t="s">
        <v>2849</v>
      </c>
      <c r="G43" s="780">
        <f>_xlfn.XLOOKUP(F43,'[3]Prieskum trhu TOP kurzy zdroj3'!$A:$A,'[3]Prieskum trhu TOP kurzy zdroj3'!$Q:$Q,"???")</f>
        <v>1672.5</v>
      </c>
      <c r="H43" s="780">
        <f t="shared" si="0"/>
        <v>150525</v>
      </c>
      <c r="I43" s="780">
        <f t="shared" si="1"/>
        <v>148852.5</v>
      </c>
      <c r="J43" s="780">
        <f t="shared" si="2"/>
        <v>0</v>
      </c>
    </row>
    <row r="44" spans="1:10" x14ac:dyDescent="0.2">
      <c r="A44" s="781" t="s">
        <v>1770</v>
      </c>
      <c r="F44" s="777" t="s">
        <v>1771</v>
      </c>
      <c r="G44" s="780">
        <f>_xlfn.XLOOKUP(F44,'[3]Prieskum trhu TOP kurzy zdroj3'!$A:$A,'[3]Prieskum trhu TOP kurzy zdroj3'!$Q:$Q,"???")</f>
        <v>348.83</v>
      </c>
      <c r="H44" s="780">
        <f t="shared" si="0"/>
        <v>0</v>
      </c>
      <c r="I44" s="780">
        <f t="shared" si="1"/>
        <v>0</v>
      </c>
      <c r="J44" s="780">
        <f t="shared" si="2"/>
        <v>0</v>
      </c>
    </row>
    <row r="45" spans="1:10" x14ac:dyDescent="0.2">
      <c r="A45" s="781" t="s">
        <v>1808</v>
      </c>
      <c r="B45" s="779">
        <v>2</v>
      </c>
      <c r="C45" s="779">
        <v>0</v>
      </c>
      <c r="D45" s="779">
        <v>0</v>
      </c>
      <c r="F45" s="777" t="s">
        <v>1771</v>
      </c>
      <c r="G45" s="780">
        <f>_xlfn.XLOOKUP(F45,'[3]Prieskum trhu TOP kurzy zdroj3'!$A:$A,'[3]Prieskum trhu TOP kurzy zdroj3'!$Q:$Q,"???")</f>
        <v>348.83</v>
      </c>
      <c r="H45" s="780">
        <f t="shared" si="0"/>
        <v>697.66</v>
      </c>
      <c r="I45" s="780">
        <f t="shared" si="1"/>
        <v>0</v>
      </c>
      <c r="J45" s="780">
        <f t="shared" si="2"/>
        <v>0</v>
      </c>
    </row>
    <row r="46" spans="1:10" x14ac:dyDescent="0.2">
      <c r="A46" s="781" t="s">
        <v>1786</v>
      </c>
      <c r="B46" s="779">
        <v>42</v>
      </c>
      <c r="C46" s="779">
        <v>36</v>
      </c>
      <c r="D46" s="779">
        <v>0</v>
      </c>
      <c r="F46" s="781" t="s">
        <v>1771</v>
      </c>
      <c r="G46" s="780">
        <f>_xlfn.XLOOKUP(F46,'[3]Prieskum trhu TOP kurzy zdroj3'!$A:$A,'[3]Prieskum trhu TOP kurzy zdroj3'!$Q:$Q,"???")</f>
        <v>348.83</v>
      </c>
      <c r="H46" s="780">
        <f t="shared" si="0"/>
        <v>14650.859999999999</v>
      </c>
      <c r="I46" s="780">
        <f t="shared" si="1"/>
        <v>12557.88</v>
      </c>
      <c r="J46" s="780">
        <f t="shared" si="2"/>
        <v>0</v>
      </c>
    </row>
    <row r="47" spans="1:10" x14ac:dyDescent="0.2">
      <c r="A47" s="781" t="s">
        <v>2248</v>
      </c>
      <c r="B47" s="779">
        <v>16</v>
      </c>
      <c r="C47" s="779">
        <v>14</v>
      </c>
      <c r="D47" s="779">
        <v>0</v>
      </c>
      <c r="F47" s="777" t="s">
        <v>2248</v>
      </c>
      <c r="G47" s="780">
        <f>_xlfn.XLOOKUP(F47,'[3]Prieskum trhu TOP kurzy zdroj3'!$A:$A,'[3]Prieskum trhu TOP kurzy zdroj3'!$Q:$Q,"???")</f>
        <v>183.81207317073171</v>
      </c>
      <c r="H47" s="780">
        <f t="shared" si="0"/>
        <v>2940.9931707317073</v>
      </c>
      <c r="I47" s="780">
        <f t="shared" si="1"/>
        <v>2573.3690243902438</v>
      </c>
      <c r="J47" s="780">
        <f t="shared" si="2"/>
        <v>0</v>
      </c>
    </row>
    <row r="48" spans="1:10" x14ac:dyDescent="0.2">
      <c r="A48" s="781" t="s">
        <v>1955</v>
      </c>
      <c r="F48" s="781" t="s">
        <v>2248</v>
      </c>
      <c r="G48" s="780">
        <f>_xlfn.XLOOKUP(F48,'[3]Prieskum trhu TOP kurzy zdroj3'!$A:$A,'[3]Prieskum trhu TOP kurzy zdroj3'!$Q:$Q,"???")</f>
        <v>183.81207317073171</v>
      </c>
      <c r="H48" s="780">
        <f t="shared" si="0"/>
        <v>0</v>
      </c>
      <c r="I48" s="780">
        <f t="shared" si="1"/>
        <v>0</v>
      </c>
      <c r="J48" s="780">
        <f t="shared" si="2"/>
        <v>0</v>
      </c>
    </row>
    <row r="49" spans="1:10" x14ac:dyDescent="0.2">
      <c r="A49" s="781" t="s">
        <v>2413</v>
      </c>
      <c r="B49" s="779">
        <v>1</v>
      </c>
      <c r="C49" s="779">
        <v>0</v>
      </c>
      <c r="D49" s="779">
        <v>0</v>
      </c>
      <c r="F49" s="777" t="s">
        <v>2413</v>
      </c>
      <c r="G49" s="780">
        <f>_xlfn.XLOOKUP(F49,'[3]Prieskum trhu TOP kurzy zdroj3'!$A:$A,'[3]Prieskum trhu TOP kurzy zdroj3'!$Q:$Q,"???")</f>
        <v>229.99</v>
      </c>
      <c r="H49" s="780">
        <f t="shared" si="0"/>
        <v>229.99</v>
      </c>
      <c r="I49" s="780">
        <f t="shared" si="1"/>
        <v>0</v>
      </c>
      <c r="J49" s="780">
        <f t="shared" si="2"/>
        <v>0</v>
      </c>
    </row>
    <row r="50" spans="1:10" x14ac:dyDescent="0.2">
      <c r="A50" s="781" t="s">
        <v>1964</v>
      </c>
      <c r="B50" s="779">
        <v>314</v>
      </c>
      <c r="C50" s="779">
        <v>280</v>
      </c>
      <c r="D50" s="779">
        <v>231</v>
      </c>
      <c r="F50" s="777" t="s">
        <v>1964</v>
      </c>
      <c r="G50" s="780">
        <f>_xlfn.XLOOKUP(F50,'[3]Prieskum trhu TOP kurzy zdroj3'!$A:$A,'[3]Prieskum trhu TOP kurzy zdroj3'!$Q:$Q,"???")</f>
        <v>307.66333333333336</v>
      </c>
      <c r="H50" s="780">
        <f t="shared" si="0"/>
        <v>96606.286666666667</v>
      </c>
      <c r="I50" s="780">
        <f t="shared" si="1"/>
        <v>86145.733333333337</v>
      </c>
      <c r="J50" s="780">
        <f t="shared" si="2"/>
        <v>71070.23000000001</v>
      </c>
    </row>
    <row r="51" spans="1:10" x14ac:dyDescent="0.2">
      <c r="A51" s="781" t="s">
        <v>1991</v>
      </c>
      <c r="B51" s="779">
        <v>29</v>
      </c>
      <c r="C51" s="779">
        <v>0</v>
      </c>
      <c r="D51" s="779">
        <v>0</v>
      </c>
      <c r="F51" s="777" t="s">
        <v>1991</v>
      </c>
      <c r="G51" s="780">
        <f>_xlfn.XLOOKUP(F51,'[3]Prieskum trhu TOP kurzy zdroj3'!$A:$A,'[3]Prieskum trhu TOP kurzy zdroj3'!$Q:$Q,"???")</f>
        <v>307.66333333333336</v>
      </c>
      <c r="H51" s="780">
        <f t="shared" si="0"/>
        <v>8922.2366666666676</v>
      </c>
      <c r="I51" s="780">
        <f t="shared" si="1"/>
        <v>0</v>
      </c>
      <c r="J51" s="780">
        <f t="shared" si="2"/>
        <v>0</v>
      </c>
    </row>
    <row r="52" spans="1:10" x14ac:dyDescent="0.2">
      <c r="A52" s="781" t="s">
        <v>1972</v>
      </c>
      <c r="B52" s="779">
        <v>29</v>
      </c>
      <c r="C52" s="779">
        <v>0</v>
      </c>
      <c r="D52" s="779">
        <v>0</v>
      </c>
      <c r="F52" s="777" t="s">
        <v>1972</v>
      </c>
      <c r="G52" s="780">
        <f>_xlfn.XLOOKUP(F52,'[3]Prieskum trhu TOP kurzy zdroj3'!$A:$A,'[3]Prieskum trhu TOP kurzy zdroj3'!$Q:$Q,"???")</f>
        <v>307.66333333333336</v>
      </c>
      <c r="H52" s="780">
        <f t="shared" si="0"/>
        <v>8922.2366666666676</v>
      </c>
      <c r="I52" s="780">
        <f t="shared" si="1"/>
        <v>0</v>
      </c>
      <c r="J52" s="780">
        <f t="shared" si="2"/>
        <v>0</v>
      </c>
    </row>
    <row r="53" spans="1:10" x14ac:dyDescent="0.2">
      <c r="A53" s="781" t="s">
        <v>1951</v>
      </c>
      <c r="B53" s="779">
        <v>66</v>
      </c>
      <c r="C53" s="779">
        <v>32</v>
      </c>
      <c r="D53" s="779">
        <v>6</v>
      </c>
      <c r="F53" s="777" t="s">
        <v>1951</v>
      </c>
      <c r="G53" s="780">
        <f>_xlfn.XLOOKUP(F53,'[3]Prieskum trhu TOP kurzy zdroj3'!$A:$A,'[3]Prieskum trhu TOP kurzy zdroj3'!$Q:$Q,"???")</f>
        <v>307.66333333333336</v>
      </c>
      <c r="H53" s="780">
        <f t="shared" si="0"/>
        <v>20305.780000000002</v>
      </c>
      <c r="I53" s="780">
        <f t="shared" si="1"/>
        <v>9845.2266666666674</v>
      </c>
      <c r="J53" s="780">
        <f t="shared" si="2"/>
        <v>1845.98</v>
      </c>
    </row>
    <row r="54" spans="1:10" x14ac:dyDescent="0.2">
      <c r="A54" s="781" t="s">
        <v>1861</v>
      </c>
      <c r="B54" s="779">
        <v>31</v>
      </c>
      <c r="C54" s="779">
        <v>2</v>
      </c>
      <c r="D54" s="779">
        <v>0</v>
      </c>
      <c r="F54" s="777" t="s">
        <v>1861</v>
      </c>
      <c r="G54" s="780">
        <f>_xlfn.XLOOKUP(F54,'[3]Prieskum trhu TOP kurzy zdroj3'!$A:$A,'[3]Prieskum trhu TOP kurzy zdroj3'!$Q:$Q,"???")</f>
        <v>162.19499999999999</v>
      </c>
      <c r="H54" s="780">
        <f t="shared" si="0"/>
        <v>5028.0450000000001</v>
      </c>
      <c r="I54" s="780">
        <f t="shared" si="1"/>
        <v>324.39</v>
      </c>
      <c r="J54" s="780">
        <f t="shared" si="2"/>
        <v>0</v>
      </c>
    </row>
    <row r="55" spans="1:10" x14ac:dyDescent="0.2">
      <c r="A55" s="781" t="s">
        <v>1756</v>
      </c>
      <c r="B55" s="779">
        <v>73</v>
      </c>
      <c r="C55" s="779">
        <v>71</v>
      </c>
      <c r="D55" s="779">
        <v>29</v>
      </c>
      <c r="F55" s="777" t="s">
        <v>1756</v>
      </c>
      <c r="G55" s="780">
        <f>_xlfn.XLOOKUP(F55,'[3]Prieskum trhu TOP kurzy zdroj3'!$A:$A,'[3]Prieskum trhu TOP kurzy zdroj3'!$Q:$Q,"???")</f>
        <v>162.19499999999999</v>
      </c>
      <c r="H55" s="780">
        <f t="shared" si="0"/>
        <v>11840.234999999999</v>
      </c>
      <c r="I55" s="780">
        <f t="shared" si="1"/>
        <v>11515.844999999999</v>
      </c>
      <c r="J55" s="780">
        <f t="shared" si="2"/>
        <v>4703.6549999999997</v>
      </c>
    </row>
    <row r="56" spans="1:10" x14ac:dyDescent="0.2">
      <c r="A56" s="781" t="s">
        <v>1757</v>
      </c>
      <c r="B56" s="779">
        <v>58</v>
      </c>
      <c r="C56" s="779">
        <v>57</v>
      </c>
      <c r="D56" s="779">
        <v>29</v>
      </c>
      <c r="F56" s="777" t="s">
        <v>1757</v>
      </c>
      <c r="G56" s="780">
        <f>_xlfn.XLOOKUP(F56,'[3]Prieskum trhu TOP kurzy zdroj3'!$A:$A,'[3]Prieskum trhu TOP kurzy zdroj3'!$Q:$Q,"???")</f>
        <v>162.19499999999999</v>
      </c>
      <c r="H56" s="780">
        <f t="shared" si="0"/>
        <v>9407.31</v>
      </c>
      <c r="I56" s="780">
        <f t="shared" si="1"/>
        <v>9245.1149999999998</v>
      </c>
      <c r="J56" s="780">
        <f t="shared" si="2"/>
        <v>4703.6549999999997</v>
      </c>
    </row>
    <row r="57" spans="1:10" x14ac:dyDescent="0.2">
      <c r="A57" s="781" t="s">
        <v>1781</v>
      </c>
      <c r="B57" s="779">
        <v>1</v>
      </c>
      <c r="C57" s="779">
        <v>1</v>
      </c>
      <c r="D57" s="779">
        <v>0</v>
      </c>
      <c r="F57" s="777" t="s">
        <v>1781</v>
      </c>
      <c r="G57" s="780">
        <f>_xlfn.XLOOKUP(F57,'[3]Prieskum trhu TOP kurzy zdroj3'!$A:$A,'[3]Prieskum trhu TOP kurzy zdroj3'!$Q:$Q,"???")</f>
        <v>0</v>
      </c>
      <c r="H57" s="780">
        <f t="shared" si="0"/>
        <v>0</v>
      </c>
      <c r="I57" s="780">
        <f t="shared" si="1"/>
        <v>0</v>
      </c>
      <c r="J57" s="780">
        <f t="shared" si="2"/>
        <v>0</v>
      </c>
    </row>
    <row r="58" spans="1:10" x14ac:dyDescent="0.2">
      <c r="A58" s="781" t="s">
        <v>4236</v>
      </c>
      <c r="B58" s="779">
        <v>5109</v>
      </c>
      <c r="C58" s="779">
        <v>4681</v>
      </c>
      <c r="D58" s="779">
        <v>3016</v>
      </c>
      <c r="F58" s="782" t="s">
        <v>4237</v>
      </c>
    </row>
    <row r="59" spans="1:10" x14ac:dyDescent="0.2">
      <c r="A59" s="781" t="s">
        <v>3509</v>
      </c>
      <c r="B59" s="779">
        <v>14275</v>
      </c>
      <c r="C59" s="779">
        <v>12906</v>
      </c>
      <c r="D59" s="779">
        <v>6839</v>
      </c>
      <c r="G59" s="888" t="s">
        <v>781</v>
      </c>
      <c r="H59" s="889">
        <f>SUM(H3:H58)</f>
        <v>5559927.4568292685</v>
      </c>
      <c r="I59" s="890">
        <f>SUM(I3:I58)</f>
        <v>5046395.1924390253</v>
      </c>
      <c r="J59" s="890">
        <f>SUM(J3:J58)</f>
        <v>2348871.6979268286</v>
      </c>
    </row>
    <row r="60" spans="1:10" x14ac:dyDescent="0.2">
      <c r="H60" s="888"/>
      <c r="I60" s="891">
        <f>I59/H59</f>
        <v>0.90763687685178862</v>
      </c>
      <c r="J60" s="891">
        <f>J59/H59</f>
        <v>0.42246445051035791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35635-2132-B240-9A23-C8416B4D5B60}">
  <dimension ref="A1:S82"/>
  <sheetViews>
    <sheetView topLeftCell="G1" zoomScale="70" zoomScaleNormal="70" workbookViewId="0">
      <selection activeCell="H75" sqref="H75"/>
    </sheetView>
  </sheetViews>
  <sheetFormatPr baseColWidth="10" defaultColWidth="9.1640625" defaultRowHeight="15" x14ac:dyDescent="0.2"/>
  <cols>
    <col min="1" max="1" width="19.6640625" style="893" bestFit="1" customWidth="1"/>
    <col min="2" max="2" width="25.1640625" style="893" bestFit="1" customWidth="1"/>
    <col min="3" max="3" width="34.5" style="893" customWidth="1"/>
    <col min="4" max="4" width="26.6640625" style="893" bestFit="1" customWidth="1"/>
    <col min="5" max="5" width="4" style="893" bestFit="1" customWidth="1"/>
    <col min="6" max="6" width="69.83203125" style="893" customWidth="1"/>
    <col min="7" max="7" width="55.5" style="893" bestFit="1" customWidth="1"/>
    <col min="8" max="8" width="10" style="893" bestFit="1" customWidth="1"/>
    <col min="9" max="9" width="4.5" style="893" bestFit="1" customWidth="1"/>
    <col min="10" max="10" width="9" style="893" bestFit="1" customWidth="1"/>
    <col min="11" max="11" width="23.5" style="894" bestFit="1" customWidth="1"/>
    <col min="12" max="12" width="1.6640625" style="893" customWidth="1"/>
    <col min="13" max="13" width="64.5" style="893" bestFit="1" customWidth="1"/>
    <col min="14" max="14" width="53.6640625" style="893" bestFit="1" customWidth="1"/>
    <col min="15" max="15" width="9.1640625" style="895" bestFit="1" customWidth="1"/>
    <col min="16" max="16" width="2.6640625" style="893" customWidth="1"/>
    <col min="17" max="17" width="13" style="893" customWidth="1"/>
    <col min="18" max="18" width="10.5" style="896" customWidth="1"/>
    <col min="19" max="19" width="18.5" style="896" customWidth="1"/>
    <col min="20" max="23" width="9" style="893" bestFit="1" customWidth="1"/>
    <col min="24" max="24" width="4" style="893" bestFit="1" customWidth="1"/>
    <col min="25" max="58" width="9" style="893" bestFit="1" customWidth="1"/>
    <col min="59" max="59" width="9.5" style="893" bestFit="1" customWidth="1"/>
    <col min="60" max="60" width="13.33203125" style="893" bestFit="1" customWidth="1"/>
    <col min="61" max="16384" width="9.1640625" style="893"/>
  </cols>
  <sheetData>
    <row r="1" spans="1:19" x14ac:dyDescent="0.2">
      <c r="A1" s="892" t="s">
        <v>4238</v>
      </c>
    </row>
    <row r="2" spans="1:19" x14ac:dyDescent="0.2">
      <c r="A2" s="897" t="s">
        <v>4239</v>
      </c>
      <c r="B2" s="898"/>
      <c r="C2" s="898"/>
      <c r="D2" s="898"/>
      <c r="K2" s="899" t="s">
        <v>4240</v>
      </c>
      <c r="N2" s="900" t="s">
        <v>4241</v>
      </c>
      <c r="Q2" s="900" t="s">
        <v>4242</v>
      </c>
    </row>
    <row r="3" spans="1:19" ht="48" x14ac:dyDescent="0.2">
      <c r="A3" s="893" t="s">
        <v>3508</v>
      </c>
      <c r="B3" s="893" t="s">
        <v>4228</v>
      </c>
      <c r="C3" s="893" t="s">
        <v>4229</v>
      </c>
      <c r="D3" s="893" t="s">
        <v>4230</v>
      </c>
      <c r="F3" s="901" t="s">
        <v>4243</v>
      </c>
      <c r="G3" s="901" t="s">
        <v>4244</v>
      </c>
      <c r="H3" s="901" t="s">
        <v>4245</v>
      </c>
      <c r="I3" s="901" t="s">
        <v>4246</v>
      </c>
      <c r="J3" s="901" t="s">
        <v>4247</v>
      </c>
      <c r="K3" s="902" t="s">
        <v>4248</v>
      </c>
      <c r="M3" s="901" t="s">
        <v>4249</v>
      </c>
      <c r="N3" s="901" t="s">
        <v>4250</v>
      </c>
      <c r="O3" s="903" t="s">
        <v>4251</v>
      </c>
      <c r="Q3" s="904" t="s">
        <v>4252</v>
      </c>
      <c r="R3" s="905" t="s">
        <v>4253</v>
      </c>
      <c r="S3" s="905" t="s">
        <v>4254</v>
      </c>
    </row>
    <row r="4" spans="1:19" x14ac:dyDescent="0.2">
      <c r="A4" s="906">
        <v>17050545</v>
      </c>
      <c r="B4" s="893">
        <v>194</v>
      </c>
      <c r="C4" s="907">
        <v>188</v>
      </c>
      <c r="D4" s="893">
        <v>0</v>
      </c>
      <c r="F4" s="893" t="str">
        <f>_xlfn.XLOOKUP(A4,'[3]Pasport1 NetAcad zdroj4'!A:A,'[3]Pasport1 NetAcad zdroj4'!D:D,"Nenašlo sa")</f>
        <v>Stredná odborná škola technická</v>
      </c>
      <c r="G4" s="893" t="str">
        <f>_xlfn.XLOOKUP(A4,'[3]Pasport1 NetAcad zdroj4'!A:A,'[3]Pasport1 NetAcad zdroj4'!E:E,"Nenašlo sa")</f>
        <v>Hviezdoslavova 5, 048 01 Rožňava</v>
      </c>
      <c r="H4" s="900" t="s">
        <v>4255</v>
      </c>
      <c r="I4" s="908" t="str">
        <f>_xlfn.XLOOKUP(A4,'[3]Pasport1 NetAcad zdroj4'!A:A,'[3]Pasport1 NetAcad zdroj4'!AB:AB,"Nenašlo sa")</f>
        <v>A2</v>
      </c>
      <c r="J4" s="893">
        <f>_xlfn.XLOOKUP(A4,'[3]Pasport1 NetAcad zdroj4'!A:A,'[3]Pasport1 NetAcad zdroj4'!U:U,"Nenašlo sa")</f>
        <v>77</v>
      </c>
      <c r="K4" s="909">
        <f>C4/J4</f>
        <v>2.4415584415584415</v>
      </c>
      <c r="M4" s="893" t="s">
        <v>4256</v>
      </c>
      <c r="N4" s="893" t="s">
        <v>4257</v>
      </c>
      <c r="O4" s="910">
        <v>3</v>
      </c>
      <c r="Q4" s="893">
        <f>(O4-K4)*J4</f>
        <v>43.000000000000007</v>
      </c>
      <c r="R4" s="896">
        <f>'[3]Prieskum trhu TOP kurzy zdroj3'!$Q$58</f>
        <v>554.20932520325209</v>
      </c>
      <c r="S4" s="896">
        <f>Q4*R4</f>
        <v>23831.000983739843</v>
      </c>
    </row>
    <row r="5" spans="1:19" x14ac:dyDescent="0.2">
      <c r="A5" s="906">
        <v>17055415</v>
      </c>
      <c r="F5" s="893" t="str">
        <f>_xlfn.XLOOKUP(A5,'[3]Pasport1 NetAcad zdroj4'!A:A,'[3]Pasport1 NetAcad zdroj4'!D:D,"Nenašlo sa")</f>
        <v>Stredná odborná škola informačných technológií</v>
      </c>
      <c r="G5" s="893" t="str">
        <f>_xlfn.XLOOKUP(A5,'[3]Pasport1 NetAcad zdroj4'!A:A,'[3]Pasport1 NetAcad zdroj4'!E:E,"Nenašlo sa")</f>
        <v>Hlinícka 1, 83152 Bratislava</v>
      </c>
    </row>
    <row r="6" spans="1:19" x14ac:dyDescent="0.2">
      <c r="A6" s="906">
        <v>17055431</v>
      </c>
      <c r="B6" s="893">
        <v>491</v>
      </c>
      <c r="C6" s="907">
        <v>483</v>
      </c>
      <c r="D6" s="893">
        <v>312</v>
      </c>
      <c r="F6" s="893" t="str">
        <f>_xlfn.XLOOKUP(A6,'[3]Pasport1 NetAcad zdroj4'!A:A,'[3]Pasport1 NetAcad zdroj4'!D:D,"Nenašlo sa")</f>
        <v>Stredná odborná škola informačných technológií</v>
      </c>
      <c r="G6" s="893" t="str">
        <f>_xlfn.XLOOKUP(A6,'[3]Pasport1 NetAcad zdroj4'!A:A,'[3]Pasport1 NetAcad zdroj4'!E:E,"Nenašlo sa")</f>
        <v>Tajovského 30, 975 90 Banská Bystrica</v>
      </c>
      <c r="H6" s="900" t="s">
        <v>4255</v>
      </c>
      <c r="I6" s="908" t="str">
        <f>_xlfn.XLOOKUP(A6,'[3]Pasport1 NetAcad zdroj4'!A:A,'[3]Pasport1 NetAcad zdroj4'!AB:AB,"Nenašlo sa")</f>
        <v>A1</v>
      </c>
      <c r="J6" s="893">
        <f>_xlfn.XLOOKUP(A6,'[3]Pasport1 NetAcad zdroj4'!A:A,'[3]Pasport1 NetAcad zdroj4'!U:U,"Nenašlo sa")</f>
        <v>240</v>
      </c>
      <c r="K6" s="909">
        <f>C6/J6</f>
        <v>2.0125000000000002</v>
      </c>
      <c r="M6" s="893" t="s">
        <v>4256</v>
      </c>
      <c r="N6" s="893" t="s">
        <v>4257</v>
      </c>
      <c r="O6" s="910">
        <v>3</v>
      </c>
      <c r="Q6" s="893">
        <f>(O6-K6)*J6</f>
        <v>236.99999999999994</v>
      </c>
      <c r="R6" s="896">
        <f>'[3]Prieskum trhu TOP kurzy zdroj3'!$Q$58</f>
        <v>554.20932520325209</v>
      </c>
      <c r="S6" s="896">
        <f>Q6*R6</f>
        <v>131347.61007317071</v>
      </c>
    </row>
    <row r="7" spans="1:19" x14ac:dyDescent="0.2">
      <c r="A7" s="906">
        <v>17151589</v>
      </c>
      <c r="B7" s="893">
        <v>6</v>
      </c>
      <c r="C7" s="907">
        <v>5</v>
      </c>
      <c r="D7" s="893">
        <v>0</v>
      </c>
      <c r="F7" s="893" t="str">
        <f>_xlfn.XLOOKUP(A7,'[3]Pasport1 NetAcad zdroj4'!A:A,'[3]Pasport1 NetAcad zdroj4'!D:D,"Nenašlo sa")</f>
        <v xml:space="preserve">Gymnázium </v>
      </c>
      <c r="G7" s="893" t="str">
        <f>_xlfn.XLOOKUP(A7,'[3]Pasport1 NetAcad zdroj4'!A:A,'[3]Pasport1 NetAcad zdroj4'!E:E,"Nenašlo sa")</f>
        <v>Javorová 16, 052 01 Spišská Nová Ves</v>
      </c>
      <c r="H7" s="900" t="s">
        <v>4255</v>
      </c>
      <c r="I7" s="900" t="str">
        <f>_xlfn.XLOOKUP(A7,'[3]Pasport1 NetAcad zdroj4'!A:A,'[3]Pasport1 NetAcad zdroj4'!AB:AB,"Nenašlo sa")</f>
        <v>B3</v>
      </c>
      <c r="J7" s="893">
        <f>_xlfn.XLOOKUP(A7,'[3]Pasport1 NetAcad zdroj4'!A:A,'[3]Pasport1 NetAcad zdroj4'!U:U,"Nenašlo sa")</f>
        <v>0</v>
      </c>
      <c r="K7" s="894">
        <v>1</v>
      </c>
      <c r="M7" s="900"/>
      <c r="N7" s="900"/>
    </row>
    <row r="8" spans="1:19" x14ac:dyDescent="0.2">
      <c r="A8" s="906">
        <v>17319161</v>
      </c>
      <c r="F8" s="893" t="str">
        <f>_xlfn.XLOOKUP(A8,'[3]Pasport1 NetAcad zdroj4'!A:A,'[3]Pasport1 NetAcad zdroj4'!D:D,"Nenašlo sa")</f>
        <v>Stredná priemyselná škola elektrotechnická Karola Adlera</v>
      </c>
      <c r="G8" s="893" t="str">
        <f>_xlfn.XLOOKUP(A8,'[3]Pasport1 NetAcad zdroj4'!A:A,'[3]Pasport1 NetAcad zdroj4'!E:E,"Nenašlo sa")</f>
        <v>Karola Adlera 5, 841 02 Bratislava</v>
      </c>
    </row>
    <row r="9" spans="1:19" x14ac:dyDescent="0.2">
      <c r="A9" s="906">
        <v>17327661</v>
      </c>
      <c r="F9" s="893" t="str">
        <f>_xlfn.XLOOKUP(A9,'[3]Pasport1 NetAcad zdroj4'!A:A,'[3]Pasport1 NetAcad zdroj4'!D:D,"Nenašlo sa")</f>
        <v xml:space="preserve">Stredná priemyselná škola elektrotechnická Hálova </v>
      </c>
      <c r="G9" s="893" t="str">
        <f>_xlfn.XLOOKUP(A9,'[3]Pasport1 NetAcad zdroj4'!A:A,'[3]Pasport1 NetAcad zdroj4'!E:E,"Nenašlo sa")</f>
        <v>Hálova 16, 851 01 Bratislava</v>
      </c>
    </row>
    <row r="10" spans="1:19" x14ac:dyDescent="0.2">
      <c r="A10" s="906">
        <v>30775353</v>
      </c>
      <c r="F10" s="893" t="str">
        <f>_xlfn.XLOOKUP(A10,'[3]Pasport1 NetAcad zdroj4'!A:A,'[3]Pasport1 NetAcad zdroj4'!D:D,"Nenašlo sa")</f>
        <v>Stredná priemyselná škola elektrotechnická Zochova</v>
      </c>
      <c r="G10" s="893" t="str">
        <f>_xlfn.XLOOKUP(A10,'[3]Pasport1 NetAcad zdroj4'!A:A,'[3]Pasport1 NetAcad zdroj4'!E:E,"Nenašlo sa")</f>
        <v>Zochova 9, 811 09 Bratislava</v>
      </c>
    </row>
    <row r="11" spans="1:19" x14ac:dyDescent="0.2">
      <c r="A11" s="906">
        <v>30815339</v>
      </c>
      <c r="F11" s="893" t="str">
        <f>_xlfn.XLOOKUP(A11,'[3]Pasport1 NetAcad zdroj4'!A:A,'[3]Pasport1 NetAcad zdroj4'!D:D,"Nenašlo sa")</f>
        <v>Cirkevná stredná odborná škola elektrotechnická P.G.Frassatiho Bratislava</v>
      </c>
      <c r="G11" s="893" t="str">
        <f>_xlfn.XLOOKUP(A11,'[3]Pasport1 NetAcad zdroj4'!A:A,'[3]Pasport1 NetAcad zdroj4'!E:E,"Nenašlo sa")</f>
        <v>Vazovova 12, 811 07 Bratislava</v>
      </c>
    </row>
    <row r="12" spans="1:19" x14ac:dyDescent="0.2">
      <c r="A12" s="906">
        <v>31313833</v>
      </c>
      <c r="B12" s="893">
        <v>5</v>
      </c>
      <c r="C12" s="907">
        <v>1</v>
      </c>
      <c r="D12" s="893">
        <v>1</v>
      </c>
      <c r="F12" s="893" t="str">
        <f>_xlfn.XLOOKUP(A12,'[3]Pasport1 NetAcad zdroj4'!A:A,'[3]Pasport1 NetAcad zdroj4'!D:D,"Nenašlo sa")</f>
        <v>Súkromná stredná odborná škola ekonomicko-technická</v>
      </c>
      <c r="G12" s="893" t="str">
        <f>_xlfn.XLOOKUP(A12,'[3]Pasport1 NetAcad zdroj4'!A:A,'[3]Pasport1 NetAcad zdroj4'!E:E,"Nenašlo sa")</f>
        <v>Postupimská 37, 040 22 Košice</v>
      </c>
      <c r="H12" s="900" t="s">
        <v>4255</v>
      </c>
      <c r="I12" s="900" t="str">
        <f>_xlfn.XLOOKUP(A12,'[3]Pasport1 NetAcad zdroj4'!A:A,'[3]Pasport1 NetAcad zdroj4'!AB:AB,"Nenašlo sa")</f>
        <v>A3</v>
      </c>
      <c r="J12" s="893">
        <f>_xlfn.XLOOKUP(A12,'[3]Pasport1 NetAcad zdroj4'!A:A,'[3]Pasport1 NetAcad zdroj4'!U:U,"Nenašlo sa")</f>
        <v>170</v>
      </c>
      <c r="K12" s="894">
        <v>1</v>
      </c>
      <c r="N12" s="900" t="s">
        <v>4258</v>
      </c>
    </row>
    <row r="13" spans="1:19" x14ac:dyDescent="0.2">
      <c r="A13" s="906">
        <v>35568381</v>
      </c>
      <c r="B13" s="893">
        <v>90</v>
      </c>
      <c r="C13" s="907">
        <v>84</v>
      </c>
      <c r="D13" s="893">
        <v>12</v>
      </c>
      <c r="F13" s="893" t="str">
        <f>_xlfn.XLOOKUP(A13,'[3]Pasport1 NetAcad zdroj4'!A:A,'[3]Pasport1 NetAcad zdroj4'!D:D,"Nenašlo sa")</f>
        <v>Stredná odborná škola ekonomická</v>
      </c>
      <c r="G13" s="893" t="str">
        <f>_xlfn.XLOOKUP(A13,'[3]Pasport1 NetAcad zdroj4'!A:A,'[3]Pasport1 NetAcad zdroj4'!E:E,"Nenašlo sa")</f>
        <v>Stojan 1, 052 01 Spišská Nová Ves</v>
      </c>
      <c r="H13" s="900" t="s">
        <v>4255</v>
      </c>
      <c r="I13" s="900" t="str">
        <f>_xlfn.XLOOKUP(A13,'[3]Pasport1 NetAcad zdroj4'!A:A,'[3]Pasport1 NetAcad zdroj4'!AB:AB,"Nenašlo sa")</f>
        <v>B2</v>
      </c>
      <c r="J13" s="893">
        <f>_xlfn.XLOOKUP(A13,'[3]Pasport1 NetAcad zdroj4'!A:A,'[3]Pasport1 NetAcad zdroj4'!U:U,"Nenašlo sa")</f>
        <v>80</v>
      </c>
      <c r="K13" s="894">
        <f>C13/J13</f>
        <v>1.05</v>
      </c>
    </row>
    <row r="14" spans="1:19" x14ac:dyDescent="0.2">
      <c r="A14" s="906">
        <v>37942492</v>
      </c>
      <c r="B14" s="893">
        <v>35</v>
      </c>
      <c r="C14" s="907">
        <v>34</v>
      </c>
      <c r="D14" s="893">
        <v>30</v>
      </c>
      <c r="F14" s="893" t="str">
        <f>_xlfn.XLOOKUP(A14,'[3]Pasport1 NetAcad zdroj4'!A:A,'[3]Pasport1 NetAcad zdroj4'!D:D,"Nenašlo sa")</f>
        <v>Stredná odborná škola drevárska</v>
      </c>
      <c r="G14" s="893" t="str">
        <f>_xlfn.XLOOKUP(A14,'[3]Pasport1 NetAcad zdroj4'!A:A,'[3]Pasport1 NetAcad zdroj4'!E:E,"Nenašlo sa")</f>
        <v>Lúčna 1055, 093 01 Vranov nad Topľou</v>
      </c>
      <c r="H14" s="900" t="s">
        <v>4255</v>
      </c>
      <c r="I14" s="900" t="str">
        <f>_xlfn.XLOOKUP(A14,'[3]Pasport1 NetAcad zdroj4'!A:A,'[3]Pasport1 NetAcad zdroj4'!AB:AB,"Nenašlo sa")</f>
        <v>A3</v>
      </c>
      <c r="J14" s="893">
        <f>_xlfn.XLOOKUP(A14,'[3]Pasport1 NetAcad zdroj4'!A:A,'[3]Pasport1 NetAcad zdroj4'!U:U,"Nenašlo sa")</f>
        <v>40</v>
      </c>
      <c r="K14" s="894">
        <v>1</v>
      </c>
      <c r="N14" s="900" t="s">
        <v>4258</v>
      </c>
    </row>
    <row r="15" spans="1:19" x14ac:dyDescent="0.2">
      <c r="A15" s="906">
        <v>37982354</v>
      </c>
      <c r="B15" s="893">
        <v>171</v>
      </c>
      <c r="C15" s="907">
        <v>29</v>
      </c>
      <c r="D15" s="893">
        <v>0</v>
      </c>
      <c r="F15" s="893" t="str">
        <f>_xlfn.XLOOKUP(A15,'[3]Pasport1 NetAcad zdroj4'!A:A,'[3]Pasport1 NetAcad zdroj4'!D:D,"Nenašlo sa")</f>
        <v xml:space="preserve">Súkromná stredná odborná škola </v>
      </c>
      <c r="G15" s="893" t="str">
        <f>_xlfn.XLOOKUP(A15,'[3]Pasport1 NetAcad zdroj4'!A:A,'[3]Pasport1 NetAcad zdroj4'!E:E,"Nenašlo sa")</f>
        <v>Saleziánska 18, Žilina</v>
      </c>
      <c r="H15" s="900" t="s">
        <v>4255</v>
      </c>
      <c r="I15" s="900" t="str">
        <f>_xlfn.XLOOKUP(A15,'[3]Pasport1 NetAcad zdroj4'!A:A,'[3]Pasport1 NetAcad zdroj4'!AB:AB,"Nenašlo sa")</f>
        <v>A3</v>
      </c>
      <c r="J15" s="893">
        <f>_xlfn.XLOOKUP(A15,'[3]Pasport1 NetAcad zdroj4'!A:A,'[3]Pasport1 NetAcad zdroj4'!U:U,"Nenašlo sa")</f>
        <v>130</v>
      </c>
      <c r="K15" s="894">
        <v>1</v>
      </c>
      <c r="M15" s="900" t="s">
        <v>4259</v>
      </c>
      <c r="N15" s="893" t="s">
        <v>4257</v>
      </c>
      <c r="O15" s="910">
        <v>3</v>
      </c>
      <c r="Q15" s="893">
        <f t="shared" ref="Q15:Q20" si="0">(O15-K15)*J15</f>
        <v>260</v>
      </c>
      <c r="R15" s="896">
        <f>'[3]Prieskum trhu TOP kurzy zdroj3'!$Q$58</f>
        <v>554.20932520325209</v>
      </c>
      <c r="S15" s="896">
        <f t="shared" ref="S15:S20" si="1">Q15*R15</f>
        <v>144094.42455284554</v>
      </c>
    </row>
    <row r="16" spans="1:19" x14ac:dyDescent="0.2">
      <c r="A16" s="906">
        <v>42024471</v>
      </c>
      <c r="B16" s="893">
        <v>539</v>
      </c>
      <c r="C16" s="907">
        <v>476</v>
      </c>
      <c r="D16" s="893">
        <v>54</v>
      </c>
      <c r="F16" s="893" t="str">
        <f>_xlfn.XLOOKUP(A16,'[3]Pasport1 NetAcad zdroj4'!A:A,'[3]Pasport1 NetAcad zdroj4'!D:D,"Nenašlo sa")</f>
        <v>Stredná odborná škola Handlová</v>
      </c>
      <c r="G16" s="893" t="str">
        <f>_xlfn.XLOOKUP(A16,'[3]Pasport1 NetAcad zdroj4'!A:A,'[3]Pasport1 NetAcad zdroj4'!E:E,"Nenašlo sa")</f>
        <v>Lipová 8, 972 51 Handlová</v>
      </c>
      <c r="H16" s="900" t="s">
        <v>4255</v>
      </c>
      <c r="I16" s="908" t="str">
        <f>_xlfn.XLOOKUP(A16,'[3]Pasport1 NetAcad zdroj4'!A:A,'[3]Pasport1 NetAcad zdroj4'!AB:AB,"Nenašlo sa")</f>
        <v>A3</v>
      </c>
      <c r="J16" s="893">
        <f>_xlfn.XLOOKUP(A16,'[3]Pasport1 NetAcad zdroj4'!A:A,'[3]Pasport1 NetAcad zdroj4'!U:U,"Nenašlo sa")</f>
        <v>171</v>
      </c>
      <c r="K16" s="909">
        <f>C16/J16</f>
        <v>2.7836257309941521</v>
      </c>
      <c r="M16" s="900" t="s">
        <v>4260</v>
      </c>
      <c r="N16" s="893" t="s">
        <v>4257</v>
      </c>
      <c r="O16" s="910">
        <v>3</v>
      </c>
      <c r="Q16" s="893">
        <f t="shared" si="0"/>
        <v>36.999999999999986</v>
      </c>
      <c r="R16" s="896">
        <f>'[3]Prieskum trhu TOP kurzy zdroj3'!$Q$58</f>
        <v>554.20932520325209</v>
      </c>
      <c r="S16" s="896">
        <f t="shared" si="1"/>
        <v>20505.745032520321</v>
      </c>
    </row>
    <row r="17" spans="1:19" x14ac:dyDescent="0.2">
      <c r="A17" s="906">
        <v>42039371</v>
      </c>
      <c r="B17" s="893">
        <v>334</v>
      </c>
      <c r="C17" s="907">
        <v>305</v>
      </c>
      <c r="D17" s="893">
        <v>217</v>
      </c>
      <c r="F17" s="893" t="str">
        <f>_xlfn.XLOOKUP(A17,'[3]Pasport1 NetAcad zdroj4'!A:A,'[3]Pasport1 NetAcad zdroj4'!D:D,"Nenašlo sa")</f>
        <v>Súkromná stredná odborná škola</v>
      </c>
      <c r="G17" s="893" t="str">
        <f>_xlfn.XLOOKUP(A17,'[3]Pasport1 NetAcad zdroj4'!A:A,'[3]Pasport1 NetAcad zdroj4'!E:E,"Nenašlo sa")</f>
        <v>Ul. 29. augusta 4812, 058 01 Poprad</v>
      </c>
      <c r="H17" s="900" t="s">
        <v>4255</v>
      </c>
      <c r="I17" s="908" t="str">
        <f>_xlfn.XLOOKUP(A17,'[3]Pasport1 NetAcad zdroj4'!A:A,'[3]Pasport1 NetAcad zdroj4'!AB:AB,"Nenašlo sa")</f>
        <v>A1</v>
      </c>
      <c r="J17" s="893">
        <f>_xlfn.XLOOKUP(A17,'[3]Pasport1 NetAcad zdroj4'!A:A,'[3]Pasport1 NetAcad zdroj4'!U:U,"Nenašlo sa")</f>
        <v>235</v>
      </c>
      <c r="K17" s="911">
        <f>C17/J17</f>
        <v>1.2978723404255319</v>
      </c>
      <c r="M17" s="900" t="s">
        <v>4260</v>
      </c>
      <c r="N17" s="893" t="s">
        <v>4257</v>
      </c>
      <c r="O17" s="910">
        <v>3</v>
      </c>
      <c r="Q17" s="893">
        <f t="shared" si="0"/>
        <v>400</v>
      </c>
      <c r="R17" s="896">
        <f>'[3]Prieskum trhu TOP kurzy zdroj3'!$Q$58</f>
        <v>554.20932520325209</v>
      </c>
      <c r="S17" s="896">
        <f t="shared" si="1"/>
        <v>221683.73008130083</v>
      </c>
    </row>
    <row r="18" spans="1:19" x14ac:dyDescent="0.2">
      <c r="A18" s="906">
        <v>42096651</v>
      </c>
      <c r="B18" s="893">
        <v>173</v>
      </c>
      <c r="C18" s="907">
        <v>173</v>
      </c>
      <c r="D18" s="893">
        <v>28</v>
      </c>
      <c r="F18" s="893" t="str">
        <f>_xlfn.XLOOKUP(A18,'[3]Pasport1 NetAcad zdroj4'!A:A,'[3]Pasport1 NetAcad zdroj4'!D:D,"Nenašlo sa")</f>
        <v>Stredná odborná škola technická Michalovce</v>
      </c>
      <c r="G18" s="893" t="str">
        <f>_xlfn.XLOOKUP(A18,'[3]Pasport1 NetAcad zdroj4'!A:A,'[3]Pasport1 NetAcad zdroj4'!E:E,"Nenašlo sa")</f>
        <v>Partizánska 1, 071 92 Michalovce</v>
      </c>
      <c r="H18" s="900" t="s">
        <v>4255</v>
      </c>
      <c r="I18" s="900" t="str">
        <f>_xlfn.XLOOKUP(A18,'[3]Pasport1 NetAcad zdroj4'!A:A,'[3]Pasport1 NetAcad zdroj4'!AB:AB,"Nenašlo sa")</f>
        <v>A3</v>
      </c>
      <c r="J18" s="893">
        <f>_xlfn.XLOOKUP(A18,'[3]Pasport1 NetAcad zdroj4'!A:A,'[3]Pasport1 NetAcad zdroj4'!U:U,"Nenašlo sa")</f>
        <v>220</v>
      </c>
      <c r="K18" s="894">
        <v>1</v>
      </c>
      <c r="M18" s="900" t="s">
        <v>4261</v>
      </c>
      <c r="N18" s="900" t="s">
        <v>4262</v>
      </c>
      <c r="O18" s="910">
        <v>2</v>
      </c>
      <c r="Q18" s="893">
        <f t="shared" si="0"/>
        <v>220</v>
      </c>
      <c r="R18" s="896">
        <f>'[3]Prieskum trhu TOP kurzy zdroj3'!$Q$58</f>
        <v>554.20932520325209</v>
      </c>
      <c r="S18" s="896">
        <f t="shared" si="1"/>
        <v>121926.05154471546</v>
      </c>
    </row>
    <row r="19" spans="1:19" x14ac:dyDescent="0.2">
      <c r="A19" s="906">
        <v>51906201</v>
      </c>
      <c r="B19" s="893">
        <v>540</v>
      </c>
      <c r="C19" s="907">
        <v>528</v>
      </c>
      <c r="D19" s="893">
        <v>330</v>
      </c>
      <c r="F19" s="893" t="str">
        <f>_xlfn.XLOOKUP(A19,'[3]Pasport1 NetAcad zdroj4'!A:A,'[3]Pasport1 NetAcad zdroj4'!D:D,"Nenašlo sa")</f>
        <v>Stredná priemyselná škola informačných technológií</v>
      </c>
      <c r="G19" s="893" t="str">
        <f>_xlfn.XLOOKUP(A19,'[3]Pasport1 NetAcad zdroj4'!A:A,'[3]Pasport1 NetAcad zdroj4'!E:E,"Nenašlo sa")</f>
        <v>Nábrežná 1325, 024 01 Kysucké Nové Mesto</v>
      </c>
      <c r="H19" s="900" t="s">
        <v>4255</v>
      </c>
      <c r="I19" s="908" t="str">
        <f>_xlfn.XLOOKUP(A19,'[3]Pasport1 NetAcad zdroj4'!A:A,'[3]Pasport1 NetAcad zdroj4'!AB:AB,"Nenašlo sa")</f>
        <v>A1</v>
      </c>
      <c r="J19" s="893">
        <f>_xlfn.XLOOKUP(A19,'[3]Pasport1 NetAcad zdroj4'!A:A,'[3]Pasport1 NetAcad zdroj4'!U:U,"Nenašlo sa")</f>
        <v>432</v>
      </c>
      <c r="K19" s="911">
        <f>C19/J19</f>
        <v>1.2222222222222223</v>
      </c>
      <c r="M19" s="900" t="s">
        <v>4260</v>
      </c>
      <c r="N19" s="893" t="s">
        <v>4257</v>
      </c>
      <c r="O19" s="910">
        <v>3</v>
      </c>
      <c r="Q19" s="893">
        <f t="shared" si="0"/>
        <v>768</v>
      </c>
      <c r="R19" s="896">
        <f>'[3]Prieskum trhu TOP kurzy zdroj3'!$Q$58</f>
        <v>554.20932520325209</v>
      </c>
      <c r="S19" s="896">
        <f t="shared" si="1"/>
        <v>425632.76175609761</v>
      </c>
    </row>
    <row r="20" spans="1:19" x14ac:dyDescent="0.2">
      <c r="A20" s="906">
        <v>53948998</v>
      </c>
      <c r="B20" s="893">
        <v>180</v>
      </c>
      <c r="C20" s="907">
        <v>162</v>
      </c>
      <c r="D20" s="893">
        <v>131</v>
      </c>
      <c r="F20" s="893" t="str">
        <f>_xlfn.XLOOKUP(A20,'[3]Pasport1 NetAcad zdroj4'!A:A,'[3]Pasport1 NetAcad zdroj4'!D:D,"Nenašlo sa")</f>
        <v>Stredná priemyselná škola informačných technológií Ignáca Gessaya</v>
      </c>
      <c r="G20" s="893" t="str">
        <f>_xlfn.XLOOKUP(A20,'[3]Pasport1 NetAcad zdroj4'!A:A,'[3]Pasport1 NetAcad zdroj4'!E:E,"Nenašlo sa")</f>
        <v>Medvedzie 133/1, 027 44 Tvrdošín</v>
      </c>
      <c r="H20" s="900" t="s">
        <v>4255</v>
      </c>
      <c r="I20" s="900" t="str">
        <f>_xlfn.XLOOKUP(A20,'[3]Pasport1 NetAcad zdroj4'!A:A,'[3]Pasport1 NetAcad zdroj4'!AB:AB,"Nenašlo sa")</f>
        <v>A2</v>
      </c>
      <c r="J20" s="893">
        <f>_xlfn.XLOOKUP(A20,'[3]Pasport1 NetAcad zdroj4'!A:A,'[3]Pasport1 NetAcad zdroj4'!U:U,"Nenašlo sa")</f>
        <v>420</v>
      </c>
      <c r="K20" s="894">
        <v>1</v>
      </c>
      <c r="M20" s="900" t="s">
        <v>4260</v>
      </c>
      <c r="N20" s="900" t="s">
        <v>4262</v>
      </c>
      <c r="O20" s="910">
        <v>2</v>
      </c>
      <c r="Q20" s="893">
        <f t="shared" si="0"/>
        <v>420</v>
      </c>
      <c r="R20" s="896">
        <f>'[3]Prieskum trhu TOP kurzy zdroj3'!$Q$58</f>
        <v>554.20932520325209</v>
      </c>
      <c r="S20" s="896">
        <f t="shared" si="1"/>
        <v>232767.91658536589</v>
      </c>
    </row>
    <row r="21" spans="1:19" x14ac:dyDescent="0.2">
      <c r="A21" s="906" t="s">
        <v>3890</v>
      </c>
      <c r="B21" s="893">
        <v>2</v>
      </c>
      <c r="C21" s="893">
        <v>2</v>
      </c>
      <c r="D21" s="893">
        <v>0</v>
      </c>
    </row>
    <row r="22" spans="1:19" x14ac:dyDescent="0.2">
      <c r="A22" s="906" t="s">
        <v>4152</v>
      </c>
      <c r="B22" s="893">
        <v>431</v>
      </c>
      <c r="C22" s="907">
        <v>420</v>
      </c>
      <c r="D22" s="893">
        <v>44</v>
      </c>
      <c r="F22" s="893" t="str">
        <f>_xlfn.XLOOKUP(A22,'[3]Pasport1 NetAcad zdroj4'!A:A,'[3]Pasport1 NetAcad zdroj4'!D:D,"Nenašlo sa")</f>
        <v>Stredná priemyselná škola elektrotechnická S. A. Jedlika ako org.zl. Spojenej školy</v>
      </c>
      <c r="G22" s="893" t="str">
        <f>_xlfn.XLOOKUP(A22,'[3]Pasport1 NetAcad zdroj4'!A:A,'[3]Pasport1 NetAcad zdroj4'!E:E,"Nenašlo sa")</f>
        <v>Komárňanská 28, 940 75 Nové Zámky</v>
      </c>
      <c r="H22" s="900" t="s">
        <v>4255</v>
      </c>
      <c r="I22" s="908" t="str">
        <f>_xlfn.XLOOKUP(A22,'[3]Pasport1 NetAcad zdroj4'!A:A,'[3]Pasport1 NetAcad zdroj4'!AB:AB,"Nenašlo sa")</f>
        <v>A1</v>
      </c>
      <c r="J22" s="893">
        <f>_xlfn.XLOOKUP(A22,'[3]Pasport1 NetAcad zdroj4'!A:A,'[3]Pasport1 NetAcad zdroj4'!U:U,"Nenašlo sa")</f>
        <v>252</v>
      </c>
      <c r="K22" s="911">
        <f>C22/J22</f>
        <v>1.6666666666666667</v>
      </c>
      <c r="M22" s="900" t="s">
        <v>4260</v>
      </c>
      <c r="N22" s="893" t="s">
        <v>4257</v>
      </c>
      <c r="O22" s="910">
        <v>3</v>
      </c>
      <c r="Q22" s="893">
        <f>(O22-K22)*J22</f>
        <v>336</v>
      </c>
      <c r="R22" s="896">
        <f>'[3]Prieskum trhu TOP kurzy zdroj3'!$Q$58</f>
        <v>554.20932520325209</v>
      </c>
      <c r="S22" s="896">
        <f>Q22*R22</f>
        <v>186214.33326829271</v>
      </c>
    </row>
    <row r="23" spans="1:19" x14ac:dyDescent="0.2">
      <c r="A23" s="906" t="s">
        <v>4164</v>
      </c>
      <c r="B23" s="893">
        <v>27</v>
      </c>
      <c r="C23" s="907">
        <v>4</v>
      </c>
      <c r="D23" s="893">
        <v>0</v>
      </c>
      <c r="F23" s="893" t="str">
        <f>_xlfn.XLOOKUP(A23,'[3]Pasport1 NetAcad zdroj4'!A:A,'[3]Pasport1 NetAcad zdroj4'!D:D,"Nenašlo sa")</f>
        <v>Gymnázium  Augusta Horislava Škultétyho</v>
      </c>
      <c r="G23" s="893" t="str">
        <f>_xlfn.XLOOKUP(A23,'[3]Pasport1 NetAcad zdroj4'!A:A,'[3]Pasport1 NetAcad zdroj4'!E:E,"Nenašlo sa")</f>
        <v>Školská 21, 9901 Veľký Krtiš</v>
      </c>
      <c r="H23" s="900" t="s">
        <v>4255</v>
      </c>
      <c r="I23" s="900" t="str">
        <f>_xlfn.XLOOKUP(A23,'[3]Pasport1 NetAcad zdroj4'!A:A,'[3]Pasport1 NetAcad zdroj4'!AB:AB,"Nenašlo sa")</f>
        <v>B3</v>
      </c>
      <c r="J23" s="893">
        <f>_xlfn.XLOOKUP(A23,'[3]Pasport1 NetAcad zdroj4'!A:A,'[3]Pasport1 NetAcad zdroj4'!U:U,"Nenašlo sa")</f>
        <v>60</v>
      </c>
      <c r="K23" s="894">
        <v>1</v>
      </c>
    </row>
    <row r="24" spans="1:19" x14ac:dyDescent="0.2">
      <c r="A24" s="906" t="s">
        <v>3866</v>
      </c>
      <c r="B24" s="893">
        <v>47</v>
      </c>
      <c r="C24" s="907">
        <v>44</v>
      </c>
      <c r="D24" s="893">
        <v>35</v>
      </c>
      <c r="F24" s="893" t="str">
        <f>_xlfn.XLOOKUP(A24,'[3]Pasport1 NetAcad zdroj4'!A:A,'[3]Pasport1 NetAcad zdroj4'!D:D,"Nenašlo sa")</f>
        <v xml:space="preserve">Gymnázium Šrobárova </v>
      </c>
      <c r="G24" s="893" t="str">
        <f>_xlfn.XLOOKUP(A24,'[3]Pasport1 NetAcad zdroj4'!A:A,'[3]Pasport1 NetAcad zdroj4'!E:E,"Nenašlo sa")</f>
        <v>Šrobárova 1, 042 23 Košice</v>
      </c>
      <c r="H24" s="900" t="s">
        <v>4255</v>
      </c>
      <c r="I24" s="900" t="str">
        <f>_xlfn.XLOOKUP(A24,'[3]Pasport1 NetAcad zdroj4'!A:A,'[3]Pasport1 NetAcad zdroj4'!AB:AB,"Nenašlo sa")</f>
        <v>B3</v>
      </c>
      <c r="J24" s="893">
        <f>_xlfn.XLOOKUP(A24,'[3]Pasport1 NetAcad zdroj4'!A:A,'[3]Pasport1 NetAcad zdroj4'!U:U,"Nenašlo sa")</f>
        <v>0</v>
      </c>
      <c r="K24" s="894">
        <v>1</v>
      </c>
    </row>
    <row r="25" spans="1:19" x14ac:dyDescent="0.2">
      <c r="A25" s="906" t="s">
        <v>4091</v>
      </c>
      <c r="B25" s="893">
        <v>42</v>
      </c>
      <c r="C25" s="907">
        <v>39</v>
      </c>
      <c r="D25" s="893">
        <v>38</v>
      </c>
      <c r="F25" s="893" t="str">
        <f>_xlfn.XLOOKUP(A25,'[3]Pasport1 NetAcad zdroj4'!A:A,'[3]Pasport1 NetAcad zdroj4'!D:D,"Nenašlo sa")</f>
        <v>Gymnázium P. Horova</v>
      </c>
      <c r="G25" s="893" t="str">
        <f>_xlfn.XLOOKUP(A25,'[3]Pasport1 NetAcad zdroj4'!A:A,'[3]Pasport1 NetAcad zdroj4'!E:E,"Nenašlo sa")</f>
        <v>Masarykova 1, 071 01 Michalovce</v>
      </c>
      <c r="H25" s="900" t="s">
        <v>4255</v>
      </c>
      <c r="I25" s="900" t="str">
        <f>_xlfn.XLOOKUP(A25,'[3]Pasport1 NetAcad zdroj4'!A:A,'[3]Pasport1 NetAcad zdroj4'!AB:AB,"Nenašlo sa")</f>
        <v>B3</v>
      </c>
      <c r="J25" s="893">
        <f>_xlfn.XLOOKUP(A25,'[3]Pasport1 NetAcad zdroj4'!A:A,'[3]Pasport1 NetAcad zdroj4'!U:U,"Nenašlo sa")</f>
        <v>0</v>
      </c>
      <c r="K25" s="894">
        <v>1</v>
      </c>
    </row>
    <row r="26" spans="1:19" x14ac:dyDescent="0.2">
      <c r="A26" s="906" t="s">
        <v>4071</v>
      </c>
      <c r="B26" s="893">
        <v>16</v>
      </c>
      <c r="C26" s="907">
        <v>14</v>
      </c>
      <c r="D26" s="893">
        <v>0</v>
      </c>
      <c r="F26" s="893" t="str">
        <f>_xlfn.XLOOKUP(A26,'[3]Pasport1 NetAcad zdroj4'!A:A,'[3]Pasport1 NetAcad zdroj4'!D:D,"Nenašlo sa")</f>
        <v>Gymnázium P. J. Šafárika - P. J. Šafárik Gimnázium</v>
      </c>
      <c r="G26" s="893" t="str">
        <f>_xlfn.XLOOKUP(A26,'[3]Pasport1 NetAcad zdroj4'!A:A,'[3]Pasport1 NetAcad zdroj4'!E:E,"Nenašlo sa")</f>
        <v>Akademika Hronca 1, 048 01 Rožňava</v>
      </c>
      <c r="H26" s="900" t="s">
        <v>4255</v>
      </c>
      <c r="I26" s="900" t="str">
        <f>_xlfn.XLOOKUP(A26,'[3]Pasport1 NetAcad zdroj4'!A:A,'[3]Pasport1 NetAcad zdroj4'!AB:AB,"Nenašlo sa")</f>
        <v>B3</v>
      </c>
      <c r="J26" s="893">
        <f>_xlfn.XLOOKUP(A26,'[3]Pasport1 NetAcad zdroj4'!A:A,'[3]Pasport1 NetAcad zdroj4'!U:U,"Nenašlo sa")</f>
        <v>0</v>
      </c>
      <c r="K26" s="894">
        <v>1</v>
      </c>
    </row>
    <row r="27" spans="1:19" x14ac:dyDescent="0.2">
      <c r="A27" s="906" t="s">
        <v>3990</v>
      </c>
      <c r="B27" s="893">
        <v>7</v>
      </c>
      <c r="C27" s="907">
        <v>5</v>
      </c>
      <c r="D27" s="893">
        <v>2</v>
      </c>
      <c r="F27" s="893" t="str">
        <f>_xlfn.XLOOKUP(A27,'[3]Pasport1 NetAcad zdroj4'!A:A,'[3]Pasport1 NetAcad zdroj4'!D:D,"Nenašlo sa")</f>
        <v>Gymnázium Terézie Vansovej Stará Ľubovňa</v>
      </c>
      <c r="G27" s="893" t="str">
        <f>_xlfn.XLOOKUP(A27,'[3]Pasport1 NetAcad zdroj4'!A:A,'[3]Pasport1 NetAcad zdroj4'!E:E,"Nenašlo sa")</f>
        <v>Ul. 17. novembra 6, 064 01 Stará Ľubovňa</v>
      </c>
      <c r="H27" s="900" t="s">
        <v>4255</v>
      </c>
      <c r="I27" s="900" t="str">
        <f>_xlfn.XLOOKUP(A27,'[3]Pasport1 NetAcad zdroj4'!A:A,'[3]Pasport1 NetAcad zdroj4'!AB:AB,"Nenašlo sa")</f>
        <v>B3</v>
      </c>
      <c r="J27" s="893">
        <f>_xlfn.XLOOKUP(A27,'[3]Pasport1 NetAcad zdroj4'!A:A,'[3]Pasport1 NetAcad zdroj4'!U:U,"Nenašlo sa")</f>
        <v>0</v>
      </c>
      <c r="K27" s="894">
        <v>1</v>
      </c>
    </row>
    <row r="28" spans="1:19" x14ac:dyDescent="0.2">
      <c r="A28" s="906" t="s">
        <v>3873</v>
      </c>
      <c r="B28" s="893">
        <v>26</v>
      </c>
      <c r="C28" s="907">
        <v>22</v>
      </c>
      <c r="D28" s="893">
        <v>18</v>
      </c>
      <c r="F28" s="893" t="str">
        <f>_xlfn.XLOOKUP(A28,'[3]Pasport1 NetAcad zdroj4'!A:A,'[3]Pasport1 NetAcad zdroj4'!D:D,"Nenašlo sa")</f>
        <v>Stredná priemyselná škola Myjava</v>
      </c>
      <c r="G28" s="893" t="str">
        <f>_xlfn.XLOOKUP(A28,'[3]Pasport1 NetAcad zdroj4'!A:A,'[3]Pasport1 NetAcad zdroj4'!E:E,"Nenašlo sa")</f>
        <v>Ul. SNP 413/ 8, 907 01 Myjava</v>
      </c>
      <c r="H28" s="900" t="s">
        <v>4255</v>
      </c>
      <c r="I28" s="900" t="str">
        <f>_xlfn.XLOOKUP(A28,'[3]Pasport1 NetAcad zdroj4'!A:A,'[3]Pasport1 NetAcad zdroj4'!AB:AB,"Nenašlo sa")</f>
        <v>A3</v>
      </c>
      <c r="J28" s="893">
        <f>_xlfn.XLOOKUP(A28,'[3]Pasport1 NetAcad zdroj4'!A:A,'[3]Pasport1 NetAcad zdroj4'!U:U,"Nenašlo sa")</f>
        <v>45</v>
      </c>
      <c r="K28" s="894">
        <v>1</v>
      </c>
      <c r="N28" s="900" t="s">
        <v>4263</v>
      </c>
      <c r="O28" s="910">
        <v>2</v>
      </c>
      <c r="Q28" s="893">
        <f t="shared" ref="Q28:Q36" si="2">(O28-K28)*J28</f>
        <v>45</v>
      </c>
      <c r="R28" s="896">
        <f>'[3]Prieskum trhu TOP kurzy zdroj3'!$Q$58</f>
        <v>554.20932520325209</v>
      </c>
      <c r="S28" s="896">
        <f t="shared" ref="S28:S36" si="3">Q28*R28</f>
        <v>24939.419634146343</v>
      </c>
    </row>
    <row r="29" spans="1:19" x14ac:dyDescent="0.2">
      <c r="A29" s="906" t="s">
        <v>3859</v>
      </c>
      <c r="B29" s="893">
        <v>40</v>
      </c>
      <c r="C29" s="907">
        <v>27</v>
      </c>
      <c r="D29" s="893">
        <v>1</v>
      </c>
      <c r="F29" s="893" t="str">
        <f>_xlfn.XLOOKUP(A29,'[3]Pasport1 NetAcad zdroj4'!A:A,'[3]Pasport1 NetAcad zdroj4'!D:D,"Nenašlo sa")</f>
        <v>Stredná priemyselná škola</v>
      </c>
      <c r="G29" s="893" t="str">
        <f>_xlfn.XLOOKUP(A29,'[3]Pasport1 NetAcad zdroj4'!A:A,'[3]Pasport1 NetAcad zdroj4'!E:E,"Nenašlo sa")</f>
        <v>Bzinská 11, 915 01 Nové Mesto nad Váhom</v>
      </c>
      <c r="H29" s="900" t="s">
        <v>4255</v>
      </c>
      <c r="I29" s="900" t="str">
        <f>_xlfn.XLOOKUP(A29,'[3]Pasport1 NetAcad zdroj4'!A:A,'[3]Pasport1 NetAcad zdroj4'!AB:AB,"Nenašlo sa")</f>
        <v>A3</v>
      </c>
      <c r="J29" s="893">
        <f>_xlfn.XLOOKUP(A29,'[3]Pasport1 NetAcad zdroj4'!A:A,'[3]Pasport1 NetAcad zdroj4'!U:U,"Nenašlo sa")</f>
        <v>76</v>
      </c>
      <c r="K29" s="894">
        <v>1</v>
      </c>
      <c r="N29" s="900" t="s">
        <v>4263</v>
      </c>
      <c r="O29" s="910">
        <v>2</v>
      </c>
      <c r="Q29" s="893">
        <f t="shared" si="2"/>
        <v>76</v>
      </c>
      <c r="R29" s="896">
        <f>'[3]Prieskum trhu TOP kurzy zdroj3'!$Q$58</f>
        <v>554.20932520325209</v>
      </c>
      <c r="S29" s="896">
        <f t="shared" si="3"/>
        <v>42119.908715447156</v>
      </c>
    </row>
    <row r="30" spans="1:19" x14ac:dyDescent="0.2">
      <c r="A30" s="906" t="s">
        <v>4142</v>
      </c>
      <c r="B30" s="893">
        <v>44</v>
      </c>
      <c r="C30" s="907">
        <v>33</v>
      </c>
      <c r="D30" s="893">
        <v>4</v>
      </c>
      <c r="F30" s="893" t="str">
        <f>_xlfn.XLOOKUP(A30,'[3]Pasport1 NetAcad zdroj4'!A:A,'[3]Pasport1 NetAcad zdroj4'!D:D,"Nenašlo sa")</f>
        <v>Stredná priemyselná škola elektrotechnická</v>
      </c>
      <c r="G30" s="893" t="str">
        <f>_xlfn.XLOOKUP(A30,'[3]Pasport1 NetAcad zdroj4'!A:A,'[3]Pasport1 NetAcad zdroj4'!E:E,"Nenašlo sa")</f>
        <v>Brezová 2, 921 77 Piešťany</v>
      </c>
      <c r="H30" s="900" t="s">
        <v>4255</v>
      </c>
      <c r="I30" s="900" t="str">
        <f>_xlfn.XLOOKUP(A30,'[3]Pasport1 NetAcad zdroj4'!A:A,'[3]Pasport1 NetAcad zdroj4'!AB:AB,"Nenašlo sa")</f>
        <v>A2</v>
      </c>
      <c r="J30" s="893">
        <f>_xlfn.XLOOKUP(A30,'[3]Pasport1 NetAcad zdroj4'!A:A,'[3]Pasport1 NetAcad zdroj4'!U:U,"Nenašlo sa")</f>
        <v>322</v>
      </c>
      <c r="K30" s="894">
        <v>1</v>
      </c>
      <c r="M30" s="900" t="s">
        <v>4264</v>
      </c>
      <c r="N30" s="900" t="s">
        <v>4262</v>
      </c>
      <c r="O30" s="910">
        <v>2</v>
      </c>
      <c r="Q30" s="893">
        <f t="shared" si="2"/>
        <v>322</v>
      </c>
      <c r="R30" s="896">
        <f>'[3]Prieskum trhu TOP kurzy zdroj3'!$Q$58</f>
        <v>554.20932520325209</v>
      </c>
      <c r="S30" s="896">
        <f t="shared" si="3"/>
        <v>178455.40271544718</v>
      </c>
    </row>
    <row r="31" spans="1:19" x14ac:dyDescent="0.2">
      <c r="A31" s="906" t="s">
        <v>4047</v>
      </c>
      <c r="B31" s="893">
        <v>341</v>
      </c>
      <c r="C31" s="907">
        <v>337</v>
      </c>
      <c r="D31" s="893">
        <v>155</v>
      </c>
      <c r="F31" s="893" t="str">
        <f>_xlfn.XLOOKUP(A31,'[3]Pasport1 NetAcad zdroj4'!A:A,'[3]Pasport1 NetAcad zdroj4'!D:D,"Nenašlo sa")</f>
        <v>Stredná priemyselná škola Jozefa Murgaša</v>
      </c>
      <c r="G31" s="893" t="str">
        <f>_xlfn.XLOOKUP(A31,'[3]Pasport1 NetAcad zdroj4'!A:A,'[3]Pasport1 NetAcad zdroj4'!E:E,"Nenašlo sa")</f>
        <v>Hurbanova 6, 975 18 Banská Bystrica</v>
      </c>
      <c r="H31" s="900" t="s">
        <v>4255</v>
      </c>
      <c r="I31" s="908" t="str">
        <f>_xlfn.XLOOKUP(A31,'[3]Pasport1 NetAcad zdroj4'!A:A,'[3]Pasport1 NetAcad zdroj4'!AB:AB,"Nenašlo sa")</f>
        <v>A1</v>
      </c>
      <c r="J31" s="893">
        <f>_xlfn.XLOOKUP(A31,'[3]Pasport1 NetAcad zdroj4'!A:A,'[3]Pasport1 NetAcad zdroj4'!U:U,"Nenašlo sa")</f>
        <v>120</v>
      </c>
      <c r="K31" s="909">
        <f>C31/J31</f>
        <v>2.8083333333333331</v>
      </c>
      <c r="M31" s="900" t="s">
        <v>4260</v>
      </c>
      <c r="N31" s="893" t="s">
        <v>4257</v>
      </c>
      <c r="O31" s="910">
        <v>3</v>
      </c>
      <c r="Q31" s="893">
        <f t="shared" si="2"/>
        <v>23.000000000000025</v>
      </c>
      <c r="R31" s="896">
        <f>'[3]Prieskum trhu TOP kurzy zdroj3'!$Q$58</f>
        <v>554.20932520325209</v>
      </c>
      <c r="S31" s="896">
        <f t="shared" si="3"/>
        <v>12746.814479674811</v>
      </c>
    </row>
    <row r="32" spans="1:19" x14ac:dyDescent="0.2">
      <c r="A32" s="906" t="s">
        <v>4022</v>
      </c>
      <c r="B32" s="893">
        <v>285</v>
      </c>
      <c r="C32" s="907">
        <v>263</v>
      </c>
      <c r="D32" s="893">
        <v>9</v>
      </c>
      <c r="F32" s="893" t="str">
        <f>_xlfn.XLOOKUP(A32,'[3]Pasport1 NetAcad zdroj4'!A:A,'[3]Pasport1 NetAcad zdroj4'!D:D,"Nenašlo sa")</f>
        <v>Stredná priemyselná škola technická</v>
      </c>
      <c r="G32" s="893" t="str">
        <f>_xlfn.XLOOKUP(A32,'[3]Pasport1 NetAcad zdroj4'!A:A,'[3]Pasport1 NetAcad zdroj4'!E:E,"Nenašlo sa")</f>
        <v>Novomeského 5/24, 036 36 Martin</v>
      </c>
      <c r="H32" s="900" t="s">
        <v>4255</v>
      </c>
      <c r="I32" s="908" t="str">
        <f>_xlfn.XLOOKUP(A32,'[3]Pasport1 NetAcad zdroj4'!A:A,'[3]Pasport1 NetAcad zdroj4'!AB:AB,"Nenašlo sa")</f>
        <v>A3</v>
      </c>
      <c r="J32" s="893">
        <f>_xlfn.XLOOKUP(A32,'[3]Pasport1 NetAcad zdroj4'!A:A,'[3]Pasport1 NetAcad zdroj4'!U:U,"Nenašlo sa")</f>
        <v>100</v>
      </c>
      <c r="K32" s="909">
        <f>C32/J32</f>
        <v>2.63</v>
      </c>
      <c r="M32" s="900" t="s">
        <v>4260</v>
      </c>
      <c r="N32" s="893" t="s">
        <v>4257</v>
      </c>
      <c r="O32" s="910">
        <v>3</v>
      </c>
      <c r="Q32" s="893">
        <f t="shared" si="2"/>
        <v>37.000000000000014</v>
      </c>
      <c r="R32" s="896">
        <f>'[3]Prieskum trhu TOP kurzy zdroj3'!$Q$58</f>
        <v>554.20932520325209</v>
      </c>
      <c r="S32" s="896">
        <f t="shared" si="3"/>
        <v>20505.745032520335</v>
      </c>
    </row>
    <row r="33" spans="1:19" x14ac:dyDescent="0.2">
      <c r="A33" s="906" t="s">
        <v>4056</v>
      </c>
      <c r="B33" s="893">
        <v>118</v>
      </c>
      <c r="C33" s="907">
        <v>88</v>
      </c>
      <c r="D33" s="893">
        <v>8</v>
      </c>
      <c r="F33" s="893" t="str">
        <f>_xlfn.XLOOKUP(A33,'[3]Pasport1 NetAcad zdroj4'!A:A,'[3]Pasport1 NetAcad zdroj4'!D:D,"Nenašlo sa")</f>
        <v>Stredná priemyselná škola</v>
      </c>
      <c r="G33" s="893" t="str">
        <f>_xlfn.XLOOKUP(A33,'[3]Pasport1 NetAcad zdroj4'!A:A,'[3]Pasport1 NetAcad zdroj4'!E:E,"Nenašlo sa")</f>
        <v>Ul. Slovenských partizánov 1132/52, 017 01 Považská Bystrica</v>
      </c>
      <c r="H33" s="900" t="s">
        <v>4255</v>
      </c>
      <c r="I33" s="900" t="str">
        <f>_xlfn.XLOOKUP(A33,'[3]Pasport1 NetAcad zdroj4'!A:A,'[3]Pasport1 NetAcad zdroj4'!AB:AB,"Nenašlo sa")</f>
        <v>A3</v>
      </c>
      <c r="J33" s="893">
        <f>_xlfn.XLOOKUP(A33,'[3]Pasport1 NetAcad zdroj4'!A:A,'[3]Pasport1 NetAcad zdroj4'!U:U,"Nenašlo sa")</f>
        <v>120</v>
      </c>
      <c r="K33" s="894">
        <v>1</v>
      </c>
      <c r="N33" s="900" t="s">
        <v>4258</v>
      </c>
      <c r="O33" s="910">
        <v>2</v>
      </c>
      <c r="Q33" s="893">
        <f t="shared" si="2"/>
        <v>120</v>
      </c>
      <c r="R33" s="896">
        <f>'[3]Prieskum trhu TOP kurzy zdroj3'!$Q$58</f>
        <v>554.20932520325209</v>
      </c>
      <c r="S33" s="896">
        <f t="shared" si="3"/>
        <v>66505.119024390253</v>
      </c>
    </row>
    <row r="34" spans="1:19" x14ac:dyDescent="0.2">
      <c r="A34" s="906" t="s">
        <v>3909</v>
      </c>
      <c r="B34" s="893">
        <v>356</v>
      </c>
      <c r="C34" s="907">
        <v>342</v>
      </c>
      <c r="D34" s="893">
        <v>205</v>
      </c>
      <c r="F34" s="893" t="str">
        <f>_xlfn.XLOOKUP(A34,'[3]Pasport1 NetAcad zdroj4'!A:A,'[3]Pasport1 NetAcad zdroj4'!D:D,"Nenašlo sa")</f>
        <v>Stredná priemyselná škola technická</v>
      </c>
      <c r="G34" s="893" t="str">
        <f>_xlfn.XLOOKUP(A34,'[3]Pasport1 NetAcad zdroj4'!A:A,'[3]Pasport1 NetAcad zdroj4'!E:E,"Nenašlo sa")</f>
        <v>Komenského 5, 085 42 Bardejov</v>
      </c>
      <c r="H34" s="900" t="s">
        <v>4255</v>
      </c>
      <c r="I34" s="908" t="str">
        <f>_xlfn.XLOOKUP(A34,'[3]Pasport1 NetAcad zdroj4'!A:A,'[3]Pasport1 NetAcad zdroj4'!AB:AB,"Nenašlo sa")</f>
        <v>A3</v>
      </c>
      <c r="J34" s="893">
        <f>_xlfn.XLOOKUP(A34,'[3]Pasport1 NetAcad zdroj4'!A:A,'[3]Pasport1 NetAcad zdroj4'!U:U,"Nenašlo sa")</f>
        <v>150</v>
      </c>
      <c r="K34" s="909">
        <f>C34/J34</f>
        <v>2.2799999999999998</v>
      </c>
      <c r="M34" s="900" t="s">
        <v>4260</v>
      </c>
      <c r="N34" s="893" t="s">
        <v>4257</v>
      </c>
      <c r="O34" s="910">
        <v>3</v>
      </c>
      <c r="Q34" s="893">
        <f t="shared" si="2"/>
        <v>108.00000000000003</v>
      </c>
      <c r="R34" s="896">
        <f>'[3]Prieskum trhu TOP kurzy zdroj3'!$Q$58</f>
        <v>554.20932520325209</v>
      </c>
      <c r="S34" s="896">
        <f t="shared" si="3"/>
        <v>59854.607121951245</v>
      </c>
    </row>
    <row r="35" spans="1:19" x14ac:dyDescent="0.2">
      <c r="A35" s="906" t="s">
        <v>4100</v>
      </c>
      <c r="B35" s="893">
        <v>142</v>
      </c>
      <c r="C35" s="907">
        <v>130</v>
      </c>
      <c r="D35" s="893">
        <v>30</v>
      </c>
      <c r="F35" s="893" t="str">
        <f>_xlfn.XLOOKUP(A35,'[3]Pasport1 NetAcad zdroj4'!A:A,'[3]Pasport1 NetAcad zdroj4'!D:D,"Nenašlo sa")</f>
        <v>Stredná priemyselná škola</v>
      </c>
      <c r="G35" s="893" t="str">
        <f>_xlfn.XLOOKUP(A35,'[3]Pasport1 NetAcad zdroj4'!A:A,'[3]Pasport1 NetAcad zdroj4'!E:E,"Nenašlo sa")</f>
        <v xml:space="preserve">Partizánska 1059/23, Snina </v>
      </c>
      <c r="H35" s="900" t="s">
        <v>4255</v>
      </c>
      <c r="I35" s="900" t="str">
        <f>_xlfn.XLOOKUP(A35,'[3]Pasport1 NetAcad zdroj4'!A:A,'[3]Pasport1 NetAcad zdroj4'!AB:AB,"Nenašlo sa")</f>
        <v>A3</v>
      </c>
      <c r="J35" s="893">
        <f>_xlfn.XLOOKUP(A35,'[3]Pasport1 NetAcad zdroj4'!A:A,'[3]Pasport1 NetAcad zdroj4'!U:U,"Nenašlo sa")</f>
        <v>150</v>
      </c>
      <c r="K35" s="894">
        <v>1</v>
      </c>
      <c r="N35" s="900" t="s">
        <v>4258</v>
      </c>
      <c r="O35" s="910">
        <v>2</v>
      </c>
      <c r="Q35" s="893">
        <f t="shared" si="2"/>
        <v>150</v>
      </c>
      <c r="R35" s="896">
        <f>'[3]Prieskum trhu TOP kurzy zdroj3'!$Q$58</f>
        <v>554.20932520325209</v>
      </c>
      <c r="S35" s="896">
        <f t="shared" si="3"/>
        <v>83131.398780487812</v>
      </c>
    </row>
    <row r="36" spans="1:19" x14ac:dyDescent="0.2">
      <c r="A36" s="906" t="s">
        <v>4073</v>
      </c>
      <c r="B36" s="893">
        <v>670</v>
      </c>
      <c r="C36" s="907">
        <v>618</v>
      </c>
      <c r="D36" s="893">
        <v>132</v>
      </c>
      <c r="F36" s="893" t="str">
        <f>_xlfn.XLOOKUP(A36,'[3]Pasport1 NetAcad zdroj4'!A:A,'[3]Pasport1 NetAcad zdroj4'!D:D,"Nenašlo sa")</f>
        <v>Stredná priemyselná škola elektrotechnická Košice</v>
      </c>
      <c r="G36" s="893" t="str">
        <f>_xlfn.XLOOKUP(A36,'[3]Pasport1 NetAcad zdroj4'!A:A,'[3]Pasport1 NetAcad zdroj4'!E:E,"Nenašlo sa")</f>
        <v>Komenského 44, 040 01 Košice</v>
      </c>
      <c r="H36" s="900" t="s">
        <v>4255</v>
      </c>
      <c r="I36" s="908" t="str">
        <f>_xlfn.XLOOKUP(A36,'[3]Pasport1 NetAcad zdroj4'!A:A,'[3]Pasport1 NetAcad zdroj4'!AB:AB,"Nenašlo sa")</f>
        <v>A1</v>
      </c>
      <c r="J36" s="893">
        <f>_xlfn.XLOOKUP(A36,'[3]Pasport1 NetAcad zdroj4'!A:A,'[3]Pasport1 NetAcad zdroj4'!U:U,"Nenašlo sa")</f>
        <v>580</v>
      </c>
      <c r="K36" s="911">
        <f>C36/J36</f>
        <v>1.0655172413793104</v>
      </c>
      <c r="M36" s="900" t="s">
        <v>4260</v>
      </c>
      <c r="N36" s="893" t="s">
        <v>4257</v>
      </c>
      <c r="O36" s="910">
        <v>3</v>
      </c>
      <c r="Q36" s="893">
        <f t="shared" si="2"/>
        <v>1122</v>
      </c>
      <c r="R36" s="896">
        <f>'[3]Prieskum trhu TOP kurzy zdroj3'!$Q$58</f>
        <v>554.20932520325209</v>
      </c>
      <c r="S36" s="896">
        <f t="shared" si="3"/>
        <v>621822.86287804879</v>
      </c>
    </row>
    <row r="37" spans="1:19" x14ac:dyDescent="0.2">
      <c r="A37" s="906" t="s">
        <v>4172</v>
      </c>
      <c r="B37" s="893">
        <v>92</v>
      </c>
      <c r="C37" s="907">
        <v>87</v>
      </c>
      <c r="D37" s="893">
        <v>25</v>
      </c>
      <c r="F37" s="893" t="str">
        <f>_xlfn.XLOOKUP(A37,'[3]Pasport1 NetAcad zdroj4'!A:A,'[3]Pasport1 NetAcad zdroj4'!D:D,"Nenašlo sa")</f>
        <v>Stredná priemyselná škola techniky a dizajnu</v>
      </c>
      <c r="G37" s="893" t="str">
        <f>_xlfn.XLOOKUP(A37,'[3]Pasport1 NetAcad zdroj4'!A:A,'[3]Pasport1 NetAcad zdroj4'!E:E,"Nenašlo sa")</f>
        <v>Mnoheľova 828/23, 058 46 Poprad</v>
      </c>
      <c r="H37" s="900" t="s">
        <v>4255</v>
      </c>
      <c r="I37" s="900" t="str">
        <f>_xlfn.XLOOKUP(A37,'[3]Pasport1 NetAcad zdroj4'!A:A,'[3]Pasport1 NetAcad zdroj4'!AB:AB,"Nenašlo sa")</f>
        <v>B1</v>
      </c>
      <c r="J37" s="893">
        <f>_xlfn.XLOOKUP(A37,'[3]Pasport1 NetAcad zdroj4'!A:A,'[3]Pasport1 NetAcad zdroj4'!U:U,"Nenašlo sa")</f>
        <v>150</v>
      </c>
      <c r="K37" s="894">
        <v>1</v>
      </c>
    </row>
    <row r="38" spans="1:19" x14ac:dyDescent="0.2">
      <c r="A38" s="906" t="s">
        <v>4030</v>
      </c>
      <c r="B38" s="893">
        <v>1515</v>
      </c>
      <c r="C38" s="907">
        <v>1477</v>
      </c>
      <c r="D38" s="893">
        <v>1195</v>
      </c>
      <c r="F38" s="893" t="str">
        <f>_xlfn.XLOOKUP(A38,'[3]Pasport1 NetAcad zdroj4'!A:A,'[3]Pasport1 NetAcad zdroj4'!D:D,"Nenašlo sa")</f>
        <v>Stredná priemyselná škola elektrotechnická</v>
      </c>
      <c r="G38" s="893" t="str">
        <f>_xlfn.XLOOKUP(A38,'[3]Pasport1 NetAcad zdroj4'!A:A,'[3]Pasport1 NetAcad zdroj4'!E:E,"Nenašlo sa")</f>
        <v>Plzenská 1, 080 47 Prešov</v>
      </c>
      <c r="H38" s="900" t="s">
        <v>4255</v>
      </c>
      <c r="I38" s="908" t="str">
        <f>_xlfn.XLOOKUP(A38,'[3]Pasport1 NetAcad zdroj4'!A:A,'[3]Pasport1 NetAcad zdroj4'!AB:AB,"Nenašlo sa")</f>
        <v>A1</v>
      </c>
      <c r="J38" s="893">
        <f>_xlfn.XLOOKUP(A38,'[3]Pasport1 NetAcad zdroj4'!A:A,'[3]Pasport1 NetAcad zdroj4'!U:U,"Nenašlo sa")</f>
        <v>350</v>
      </c>
      <c r="K38" s="909">
        <f>C38/J38</f>
        <v>4.22</v>
      </c>
      <c r="M38" s="900" t="s">
        <v>4260</v>
      </c>
      <c r="N38" s="900" t="s">
        <v>4265</v>
      </c>
    </row>
    <row r="39" spans="1:19" x14ac:dyDescent="0.2">
      <c r="A39" s="906" t="s">
        <v>4000</v>
      </c>
      <c r="B39" s="893">
        <v>3517</v>
      </c>
      <c r="C39" s="907">
        <v>3278</v>
      </c>
      <c r="D39" s="893">
        <v>2588</v>
      </c>
      <c r="F39" s="893" t="str">
        <f>_xlfn.XLOOKUP(A39,'[3]Pasport1 NetAcad zdroj4'!A:A,'[3]Pasport1 NetAcad zdroj4'!D:D,"Nenašlo sa")</f>
        <v>FRI UNIZA  - centrum školenia inštruktorov</v>
      </c>
      <c r="H39" s="900" t="s">
        <v>4255</v>
      </c>
      <c r="I39" s="900" t="str">
        <f>_xlfn.XLOOKUP(A39,'[3]Pasport1 NetAcad zdroj4'!A:A,'[3]Pasport1 NetAcad zdroj4'!AB:AB,"Nenašlo sa")</f>
        <v>D</v>
      </c>
      <c r="J39" s="893">
        <f>_xlfn.XLOOKUP(A39,'[3]Pasport1 NetAcad zdroj4'!A:A,'[3]Pasport1 NetAcad zdroj4'!U:U,"Nenašlo sa")</f>
        <v>1646</v>
      </c>
      <c r="K39" s="894">
        <f>C39/J39</f>
        <v>1.991494532199271</v>
      </c>
    </row>
    <row r="40" spans="1:19" x14ac:dyDescent="0.2">
      <c r="A40" s="906" t="s">
        <v>4210</v>
      </c>
      <c r="B40" s="893">
        <v>1175</v>
      </c>
      <c r="C40" s="907">
        <v>1056</v>
      </c>
      <c r="D40" s="893">
        <v>478</v>
      </c>
      <c r="F40" s="893" t="str">
        <f>_xlfn.XLOOKUP(A40,'[3]Pasport1 NetAcad zdroj4'!A:A,'[3]Pasport1 NetAcad zdroj4'!D:D,"Nenašlo sa")</f>
        <v>FEI TUKE  - centrum školenia inštruktorov / podporné centrum</v>
      </c>
      <c r="H40" s="900" t="s">
        <v>4255</v>
      </c>
      <c r="I40" s="900" t="str">
        <f>_xlfn.XLOOKUP(A40,'[3]Pasport1 NetAcad zdroj4'!A:A,'[3]Pasport1 NetAcad zdroj4'!AB:AB,"Nenašlo sa")</f>
        <v>D</v>
      </c>
      <c r="J40" s="893">
        <f>_xlfn.XLOOKUP(A40,'[3]Pasport1 NetAcad zdroj4'!A:A,'[3]Pasport1 NetAcad zdroj4'!U:U,"Nenašlo sa")</f>
        <v>0</v>
      </c>
      <c r="K40" s="894">
        <v>1</v>
      </c>
    </row>
    <row r="41" spans="1:19" x14ac:dyDescent="0.2">
      <c r="A41" s="906" t="s">
        <v>4110</v>
      </c>
      <c r="F41" s="893" t="str">
        <f>_xlfn.XLOOKUP(A41,'[3]Pasport1 NetAcad zdroj4'!A:A,'[3]Pasport1 NetAcad zdroj4'!D:D,"Nenašlo sa")</f>
        <v>FIIT STU  - centrum školenia inštruktorov</v>
      </c>
      <c r="H41" s="900"/>
      <c r="I41" s="900"/>
    </row>
    <row r="42" spans="1:19" x14ac:dyDescent="0.2">
      <c r="A42" s="906" t="s">
        <v>4167</v>
      </c>
      <c r="B42" s="893">
        <v>14</v>
      </c>
      <c r="C42" s="907">
        <v>14</v>
      </c>
      <c r="D42" s="893">
        <v>6</v>
      </c>
      <c r="F42" s="893" t="str">
        <f>_xlfn.XLOOKUP(A42,'[3]Pasport1 NetAcad zdroj4'!A:A,'[3]Pasport1 NetAcad zdroj4'!D:D,"Nenašlo sa")</f>
        <v>Gymnázium Trebišovská</v>
      </c>
      <c r="G42" s="893" t="str">
        <f>_xlfn.XLOOKUP(A42,'[3]Pasport1 NetAcad zdroj4'!A:A,'[3]Pasport1 NetAcad zdroj4'!E:E,"Nenašlo sa")</f>
        <v>Trebišovská 12, 040 11 Košice</v>
      </c>
      <c r="H42" s="900" t="s">
        <v>4255</v>
      </c>
      <c r="I42" s="900" t="str">
        <f>_xlfn.XLOOKUP(A42,'[3]Pasport1 NetAcad zdroj4'!A:A,'[3]Pasport1 NetAcad zdroj4'!AB:AB,"Nenašlo sa")</f>
        <v>B3</v>
      </c>
      <c r="J42" s="893">
        <f>_xlfn.XLOOKUP(A42,'[3]Pasport1 NetAcad zdroj4'!A:A,'[3]Pasport1 NetAcad zdroj4'!U:U,"Nenašlo sa")</f>
        <v>0</v>
      </c>
      <c r="K42" s="894">
        <v>1</v>
      </c>
    </row>
    <row r="43" spans="1:19" x14ac:dyDescent="0.2">
      <c r="A43" s="906" t="s">
        <v>4132</v>
      </c>
      <c r="B43" s="893">
        <v>425</v>
      </c>
      <c r="C43" s="907">
        <v>424</v>
      </c>
      <c r="D43" s="893">
        <v>7</v>
      </c>
      <c r="F43" s="893" t="str">
        <f>_xlfn.XLOOKUP(A43,'[3]Pasport1 NetAcad zdroj4'!A:A,'[3]Pasport1 NetAcad zdroj4'!D:D,"Nenašlo sa")</f>
        <v>Stredná priemyselná škola dopravná</v>
      </c>
      <c r="G43" s="893" t="str">
        <f>_xlfn.XLOOKUP(A43,'[3]Pasport1 NetAcad zdroj4'!A:A,'[3]Pasport1 NetAcad zdroj4'!E:E,"Nenašlo sa")</f>
        <v>Študentská 23, 917 45 Trnava</v>
      </c>
      <c r="H43" s="900" t="s">
        <v>4255</v>
      </c>
      <c r="I43" s="900" t="str">
        <f>_xlfn.XLOOKUP(A43,'[3]Pasport1 NetAcad zdroj4'!A:A,'[3]Pasport1 NetAcad zdroj4'!AB:AB,"Nenašlo sa")</f>
        <v>B1</v>
      </c>
      <c r="J43" s="893">
        <f>_xlfn.XLOOKUP(A43,'[3]Pasport1 NetAcad zdroj4'!A:A,'[3]Pasport1 NetAcad zdroj4'!U:U,"Nenašlo sa")</f>
        <v>0</v>
      </c>
      <c r="K43" s="894">
        <v>1</v>
      </c>
      <c r="Q43" s="893">
        <f t="shared" ref="Q43:Q48" si="4">(O43-K43)*J43</f>
        <v>0</v>
      </c>
      <c r="R43" s="896">
        <f>'[3]Prieskum trhu TOP kurzy zdroj3'!$Q$58</f>
        <v>554.20932520325209</v>
      </c>
      <c r="S43" s="896">
        <f t="shared" ref="S43:S48" si="5">Q43*R43</f>
        <v>0</v>
      </c>
    </row>
    <row r="44" spans="1:19" x14ac:dyDescent="0.2">
      <c r="A44" s="906" t="s">
        <v>4096</v>
      </c>
      <c r="B44" s="893">
        <v>110</v>
      </c>
      <c r="C44" s="907">
        <v>83</v>
      </c>
      <c r="D44" s="893">
        <v>33</v>
      </c>
      <c r="F44" s="893" t="str">
        <f>_xlfn.XLOOKUP(A44,'[3]Pasport1 NetAcad zdroj4'!A:A,'[3]Pasport1 NetAcad zdroj4'!D:D,"Nenašlo sa")</f>
        <v>Stredná priemyselná škola technická</v>
      </c>
      <c r="G44" s="893" t="str">
        <f>_xlfn.XLOOKUP(A44,'[3]Pasport1 NetAcad zdroj4'!A:A,'[3]Pasport1 NetAcad zdroj4'!E:E,"Nenašlo sa")</f>
        <v>Hviezdoslavova 6, 052 01 Spišská Nová Ves</v>
      </c>
      <c r="H44" s="900" t="s">
        <v>4255</v>
      </c>
      <c r="I44" s="900" t="str">
        <f>_xlfn.XLOOKUP(A44,'[3]Pasport1 NetAcad zdroj4'!A:A,'[3]Pasport1 NetAcad zdroj4'!AB:AB,"Nenašlo sa")</f>
        <v>A3</v>
      </c>
      <c r="J44" s="893">
        <f>_xlfn.XLOOKUP(A44,'[3]Pasport1 NetAcad zdroj4'!A:A,'[3]Pasport1 NetAcad zdroj4'!U:U,"Nenašlo sa")</f>
        <v>150</v>
      </c>
      <c r="K44" s="894">
        <v>1</v>
      </c>
      <c r="M44" s="900" t="s">
        <v>4266</v>
      </c>
      <c r="N44" s="893" t="s">
        <v>4257</v>
      </c>
      <c r="O44" s="910">
        <v>3</v>
      </c>
      <c r="Q44" s="893">
        <f t="shared" si="4"/>
        <v>300</v>
      </c>
      <c r="R44" s="896">
        <f>'[3]Prieskum trhu TOP kurzy zdroj3'!$Q$58</f>
        <v>554.20932520325209</v>
      </c>
      <c r="S44" s="896">
        <f t="shared" si="5"/>
        <v>166262.79756097562</v>
      </c>
    </row>
    <row r="45" spans="1:19" x14ac:dyDescent="0.2">
      <c r="A45" s="906" t="s">
        <v>3950</v>
      </c>
      <c r="B45" s="893">
        <v>24</v>
      </c>
      <c r="C45" s="907">
        <v>24</v>
      </c>
      <c r="D45" s="893">
        <v>21</v>
      </c>
      <c r="F45" s="893" t="str">
        <f>_xlfn.XLOOKUP(A45,'[3]Pasport1 NetAcad zdroj4'!A:A,'[3]Pasport1 NetAcad zdroj4'!D:D,"Nenašlo sa")</f>
        <v>Stredná odborná škola technická</v>
      </c>
      <c r="G45" s="893" t="str">
        <f>_xlfn.XLOOKUP(A45,'[3]Pasport1 NetAcad zdroj4'!A:A,'[3]Pasport1 NetAcad zdroj4'!E:E,"Nenašlo sa")</f>
        <v>Kukučínova 483/12, 058 01 Poprad</v>
      </c>
      <c r="H45" s="900" t="s">
        <v>4255</v>
      </c>
      <c r="I45" s="900" t="str">
        <f>_xlfn.XLOOKUP(A45,'[3]Pasport1 NetAcad zdroj4'!A:A,'[3]Pasport1 NetAcad zdroj4'!AB:AB,"Nenašlo sa")</f>
        <v>A3</v>
      </c>
      <c r="J45" s="893">
        <f>_xlfn.XLOOKUP(A45,'[3]Pasport1 NetAcad zdroj4'!A:A,'[3]Pasport1 NetAcad zdroj4'!U:U,"Nenašlo sa")</f>
        <v>100</v>
      </c>
      <c r="K45" s="894">
        <v>1</v>
      </c>
      <c r="M45" s="900" t="s">
        <v>4267</v>
      </c>
      <c r="N45" s="900" t="s">
        <v>4262</v>
      </c>
      <c r="O45" s="910">
        <v>2</v>
      </c>
      <c r="Q45" s="893">
        <f t="shared" si="4"/>
        <v>100</v>
      </c>
      <c r="R45" s="896">
        <f>'[3]Prieskum trhu TOP kurzy zdroj3'!$Q$58</f>
        <v>554.20932520325209</v>
      </c>
      <c r="S45" s="896">
        <f t="shared" si="5"/>
        <v>55420.932520325208</v>
      </c>
    </row>
    <row r="46" spans="1:19" x14ac:dyDescent="0.2">
      <c r="A46" s="906" t="s">
        <v>3972</v>
      </c>
      <c r="B46" s="893">
        <v>688</v>
      </c>
      <c r="C46" s="907">
        <v>524</v>
      </c>
      <c r="D46" s="893">
        <v>140</v>
      </c>
      <c r="F46" s="893" t="str">
        <f>_xlfn.XLOOKUP(A46,'[3]Pasport1 NetAcad zdroj4'!A:A,'[3]Pasport1 NetAcad zdroj4'!D:D,"Nenašlo sa")</f>
        <v>Stredná odborná škola elektrotechnická</v>
      </c>
      <c r="G46" s="893" t="str">
        <f>_xlfn.XLOOKUP(A46,'[3]Pasport1 NetAcad zdroj4'!A:A,'[3]Pasport1 NetAcad zdroj4'!E:E,"Nenašlo sa")</f>
        <v>Celiny 536, 033 15 Liptovský Hrádok</v>
      </c>
      <c r="H46" s="900" t="s">
        <v>4255</v>
      </c>
      <c r="I46" s="908" t="str">
        <f>_xlfn.XLOOKUP(A46,'[3]Pasport1 NetAcad zdroj4'!A:A,'[3]Pasport1 NetAcad zdroj4'!AB:AB,"Nenašlo sa")</f>
        <v>A3</v>
      </c>
      <c r="J46" s="893">
        <f>_xlfn.XLOOKUP(A46,'[3]Pasport1 NetAcad zdroj4'!A:A,'[3]Pasport1 NetAcad zdroj4'!U:U,"Nenašlo sa")</f>
        <v>319</v>
      </c>
      <c r="K46" s="911">
        <f>C46/J46</f>
        <v>1.6426332288401253</v>
      </c>
      <c r="M46" s="900" t="s">
        <v>4260</v>
      </c>
      <c r="N46" s="893" t="s">
        <v>4257</v>
      </c>
      <c r="O46" s="910">
        <v>3</v>
      </c>
      <c r="Q46" s="893">
        <f t="shared" si="4"/>
        <v>433</v>
      </c>
      <c r="R46" s="896">
        <f>'[3]Prieskum trhu TOP kurzy zdroj3'!$Q$58</f>
        <v>554.20932520325209</v>
      </c>
      <c r="S46" s="896">
        <f t="shared" si="5"/>
        <v>239972.63781300816</v>
      </c>
    </row>
    <row r="47" spans="1:19" x14ac:dyDescent="0.2">
      <c r="A47" s="906" t="s">
        <v>3933</v>
      </c>
      <c r="B47" s="893">
        <v>926</v>
      </c>
      <c r="C47" s="907">
        <v>771</v>
      </c>
      <c r="D47" s="893">
        <v>361</v>
      </c>
      <c r="F47" s="893" t="str">
        <f>_xlfn.XLOOKUP(A47,'[3]Pasport1 NetAcad zdroj4'!A:A,'[3]Pasport1 NetAcad zdroj4'!D:D,"Nenašlo sa")</f>
        <v>Stredná odborná škola informačných technológií</v>
      </c>
      <c r="G47" s="893" t="str">
        <f>_xlfn.XLOOKUP(A47,'[3]Pasport1 NetAcad zdroj4'!A:A,'[3]Pasport1 NetAcad zdroj4'!E:E,"Nenašlo sa")</f>
        <v>Ostrovského 1, 040 01 Košice</v>
      </c>
      <c r="H47" s="900" t="s">
        <v>4255</v>
      </c>
      <c r="I47" s="908" t="str">
        <f>_xlfn.XLOOKUP(A47,'[3]Pasport1 NetAcad zdroj4'!A:A,'[3]Pasport1 NetAcad zdroj4'!AB:AB,"Nenašlo sa")</f>
        <v>A1</v>
      </c>
      <c r="J47" s="893">
        <f>_xlfn.XLOOKUP(A47,'[3]Pasport1 NetAcad zdroj4'!A:A,'[3]Pasport1 NetAcad zdroj4'!U:U,"Nenašlo sa")</f>
        <v>635</v>
      </c>
      <c r="K47" s="911">
        <f>C47/J47</f>
        <v>1.2141732283464568</v>
      </c>
      <c r="M47" s="900" t="s">
        <v>4260</v>
      </c>
      <c r="N47" s="893" t="s">
        <v>4257</v>
      </c>
      <c r="O47" s="910">
        <v>3</v>
      </c>
      <c r="Q47" s="893">
        <f t="shared" si="4"/>
        <v>1134</v>
      </c>
      <c r="R47" s="896">
        <f>'[3]Prieskum trhu TOP kurzy zdroj3'!$Q$58</f>
        <v>554.20932520325209</v>
      </c>
      <c r="S47" s="896">
        <f t="shared" si="5"/>
        <v>628473.37478048785</v>
      </c>
    </row>
    <row r="48" spans="1:19" x14ac:dyDescent="0.2">
      <c r="A48" s="906" t="s">
        <v>4066</v>
      </c>
      <c r="B48" s="893">
        <v>26</v>
      </c>
      <c r="C48" s="907">
        <v>16</v>
      </c>
      <c r="D48" s="893">
        <v>2</v>
      </c>
      <c r="F48" s="893" t="str">
        <f>_xlfn.XLOOKUP(A48,'[3]Pasport1 NetAcad zdroj4'!A:A,'[3]Pasport1 NetAcad zdroj4'!D:D,"Nenašlo sa")</f>
        <v>Stredná odborná škola polytechnická</v>
      </c>
      <c r="G48" s="893" t="str">
        <f>_xlfn.XLOOKUP(A48,'[3]Pasport1 NetAcad zdroj4'!A:A,'[3]Pasport1 NetAcad zdroj4'!E:E,"Nenašlo sa")</f>
        <v>Štefánikova 1550/20, 066 01 Humenné</v>
      </c>
      <c r="H48" s="900" t="s">
        <v>4255</v>
      </c>
      <c r="I48" s="900" t="str">
        <f>_xlfn.XLOOKUP(A48,'[3]Pasport1 NetAcad zdroj4'!A:A,'[3]Pasport1 NetAcad zdroj4'!AB:AB,"Nenašlo sa")</f>
        <v>A3</v>
      </c>
      <c r="J48" s="893">
        <f>_xlfn.XLOOKUP(A48,'[3]Pasport1 NetAcad zdroj4'!A:A,'[3]Pasport1 NetAcad zdroj4'!U:U,"Nenašlo sa")</f>
        <v>80</v>
      </c>
      <c r="K48" s="894">
        <v>1</v>
      </c>
      <c r="N48" s="900" t="s">
        <v>4258</v>
      </c>
      <c r="O48" s="910">
        <v>2</v>
      </c>
      <c r="Q48" s="893">
        <f t="shared" si="4"/>
        <v>80</v>
      </c>
      <c r="R48" s="896">
        <f>'[3]Prieskum trhu TOP kurzy zdroj3'!$Q$58</f>
        <v>554.20932520325209</v>
      </c>
      <c r="S48" s="896">
        <f t="shared" si="5"/>
        <v>44336.746016260164</v>
      </c>
    </row>
    <row r="49" spans="1:19" x14ac:dyDescent="0.2">
      <c r="A49" s="906" t="s">
        <v>3965</v>
      </c>
      <c r="B49" s="893">
        <v>7</v>
      </c>
      <c r="C49" s="907">
        <v>5</v>
      </c>
      <c r="D49" s="893">
        <v>1</v>
      </c>
      <c r="F49" s="893" t="str">
        <f>_xlfn.XLOOKUP(A49,'[3]Pasport1 NetAcad zdroj4'!A:A,'[3]Pasport1 NetAcad zdroj4'!D:D,"Nenašlo sa")</f>
        <v>Stredná odborná škola technická ako org.zl.Spojenej školy</v>
      </c>
      <c r="G49" s="893" t="str">
        <f>_xlfn.XLOOKUP(A49,'[3]Pasport1 NetAcad zdroj4'!A:A,'[3]Pasport1 NetAcad zdroj4'!E:E,"Nenašlo sa")</f>
        <v>Hattalova 471, 027 43 Nižná</v>
      </c>
      <c r="H49" s="900" t="s">
        <v>4255</v>
      </c>
      <c r="I49" s="900" t="str">
        <f>_xlfn.XLOOKUP(A49,'[3]Pasport1 NetAcad zdroj4'!A:A,'[3]Pasport1 NetAcad zdroj4'!AB:AB,"Nenašlo sa")</f>
        <v>B1</v>
      </c>
      <c r="J49" s="893">
        <f>_xlfn.XLOOKUP(A49,'[3]Pasport1 NetAcad zdroj4'!A:A,'[3]Pasport1 NetAcad zdroj4'!U:U,"Nenašlo sa")</f>
        <v>30</v>
      </c>
      <c r="K49" s="894">
        <v>1</v>
      </c>
    </row>
    <row r="50" spans="1:19" x14ac:dyDescent="0.2">
      <c r="A50" s="906" t="s">
        <v>4054</v>
      </c>
      <c r="C50" s="907"/>
      <c r="F50" s="893" t="str">
        <f>_xlfn.XLOOKUP(A50,'[3]Pasport1 NetAcad zdroj4'!A:A,'[3]Pasport1 NetAcad zdroj4'!D:D,"Nenašlo sa")</f>
        <v>Gymnázium Grösslingová</v>
      </c>
      <c r="G50" s="893" t="str">
        <f>_xlfn.XLOOKUP(A50,'[3]Pasport1 NetAcad zdroj4'!A:A,'[3]Pasport1 NetAcad zdroj4'!E:E,"Nenašlo sa")</f>
        <v>Grösslingová 18, 811 09 Bratislava</v>
      </c>
      <c r="H50" s="900"/>
      <c r="I50" s="900"/>
    </row>
    <row r="51" spans="1:19" x14ac:dyDescent="0.2">
      <c r="A51" s="906" t="s">
        <v>3993</v>
      </c>
      <c r="B51" s="893">
        <v>127</v>
      </c>
      <c r="C51" s="907">
        <v>71</v>
      </c>
      <c r="D51" s="893">
        <v>0</v>
      </c>
      <c r="F51" s="893" t="str">
        <f>_xlfn.XLOOKUP(A51,'[3]Pasport1 NetAcad zdroj4'!A:A,'[3]Pasport1 NetAcad zdroj4'!D:D,"Nenašlo sa")</f>
        <v>Spojená škola sv. Jána Bosca - org. zl. SOŠ IT sv. Jána Bosca</v>
      </c>
      <c r="G51" s="893" t="str">
        <f>_xlfn.XLOOKUP(A51,'[3]Pasport1 NetAcad zdroj4'!A:A,'[3]Pasport1 NetAcad zdroj4'!E:E,"Nenašlo sa")</f>
        <v>Trenčianska 66/28, 018 51 Nová Dubnica</v>
      </c>
      <c r="H51" s="900" t="s">
        <v>4255</v>
      </c>
      <c r="I51" s="900" t="str">
        <f>_xlfn.XLOOKUP(A51,'[3]Pasport1 NetAcad zdroj4'!A:A,'[3]Pasport1 NetAcad zdroj4'!AB:AB,"Nenašlo sa")</f>
        <v>A3</v>
      </c>
      <c r="J51" s="893">
        <f>_xlfn.XLOOKUP(A51,'[3]Pasport1 NetAcad zdroj4'!A:A,'[3]Pasport1 NetAcad zdroj4'!U:U,"Nenašlo sa")</f>
        <v>145</v>
      </c>
      <c r="K51" s="894">
        <v>1</v>
      </c>
      <c r="N51" s="900" t="s">
        <v>4258</v>
      </c>
      <c r="O51" s="910">
        <v>2</v>
      </c>
      <c r="Q51" s="893">
        <f>(O51-K51)*J51</f>
        <v>145</v>
      </c>
      <c r="R51" s="896">
        <f>'[3]Prieskum trhu TOP kurzy zdroj3'!$Q$58</f>
        <v>554.20932520325209</v>
      </c>
      <c r="S51" s="896">
        <f t="shared" ref="S51" si="6">Q51*R51</f>
        <v>80360.352154471548</v>
      </c>
    </row>
    <row r="52" spans="1:19" x14ac:dyDescent="0.2">
      <c r="A52" s="906" t="s">
        <v>3996</v>
      </c>
      <c r="B52" s="893">
        <v>138</v>
      </c>
      <c r="C52" s="907">
        <v>136</v>
      </c>
      <c r="D52" s="893">
        <v>133</v>
      </c>
      <c r="F52" s="893" t="str">
        <f>_xlfn.XLOOKUP(A52,'[3]Pasport1 NetAcad zdroj4'!A:A,'[3]Pasport1 NetAcad zdroj4'!D:D,"Nenašlo sa")</f>
        <v>Akadémia ozbrojených síl generála M. R. Štefánika</v>
      </c>
      <c r="G52" s="893" t="str">
        <f>_xlfn.XLOOKUP(A52,'[3]Pasport1 NetAcad zdroj4'!A:A,'[3]Pasport1 NetAcad zdroj4'!E:E,"Nenašlo sa")</f>
        <v>Demänová 393, 031 01 Liptovský Mikuláš</v>
      </c>
      <c r="H52" s="900" t="s">
        <v>4255</v>
      </c>
      <c r="I52" s="908" t="str">
        <f>_xlfn.XLOOKUP(A52,'[3]Pasport1 NetAcad zdroj4'!A:A,'[3]Pasport1 NetAcad zdroj4'!AB:AB,"Nenašlo sa")</f>
        <v>B1 (vš)</v>
      </c>
      <c r="J52" s="893">
        <f>_xlfn.XLOOKUP(A52,'[3]Pasport1 NetAcad zdroj4'!A:A,'[3]Pasport1 NetAcad zdroj4'!U:U,"Nenašlo sa")</f>
        <v>100</v>
      </c>
      <c r="K52" s="911">
        <f>C52/J52</f>
        <v>1.36</v>
      </c>
      <c r="M52" s="900" t="s">
        <v>4268</v>
      </c>
    </row>
    <row r="53" spans="1:19" x14ac:dyDescent="0.2">
      <c r="A53" s="906" t="s">
        <v>4083</v>
      </c>
      <c r="B53" s="893">
        <v>50</v>
      </c>
      <c r="C53" s="907">
        <v>17</v>
      </c>
      <c r="D53" s="893">
        <v>10</v>
      </c>
      <c r="F53" s="893" t="str">
        <f>_xlfn.XLOOKUP(A53,'[3]Pasport1 NetAcad zdroj4'!A:A,'[3]Pasport1 NetAcad zdroj4'!D:D,"Nenašlo sa")</f>
        <v>Stredná odborná škola strojnícka</v>
      </c>
      <c r="G53" s="893" t="str">
        <f>_xlfn.XLOOKUP(A53,'[3]Pasport1 NetAcad zdroj4'!A:A,'[3]Pasport1 NetAcad zdroj4'!E:E,"Nenašlo sa")</f>
        <v>Partizánska cesta 76, 957 01 Bánovce nad Bebravou</v>
      </c>
      <c r="H53" s="900" t="s">
        <v>4255</v>
      </c>
      <c r="I53" s="900" t="str">
        <f>_xlfn.XLOOKUP(A53,'[3]Pasport1 NetAcad zdroj4'!A:A,'[3]Pasport1 NetAcad zdroj4'!AB:AB,"Nenašlo sa")</f>
        <v>A3</v>
      </c>
      <c r="J53" s="893">
        <f>_xlfn.XLOOKUP(A53,'[3]Pasport1 NetAcad zdroj4'!A:A,'[3]Pasport1 NetAcad zdroj4'!U:U,"Nenašlo sa")</f>
        <v>100</v>
      </c>
      <c r="K53" s="894">
        <v>1</v>
      </c>
      <c r="M53" s="900" t="s">
        <v>4269</v>
      </c>
      <c r="N53" s="900" t="s">
        <v>4263</v>
      </c>
      <c r="O53" s="910">
        <v>2</v>
      </c>
      <c r="Q53" s="893">
        <f>(O53-K53)*J53</f>
        <v>100</v>
      </c>
      <c r="R53" s="896">
        <f>'[3]Prieskum trhu TOP kurzy zdroj3'!$Q$58</f>
        <v>554.20932520325209</v>
      </c>
      <c r="S53" s="896">
        <f t="shared" ref="S53:S54" si="7">Q53*R53</f>
        <v>55420.932520325208</v>
      </c>
    </row>
    <row r="54" spans="1:19" x14ac:dyDescent="0.2">
      <c r="A54" s="906" t="s">
        <v>4086</v>
      </c>
      <c r="B54" s="893">
        <v>71</v>
      </c>
      <c r="C54" s="907">
        <v>65</v>
      </c>
      <c r="D54" s="893">
        <v>43</v>
      </c>
      <c r="F54" s="893" t="str">
        <f>_xlfn.XLOOKUP(A54,'[3]Pasport1 NetAcad zdroj4'!A:A,'[3]Pasport1 NetAcad zdroj4'!D:D,"Nenašlo sa")</f>
        <v>Stredná odborná škola technická ako org.zl. Spojenej školy</v>
      </c>
      <c r="G54" s="893" t="str">
        <f>_xlfn.XLOOKUP(A54,'[3]Pasport1 NetAcad zdroj4'!A:A,'[3]Pasport1 NetAcad zdroj4'!E:E,"Nenašlo sa")</f>
        <v>Ľ. Podjavorinskej 22, 080 01 Prešov</v>
      </c>
      <c r="H54" s="900" t="s">
        <v>4255</v>
      </c>
      <c r="I54" s="908" t="str">
        <f>_xlfn.XLOOKUP(A54,'[3]Pasport1 NetAcad zdroj4'!A:A,'[3]Pasport1 NetAcad zdroj4'!AB:AB,"Nenašlo sa")</f>
        <v>C1?</v>
      </c>
      <c r="J54" s="893">
        <f>_xlfn.XLOOKUP(A54,'[3]Pasport1 NetAcad zdroj4'!A:A,'[3]Pasport1 NetAcad zdroj4'!U:U,"Nenašlo sa")</f>
        <v>30</v>
      </c>
      <c r="K54" s="909">
        <f>C54/J54</f>
        <v>2.1666666666666665</v>
      </c>
      <c r="M54" s="900" t="s">
        <v>4260</v>
      </c>
      <c r="N54" s="900" t="s">
        <v>4270</v>
      </c>
      <c r="O54" s="910">
        <v>3</v>
      </c>
      <c r="Q54" s="893">
        <f>(O54-K54)*J54</f>
        <v>25.000000000000004</v>
      </c>
      <c r="R54" s="896">
        <f>'[3]Prieskum trhu TOP kurzy zdroj3'!$Q$58</f>
        <v>554.20932520325209</v>
      </c>
      <c r="S54" s="896">
        <f t="shared" si="7"/>
        <v>13855.233130081304</v>
      </c>
    </row>
    <row r="55" spans="1:19" x14ac:dyDescent="0.2">
      <c r="A55" s="906" t="s">
        <v>3961</v>
      </c>
      <c r="B55" s="893">
        <v>18</v>
      </c>
      <c r="C55" s="907">
        <v>2</v>
      </c>
      <c r="D55" s="893">
        <v>0</v>
      </c>
      <c r="F55" s="893" t="str">
        <f>_xlfn.XLOOKUP(A55,'[3]Pasport1 NetAcad zdroj4'!A:A,'[3]Pasport1 NetAcad zdroj4'!D:D,"Nenašlo sa")</f>
        <v>Spojená škola - Stredná odborná škola elektrotechnická</v>
      </c>
      <c r="G55" s="893" t="str">
        <f>_xlfn.XLOOKUP(A55,'[3]Pasport1 NetAcad zdroj4'!A:A,'[3]Pasport1 NetAcad zdroj4'!E:E,"Nenašlo sa")</f>
        <v>Zvolenská cesta 18, 975 32 Banská Bystrica</v>
      </c>
      <c r="H55" s="900" t="s">
        <v>4255</v>
      </c>
      <c r="I55" s="900" t="str">
        <f>_xlfn.XLOOKUP(A55,'[3]Pasport1 NetAcad zdroj4'!A:A,'[3]Pasport1 NetAcad zdroj4'!AB:AB,"Nenašlo sa")</f>
        <v>A3</v>
      </c>
      <c r="J55" s="893">
        <f>_xlfn.XLOOKUP(A55,'[3]Pasport1 NetAcad zdroj4'!A:A,'[3]Pasport1 NetAcad zdroj4'!U:U,"Nenašlo sa")</f>
        <v>100</v>
      </c>
      <c r="K55" s="894">
        <v>1</v>
      </c>
    </row>
    <row r="56" spans="1:19" x14ac:dyDescent="0.2">
      <c r="A56" s="906" t="s">
        <v>4139</v>
      </c>
      <c r="F56" s="893" t="str">
        <f>_xlfn.XLOOKUP(A56,'[3]Pasport1 NetAcad zdroj4'!A:A,'[3]Pasport1 NetAcad zdroj4'!D:D,"Nenašlo sa")</f>
        <v>Spojená škola Svätej Rodiny - Gymnázium</v>
      </c>
      <c r="G56" s="893" t="str">
        <f>_xlfn.XLOOKUP(A56,'[3]Pasport1 NetAcad zdroj4'!A:A,'[3]Pasport1 NetAcad zdroj4'!E:E,"Nenašlo sa")</f>
        <v>Gercenova 10, 851 01 Bratislava</v>
      </c>
      <c r="O56" s="892" t="s">
        <v>4271</v>
      </c>
      <c r="Q56" s="912">
        <f>SUM(Q4:Q54)</f>
        <v>7041</v>
      </c>
      <c r="S56" s="913">
        <f>SUM(S4:S54)</f>
        <v>3902187.8587560975</v>
      </c>
    </row>
    <row r="57" spans="1:19" x14ac:dyDescent="0.2">
      <c r="A57" s="906" t="s">
        <v>3509</v>
      </c>
      <c r="B57" s="893">
        <v>14275</v>
      </c>
      <c r="C57" s="893">
        <v>12906</v>
      </c>
      <c r="D57" s="893">
        <v>6839</v>
      </c>
    </row>
    <row r="60" spans="1:19" x14ac:dyDescent="0.2">
      <c r="N60" s="900" t="s">
        <v>4241</v>
      </c>
      <c r="Q60" s="900" t="s">
        <v>4242</v>
      </c>
    </row>
    <row r="61" spans="1:19" ht="48" x14ac:dyDescent="0.2">
      <c r="A61" s="914" t="s">
        <v>4272</v>
      </c>
      <c r="B61" s="915"/>
      <c r="C61" s="915"/>
      <c r="D61" s="915"/>
      <c r="E61" s="915"/>
      <c r="F61" s="915"/>
      <c r="M61" s="901" t="s">
        <v>4249</v>
      </c>
      <c r="N61" s="901" t="s">
        <v>4250</v>
      </c>
      <c r="O61" s="903" t="s">
        <v>4251</v>
      </c>
      <c r="Q61" s="904" t="s">
        <v>4252</v>
      </c>
      <c r="R61" s="905" t="s">
        <v>4253</v>
      </c>
      <c r="S61" s="905" t="s">
        <v>4254</v>
      </c>
    </row>
    <row r="62" spans="1:19" x14ac:dyDescent="0.2">
      <c r="A62" s="916" t="s">
        <v>4273</v>
      </c>
      <c r="B62" s="917" t="s">
        <v>4274</v>
      </c>
      <c r="C62" s="917" t="s">
        <v>4275</v>
      </c>
      <c r="D62" s="918">
        <v>34</v>
      </c>
      <c r="E62" s="918">
        <v>160</v>
      </c>
      <c r="F62" s="919" t="s">
        <v>3860</v>
      </c>
      <c r="M62" s="900" t="s">
        <v>4276</v>
      </c>
      <c r="N62" s="900" t="s">
        <v>4277</v>
      </c>
      <c r="O62" s="910">
        <v>2</v>
      </c>
      <c r="Q62" s="894">
        <f>O62*D62</f>
        <v>68</v>
      </c>
      <c r="R62" s="896">
        <f>'[3]Prieskum trhu TOP kurzy zdroj3'!$Q$58</f>
        <v>554.20932520325209</v>
      </c>
      <c r="S62" s="896">
        <f t="shared" ref="S62" si="8">Q62*R62</f>
        <v>37686.234113821141</v>
      </c>
    </row>
    <row r="63" spans="1:19" x14ac:dyDescent="0.2">
      <c r="A63" s="916">
        <v>37890221</v>
      </c>
      <c r="B63" s="917" t="s">
        <v>4278</v>
      </c>
      <c r="C63" s="917" t="s">
        <v>4279</v>
      </c>
      <c r="D63" s="918">
        <v>0</v>
      </c>
      <c r="E63" s="918">
        <v>30</v>
      </c>
      <c r="F63" s="920" t="s">
        <v>4122</v>
      </c>
    </row>
    <row r="64" spans="1:19" x14ac:dyDescent="0.2">
      <c r="A64" s="916">
        <v>37784722</v>
      </c>
      <c r="B64" s="917" t="s">
        <v>4280</v>
      </c>
      <c r="C64" s="917" t="s">
        <v>4281</v>
      </c>
      <c r="D64" s="918">
        <v>60</v>
      </c>
      <c r="E64" s="918">
        <v>15</v>
      </c>
      <c r="F64" s="919" t="s">
        <v>4122</v>
      </c>
    </row>
    <row r="65" spans="1:19" x14ac:dyDescent="0.2">
      <c r="A65" s="916">
        <v>36087947</v>
      </c>
      <c r="B65" s="917" t="s">
        <v>4282</v>
      </c>
      <c r="C65" s="917" t="s">
        <v>4283</v>
      </c>
      <c r="D65" s="918">
        <v>150</v>
      </c>
      <c r="E65" s="918">
        <v>150</v>
      </c>
      <c r="F65" s="919" t="s">
        <v>3860</v>
      </c>
      <c r="M65" s="900" t="s">
        <v>4276</v>
      </c>
      <c r="N65" s="900" t="s">
        <v>4277</v>
      </c>
      <c r="O65" s="910">
        <v>2</v>
      </c>
      <c r="Q65" s="894">
        <f>O65*D65</f>
        <v>300</v>
      </c>
      <c r="R65" s="896">
        <f>'[3]Prieskum trhu TOP kurzy zdroj3'!$Q$58</f>
        <v>554.20932520325209</v>
      </c>
      <c r="S65" s="896">
        <f t="shared" ref="S65:S66" si="9">Q65*R65</f>
        <v>166262.79756097562</v>
      </c>
    </row>
    <row r="66" spans="1:19" x14ac:dyDescent="0.2">
      <c r="A66" s="921">
        <v>42035261</v>
      </c>
      <c r="B66" s="917" t="s">
        <v>4284</v>
      </c>
      <c r="C66" s="917" t="s">
        <v>4285</v>
      </c>
      <c r="D66" s="918">
        <v>261</v>
      </c>
      <c r="E66" s="918">
        <v>131</v>
      </c>
      <c r="F66" s="919" t="s">
        <v>3860</v>
      </c>
      <c r="M66" s="900" t="s">
        <v>4276</v>
      </c>
      <c r="N66" s="900" t="s">
        <v>4277</v>
      </c>
      <c r="O66" s="910">
        <v>2</v>
      </c>
      <c r="Q66" s="894">
        <f>O66*D66</f>
        <v>522</v>
      </c>
      <c r="R66" s="896">
        <f>'[3]Prieskum trhu TOP kurzy zdroj3'!$Q$58</f>
        <v>554.20932520325209</v>
      </c>
      <c r="S66" s="896">
        <f t="shared" si="9"/>
        <v>289297.2677560976</v>
      </c>
    </row>
    <row r="67" spans="1:19" x14ac:dyDescent="0.2">
      <c r="A67" s="916" t="s">
        <v>4286</v>
      </c>
      <c r="B67" s="917" t="s">
        <v>4287</v>
      </c>
      <c r="C67" s="917" t="s">
        <v>4288</v>
      </c>
      <c r="D67" s="918">
        <v>0</v>
      </c>
      <c r="E67" s="918">
        <v>30</v>
      </c>
      <c r="F67" s="920" t="s">
        <v>3867</v>
      </c>
    </row>
    <row r="68" spans="1:19" x14ac:dyDescent="0.2">
      <c r="A68" s="916">
        <v>37942484</v>
      </c>
      <c r="B68" s="917" t="s">
        <v>4289</v>
      </c>
      <c r="C68" s="917" t="s">
        <v>4290</v>
      </c>
      <c r="D68" s="918">
        <v>20</v>
      </c>
      <c r="E68" s="918">
        <v>60</v>
      </c>
      <c r="F68" s="919" t="s">
        <v>3966</v>
      </c>
    </row>
    <row r="69" spans="1:19" x14ac:dyDescent="0.2">
      <c r="A69" s="916">
        <v>37890182</v>
      </c>
      <c r="B69" s="917" t="s">
        <v>4291</v>
      </c>
      <c r="C69" s="917" t="s">
        <v>4292</v>
      </c>
      <c r="D69" s="922">
        <v>0</v>
      </c>
      <c r="E69" s="922">
        <v>0</v>
      </c>
      <c r="F69" s="920" t="s">
        <v>4122</v>
      </c>
    </row>
    <row r="70" spans="1:19" x14ac:dyDescent="0.2">
      <c r="A70" s="916" t="s">
        <v>4293</v>
      </c>
      <c r="B70" s="917" t="s">
        <v>4294</v>
      </c>
      <c r="C70" s="917" t="s">
        <v>4295</v>
      </c>
      <c r="D70" s="918">
        <v>79</v>
      </c>
      <c r="E70" s="918">
        <v>40</v>
      </c>
      <c r="F70" s="919" t="s">
        <v>3860</v>
      </c>
      <c r="M70" s="900" t="s">
        <v>4276</v>
      </c>
      <c r="N70" s="900" t="s">
        <v>4277</v>
      </c>
      <c r="O70" s="910">
        <v>2</v>
      </c>
      <c r="Q70" s="894">
        <f>O70*D70</f>
        <v>158</v>
      </c>
      <c r="R70" s="896">
        <f>'[3]Prieskum trhu TOP kurzy zdroj3'!$Q$58</f>
        <v>554.20932520325209</v>
      </c>
      <c r="S70" s="896">
        <f t="shared" ref="S70:S72" si="10">Q70*R70</f>
        <v>87565.073382113827</v>
      </c>
    </row>
    <row r="71" spans="1:19" x14ac:dyDescent="0.2">
      <c r="A71" s="916">
        <v>17055377</v>
      </c>
      <c r="B71" s="917" t="s">
        <v>4296</v>
      </c>
      <c r="C71" s="917" t="s">
        <v>4297</v>
      </c>
      <c r="D71" s="918">
        <v>76</v>
      </c>
      <c r="E71" s="918">
        <v>78</v>
      </c>
      <c r="F71" s="919" t="s">
        <v>3860</v>
      </c>
      <c r="M71" s="900" t="s">
        <v>4276</v>
      </c>
      <c r="N71" s="900" t="s">
        <v>4277</v>
      </c>
      <c r="O71" s="910">
        <v>2</v>
      </c>
      <c r="Q71" s="894">
        <f>O71*D71</f>
        <v>152</v>
      </c>
      <c r="R71" s="896">
        <f>'[3]Prieskum trhu TOP kurzy zdroj3'!$Q$58</f>
        <v>554.20932520325209</v>
      </c>
      <c r="S71" s="896">
        <f t="shared" si="10"/>
        <v>84239.817430894313</v>
      </c>
    </row>
    <row r="72" spans="1:19" x14ac:dyDescent="0.2">
      <c r="A72" s="916">
        <v>36088978</v>
      </c>
      <c r="B72" s="917" t="s">
        <v>4298</v>
      </c>
      <c r="C72" s="917" t="s">
        <v>4299</v>
      </c>
      <c r="D72" s="918">
        <v>105</v>
      </c>
      <c r="E72" s="918">
        <v>0</v>
      </c>
      <c r="F72" s="919" t="s">
        <v>3860</v>
      </c>
      <c r="M72" s="900" t="s">
        <v>4300</v>
      </c>
      <c r="N72" s="900" t="s">
        <v>4277</v>
      </c>
      <c r="O72" s="910">
        <v>2</v>
      </c>
      <c r="Q72" s="894">
        <f>O72*D72</f>
        <v>210</v>
      </c>
      <c r="R72" s="896">
        <f>'[3]Prieskum trhu TOP kurzy zdroj3'!$Q$58</f>
        <v>554.20932520325209</v>
      </c>
      <c r="S72" s="896">
        <f t="shared" si="10"/>
        <v>116383.95829268295</v>
      </c>
    </row>
    <row r="73" spans="1:19" x14ac:dyDescent="0.2">
      <c r="A73" s="916" t="s">
        <v>4301</v>
      </c>
      <c r="B73" s="917" t="s">
        <v>4302</v>
      </c>
      <c r="C73" s="917" t="s">
        <v>4303</v>
      </c>
      <c r="D73" s="918">
        <v>0</v>
      </c>
      <c r="E73" s="918">
        <v>25</v>
      </c>
      <c r="F73" s="920" t="s">
        <v>3867</v>
      </c>
    </row>
    <row r="74" spans="1:19" x14ac:dyDescent="0.2">
      <c r="A74" s="916">
        <v>36082058</v>
      </c>
      <c r="B74" s="917" t="s">
        <v>4304</v>
      </c>
      <c r="C74" s="917" t="s">
        <v>4305</v>
      </c>
      <c r="D74" s="922">
        <v>0</v>
      </c>
      <c r="E74" s="922">
        <v>0</v>
      </c>
      <c r="F74" s="920" t="s">
        <v>3860</v>
      </c>
    </row>
    <row r="75" spans="1:19" x14ac:dyDescent="0.2">
      <c r="A75" s="916" t="s">
        <v>4306</v>
      </c>
      <c r="B75" s="917" t="s">
        <v>4307</v>
      </c>
      <c r="C75" s="917" t="s">
        <v>4308</v>
      </c>
      <c r="D75" s="918">
        <v>120</v>
      </c>
      <c r="E75" s="918">
        <v>120</v>
      </c>
      <c r="F75" s="919" t="s">
        <v>3924</v>
      </c>
      <c r="M75" s="900" t="s">
        <v>4309</v>
      </c>
      <c r="N75" s="900" t="s">
        <v>4277</v>
      </c>
      <c r="O75" s="910">
        <v>2</v>
      </c>
      <c r="Q75" s="894">
        <f>O75*D75</f>
        <v>240</v>
      </c>
      <c r="R75" s="896">
        <f>'[3]Prieskum trhu TOP kurzy zdroj3'!$Q$58</f>
        <v>554.20932520325209</v>
      </c>
      <c r="S75" s="896">
        <f t="shared" ref="S75" si="11">Q75*R75</f>
        <v>133010.23804878051</v>
      </c>
    </row>
    <row r="76" spans="1:19" x14ac:dyDescent="0.2">
      <c r="A76" s="916" t="s">
        <v>4310</v>
      </c>
      <c r="B76" s="917" t="s">
        <v>4311</v>
      </c>
      <c r="C76" s="917" t="s">
        <v>4312</v>
      </c>
      <c r="D76" s="918">
        <v>60</v>
      </c>
      <c r="E76" s="918">
        <v>25</v>
      </c>
      <c r="F76" s="920" t="s">
        <v>3966</v>
      </c>
    </row>
    <row r="77" spans="1:19" x14ac:dyDescent="0.2">
      <c r="A77" s="916" t="s">
        <v>4313</v>
      </c>
      <c r="B77" s="917" t="s">
        <v>4314</v>
      </c>
      <c r="C77" s="917" t="s">
        <v>4315</v>
      </c>
      <c r="D77" s="918">
        <v>128</v>
      </c>
      <c r="E77" s="918">
        <v>92</v>
      </c>
      <c r="F77" s="923" t="s">
        <v>3876</v>
      </c>
      <c r="M77" s="900" t="s">
        <v>4316</v>
      </c>
      <c r="N77" s="900" t="s">
        <v>4257</v>
      </c>
      <c r="O77" s="910">
        <v>3</v>
      </c>
      <c r="Q77" s="894">
        <f>O77*D77</f>
        <v>384</v>
      </c>
      <c r="R77" s="896">
        <f>'[3]Prieskum trhu TOP kurzy zdroj3'!$Q$58</f>
        <v>554.20932520325209</v>
      </c>
      <c r="S77" s="896">
        <f t="shared" ref="S77" si="12">Q77*R77</f>
        <v>212816.3808780488</v>
      </c>
    </row>
    <row r="78" spans="1:19" x14ac:dyDescent="0.2">
      <c r="A78" s="916" t="s">
        <v>4317</v>
      </c>
      <c r="B78" s="917" t="s">
        <v>4318</v>
      </c>
      <c r="C78" s="917" t="s">
        <v>4319</v>
      </c>
      <c r="D78" s="918">
        <v>20</v>
      </c>
      <c r="E78" s="918">
        <v>480</v>
      </c>
      <c r="F78" s="919" t="s">
        <v>3860</v>
      </c>
      <c r="M78" s="900" t="s">
        <v>4320</v>
      </c>
      <c r="N78" s="900" t="s">
        <v>4277</v>
      </c>
      <c r="O78" s="910">
        <v>2</v>
      </c>
    </row>
    <row r="79" spans="1:19" x14ac:dyDescent="0.2">
      <c r="A79" s="916">
        <v>42152411</v>
      </c>
      <c r="B79" s="917" t="s">
        <v>4321</v>
      </c>
      <c r="C79" s="917" t="s">
        <v>4322</v>
      </c>
      <c r="D79" s="918">
        <v>0</v>
      </c>
      <c r="E79" s="918">
        <v>150</v>
      </c>
      <c r="F79" s="920" t="s">
        <v>3867</v>
      </c>
    </row>
    <row r="80" spans="1:19" x14ac:dyDescent="0.2">
      <c r="A80" s="916" t="s">
        <v>4323</v>
      </c>
      <c r="B80" s="917" t="s">
        <v>4324</v>
      </c>
      <c r="C80" s="917" t="s">
        <v>4325</v>
      </c>
      <c r="D80" s="918">
        <v>0</v>
      </c>
      <c r="E80" s="918">
        <v>381</v>
      </c>
      <c r="F80" s="920" t="s">
        <v>3867</v>
      </c>
      <c r="O80" s="892" t="s">
        <v>4271</v>
      </c>
      <c r="Q80" s="912">
        <f>SUM(Q62:Q79)</f>
        <v>2034</v>
      </c>
      <c r="S80" s="913">
        <f>SUM(S62:S79)</f>
        <v>1127261.7674634147</v>
      </c>
    </row>
    <row r="82" spans="1:1" x14ac:dyDescent="0.2">
      <c r="A82" s="924" t="s">
        <v>4326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772E5-8449-5C4E-8DB8-730F784DE0EE}">
  <dimension ref="A1:R58"/>
  <sheetViews>
    <sheetView zoomScale="85" zoomScaleNormal="85" workbookViewId="0">
      <selection activeCell="Q58" sqref="Q58"/>
    </sheetView>
  </sheetViews>
  <sheetFormatPr baseColWidth="10" defaultColWidth="8.83203125" defaultRowHeight="15" x14ac:dyDescent="0.2"/>
  <cols>
    <col min="1" max="1" width="43.5" style="773" customWidth="1"/>
    <col min="2" max="2" width="26.1640625" style="773" bestFit="1" customWidth="1"/>
    <col min="3" max="7" width="8.83203125" style="773"/>
    <col min="8" max="8" width="34.83203125" style="773" bestFit="1" customWidth="1"/>
    <col min="9" max="10" width="8.83203125" style="773"/>
    <col min="11" max="11" width="11.1640625" style="773" bestFit="1" customWidth="1"/>
    <col min="12" max="13" width="8.83203125" style="944"/>
    <col min="14" max="14" width="8.83203125" style="941"/>
    <col min="15" max="16" width="8.1640625" style="945" bestFit="1" customWidth="1"/>
    <col min="17" max="17" width="10.1640625" style="945" bestFit="1" customWidth="1"/>
    <col min="18" max="16384" width="8.83203125" style="773"/>
  </cols>
  <sheetData>
    <row r="1" spans="1:18" x14ac:dyDescent="0.2">
      <c r="A1" s="818" t="s">
        <v>4327</v>
      </c>
      <c r="B1" s="777"/>
      <c r="C1" s="777" t="s">
        <v>4328</v>
      </c>
      <c r="D1" s="777"/>
      <c r="E1" s="777"/>
      <c r="F1" s="777"/>
      <c r="G1" s="777"/>
      <c r="H1" s="777"/>
      <c r="I1" s="777"/>
      <c r="J1" s="777"/>
      <c r="K1" s="777"/>
      <c r="L1" s="777"/>
      <c r="M1" s="777"/>
      <c r="N1" s="816"/>
      <c r="O1" s="816"/>
      <c r="P1" s="816"/>
      <c r="Q1" s="816"/>
      <c r="R1" s="777"/>
    </row>
    <row r="2" spans="1:18" x14ac:dyDescent="0.2">
      <c r="A2" s="818" t="s">
        <v>4329</v>
      </c>
      <c r="B2" s="777"/>
      <c r="C2" s="926" t="s">
        <v>4330</v>
      </c>
      <c r="D2" s="926" t="s">
        <v>4331</v>
      </c>
      <c r="E2" s="926" t="s">
        <v>4332</v>
      </c>
      <c r="F2" s="926" t="s">
        <v>4333</v>
      </c>
      <c r="G2" s="926" t="s">
        <v>4334</v>
      </c>
      <c r="H2" s="926" t="s">
        <v>4335</v>
      </c>
      <c r="I2" s="926" t="s">
        <v>4336</v>
      </c>
      <c r="J2" s="926" t="s">
        <v>4337</v>
      </c>
      <c r="K2" s="926" t="s">
        <v>4338</v>
      </c>
      <c r="L2" s="926" t="s">
        <v>4339</v>
      </c>
      <c r="M2" s="777"/>
      <c r="N2" s="927" t="s">
        <v>4340</v>
      </c>
      <c r="O2" s="927" t="s">
        <v>4341</v>
      </c>
      <c r="P2" s="927" t="s">
        <v>4342</v>
      </c>
      <c r="Q2" s="927" t="s">
        <v>4343</v>
      </c>
      <c r="R2" s="928" t="s">
        <v>4344</v>
      </c>
    </row>
    <row r="3" spans="1:18" x14ac:dyDescent="0.2">
      <c r="A3" s="781" t="s">
        <v>1743</v>
      </c>
      <c r="B3" s="777"/>
      <c r="C3" s="781" t="s">
        <v>4345</v>
      </c>
      <c r="D3" s="781" t="s">
        <v>4346</v>
      </c>
      <c r="E3" s="781" t="s">
        <v>4347</v>
      </c>
      <c r="F3" s="929" t="s">
        <v>4348</v>
      </c>
      <c r="G3" s="781"/>
      <c r="H3" s="781" t="s">
        <v>4347</v>
      </c>
      <c r="I3" s="929" t="s">
        <v>4349</v>
      </c>
      <c r="J3" s="781"/>
      <c r="K3" s="781" t="s">
        <v>4350</v>
      </c>
      <c r="L3" s="929" t="s">
        <v>4351</v>
      </c>
      <c r="M3" s="781"/>
      <c r="N3" s="930">
        <v>139.99</v>
      </c>
      <c r="O3" s="930">
        <f>279.99/1.23</f>
        <v>227.63414634146343</v>
      </c>
      <c r="P3" s="930"/>
      <c r="Q3" s="931">
        <f>AVERAGE(N3:O3)</f>
        <v>183.81207317073171</v>
      </c>
      <c r="R3" s="781" t="s">
        <v>4352</v>
      </c>
    </row>
    <row r="4" spans="1:18" x14ac:dyDescent="0.2">
      <c r="A4" s="781" t="s">
        <v>1744</v>
      </c>
      <c r="B4" s="777"/>
      <c r="C4" s="781" t="s">
        <v>4345</v>
      </c>
      <c r="D4" s="781" t="s">
        <v>4346</v>
      </c>
      <c r="E4" s="781" t="s">
        <v>4347</v>
      </c>
      <c r="F4" s="929" t="s">
        <v>4348</v>
      </c>
      <c r="G4" s="781"/>
      <c r="H4" s="781" t="s">
        <v>4347</v>
      </c>
      <c r="I4" s="929" t="s">
        <v>4349</v>
      </c>
      <c r="J4" s="781"/>
      <c r="K4" s="781" t="s">
        <v>4350</v>
      </c>
      <c r="L4" s="929" t="s">
        <v>4351</v>
      </c>
      <c r="M4" s="781"/>
      <c r="N4" s="930">
        <v>139.99</v>
      </c>
      <c r="O4" s="930">
        <f>279.99/1.23</f>
        <v>227.63414634146343</v>
      </c>
      <c r="P4" s="930"/>
      <c r="Q4" s="931">
        <f t="shared" ref="Q4:Q9" si="0">AVERAGE(N4:O4)</f>
        <v>183.81207317073171</v>
      </c>
      <c r="R4" s="781" t="s">
        <v>4352</v>
      </c>
    </row>
    <row r="5" spans="1:18" x14ac:dyDescent="0.2">
      <c r="A5" s="781" t="s">
        <v>1746</v>
      </c>
      <c r="B5" s="777"/>
      <c r="C5" s="781" t="s">
        <v>4353</v>
      </c>
      <c r="D5" s="781" t="s">
        <v>4346</v>
      </c>
      <c r="E5" s="781" t="s">
        <v>4347</v>
      </c>
      <c r="F5" s="929" t="s">
        <v>4348</v>
      </c>
      <c r="G5" s="781"/>
      <c r="H5" s="781" t="s">
        <v>4347</v>
      </c>
      <c r="I5" s="929" t="s">
        <v>4349</v>
      </c>
      <c r="J5" s="781"/>
      <c r="K5" s="781" t="s">
        <v>4350</v>
      </c>
      <c r="L5" s="929" t="s">
        <v>4354</v>
      </c>
      <c r="M5" s="781"/>
      <c r="N5" s="930">
        <v>139.99</v>
      </c>
      <c r="O5" s="930">
        <f>279.99/1.23</f>
        <v>227.63414634146343</v>
      </c>
      <c r="P5" s="930"/>
      <c r="Q5" s="931">
        <f t="shared" si="0"/>
        <v>183.81207317073171</v>
      </c>
      <c r="R5" s="781" t="s">
        <v>4352</v>
      </c>
    </row>
    <row r="6" spans="1:18" x14ac:dyDescent="0.2">
      <c r="A6" s="781" t="s">
        <v>1747</v>
      </c>
      <c r="B6" s="777"/>
      <c r="C6" s="781" t="s">
        <v>4353</v>
      </c>
      <c r="D6" s="781" t="s">
        <v>4346</v>
      </c>
      <c r="E6" s="781" t="s">
        <v>4347</v>
      </c>
      <c r="F6" s="929" t="s">
        <v>4348</v>
      </c>
      <c r="G6" s="781"/>
      <c r="H6" s="781" t="s">
        <v>4347</v>
      </c>
      <c r="I6" s="929" t="s">
        <v>4349</v>
      </c>
      <c r="J6" s="781"/>
      <c r="K6" s="781" t="s">
        <v>4350</v>
      </c>
      <c r="L6" s="929" t="s">
        <v>4354</v>
      </c>
      <c r="M6" s="781"/>
      <c r="N6" s="930">
        <v>139.99</v>
      </c>
      <c r="O6" s="930">
        <f>279.99/1.23</f>
        <v>227.63414634146343</v>
      </c>
      <c r="P6" s="930"/>
      <c r="Q6" s="931">
        <f t="shared" si="0"/>
        <v>183.81207317073171</v>
      </c>
      <c r="R6" s="781" t="s">
        <v>4352</v>
      </c>
    </row>
    <row r="7" spans="1:18" x14ac:dyDescent="0.2">
      <c r="A7" s="781" t="s">
        <v>1760</v>
      </c>
      <c r="B7" s="777"/>
      <c r="C7" s="781" t="s">
        <v>1760</v>
      </c>
      <c r="D7" s="932" t="s">
        <v>4355</v>
      </c>
      <c r="E7" s="781" t="s">
        <v>4356</v>
      </c>
      <c r="F7" s="929" t="s">
        <v>4357</v>
      </c>
      <c r="G7" s="781"/>
      <c r="H7" s="781" t="s">
        <v>4358</v>
      </c>
      <c r="I7" s="929" t="s">
        <v>4359</v>
      </c>
      <c r="J7" s="781"/>
      <c r="K7" s="781"/>
      <c r="L7" s="929" t="s">
        <v>4360</v>
      </c>
      <c r="M7" s="781"/>
      <c r="N7" s="930">
        <v>800</v>
      </c>
      <c r="O7" s="930">
        <v>1620</v>
      </c>
      <c r="P7" s="930"/>
      <c r="Q7" s="931">
        <f t="shared" si="0"/>
        <v>1210</v>
      </c>
      <c r="R7" s="781" t="s">
        <v>4352</v>
      </c>
    </row>
    <row r="8" spans="1:18" x14ac:dyDescent="0.2">
      <c r="A8" s="781" t="s">
        <v>1761</v>
      </c>
      <c r="B8" s="777"/>
      <c r="C8" s="777" t="s">
        <v>1761</v>
      </c>
      <c r="D8" s="777" t="s">
        <v>4361</v>
      </c>
      <c r="E8" s="777" t="s">
        <v>4356</v>
      </c>
      <c r="F8" s="933" t="s">
        <v>4362</v>
      </c>
      <c r="G8" s="777" t="s">
        <v>4363</v>
      </c>
      <c r="H8" s="777" t="s">
        <v>4364</v>
      </c>
      <c r="I8" s="933" t="s">
        <v>4365</v>
      </c>
      <c r="J8" s="777"/>
      <c r="K8" s="777"/>
      <c r="L8" s="933" t="s">
        <v>4366</v>
      </c>
      <c r="M8" s="777"/>
      <c r="N8" s="930">
        <v>490</v>
      </c>
      <c r="O8" s="930">
        <v>550</v>
      </c>
      <c r="P8" s="930"/>
      <c r="Q8" s="931">
        <f t="shared" si="0"/>
        <v>520</v>
      </c>
      <c r="R8" s="777" t="s">
        <v>4352</v>
      </c>
    </row>
    <row r="9" spans="1:18" x14ac:dyDescent="0.2">
      <c r="A9" s="781" t="s">
        <v>1762</v>
      </c>
      <c r="B9" s="777"/>
      <c r="C9" s="781" t="s">
        <v>1762</v>
      </c>
      <c r="D9" s="781" t="s">
        <v>4367</v>
      </c>
      <c r="E9" s="781" t="s">
        <v>4356</v>
      </c>
      <c r="F9" s="929" t="s">
        <v>4366</v>
      </c>
      <c r="G9" s="781"/>
      <c r="H9" s="781" t="s">
        <v>4356</v>
      </c>
      <c r="I9" s="929" t="s">
        <v>4365</v>
      </c>
      <c r="J9" s="781"/>
      <c r="K9" s="781" t="s">
        <v>4368</v>
      </c>
      <c r="L9" s="929" t="s">
        <v>4369</v>
      </c>
      <c r="M9" s="781"/>
      <c r="N9" s="930">
        <v>490</v>
      </c>
      <c r="O9" s="930">
        <v>550</v>
      </c>
      <c r="P9" s="930"/>
      <c r="Q9" s="931">
        <f t="shared" si="0"/>
        <v>520</v>
      </c>
      <c r="R9" s="781" t="s">
        <v>4370</v>
      </c>
    </row>
    <row r="10" spans="1:18" x14ac:dyDescent="0.2">
      <c r="A10" s="781" t="s">
        <v>1858</v>
      </c>
      <c r="B10" s="777"/>
      <c r="C10" s="781" t="s">
        <v>1760</v>
      </c>
      <c r="D10" s="781" t="s">
        <v>4371</v>
      </c>
      <c r="E10" s="781" t="s">
        <v>4356</v>
      </c>
      <c r="F10" s="929" t="s">
        <v>4357</v>
      </c>
      <c r="G10" s="781"/>
      <c r="H10" s="781" t="s">
        <v>4358</v>
      </c>
      <c r="I10" s="929" t="s">
        <v>4359</v>
      </c>
      <c r="J10" s="781"/>
      <c r="K10" s="781" t="s">
        <v>4372</v>
      </c>
      <c r="L10" s="929" t="s">
        <v>4360</v>
      </c>
      <c r="M10" s="781"/>
      <c r="N10" s="930">
        <v>800</v>
      </c>
      <c r="O10" s="930">
        <v>1620</v>
      </c>
      <c r="P10" s="930">
        <v>416</v>
      </c>
      <c r="Q10" s="931">
        <f>AVERAGE(N10:P10)</f>
        <v>945.33333333333337</v>
      </c>
      <c r="R10" s="781" t="s">
        <v>4352</v>
      </c>
    </row>
    <row r="11" spans="1:18" x14ac:dyDescent="0.2">
      <c r="A11" s="781" t="s">
        <v>1823</v>
      </c>
      <c r="B11" s="777"/>
      <c r="C11" s="777" t="s">
        <v>1761</v>
      </c>
      <c r="D11" s="777" t="s">
        <v>4361</v>
      </c>
      <c r="E11" s="777" t="s">
        <v>4356</v>
      </c>
      <c r="F11" s="933" t="s">
        <v>4362</v>
      </c>
      <c r="G11" s="777" t="s">
        <v>4363</v>
      </c>
      <c r="H11" s="777" t="s">
        <v>4364</v>
      </c>
      <c r="I11" s="933" t="s">
        <v>4365</v>
      </c>
      <c r="J11" s="777"/>
      <c r="K11" s="777" t="s">
        <v>4356</v>
      </c>
      <c r="L11" s="933" t="s">
        <v>4366</v>
      </c>
      <c r="M11" s="777"/>
      <c r="N11" s="930">
        <v>490</v>
      </c>
      <c r="O11" s="930">
        <v>550</v>
      </c>
      <c r="P11" s="930">
        <v>490</v>
      </c>
      <c r="Q11" s="931">
        <f>AVERAGE(N11:P11)</f>
        <v>510</v>
      </c>
      <c r="R11" s="777" t="s">
        <v>4352</v>
      </c>
    </row>
    <row r="12" spans="1:18" x14ac:dyDescent="0.2">
      <c r="A12" s="781" t="s">
        <v>1817</v>
      </c>
      <c r="B12" s="777"/>
      <c r="C12" s="781" t="s">
        <v>1762</v>
      </c>
      <c r="D12" s="781" t="s">
        <v>4367</v>
      </c>
      <c r="E12" s="781" t="s">
        <v>4356</v>
      </c>
      <c r="F12" s="929" t="s">
        <v>4366</v>
      </c>
      <c r="G12" s="781"/>
      <c r="H12" s="781" t="s">
        <v>4356</v>
      </c>
      <c r="I12" s="929" t="s">
        <v>4365</v>
      </c>
      <c r="J12" s="781"/>
      <c r="K12" s="781" t="s">
        <v>4347</v>
      </c>
      <c r="L12" s="929" t="s">
        <v>4369</v>
      </c>
      <c r="M12" s="781"/>
      <c r="N12" s="930">
        <v>490</v>
      </c>
      <c r="O12" s="930">
        <v>550</v>
      </c>
      <c r="P12" s="930"/>
      <c r="Q12" s="931">
        <f t="shared" ref="Q12:Q13" si="1">AVERAGE(N12:O12)</f>
        <v>520</v>
      </c>
      <c r="R12" s="781" t="s">
        <v>4370</v>
      </c>
    </row>
    <row r="13" spans="1:18" x14ac:dyDescent="0.2">
      <c r="A13" s="781" t="s">
        <v>2048</v>
      </c>
      <c r="B13" s="777"/>
      <c r="C13" s="781" t="s">
        <v>1762</v>
      </c>
      <c r="D13" s="781" t="s">
        <v>4367</v>
      </c>
      <c r="E13" s="781" t="s">
        <v>4356</v>
      </c>
      <c r="F13" s="929" t="s">
        <v>4366</v>
      </c>
      <c r="G13" s="781"/>
      <c r="H13" s="781" t="s">
        <v>4356</v>
      </c>
      <c r="I13" s="929" t="s">
        <v>4365</v>
      </c>
      <c r="J13" s="781"/>
      <c r="K13" s="781" t="s">
        <v>4347</v>
      </c>
      <c r="L13" s="929" t="s">
        <v>4369</v>
      </c>
      <c r="M13" s="781"/>
      <c r="N13" s="930">
        <v>490</v>
      </c>
      <c r="O13" s="930">
        <v>550</v>
      </c>
      <c r="P13" s="930"/>
      <c r="Q13" s="931">
        <f t="shared" si="1"/>
        <v>520</v>
      </c>
      <c r="R13" s="781" t="s">
        <v>4370</v>
      </c>
    </row>
    <row r="14" spans="1:18" x14ac:dyDescent="0.2">
      <c r="A14" s="781" t="s">
        <v>1764</v>
      </c>
      <c r="B14" s="777"/>
      <c r="C14" s="781" t="s">
        <v>4373</v>
      </c>
      <c r="D14" s="781" t="s">
        <v>4374</v>
      </c>
      <c r="E14" s="781" t="s">
        <v>4375</v>
      </c>
      <c r="F14" s="929" t="s">
        <v>4376</v>
      </c>
      <c r="G14" s="781"/>
      <c r="H14" s="781" t="s">
        <v>4377</v>
      </c>
      <c r="I14" s="929" t="s">
        <v>4378</v>
      </c>
      <c r="J14" s="781" t="s">
        <v>4379</v>
      </c>
      <c r="K14" s="781" t="s">
        <v>4380</v>
      </c>
      <c r="L14" s="929" t="s">
        <v>4381</v>
      </c>
      <c r="M14" s="781"/>
      <c r="N14" s="930">
        <v>550</v>
      </c>
      <c r="O14" s="930">
        <v>1799</v>
      </c>
      <c r="P14" s="930">
        <v>3390</v>
      </c>
      <c r="Q14" s="931">
        <f>AVERAGE(N14:P14)</f>
        <v>1913</v>
      </c>
      <c r="R14" s="781" t="s">
        <v>4352</v>
      </c>
    </row>
    <row r="15" spans="1:18" x14ac:dyDescent="0.2">
      <c r="A15" s="781" t="s">
        <v>1785</v>
      </c>
      <c r="B15" s="777"/>
      <c r="C15" s="782" t="s">
        <v>1785</v>
      </c>
      <c r="D15" s="782" t="s">
        <v>4382</v>
      </c>
      <c r="E15" s="782" t="s">
        <v>4383</v>
      </c>
      <c r="F15" s="777"/>
      <c r="G15" s="777"/>
      <c r="H15" s="777"/>
      <c r="I15" s="777"/>
      <c r="J15" s="777"/>
      <c r="K15" s="777"/>
      <c r="L15" s="777"/>
      <c r="M15" s="777"/>
      <c r="N15" s="930">
        <v>104.12</v>
      </c>
      <c r="O15" s="816"/>
      <c r="P15" s="816"/>
      <c r="Q15" s="934">
        <f>N15</f>
        <v>104.12</v>
      </c>
      <c r="R15" s="782" t="s">
        <v>4384</v>
      </c>
    </row>
    <row r="16" spans="1:18" x14ac:dyDescent="0.2">
      <c r="A16" s="781" t="s">
        <v>1768</v>
      </c>
      <c r="B16" s="777"/>
      <c r="C16" s="781" t="s">
        <v>4385</v>
      </c>
      <c r="D16" s="781" t="s">
        <v>4386</v>
      </c>
      <c r="E16" s="781" t="s">
        <v>4347</v>
      </c>
      <c r="F16" s="929" t="s">
        <v>4387</v>
      </c>
      <c r="G16" s="781"/>
      <c r="H16" s="781" t="s">
        <v>4388</v>
      </c>
      <c r="I16" s="929" t="s">
        <v>4389</v>
      </c>
      <c r="J16" s="781" t="s">
        <v>4390</v>
      </c>
      <c r="K16" s="781" t="s">
        <v>4391</v>
      </c>
      <c r="L16" s="929" t="s">
        <v>4392</v>
      </c>
      <c r="M16" s="781"/>
      <c r="N16" s="930">
        <v>249.99</v>
      </c>
      <c r="O16" s="930">
        <v>1500</v>
      </c>
      <c r="P16" s="930">
        <v>2706</v>
      </c>
      <c r="Q16" s="931">
        <f>AVERAGE(N16:P16)</f>
        <v>1485.33</v>
      </c>
      <c r="R16" s="781" t="s">
        <v>4352</v>
      </c>
    </row>
    <row r="17" spans="1:18" x14ac:dyDescent="0.2">
      <c r="A17" s="781" t="s">
        <v>1766</v>
      </c>
      <c r="B17" s="777"/>
      <c r="C17" s="781" t="s">
        <v>1766</v>
      </c>
      <c r="D17" s="781" t="s">
        <v>4393</v>
      </c>
      <c r="E17" s="781" t="s">
        <v>4388</v>
      </c>
      <c r="F17" s="929" t="s">
        <v>4394</v>
      </c>
      <c r="G17" s="781"/>
      <c r="H17" s="781" t="s">
        <v>4372</v>
      </c>
      <c r="I17" s="929" t="s">
        <v>4395</v>
      </c>
      <c r="J17" s="781"/>
      <c r="K17" s="781" t="s">
        <v>4396</v>
      </c>
      <c r="L17" s="929" t="s">
        <v>4397</v>
      </c>
      <c r="M17" s="781"/>
      <c r="N17" s="930"/>
      <c r="O17" s="930"/>
      <c r="P17" s="930">
        <v>660</v>
      </c>
      <c r="Q17" s="931">
        <f>AVERAGE(P17)</f>
        <v>660</v>
      </c>
      <c r="R17" s="932" t="s">
        <v>4398</v>
      </c>
    </row>
    <row r="18" spans="1:18" x14ac:dyDescent="0.2">
      <c r="A18" s="781" t="s">
        <v>1769</v>
      </c>
      <c r="B18" s="777"/>
      <c r="C18" s="781" t="s">
        <v>4385</v>
      </c>
      <c r="D18" s="781" t="s">
        <v>4386</v>
      </c>
      <c r="E18" s="781" t="s">
        <v>4347</v>
      </c>
      <c r="F18" s="929" t="s">
        <v>4387</v>
      </c>
      <c r="G18" s="781"/>
      <c r="H18" s="781" t="s">
        <v>4388</v>
      </c>
      <c r="I18" s="929" t="s">
        <v>4389</v>
      </c>
      <c r="J18" s="781" t="s">
        <v>4390</v>
      </c>
      <c r="K18" s="781" t="s">
        <v>4391</v>
      </c>
      <c r="L18" s="929" t="s">
        <v>4392</v>
      </c>
      <c r="M18" s="781"/>
      <c r="N18" s="930">
        <v>249.99</v>
      </c>
      <c r="O18" s="930">
        <v>1500</v>
      </c>
      <c r="P18" s="930">
        <v>2706</v>
      </c>
      <c r="Q18" s="931">
        <f>AVERAGE(N18:P18)</f>
        <v>1485.33</v>
      </c>
      <c r="R18" s="781" t="s">
        <v>4352</v>
      </c>
    </row>
    <row r="19" spans="1:18" x14ac:dyDescent="0.2">
      <c r="A19" s="781" t="s">
        <v>2405</v>
      </c>
      <c r="B19" s="777"/>
      <c r="C19" s="781" t="s">
        <v>4385</v>
      </c>
      <c r="D19" s="781" t="s">
        <v>4386</v>
      </c>
      <c r="E19" s="781" t="s">
        <v>4347</v>
      </c>
      <c r="F19" s="929" t="s">
        <v>4387</v>
      </c>
      <c r="G19" s="781"/>
      <c r="H19" s="781" t="s">
        <v>4388</v>
      </c>
      <c r="I19" s="929" t="s">
        <v>4389</v>
      </c>
      <c r="J19" s="781" t="s">
        <v>4390</v>
      </c>
      <c r="K19" s="781" t="s">
        <v>4391</v>
      </c>
      <c r="L19" s="929" t="s">
        <v>4392</v>
      </c>
      <c r="M19" s="781"/>
      <c r="N19" s="930">
        <v>249.99</v>
      </c>
      <c r="O19" s="930">
        <v>1500</v>
      </c>
      <c r="P19" s="930">
        <v>2706</v>
      </c>
      <c r="Q19" s="931">
        <f>AVERAGE(N19:P19)</f>
        <v>1485.33</v>
      </c>
      <c r="R19" s="781" t="s">
        <v>4352</v>
      </c>
    </row>
    <row r="20" spans="1:18" x14ac:dyDescent="0.2">
      <c r="A20" s="781" t="s">
        <v>1776</v>
      </c>
      <c r="B20" s="777"/>
      <c r="C20" s="781" t="s">
        <v>1776</v>
      </c>
      <c r="D20" s="781" t="s">
        <v>4399</v>
      </c>
      <c r="E20" s="777" t="s">
        <v>4400</v>
      </c>
      <c r="F20" s="935" t="s">
        <v>4401</v>
      </c>
      <c r="G20" s="777"/>
      <c r="H20" s="781" t="s">
        <v>4388</v>
      </c>
      <c r="I20" s="935" t="s">
        <v>4402</v>
      </c>
      <c r="J20" s="777"/>
      <c r="K20" s="781" t="s">
        <v>4391</v>
      </c>
      <c r="L20" s="777"/>
      <c r="M20" s="777"/>
      <c r="N20" s="930">
        <v>300</v>
      </c>
      <c r="O20" s="816"/>
      <c r="P20" s="816"/>
      <c r="Q20" s="931">
        <f>N20</f>
        <v>300</v>
      </c>
      <c r="R20" s="782" t="s">
        <v>4403</v>
      </c>
    </row>
    <row r="21" spans="1:18" x14ac:dyDescent="0.2">
      <c r="A21" s="781" t="s">
        <v>2635</v>
      </c>
      <c r="B21" s="777"/>
      <c r="C21" s="781" t="s">
        <v>4404</v>
      </c>
      <c r="D21" s="781" t="s">
        <v>4405</v>
      </c>
      <c r="E21" s="781" t="s">
        <v>4406</v>
      </c>
      <c r="F21" s="936" t="s">
        <v>4407</v>
      </c>
      <c r="G21" s="777"/>
      <c r="H21" s="781" t="s">
        <v>4358</v>
      </c>
      <c r="I21" s="936" t="s">
        <v>4401</v>
      </c>
      <c r="J21" s="777"/>
      <c r="K21" s="781" t="s">
        <v>4388</v>
      </c>
      <c r="L21" s="777"/>
      <c r="M21" s="777"/>
      <c r="N21" s="816"/>
      <c r="O21" s="930">
        <v>300</v>
      </c>
      <c r="P21" s="816"/>
      <c r="Q21" s="931">
        <f>O21</f>
        <v>300</v>
      </c>
      <c r="R21" s="782" t="s">
        <v>4408</v>
      </c>
    </row>
    <row r="22" spans="1:18" x14ac:dyDescent="0.2">
      <c r="A22" s="781" t="s">
        <v>1780</v>
      </c>
      <c r="B22" s="777"/>
      <c r="C22" s="777"/>
      <c r="D22" s="777"/>
      <c r="E22" s="777"/>
      <c r="F22" s="777"/>
      <c r="G22" s="777"/>
      <c r="H22" s="777"/>
      <c r="I22" s="777"/>
      <c r="J22" s="777"/>
      <c r="K22" s="777"/>
      <c r="L22" s="777"/>
      <c r="M22" s="777"/>
      <c r="N22" s="816"/>
      <c r="O22" s="816"/>
      <c r="P22" s="816"/>
      <c r="Q22" s="816"/>
      <c r="R22" s="782" t="s">
        <v>4409</v>
      </c>
    </row>
    <row r="23" spans="1:18" x14ac:dyDescent="0.2">
      <c r="A23" s="781" t="s">
        <v>2784</v>
      </c>
      <c r="B23" s="777"/>
      <c r="C23" s="782" t="s">
        <v>4410</v>
      </c>
      <c r="D23" s="777"/>
      <c r="E23" s="782" t="s">
        <v>4358</v>
      </c>
      <c r="F23" s="937" t="s">
        <v>4401</v>
      </c>
      <c r="G23" s="777"/>
      <c r="H23" s="782" t="s">
        <v>4411</v>
      </c>
      <c r="I23" s="937" t="s">
        <v>4401</v>
      </c>
      <c r="J23" s="777"/>
      <c r="K23" s="777"/>
      <c r="L23" s="777"/>
      <c r="M23" s="777"/>
      <c r="N23" s="930">
        <v>50</v>
      </c>
      <c r="O23" s="930">
        <v>50</v>
      </c>
      <c r="P23" s="816"/>
      <c r="Q23" s="931">
        <f t="shared" ref="Q23:Q25" si="2">AVERAGE(N23:O23)</f>
        <v>50</v>
      </c>
      <c r="R23" s="781" t="s">
        <v>4370</v>
      </c>
    </row>
    <row r="24" spans="1:18" x14ac:dyDescent="0.2">
      <c r="A24" s="781" t="s">
        <v>2438</v>
      </c>
      <c r="B24" s="777"/>
      <c r="C24" s="777"/>
      <c r="D24" s="777"/>
      <c r="E24" s="777"/>
      <c r="F24" s="777"/>
      <c r="G24" s="777"/>
      <c r="H24" s="777"/>
      <c r="I24" s="777"/>
      <c r="J24" s="777"/>
      <c r="K24" s="777"/>
      <c r="L24" s="777"/>
      <c r="M24" s="777"/>
      <c r="N24" s="816"/>
      <c r="O24" s="816"/>
      <c r="P24" s="816"/>
      <c r="Q24" s="816"/>
      <c r="R24" s="782" t="s">
        <v>4409</v>
      </c>
    </row>
    <row r="25" spans="1:18" x14ac:dyDescent="0.2">
      <c r="A25" s="781" t="s">
        <v>1789</v>
      </c>
      <c r="B25" s="777"/>
      <c r="C25" s="782" t="s">
        <v>4412</v>
      </c>
      <c r="D25" s="782" t="s">
        <v>4413</v>
      </c>
      <c r="E25" s="782" t="s">
        <v>4414</v>
      </c>
      <c r="F25" s="937" t="s">
        <v>4415</v>
      </c>
      <c r="G25" s="777"/>
      <c r="H25" s="782" t="s">
        <v>4416</v>
      </c>
      <c r="I25" s="937" t="s">
        <v>4417</v>
      </c>
      <c r="J25" s="777"/>
      <c r="K25" s="782" t="s">
        <v>4418</v>
      </c>
      <c r="L25" s="937" t="s">
        <v>4419</v>
      </c>
      <c r="M25" s="777"/>
      <c r="N25" s="816">
        <v>430</v>
      </c>
      <c r="O25" s="816">
        <v>82.5</v>
      </c>
      <c r="P25" s="816"/>
      <c r="Q25" s="931">
        <f t="shared" si="2"/>
        <v>256.25</v>
      </c>
      <c r="R25" s="781" t="s">
        <v>4370</v>
      </c>
    </row>
    <row r="26" spans="1:18" x14ac:dyDescent="0.2">
      <c r="A26" s="781" t="s">
        <v>1773</v>
      </c>
      <c r="B26" s="777"/>
      <c r="C26" s="781" t="s">
        <v>1773</v>
      </c>
      <c r="D26" s="781" t="s">
        <v>4420</v>
      </c>
      <c r="E26" s="781" t="s">
        <v>4421</v>
      </c>
      <c r="F26" s="929" t="s">
        <v>4422</v>
      </c>
      <c r="G26" s="781" t="s">
        <v>4390</v>
      </c>
      <c r="H26" s="781" t="s">
        <v>4388</v>
      </c>
      <c r="I26" s="929" t="s">
        <v>4389</v>
      </c>
      <c r="J26" s="781" t="s">
        <v>4390</v>
      </c>
      <c r="K26" s="781" t="s">
        <v>4388</v>
      </c>
      <c r="L26" s="929" t="s">
        <v>4423</v>
      </c>
      <c r="M26" s="781" t="s">
        <v>4390</v>
      </c>
      <c r="N26" s="930">
        <v>3185.7</v>
      </c>
      <c r="O26" s="930">
        <v>1500</v>
      </c>
      <c r="P26" s="930"/>
      <c r="Q26" s="931">
        <f>AVERAGE(N26:O26)</f>
        <v>2342.85</v>
      </c>
      <c r="R26" s="781" t="s">
        <v>4370</v>
      </c>
    </row>
    <row r="27" spans="1:18" x14ac:dyDescent="0.2">
      <c r="A27" s="781" t="s">
        <v>3010</v>
      </c>
      <c r="B27" s="777"/>
      <c r="C27" s="777"/>
      <c r="D27" s="777"/>
      <c r="E27" s="777"/>
      <c r="F27" s="777"/>
      <c r="G27" s="777"/>
      <c r="H27" s="777"/>
      <c r="I27" s="777"/>
      <c r="J27" s="777"/>
      <c r="K27" s="777"/>
      <c r="L27" s="777"/>
      <c r="M27" s="777"/>
      <c r="N27" s="816"/>
      <c r="O27" s="816"/>
      <c r="P27" s="816"/>
      <c r="Q27" s="816"/>
      <c r="R27" s="782" t="s">
        <v>4409</v>
      </c>
    </row>
    <row r="28" spans="1:18" x14ac:dyDescent="0.2">
      <c r="A28" s="781" t="s">
        <v>1889</v>
      </c>
      <c r="B28" s="777"/>
      <c r="C28" s="777"/>
      <c r="D28" s="777"/>
      <c r="E28" s="777"/>
      <c r="F28" s="777"/>
      <c r="G28" s="777"/>
      <c r="H28" s="777"/>
      <c r="I28" s="777"/>
      <c r="J28" s="777"/>
      <c r="K28" s="777"/>
      <c r="L28" s="777"/>
      <c r="M28" s="777"/>
      <c r="N28" s="816"/>
      <c r="O28" s="816"/>
      <c r="P28" s="816"/>
      <c r="Q28" s="816"/>
      <c r="R28" s="782" t="s">
        <v>4409</v>
      </c>
    </row>
    <row r="29" spans="1:18" x14ac:dyDescent="0.2">
      <c r="A29" s="781" t="s">
        <v>2429</v>
      </c>
      <c r="B29" s="777"/>
      <c r="C29" s="777"/>
      <c r="D29" s="777"/>
      <c r="E29" s="777"/>
      <c r="F29" s="777"/>
      <c r="G29" s="777"/>
      <c r="H29" s="777"/>
      <c r="I29" s="777"/>
      <c r="J29" s="777"/>
      <c r="K29" s="777"/>
      <c r="L29" s="777"/>
      <c r="M29" s="777"/>
      <c r="N29" s="816"/>
      <c r="O29" s="816"/>
      <c r="P29" s="816"/>
      <c r="Q29" s="816"/>
      <c r="R29" s="782" t="s">
        <v>4409</v>
      </c>
    </row>
    <row r="30" spans="1:18" x14ac:dyDescent="0.2">
      <c r="A30" s="781" t="s">
        <v>1778</v>
      </c>
      <c r="B30" s="777"/>
      <c r="C30" s="781" t="s">
        <v>1778</v>
      </c>
      <c r="D30" s="782" t="s">
        <v>4424</v>
      </c>
      <c r="E30" s="782" t="s">
        <v>4425</v>
      </c>
      <c r="F30" s="937" t="s">
        <v>4426</v>
      </c>
      <c r="G30" s="777"/>
      <c r="H30" s="777"/>
      <c r="I30" s="777"/>
      <c r="J30" s="777"/>
      <c r="K30" s="777"/>
      <c r="L30" s="777"/>
      <c r="M30" s="777"/>
      <c r="N30" s="816">
        <v>390</v>
      </c>
      <c r="O30" s="816"/>
      <c r="P30" s="816"/>
      <c r="Q30" s="938">
        <f>N30</f>
        <v>390</v>
      </c>
      <c r="R30" s="782" t="s">
        <v>4427</v>
      </c>
    </row>
    <row r="31" spans="1:18" x14ac:dyDescent="0.2">
      <c r="A31" s="781" t="s">
        <v>1783</v>
      </c>
      <c r="B31" s="777"/>
      <c r="C31" s="777"/>
      <c r="D31" s="777"/>
      <c r="E31" s="777"/>
      <c r="F31" s="777"/>
      <c r="G31" s="777"/>
      <c r="H31" s="777"/>
      <c r="I31" s="777"/>
      <c r="J31" s="777"/>
      <c r="K31" s="777"/>
      <c r="L31" s="777"/>
      <c r="M31" s="777"/>
      <c r="N31" s="816"/>
      <c r="O31" s="816"/>
      <c r="P31" s="816"/>
      <c r="Q31" s="816"/>
      <c r="R31" s="782" t="s">
        <v>4409</v>
      </c>
    </row>
    <row r="32" spans="1:18" x14ac:dyDescent="0.2">
      <c r="A32" s="781" t="s">
        <v>1749</v>
      </c>
      <c r="B32" s="777"/>
      <c r="C32" s="777" t="s">
        <v>1749</v>
      </c>
      <c r="D32" s="777" t="s">
        <v>4428</v>
      </c>
      <c r="E32" s="777" t="s">
        <v>4429</v>
      </c>
      <c r="F32" s="933" t="s">
        <v>4430</v>
      </c>
      <c r="G32" s="777"/>
      <c r="H32" s="777" t="s">
        <v>4431</v>
      </c>
      <c r="I32" s="933" t="s">
        <v>4432</v>
      </c>
      <c r="J32" s="777"/>
      <c r="K32" s="777" t="s">
        <v>4347</v>
      </c>
      <c r="L32" s="933" t="s">
        <v>4433</v>
      </c>
      <c r="M32" s="777"/>
      <c r="N32" s="930">
        <v>350</v>
      </c>
      <c r="O32" s="930"/>
      <c r="P32" s="930">
        <f>299.99/1.23</f>
        <v>243.89430894308944</v>
      </c>
      <c r="Q32" s="931">
        <f>AVERAGE(N32,P32)</f>
        <v>296.94715447154471</v>
      </c>
      <c r="R32" s="777" t="s">
        <v>4370</v>
      </c>
    </row>
    <row r="33" spans="1:18" x14ac:dyDescent="0.2">
      <c r="A33" s="781" t="s">
        <v>1750</v>
      </c>
      <c r="B33" s="777"/>
      <c r="C33" s="777" t="s">
        <v>1749</v>
      </c>
      <c r="D33" s="777" t="s">
        <v>4428</v>
      </c>
      <c r="E33" s="777" t="s">
        <v>4429</v>
      </c>
      <c r="F33" s="933" t="s">
        <v>4430</v>
      </c>
      <c r="G33" s="777"/>
      <c r="H33" s="777" t="s">
        <v>4431</v>
      </c>
      <c r="I33" s="933" t="s">
        <v>4432</v>
      </c>
      <c r="J33" s="777"/>
      <c r="K33" s="777" t="s">
        <v>4347</v>
      </c>
      <c r="L33" s="933" t="s">
        <v>4433</v>
      </c>
      <c r="M33" s="777"/>
      <c r="N33" s="930">
        <v>350</v>
      </c>
      <c r="O33" s="930"/>
      <c r="P33" s="930">
        <f>299.99/1.23</f>
        <v>243.89430894308944</v>
      </c>
      <c r="Q33" s="931">
        <f>AVERAGE(N33,P33)</f>
        <v>296.94715447154471</v>
      </c>
      <c r="R33" s="777" t="s">
        <v>4370</v>
      </c>
    </row>
    <row r="34" spans="1:18" x14ac:dyDescent="0.2">
      <c r="A34" s="781" t="s">
        <v>1813</v>
      </c>
      <c r="B34" s="777"/>
      <c r="C34" s="777"/>
      <c r="D34" s="777"/>
      <c r="E34" s="777"/>
      <c r="F34" s="777"/>
      <c r="G34" s="777"/>
      <c r="H34" s="777"/>
      <c r="I34" s="777"/>
      <c r="J34" s="777"/>
      <c r="K34" s="777"/>
      <c r="L34" s="777"/>
      <c r="M34" s="777"/>
      <c r="N34" s="816"/>
      <c r="O34" s="816"/>
      <c r="P34" s="816"/>
      <c r="Q34" s="816"/>
      <c r="R34" s="782" t="s">
        <v>4409</v>
      </c>
    </row>
    <row r="35" spans="1:18" x14ac:dyDescent="0.2">
      <c r="A35" s="781" t="s">
        <v>1753</v>
      </c>
      <c r="B35" s="777"/>
      <c r="C35" s="777" t="s">
        <v>4434</v>
      </c>
      <c r="D35" s="777" t="s">
        <v>4435</v>
      </c>
      <c r="E35" s="777" t="s">
        <v>4347</v>
      </c>
      <c r="F35" s="933" t="s">
        <v>4436</v>
      </c>
      <c r="G35" s="777"/>
      <c r="H35" s="777" t="s">
        <v>4431</v>
      </c>
      <c r="I35" s="933" t="s">
        <v>4437</v>
      </c>
      <c r="J35" s="777"/>
      <c r="K35" s="777" t="s">
        <v>4388</v>
      </c>
      <c r="L35" s="933" t="s">
        <v>4438</v>
      </c>
      <c r="M35" s="777"/>
      <c r="N35" s="930">
        <v>119.99</v>
      </c>
      <c r="O35" s="930">
        <v>263</v>
      </c>
      <c r="P35" s="930">
        <v>540</v>
      </c>
      <c r="Q35" s="931">
        <f>AVERAGE(N35:P35)</f>
        <v>307.66333333333336</v>
      </c>
      <c r="R35" s="777" t="s">
        <v>4352</v>
      </c>
    </row>
    <row r="36" spans="1:18" x14ac:dyDescent="0.2">
      <c r="A36" s="781" t="s">
        <v>1754</v>
      </c>
      <c r="B36" s="777"/>
      <c r="C36" s="777" t="s">
        <v>4434</v>
      </c>
      <c r="D36" s="777" t="s">
        <v>4435</v>
      </c>
      <c r="E36" s="777" t="s">
        <v>4347</v>
      </c>
      <c r="F36" s="933" t="s">
        <v>4436</v>
      </c>
      <c r="G36" s="777"/>
      <c r="H36" s="777" t="s">
        <v>4431</v>
      </c>
      <c r="I36" s="933" t="s">
        <v>4437</v>
      </c>
      <c r="J36" s="777"/>
      <c r="K36" s="777" t="s">
        <v>4388</v>
      </c>
      <c r="L36" s="933" t="s">
        <v>4438</v>
      </c>
      <c r="M36" s="777"/>
      <c r="N36" s="930">
        <v>119.99</v>
      </c>
      <c r="O36" s="930">
        <v>263</v>
      </c>
      <c r="P36" s="930">
        <v>540</v>
      </c>
      <c r="Q36" s="931">
        <f>AVERAGE(N36:P36)</f>
        <v>307.66333333333336</v>
      </c>
      <c r="R36" s="777" t="s">
        <v>4352</v>
      </c>
    </row>
    <row r="37" spans="1:18" x14ac:dyDescent="0.2">
      <c r="A37" s="781" t="s">
        <v>2980</v>
      </c>
      <c r="B37" s="777"/>
      <c r="C37" s="777"/>
      <c r="D37" s="777"/>
      <c r="E37" s="777"/>
      <c r="F37" s="777"/>
      <c r="G37" s="777"/>
      <c r="H37" s="777"/>
      <c r="I37" s="777"/>
      <c r="J37" s="777"/>
      <c r="K37" s="777"/>
      <c r="L37" s="777"/>
      <c r="M37" s="777"/>
      <c r="N37" s="816"/>
      <c r="O37" s="816"/>
      <c r="P37" s="816"/>
      <c r="Q37" s="816"/>
      <c r="R37" s="782" t="s">
        <v>4409</v>
      </c>
    </row>
    <row r="38" spans="1:18" x14ac:dyDescent="0.2">
      <c r="A38" s="781" t="s">
        <v>1774</v>
      </c>
      <c r="B38" s="777"/>
      <c r="C38" s="781" t="s">
        <v>1774</v>
      </c>
      <c r="D38" s="781" t="s">
        <v>4386</v>
      </c>
      <c r="E38" s="781" t="s">
        <v>4347</v>
      </c>
      <c r="F38" s="929" t="s">
        <v>4387</v>
      </c>
      <c r="G38" s="781"/>
      <c r="H38" s="781" t="s">
        <v>4431</v>
      </c>
      <c r="I38" s="929" t="s">
        <v>4439</v>
      </c>
      <c r="J38" s="781"/>
      <c r="K38" s="781" t="s">
        <v>4391</v>
      </c>
      <c r="L38" s="929" t="s">
        <v>4440</v>
      </c>
      <c r="M38" s="781"/>
      <c r="N38" s="930">
        <v>249.99</v>
      </c>
      <c r="O38" s="930">
        <v>304</v>
      </c>
      <c r="P38" s="930">
        <v>1370</v>
      </c>
      <c r="Q38" s="931">
        <f>AVERAGE(N38:O38)</f>
        <v>276.995</v>
      </c>
      <c r="R38" s="781" t="s">
        <v>4441</v>
      </c>
    </row>
    <row r="39" spans="1:18" x14ac:dyDescent="0.2">
      <c r="A39" s="781" t="s">
        <v>2875</v>
      </c>
      <c r="B39" s="777"/>
      <c r="C39" s="781" t="s">
        <v>1774</v>
      </c>
      <c r="D39" s="781" t="s">
        <v>4386</v>
      </c>
      <c r="E39" s="781" t="s">
        <v>4347</v>
      </c>
      <c r="F39" s="929" t="s">
        <v>4387</v>
      </c>
      <c r="G39" s="781"/>
      <c r="H39" s="781" t="s">
        <v>4431</v>
      </c>
      <c r="I39" s="929" t="s">
        <v>4439</v>
      </c>
      <c r="J39" s="781"/>
      <c r="K39" s="781" t="s">
        <v>4391</v>
      </c>
      <c r="L39" s="929" t="s">
        <v>4440</v>
      </c>
      <c r="M39" s="781"/>
      <c r="N39" s="930">
        <v>249.99</v>
      </c>
      <c r="O39" s="930">
        <v>304</v>
      </c>
      <c r="P39" s="930">
        <v>1370</v>
      </c>
      <c r="Q39" s="931">
        <f>AVERAGE(N39:O39)</f>
        <v>276.995</v>
      </c>
      <c r="R39" s="781" t="s">
        <v>4441</v>
      </c>
    </row>
    <row r="40" spans="1:18" x14ac:dyDescent="0.2">
      <c r="A40" s="781" t="s">
        <v>1771</v>
      </c>
      <c r="B40" s="777"/>
      <c r="C40" s="781" t="s">
        <v>4442</v>
      </c>
      <c r="D40" s="781" t="s">
        <v>4443</v>
      </c>
      <c r="E40" s="781" t="s">
        <v>4347</v>
      </c>
      <c r="F40" s="929" t="s">
        <v>4444</v>
      </c>
      <c r="G40" s="781"/>
      <c r="H40" s="781" t="s">
        <v>4431</v>
      </c>
      <c r="I40" s="929" t="s">
        <v>4445</v>
      </c>
      <c r="J40" s="781"/>
      <c r="K40" s="781" t="s">
        <v>4446</v>
      </c>
      <c r="L40" s="929" t="s">
        <v>4447</v>
      </c>
      <c r="M40" s="781"/>
      <c r="N40" s="930">
        <v>169.99</v>
      </c>
      <c r="O40" s="930"/>
      <c r="P40" s="930">
        <v>527.66999999999996</v>
      </c>
      <c r="Q40" s="931">
        <f>AVERAGE(N40,P40)</f>
        <v>348.83</v>
      </c>
      <c r="R40" s="781" t="s">
        <v>4370</v>
      </c>
    </row>
    <row r="41" spans="1:18" x14ac:dyDescent="0.2">
      <c r="A41" s="932" t="s">
        <v>2849</v>
      </c>
      <c r="B41" s="777"/>
      <c r="C41" s="782" t="s">
        <v>4448</v>
      </c>
      <c r="D41" s="782" t="s">
        <v>4449</v>
      </c>
      <c r="E41" s="782" t="s">
        <v>4356</v>
      </c>
      <c r="F41" s="937" t="s">
        <v>4450</v>
      </c>
      <c r="G41" s="777"/>
      <c r="H41" s="782" t="s">
        <v>4451</v>
      </c>
      <c r="I41" s="937" t="s">
        <v>4452</v>
      </c>
      <c r="J41" s="937" t="s">
        <v>4453</v>
      </c>
      <c r="K41" s="777"/>
      <c r="L41" s="777"/>
      <c r="M41" s="777"/>
      <c r="N41" s="816">
        <v>1845</v>
      </c>
      <c r="O41" s="930">
        <v>1500</v>
      </c>
      <c r="P41" s="816"/>
      <c r="Q41" s="931">
        <f>AVERAGE(N41:P41)</f>
        <v>1672.5</v>
      </c>
      <c r="R41" s="781" t="s">
        <v>4370</v>
      </c>
    </row>
    <row r="42" spans="1:18" x14ac:dyDescent="0.2">
      <c r="A42" s="781" t="s">
        <v>1808</v>
      </c>
      <c r="B42" s="777"/>
      <c r="C42" s="777"/>
      <c r="D42" s="777"/>
      <c r="E42" s="777"/>
      <c r="F42" s="777"/>
      <c r="G42" s="777"/>
      <c r="H42" s="777"/>
      <c r="I42" s="777"/>
      <c r="J42" s="777"/>
      <c r="K42" s="777"/>
      <c r="L42" s="777"/>
      <c r="M42" s="777"/>
      <c r="N42" s="816"/>
      <c r="O42" s="816"/>
      <c r="P42" s="816"/>
      <c r="Q42" s="816"/>
      <c r="R42" s="782" t="s">
        <v>4409</v>
      </c>
    </row>
    <row r="43" spans="1:18" x14ac:dyDescent="0.2">
      <c r="A43" s="781" t="s">
        <v>1786</v>
      </c>
      <c r="B43" s="777"/>
      <c r="C43" s="777"/>
      <c r="D43" s="777"/>
      <c r="E43" s="777"/>
      <c r="F43" s="777"/>
      <c r="G43" s="777"/>
      <c r="H43" s="777"/>
      <c r="I43" s="777"/>
      <c r="J43" s="777"/>
      <c r="K43" s="777"/>
      <c r="L43" s="777"/>
      <c r="M43" s="777"/>
      <c r="N43" s="816"/>
      <c r="O43" s="816"/>
      <c r="P43" s="816"/>
      <c r="Q43" s="816"/>
      <c r="R43" s="782" t="s">
        <v>4409</v>
      </c>
    </row>
    <row r="44" spans="1:18" x14ac:dyDescent="0.2">
      <c r="A44" s="781" t="s">
        <v>2248</v>
      </c>
      <c r="B44" s="777"/>
      <c r="C44" s="781" t="s">
        <v>4345</v>
      </c>
      <c r="D44" s="781" t="s">
        <v>4346</v>
      </c>
      <c r="E44" s="781" t="s">
        <v>4347</v>
      </c>
      <c r="F44" s="929" t="s">
        <v>4348</v>
      </c>
      <c r="G44" s="781"/>
      <c r="H44" s="781" t="s">
        <v>4347</v>
      </c>
      <c r="I44" s="929" t="s">
        <v>4349</v>
      </c>
      <c r="J44" s="781"/>
      <c r="K44" s="781" t="s">
        <v>4350</v>
      </c>
      <c r="L44" s="929" t="s">
        <v>4351</v>
      </c>
      <c r="M44" s="781"/>
      <c r="N44" s="930">
        <v>139.99</v>
      </c>
      <c r="O44" s="930">
        <f>279.99/1.23</f>
        <v>227.63414634146343</v>
      </c>
      <c r="P44" s="930"/>
      <c r="Q44" s="931">
        <f>AVERAGE(N44:O44)</f>
        <v>183.81207317073171</v>
      </c>
      <c r="R44" s="781" t="s">
        <v>4352</v>
      </c>
    </row>
    <row r="45" spans="1:18" x14ac:dyDescent="0.2">
      <c r="A45" s="781" t="s">
        <v>2413</v>
      </c>
      <c r="B45" s="777"/>
      <c r="C45" s="781" t="s">
        <v>4454</v>
      </c>
      <c r="D45" s="781" t="s">
        <v>4455</v>
      </c>
      <c r="E45" s="781" t="s">
        <v>4347</v>
      </c>
      <c r="F45" s="929" t="s">
        <v>4456</v>
      </c>
      <c r="G45" s="781"/>
      <c r="H45" s="781" t="s">
        <v>4347</v>
      </c>
      <c r="I45" s="929" t="s">
        <v>4457</v>
      </c>
      <c r="J45" s="781"/>
      <c r="K45" s="781" t="s">
        <v>4350</v>
      </c>
      <c r="L45" s="929" t="s">
        <v>4458</v>
      </c>
      <c r="M45" s="781"/>
      <c r="N45" s="930">
        <v>159.99</v>
      </c>
      <c r="O45" s="930">
        <v>299.99</v>
      </c>
      <c r="P45" s="930">
        <v>1000</v>
      </c>
      <c r="Q45" s="931">
        <f>AVERAGE(N45:O45)</f>
        <v>229.99</v>
      </c>
      <c r="R45" s="781" t="s">
        <v>4441</v>
      </c>
    </row>
    <row r="46" spans="1:18" x14ac:dyDescent="0.2">
      <c r="A46" s="781" t="s">
        <v>1964</v>
      </c>
      <c r="B46" s="777"/>
      <c r="C46" s="777" t="s">
        <v>4434</v>
      </c>
      <c r="D46" s="777" t="s">
        <v>4435</v>
      </c>
      <c r="E46" s="777" t="s">
        <v>4347</v>
      </c>
      <c r="F46" s="933" t="s">
        <v>4436</v>
      </c>
      <c r="G46" s="777"/>
      <c r="H46" s="777" t="s">
        <v>4431</v>
      </c>
      <c r="I46" s="933" t="s">
        <v>4437</v>
      </c>
      <c r="J46" s="777"/>
      <c r="K46" s="777" t="s">
        <v>4388</v>
      </c>
      <c r="L46" s="933" t="s">
        <v>4438</v>
      </c>
      <c r="M46" s="777"/>
      <c r="N46" s="930">
        <v>119.99</v>
      </c>
      <c r="O46" s="930">
        <v>263</v>
      </c>
      <c r="P46" s="930">
        <v>540</v>
      </c>
      <c r="Q46" s="931">
        <f>AVERAGE(N46:P46)</f>
        <v>307.66333333333336</v>
      </c>
      <c r="R46" s="777" t="s">
        <v>4352</v>
      </c>
    </row>
    <row r="47" spans="1:18" x14ac:dyDescent="0.2">
      <c r="A47" s="781" t="s">
        <v>1991</v>
      </c>
      <c r="B47" s="777"/>
      <c r="C47" s="777" t="s">
        <v>4434</v>
      </c>
      <c r="D47" s="777" t="s">
        <v>4435</v>
      </c>
      <c r="E47" s="777" t="s">
        <v>4347</v>
      </c>
      <c r="F47" s="933" t="s">
        <v>4436</v>
      </c>
      <c r="G47" s="777"/>
      <c r="H47" s="777" t="s">
        <v>4431</v>
      </c>
      <c r="I47" s="933" t="s">
        <v>4437</v>
      </c>
      <c r="J47" s="777"/>
      <c r="K47" s="777" t="s">
        <v>4388</v>
      </c>
      <c r="L47" s="933" t="s">
        <v>4438</v>
      </c>
      <c r="M47" s="777"/>
      <c r="N47" s="930">
        <v>119.99</v>
      </c>
      <c r="O47" s="930">
        <v>263</v>
      </c>
      <c r="P47" s="930">
        <v>540</v>
      </c>
      <c r="Q47" s="931">
        <f>AVERAGE(N47:P47)</f>
        <v>307.66333333333336</v>
      </c>
      <c r="R47" s="777" t="s">
        <v>4352</v>
      </c>
    </row>
    <row r="48" spans="1:18" x14ac:dyDescent="0.2">
      <c r="A48" s="781" t="s">
        <v>1972</v>
      </c>
      <c r="B48" s="777"/>
      <c r="C48" s="777" t="s">
        <v>4434</v>
      </c>
      <c r="D48" s="777" t="s">
        <v>4435</v>
      </c>
      <c r="E48" s="777" t="s">
        <v>4347</v>
      </c>
      <c r="F48" s="933" t="s">
        <v>4436</v>
      </c>
      <c r="G48" s="777"/>
      <c r="H48" s="777" t="s">
        <v>4431</v>
      </c>
      <c r="I48" s="933" t="s">
        <v>4437</v>
      </c>
      <c r="J48" s="777"/>
      <c r="K48" s="777" t="s">
        <v>4388</v>
      </c>
      <c r="L48" s="933" t="s">
        <v>4438</v>
      </c>
      <c r="M48" s="777"/>
      <c r="N48" s="930">
        <v>119.99</v>
      </c>
      <c r="O48" s="930">
        <v>263</v>
      </c>
      <c r="P48" s="930">
        <v>540</v>
      </c>
      <c r="Q48" s="931">
        <f>AVERAGE(N48:P48)</f>
        <v>307.66333333333336</v>
      </c>
      <c r="R48" s="777" t="s">
        <v>4352</v>
      </c>
    </row>
    <row r="49" spans="1:18" x14ac:dyDescent="0.2">
      <c r="A49" s="781" t="s">
        <v>1951</v>
      </c>
      <c r="B49" s="777"/>
      <c r="C49" s="777" t="s">
        <v>4434</v>
      </c>
      <c r="D49" s="777" t="s">
        <v>4435</v>
      </c>
      <c r="E49" s="777" t="s">
        <v>4347</v>
      </c>
      <c r="F49" s="933" t="s">
        <v>4436</v>
      </c>
      <c r="G49" s="777"/>
      <c r="H49" s="777" t="s">
        <v>4431</v>
      </c>
      <c r="I49" s="933" t="s">
        <v>4437</v>
      </c>
      <c r="J49" s="777"/>
      <c r="K49" s="777" t="s">
        <v>4388</v>
      </c>
      <c r="L49" s="933" t="s">
        <v>4438</v>
      </c>
      <c r="M49" s="777"/>
      <c r="N49" s="930">
        <v>119.99</v>
      </c>
      <c r="O49" s="930">
        <v>263</v>
      </c>
      <c r="P49" s="930">
        <v>540</v>
      </c>
      <c r="Q49" s="931">
        <f>AVERAGE(N49:P49)</f>
        <v>307.66333333333336</v>
      </c>
      <c r="R49" s="777" t="s">
        <v>4352</v>
      </c>
    </row>
    <row r="50" spans="1:18" x14ac:dyDescent="0.2">
      <c r="A50" s="781" t="s">
        <v>1861</v>
      </c>
      <c r="B50" s="777"/>
      <c r="C50" s="777" t="s">
        <v>4459</v>
      </c>
      <c r="D50" s="777" t="s">
        <v>4460</v>
      </c>
      <c r="E50" s="777" t="s">
        <v>4347</v>
      </c>
      <c r="F50" s="933" t="s">
        <v>4461</v>
      </c>
      <c r="G50" s="777"/>
      <c r="H50" s="777" t="s">
        <v>4350</v>
      </c>
      <c r="I50" s="933" t="s">
        <v>4462</v>
      </c>
      <c r="J50" s="777"/>
      <c r="K50" s="777" t="s">
        <v>4431</v>
      </c>
      <c r="L50" s="933" t="s">
        <v>4463</v>
      </c>
      <c r="M50" s="777"/>
      <c r="N50" s="930">
        <v>149.99</v>
      </c>
      <c r="O50" s="930">
        <v>1000</v>
      </c>
      <c r="P50" s="930">
        <v>174.4</v>
      </c>
      <c r="Q50" s="939">
        <f>AVERAGE(N50,P50)</f>
        <v>162.19499999999999</v>
      </c>
      <c r="R50" s="777" t="s">
        <v>4441</v>
      </c>
    </row>
    <row r="51" spans="1:18" x14ac:dyDescent="0.2">
      <c r="A51" s="781" t="s">
        <v>1756</v>
      </c>
      <c r="B51" s="777"/>
      <c r="C51" s="773" t="s">
        <v>4459</v>
      </c>
      <c r="D51" s="773" t="s">
        <v>4460</v>
      </c>
      <c r="E51" s="773" t="s">
        <v>4347</v>
      </c>
      <c r="F51" s="940" t="s">
        <v>4461</v>
      </c>
      <c r="H51" s="773" t="s">
        <v>4350</v>
      </c>
      <c r="I51" s="940" t="s">
        <v>4462</v>
      </c>
      <c r="K51" s="773" t="s">
        <v>4431</v>
      </c>
      <c r="L51" s="940" t="s">
        <v>4463</v>
      </c>
      <c r="M51" s="773"/>
      <c r="N51" s="941">
        <v>149.99</v>
      </c>
      <c r="O51" s="941">
        <v>1000</v>
      </c>
      <c r="P51" s="941">
        <v>174.4</v>
      </c>
      <c r="Q51" s="942">
        <f>AVERAGE(N51,P51)</f>
        <v>162.19499999999999</v>
      </c>
      <c r="R51" s="773" t="s">
        <v>4441</v>
      </c>
    </row>
    <row r="52" spans="1:18" x14ac:dyDescent="0.2">
      <c r="A52" s="781" t="s">
        <v>1757</v>
      </c>
      <c r="B52" s="777"/>
      <c r="C52" s="773" t="s">
        <v>4459</v>
      </c>
      <c r="D52" s="773" t="s">
        <v>4460</v>
      </c>
      <c r="E52" s="773" t="s">
        <v>4347</v>
      </c>
      <c r="F52" s="940" t="s">
        <v>4461</v>
      </c>
      <c r="H52" s="773" t="s">
        <v>4350</v>
      </c>
      <c r="I52" s="940" t="s">
        <v>4462</v>
      </c>
      <c r="K52" s="773" t="s">
        <v>4431</v>
      </c>
      <c r="L52" s="940" t="s">
        <v>4463</v>
      </c>
      <c r="M52" s="773"/>
      <c r="N52" s="941">
        <v>149.99</v>
      </c>
      <c r="O52" s="941">
        <v>1000</v>
      </c>
      <c r="P52" s="941">
        <v>174.4</v>
      </c>
      <c r="Q52" s="942">
        <f>AVERAGE(N52,P52)</f>
        <v>162.19499999999999</v>
      </c>
      <c r="R52" s="773" t="s">
        <v>4441</v>
      </c>
    </row>
    <row r="53" spans="1:18" x14ac:dyDescent="0.2">
      <c r="A53" s="781" t="s">
        <v>1781</v>
      </c>
      <c r="B53" s="777"/>
      <c r="C53" s="777"/>
      <c r="D53" s="777"/>
      <c r="E53" s="777"/>
      <c r="F53" s="777"/>
      <c r="G53" s="777"/>
      <c r="H53" s="777"/>
      <c r="I53" s="777"/>
      <c r="J53" s="777"/>
      <c r="K53" s="777"/>
      <c r="L53" s="777"/>
      <c r="M53" s="777"/>
      <c r="N53" s="816"/>
      <c r="O53" s="816"/>
      <c r="P53" s="816"/>
      <c r="Q53" s="816"/>
      <c r="R53" s="782"/>
    </row>
    <row r="54" spans="1:18" x14ac:dyDescent="0.2">
      <c r="A54" s="932" t="s">
        <v>4464</v>
      </c>
      <c r="B54" s="777"/>
      <c r="C54" s="777"/>
      <c r="D54" s="777"/>
      <c r="E54" s="777"/>
      <c r="F54" s="777"/>
      <c r="G54" s="777"/>
      <c r="H54" s="777"/>
      <c r="I54" s="777"/>
      <c r="J54" s="777"/>
      <c r="K54" s="777"/>
      <c r="L54" s="777"/>
      <c r="M54" s="777"/>
      <c r="N54" s="816"/>
      <c r="O54" s="816"/>
      <c r="P54" s="816"/>
      <c r="Q54" s="816"/>
      <c r="R54" s="782"/>
    </row>
    <row r="57" spans="1:18" x14ac:dyDescent="0.2">
      <c r="A57" s="943" t="s">
        <v>4465</v>
      </c>
      <c r="Q57" s="945" t="s">
        <v>4466</v>
      </c>
    </row>
    <row r="58" spans="1:18" x14ac:dyDescent="0.2">
      <c r="A58" s="943" t="s">
        <v>4467</v>
      </c>
      <c r="Q58" s="941">
        <f>AVERAGE(Q3:Q52)</f>
        <v>554.20932520325209</v>
      </c>
    </row>
  </sheetData>
  <hyperlinks>
    <hyperlink ref="L51" r:id="rId1" xr:uid="{3AF429A9-19BD-C545-AEAF-CF742B02B400}"/>
    <hyperlink ref="I51" r:id="rId2" xr:uid="{A6D8D19E-60B0-6146-B35C-8D47A10D6A44}"/>
    <hyperlink ref="F51" r:id="rId3" xr:uid="{4C074FF2-F954-0A43-8042-01311F61CD19}"/>
    <hyperlink ref="L52" r:id="rId4" xr:uid="{EF4792A3-D748-0644-9E6A-79C4A9FA8450}"/>
    <hyperlink ref="I52" r:id="rId5" xr:uid="{C69DF6C0-6B36-4248-8068-F53071BF1CCE}"/>
    <hyperlink ref="F52" r:id="rId6" xr:uid="{04F27713-43F7-8F42-A23F-B48C704D1703}"/>
    <hyperlink ref="F3" r:id="rId7" xr:uid="{69FD0B6B-3205-2C4C-B935-AF4DB355085E}"/>
    <hyperlink ref="I3" r:id="rId8" xr:uid="{D6F507C8-08E8-8D4F-AF45-845ED792C10B}"/>
    <hyperlink ref="L3" r:id="rId9" xr:uid="{434E6663-986E-3C40-B620-19F70C3A7CBE}"/>
    <hyperlink ref="F4" r:id="rId10" xr:uid="{EDE4993A-4B69-6F40-B51C-0DD08E560EFC}"/>
    <hyperlink ref="I4" r:id="rId11" xr:uid="{5B1F6C64-0A75-CB4E-8008-C6AB8AC25CF2}"/>
    <hyperlink ref="L4" r:id="rId12" xr:uid="{ACDC7968-6992-F340-9014-B9B33A140A62}"/>
    <hyperlink ref="F5" r:id="rId13" xr:uid="{C4185844-6360-4D48-A2E9-84626293576F}"/>
    <hyperlink ref="I5" r:id="rId14" xr:uid="{BB996586-8E20-F441-8B3D-05DA9212772B}"/>
    <hyperlink ref="L5" r:id="rId15" xr:uid="{C45B2759-DF0E-5F45-9A17-A56936332540}"/>
    <hyperlink ref="F6" r:id="rId16" xr:uid="{562E47F3-5832-F44B-B894-D37B98665A66}"/>
    <hyperlink ref="I6" r:id="rId17" xr:uid="{7371BABA-B7C9-CE49-9C61-A338850378FF}"/>
    <hyperlink ref="L6" r:id="rId18" xr:uid="{88E7FE40-EF5B-B142-BC07-9DB0B13D3315}"/>
    <hyperlink ref="F7" r:id="rId19" xr:uid="{6B34C6B5-D1BA-5448-AD00-88C62D478EE9}"/>
    <hyperlink ref="I7" r:id="rId20" xr:uid="{46A6F881-D2AF-5F4D-95CB-377DDD29E5D4}"/>
    <hyperlink ref="L7" r:id="rId21" xr:uid="{AB7633ED-DFCF-B349-819D-783628078311}"/>
    <hyperlink ref="F8" r:id="rId22" xr:uid="{52438316-9033-884B-84BA-2FFD15165207}"/>
    <hyperlink ref="I8" r:id="rId23" xr:uid="{E9B0EAA3-D1A0-5F44-8768-6FEF08E7646A}"/>
    <hyperlink ref="L8" r:id="rId24" xr:uid="{40641E33-E6D9-3B4B-BCA7-4BD8E8021866}"/>
    <hyperlink ref="F9" r:id="rId25" xr:uid="{1E1A3B6C-3528-7B48-8191-3192459CC8B8}"/>
    <hyperlink ref="I9" r:id="rId26" xr:uid="{D4D165CF-5E95-C94A-8025-C2917809602E}"/>
    <hyperlink ref="L9" r:id="rId27" xr:uid="{BBC00A5B-ED06-7F4B-AF55-B3B883C60B32}"/>
    <hyperlink ref="F10" r:id="rId28" xr:uid="{D5A8DFED-85C7-E44A-B8A2-F41F1FE7E690}"/>
    <hyperlink ref="I10" r:id="rId29" xr:uid="{A5737865-88A4-244A-B8E1-E6602B812A6D}"/>
    <hyperlink ref="L10" r:id="rId30" xr:uid="{C9C5C323-3E73-2A4C-87F7-EF669C125B9A}"/>
    <hyperlink ref="F11" r:id="rId31" xr:uid="{ADCF7C5E-606F-7244-BDA7-A1CFE13E1C28}"/>
    <hyperlink ref="I11" r:id="rId32" xr:uid="{FA1476BB-16CC-AF43-B2FA-EAB7373771DB}"/>
    <hyperlink ref="L11" r:id="rId33" xr:uid="{D89AA871-1035-C247-AE92-AEF4F6F81C2B}"/>
    <hyperlink ref="F12" r:id="rId34" xr:uid="{0CF846B7-723C-DD46-B1A2-94C12C115ACE}"/>
    <hyperlink ref="I12" r:id="rId35" xr:uid="{24198040-E43D-9D40-A479-80BD4E401AE6}"/>
    <hyperlink ref="L12" r:id="rId36" xr:uid="{82E33F21-2409-F742-82A3-03841B54CFEE}"/>
    <hyperlink ref="F13" r:id="rId37" xr:uid="{28C78B49-4E47-9E48-9C12-4AF9A63004E8}"/>
    <hyperlink ref="I13" r:id="rId38" xr:uid="{EDAD12A9-C7E7-1F44-8659-A58323295D5D}"/>
    <hyperlink ref="L13" r:id="rId39" xr:uid="{E7897012-894C-FA43-A27F-4784C58D43DD}"/>
    <hyperlink ref="F14" r:id="rId40" xr:uid="{61B6C2F3-735D-BC46-A182-A426655492DC}"/>
    <hyperlink ref="I14" r:id="rId41" xr:uid="{9CD7BBC8-3E27-A140-BB71-F274A1E62D55}"/>
    <hyperlink ref="L14" r:id="rId42" xr:uid="{A7C51DE5-2987-E346-837B-C3941F55B564}"/>
    <hyperlink ref="F18" r:id="rId43" xr:uid="{FF01643C-0CFF-5040-A680-24E0F1D5F0B6}"/>
    <hyperlink ref="I18" r:id="rId44" xr:uid="{C0669829-6622-C24F-AA66-4A9473A50CF6}"/>
    <hyperlink ref="L18" r:id="rId45" xr:uid="{71A2D356-A3B6-3C4B-8306-4927184561E9}"/>
    <hyperlink ref="F19" r:id="rId46" xr:uid="{28E80D5B-DF41-EE4D-9239-29143EF7F771}"/>
    <hyperlink ref="I19" r:id="rId47" xr:uid="{9597EBC7-A1A2-7F4E-BAF7-FB7CAAA89CD5}"/>
    <hyperlink ref="L19" r:id="rId48" xr:uid="{51AF8659-5A24-B045-BE50-B931791E319D}"/>
    <hyperlink ref="F16" r:id="rId49" xr:uid="{0ED0D6BE-E8F8-EC43-A136-3AC48566FF98}"/>
    <hyperlink ref="I16" r:id="rId50" xr:uid="{4673E11A-5379-824F-A998-886236575F4E}"/>
    <hyperlink ref="L16" r:id="rId51" xr:uid="{CF8FA693-FC36-0B47-8EB4-E905643A4E2C}"/>
    <hyperlink ref="F17" r:id="rId52" xr:uid="{7474FAE5-F2BA-9742-8C03-F4CBFD455550}"/>
    <hyperlink ref="I17" r:id="rId53" xr:uid="{033E2201-3D2A-694D-980B-F8F1C3AB455F}"/>
    <hyperlink ref="L17" r:id="rId54" xr:uid="{B84AE42A-9440-4144-B2BB-7C663E2EDB0B}"/>
    <hyperlink ref="F26" r:id="rId55" xr:uid="{752314CA-07BD-814E-8E68-56CF94E0949D}"/>
    <hyperlink ref="I26" r:id="rId56" xr:uid="{86B86728-D35A-4246-9F6F-FDC0CE45FD2E}"/>
    <hyperlink ref="L26" r:id="rId57" xr:uid="{D59EBADB-763B-AB44-9876-84B02ED1CDA0}"/>
    <hyperlink ref="F32" r:id="rId58" xr:uid="{6EE22532-DA6C-944C-A1F2-C74BAB3501B3}"/>
    <hyperlink ref="I32" r:id="rId59" xr:uid="{23BFBFBB-FAEC-4745-A0F8-F143E8BF90AC}"/>
    <hyperlink ref="L32" r:id="rId60" xr:uid="{E35B0FB6-0147-7045-958A-9E92DF5A85EF}"/>
    <hyperlink ref="F33" r:id="rId61" xr:uid="{17BEE648-0BE2-4649-B21A-C4696726CABA}"/>
    <hyperlink ref="I33" r:id="rId62" xr:uid="{939E565A-9BC2-F74A-A5C4-C9030730AF95}"/>
    <hyperlink ref="L33" r:id="rId63" xr:uid="{2164C9B8-3783-3B4B-BE0F-82A5B3B44861}"/>
    <hyperlink ref="F35" r:id="rId64" xr:uid="{B655223B-CB5C-7641-B4D6-A6F86E16CE0B}"/>
    <hyperlink ref="I35" r:id="rId65" xr:uid="{7152CEEC-3BA9-6C4E-9B17-EF315F5A5A67}"/>
    <hyperlink ref="L35" r:id="rId66" xr:uid="{D7187FD6-6800-9D45-BDE5-7A3DA9FC9505}"/>
    <hyperlink ref="F36" r:id="rId67" xr:uid="{BB208E4D-1CC0-D94A-8E45-9E61F9D7F5AD}"/>
    <hyperlink ref="I36" r:id="rId68" xr:uid="{7EA93A32-4F9F-A445-A83F-67E466A6F542}"/>
    <hyperlink ref="L36" r:id="rId69" xr:uid="{7AD8CC93-4255-F744-90B7-92EFC774EC19}"/>
    <hyperlink ref="F38" r:id="rId70" xr:uid="{1CC0F64F-A4C2-F54D-BCF4-DE8DA97EB286}"/>
    <hyperlink ref="I38" r:id="rId71" xr:uid="{B60ED780-82F7-6B45-982A-21C95B7C08F9}"/>
    <hyperlink ref="L38" r:id="rId72" xr:uid="{2EC1B9D6-5CAB-FA4D-9DCC-2CF0D98443A1}"/>
    <hyperlink ref="F39" r:id="rId73" xr:uid="{E7B89F57-0E82-9444-ADC0-24C2FDBE665D}"/>
    <hyperlink ref="I39" r:id="rId74" xr:uid="{7A5AC8C4-9A69-DB44-BCB5-994ACB0A7402}"/>
    <hyperlink ref="L39" r:id="rId75" xr:uid="{0097FB62-61BE-7644-B5DB-459CEFDB8C89}"/>
    <hyperlink ref="F40" r:id="rId76" xr:uid="{D07B43BA-A1EB-6447-BD97-AF3B9E3582EC}"/>
    <hyperlink ref="I40" r:id="rId77" xr:uid="{E02C5C60-D68A-C742-831D-637AD0ED77E0}"/>
    <hyperlink ref="L40" r:id="rId78" xr:uid="{088F914F-6B50-DF4C-A4F7-CA818C2FB434}"/>
    <hyperlink ref="F44" r:id="rId79" xr:uid="{EF06117C-7584-7245-8CA0-1E7C0FEEFCB6}"/>
    <hyperlink ref="I44" r:id="rId80" xr:uid="{69624A9A-74EB-3B4C-A5AF-791D129F76E5}"/>
    <hyperlink ref="L44" r:id="rId81" xr:uid="{5E82DC48-3D36-8A4A-BC8A-28823306E39D}"/>
    <hyperlink ref="F45" r:id="rId82" xr:uid="{065F610D-8D96-9E42-AC68-412BCCFA9CEA}"/>
    <hyperlink ref="I45" r:id="rId83" xr:uid="{3C7BC97F-CBE7-0344-99B7-431E0824A511}"/>
    <hyperlink ref="L45" r:id="rId84" xr:uid="{77815CE0-2561-194E-9BC6-F8C05C25B26C}"/>
    <hyperlink ref="F46" r:id="rId85" xr:uid="{058BD346-A0D9-B447-8EC9-31E7E8E31DE4}"/>
    <hyperlink ref="I46" r:id="rId86" xr:uid="{D9FA033B-4E67-8A44-8920-23DE6A241B53}"/>
    <hyperlink ref="L46" r:id="rId87" xr:uid="{6186E68B-525F-A74D-843C-CBA547FE00A0}"/>
    <hyperlink ref="F47" r:id="rId88" xr:uid="{71099476-DB4C-E048-8BF5-91577B10F55A}"/>
    <hyperlink ref="I47" r:id="rId89" xr:uid="{8F2BF3EE-F283-C24C-A666-E063494EAB71}"/>
    <hyperlink ref="L47" r:id="rId90" xr:uid="{40CA2E77-ED51-2A4A-AB14-B43A66C5BA6F}"/>
    <hyperlink ref="F50" r:id="rId91" xr:uid="{BC583856-8994-5C4A-8AA4-924EAA5ED1A0}"/>
    <hyperlink ref="I50" r:id="rId92" xr:uid="{BF128C50-8A60-3045-AA09-80BD48A4EF29}"/>
    <hyperlink ref="L50" r:id="rId93" xr:uid="{26CE6BC5-CEDF-0E47-9EDA-A1660F5BC68E}"/>
    <hyperlink ref="F30" r:id="rId94" xr:uid="{B4FB8C56-C2EE-744A-9A4F-BAA865CEE273}"/>
    <hyperlink ref="F20" r:id="rId95" xr:uid="{44F8BCD6-0F90-494B-B88F-93F7D0C85461}"/>
    <hyperlink ref="F21" r:id="rId96" xr:uid="{9BBD713A-672D-634B-8262-089C00C67AD5}"/>
    <hyperlink ref="I21" r:id="rId97" xr:uid="{E98143B1-8E62-C449-A8EA-254ADA591E4C}"/>
    <hyperlink ref="F48" r:id="rId98" xr:uid="{6A3FB723-60A1-A14B-BEED-2EBDD93A939F}"/>
    <hyperlink ref="I48" r:id="rId99" xr:uid="{3FD763EF-04C6-D74E-9B0A-8A15241ADCA1}"/>
    <hyperlink ref="L48" r:id="rId100" xr:uid="{0EA69731-9BFB-A849-B62C-79002D907899}"/>
    <hyperlink ref="F49" r:id="rId101" xr:uid="{BAB328D6-4DE8-4944-8FB9-C41AFF111BF6}"/>
    <hyperlink ref="I49" r:id="rId102" xr:uid="{9F38F3B2-C873-354C-B311-3D40342027B1}"/>
    <hyperlink ref="L49" r:id="rId103" xr:uid="{304C8DA7-1712-514A-93F9-6D0DD5FAEC27}"/>
    <hyperlink ref="I20" r:id="rId104" xr:uid="{E5195252-704F-8940-8EAE-BF2B3760F541}"/>
    <hyperlink ref="F23" r:id="rId105" xr:uid="{77BE8F94-EDD1-2B45-AE49-AB4489C61A00}"/>
    <hyperlink ref="I23" r:id="rId106" xr:uid="{E8DF7E15-41DE-9B48-9C51-A28D934F863B}"/>
    <hyperlink ref="F25" r:id="rId107" xr:uid="{0FA8DD7F-8C57-574C-82D4-A48745A55DC7}"/>
    <hyperlink ref="I25" r:id="rId108" xr:uid="{F452741D-105A-734A-96BF-D0B65BEBAD78}"/>
    <hyperlink ref="L25" r:id="rId109" xr:uid="{1FF0AA68-E8E1-0F4D-BA45-9E63023AAD90}"/>
    <hyperlink ref="F41" r:id="rId110" xr:uid="{A055B322-B0D1-6546-BEC7-55AAF2E38BBB}"/>
    <hyperlink ref="I41" r:id="rId111" xr:uid="{3EF534F2-1374-CB47-908D-E3935DB106C0}"/>
    <hyperlink ref="J41" r:id="rId112" xr:uid="{9760CA3C-2BDD-7D42-954D-CBD97407496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E3980-1D0E-9F40-BCC3-676F0D39FB27}">
  <dimension ref="A1:BW983"/>
  <sheetViews>
    <sheetView zoomScale="85" zoomScaleNormal="85" workbookViewId="0">
      <pane xSplit="5" ySplit="2" topLeftCell="F3" activePane="bottomRight" state="frozen"/>
      <selection pane="topRight" activeCell="F1" sqref="F1"/>
      <selection pane="bottomLeft" activeCell="A3" sqref="A3"/>
      <selection pane="bottomRight" activeCell="F3" sqref="F3"/>
    </sheetView>
  </sheetViews>
  <sheetFormatPr baseColWidth="10" defaultColWidth="12.5" defaultRowHeight="15" customHeight="1" x14ac:dyDescent="0.2"/>
  <cols>
    <col min="1" max="1" width="19.83203125" style="1232" bestFit="1" customWidth="1"/>
    <col min="2" max="2" width="15.5" style="1232" bestFit="1" customWidth="1"/>
    <col min="3" max="3" width="33.5" style="1232" bestFit="1" customWidth="1"/>
    <col min="4" max="4" width="30.5" style="773" bestFit="1" customWidth="1"/>
    <col min="5" max="5" width="40.5" style="773" bestFit="1" customWidth="1"/>
    <col min="6" max="6" width="38.5" style="773" bestFit="1" customWidth="1"/>
    <col min="7" max="7" width="8.5" style="773" customWidth="1"/>
    <col min="8" max="8" width="4" style="773" bestFit="1" customWidth="1"/>
    <col min="9" max="9" width="8.6640625" style="773" customWidth="1"/>
    <col min="10" max="10" width="4" style="773" bestFit="1" customWidth="1"/>
    <col min="11" max="11" width="4.6640625" style="773" customWidth="1"/>
    <col min="12" max="12" width="10.33203125" style="773" customWidth="1"/>
    <col min="13" max="13" width="6.33203125" style="773" customWidth="1"/>
    <col min="14" max="14" width="4" style="1233" bestFit="1" customWidth="1"/>
    <col min="15" max="17" width="4" style="773" bestFit="1" customWidth="1"/>
    <col min="18" max="18" width="7.33203125" style="773" customWidth="1"/>
    <col min="19" max="19" width="5.33203125" style="773" customWidth="1"/>
    <col min="20" max="20" width="6.83203125" style="773" customWidth="1"/>
    <col min="21" max="21" width="7.33203125" style="773" customWidth="1"/>
    <col min="22" max="22" width="5.6640625" style="773" customWidth="1"/>
    <col min="23" max="23" width="4" style="773" bestFit="1" customWidth="1"/>
    <col min="24" max="24" width="6.1640625" style="1234" customWidth="1"/>
    <col min="25" max="25" width="6.5" style="1234" customWidth="1"/>
    <col min="26" max="26" width="7.6640625" style="945" customWidth="1"/>
    <col min="27" max="27" width="7.6640625" style="941" customWidth="1"/>
    <col min="28" max="28" width="8.6640625" style="773" customWidth="1"/>
    <col min="29" max="29" width="6" style="773" customWidth="1"/>
    <col min="30" max="30" width="4" style="773" bestFit="1" customWidth="1"/>
    <col min="31" max="65" width="7.6640625" style="773" customWidth="1"/>
    <col min="66" max="66" width="4" style="773" bestFit="1" customWidth="1"/>
    <col min="67" max="72" width="30.6640625" style="773" customWidth="1"/>
    <col min="73" max="73" width="7.5" style="1235" bestFit="1" customWidth="1"/>
    <col min="74" max="74" width="1.83203125" style="773" customWidth="1"/>
    <col min="75" max="16384" width="12.5" style="773"/>
  </cols>
  <sheetData>
    <row r="1" spans="1:75" ht="15.75" customHeight="1" x14ac:dyDescent="0.2">
      <c r="A1" s="946" t="s">
        <v>4468</v>
      </c>
      <c r="B1" s="947"/>
      <c r="C1" s="947"/>
      <c r="D1" s="948"/>
      <c r="E1" s="948" t="s">
        <v>4469</v>
      </c>
      <c r="F1" s="948"/>
      <c r="G1" s="948"/>
      <c r="H1" s="948"/>
      <c r="I1" s="948" t="s">
        <v>4470</v>
      </c>
      <c r="J1" s="948"/>
      <c r="K1" s="949"/>
      <c r="L1" s="949"/>
      <c r="M1" s="949"/>
      <c r="N1" s="950"/>
      <c r="O1" s="948"/>
      <c r="P1" s="948"/>
      <c r="Q1" s="948"/>
      <c r="R1" s="949" t="s">
        <v>4471</v>
      </c>
      <c r="S1" s="949"/>
      <c r="T1" s="949"/>
      <c r="U1" s="949"/>
      <c r="V1" s="949"/>
      <c r="W1" s="949"/>
      <c r="X1" s="951"/>
      <c r="Y1" s="951"/>
      <c r="Z1" s="952"/>
      <c r="AA1" s="953"/>
      <c r="AB1" s="948" t="s">
        <v>4472</v>
      </c>
      <c r="AC1" s="948"/>
      <c r="AD1" s="949" t="s">
        <v>4473</v>
      </c>
      <c r="AE1" s="949" t="s">
        <v>4474</v>
      </c>
      <c r="AF1" s="949"/>
      <c r="AG1" s="949" t="s">
        <v>4475</v>
      </c>
      <c r="AH1" s="949"/>
      <c r="AI1" s="949" t="s">
        <v>4476</v>
      </c>
      <c r="AJ1" s="949"/>
      <c r="AK1" s="949" t="s">
        <v>4477</v>
      </c>
      <c r="AL1" s="949"/>
      <c r="AM1" s="949"/>
      <c r="AN1" s="949"/>
      <c r="AO1" s="949" t="s">
        <v>4478</v>
      </c>
      <c r="AP1" s="949"/>
      <c r="AQ1" s="949"/>
      <c r="AR1" s="949"/>
      <c r="AS1" s="949"/>
      <c r="AT1" s="949"/>
      <c r="AU1" s="949" t="s">
        <v>4479</v>
      </c>
      <c r="AV1" s="949"/>
      <c r="AW1" s="949"/>
      <c r="AX1" s="949"/>
      <c r="AY1" s="949" t="s">
        <v>4480</v>
      </c>
      <c r="AZ1" s="949"/>
      <c r="BA1" s="949"/>
      <c r="BB1" s="949"/>
      <c r="BC1" s="949" t="s">
        <v>4481</v>
      </c>
      <c r="BD1" s="949"/>
      <c r="BE1" s="949"/>
      <c r="BF1" s="949"/>
      <c r="BG1" s="948" t="s">
        <v>4482</v>
      </c>
      <c r="BH1" s="948"/>
      <c r="BI1" s="948"/>
      <c r="BJ1" s="948"/>
      <c r="BK1" s="948"/>
      <c r="BL1" s="948"/>
      <c r="BM1" s="948"/>
      <c r="BN1" s="948"/>
      <c r="BO1" s="948" t="s">
        <v>4483</v>
      </c>
      <c r="BP1" s="948"/>
      <c r="BQ1" s="948"/>
      <c r="BR1" s="948"/>
      <c r="BS1" s="948"/>
      <c r="BT1" s="948"/>
      <c r="BU1" s="954" t="s">
        <v>4484</v>
      </c>
    </row>
    <row r="2" spans="1:75" ht="81" thickBot="1" x14ac:dyDescent="0.25">
      <c r="A2" s="955" t="s">
        <v>55</v>
      </c>
      <c r="B2" s="955" t="s">
        <v>4485</v>
      </c>
      <c r="C2" s="955" t="s">
        <v>4486</v>
      </c>
      <c r="D2" s="956" t="s">
        <v>4487</v>
      </c>
      <c r="E2" s="956" t="s">
        <v>4488</v>
      </c>
      <c r="F2" s="956" t="s">
        <v>4489</v>
      </c>
      <c r="G2" s="956" t="s">
        <v>4490</v>
      </c>
      <c r="H2" s="956" t="s">
        <v>4491</v>
      </c>
      <c r="I2" s="956" t="s">
        <v>4492</v>
      </c>
      <c r="J2" s="957" t="s">
        <v>4493</v>
      </c>
      <c r="K2" s="958" t="s">
        <v>4494</v>
      </c>
      <c r="L2" s="959" t="s">
        <v>4495</v>
      </c>
      <c r="M2" s="959" t="s">
        <v>4496</v>
      </c>
      <c r="N2" s="960" t="s">
        <v>4497</v>
      </c>
      <c r="O2" s="961" t="s">
        <v>4498</v>
      </c>
      <c r="P2" s="961" t="s">
        <v>4499</v>
      </c>
      <c r="Q2" s="962" t="s">
        <v>4500</v>
      </c>
      <c r="R2" s="958" t="s">
        <v>4501</v>
      </c>
      <c r="S2" s="958" t="s">
        <v>4502</v>
      </c>
      <c r="T2" s="958" t="s">
        <v>4503</v>
      </c>
      <c r="U2" s="958" t="s">
        <v>4504</v>
      </c>
      <c r="V2" s="958" t="s">
        <v>4505</v>
      </c>
      <c r="W2" s="958" t="s">
        <v>4506</v>
      </c>
      <c r="X2" s="963" t="s">
        <v>4507</v>
      </c>
      <c r="Y2" s="963" t="s">
        <v>4508</v>
      </c>
      <c r="Z2" s="964" t="s">
        <v>4509</v>
      </c>
      <c r="AA2" s="965" t="s">
        <v>4510</v>
      </c>
      <c r="AB2" s="966" t="s">
        <v>4511</v>
      </c>
      <c r="AC2" s="967" t="s">
        <v>4512</v>
      </c>
      <c r="AD2" s="959" t="s">
        <v>4513</v>
      </c>
      <c r="AE2" s="958" t="s">
        <v>4514</v>
      </c>
      <c r="AF2" s="959" t="s">
        <v>4515</v>
      </c>
      <c r="AG2" s="958" t="s">
        <v>4516</v>
      </c>
      <c r="AH2" s="958" t="s">
        <v>4517</v>
      </c>
      <c r="AI2" s="959" t="s">
        <v>4518</v>
      </c>
      <c r="AJ2" s="959" t="s">
        <v>4519</v>
      </c>
      <c r="AK2" s="958" t="s">
        <v>4520</v>
      </c>
      <c r="AL2" s="958" t="s">
        <v>4521</v>
      </c>
      <c r="AM2" s="959" t="s">
        <v>4522</v>
      </c>
      <c r="AN2" s="959" t="s">
        <v>4523</v>
      </c>
      <c r="AO2" s="958" t="s">
        <v>4524</v>
      </c>
      <c r="AP2" s="958" t="s">
        <v>4525</v>
      </c>
      <c r="AQ2" s="958" t="s">
        <v>4526</v>
      </c>
      <c r="AR2" s="959" t="s">
        <v>4527</v>
      </c>
      <c r="AS2" s="959" t="s">
        <v>4528</v>
      </c>
      <c r="AT2" s="959" t="s">
        <v>4529</v>
      </c>
      <c r="AU2" s="958" t="s">
        <v>4530</v>
      </c>
      <c r="AV2" s="958" t="s">
        <v>4531</v>
      </c>
      <c r="AW2" s="959" t="s">
        <v>4532</v>
      </c>
      <c r="AX2" s="959" t="s">
        <v>4533</v>
      </c>
      <c r="AY2" s="958" t="s">
        <v>4534</v>
      </c>
      <c r="AZ2" s="958" t="s">
        <v>4535</v>
      </c>
      <c r="BA2" s="959" t="s">
        <v>4536</v>
      </c>
      <c r="BB2" s="959" t="s">
        <v>4537</v>
      </c>
      <c r="BC2" s="958" t="s">
        <v>4538</v>
      </c>
      <c r="BD2" s="958" t="s">
        <v>4539</v>
      </c>
      <c r="BE2" s="959" t="s">
        <v>4540</v>
      </c>
      <c r="BF2" s="959" t="s">
        <v>4541</v>
      </c>
      <c r="BG2" s="968" t="s">
        <v>4542</v>
      </c>
      <c r="BH2" s="968" t="s">
        <v>4543</v>
      </c>
      <c r="BI2" s="969" t="s">
        <v>4544</v>
      </c>
      <c r="BJ2" s="969" t="s">
        <v>4545</v>
      </c>
      <c r="BK2" s="969" t="s">
        <v>4546</v>
      </c>
      <c r="BL2" s="969" t="s">
        <v>4547</v>
      </c>
      <c r="BM2" s="969" t="s">
        <v>4548</v>
      </c>
      <c r="BN2" s="956" t="s">
        <v>4549</v>
      </c>
      <c r="BO2" s="956" t="s">
        <v>4550</v>
      </c>
      <c r="BP2" s="956" t="s">
        <v>4551</v>
      </c>
      <c r="BQ2" s="956" t="s">
        <v>4552</v>
      </c>
      <c r="BR2" s="956" t="s">
        <v>4553</v>
      </c>
      <c r="BS2" s="956" t="s">
        <v>4554</v>
      </c>
      <c r="BT2" s="956" t="s">
        <v>4555</v>
      </c>
      <c r="BU2" s="970" t="s">
        <v>4556</v>
      </c>
    </row>
    <row r="3" spans="1:75" x14ac:dyDescent="0.2">
      <c r="A3" s="971">
        <v>37982354</v>
      </c>
      <c r="B3" s="971">
        <v>100009236</v>
      </c>
      <c r="C3" s="971">
        <v>37982354</v>
      </c>
      <c r="D3" s="972" t="s">
        <v>4557</v>
      </c>
      <c r="E3" s="972" t="s">
        <v>4558</v>
      </c>
      <c r="F3" s="972" t="s">
        <v>4559</v>
      </c>
      <c r="G3" s="972" t="s">
        <v>4560</v>
      </c>
      <c r="H3" s="972" t="s">
        <v>4561</v>
      </c>
      <c r="I3" s="973" t="s">
        <v>4562</v>
      </c>
      <c r="J3" s="973">
        <v>1</v>
      </c>
      <c r="K3" s="918" t="s">
        <v>4562</v>
      </c>
      <c r="L3" s="974" t="s">
        <v>4563</v>
      </c>
      <c r="M3" s="918"/>
      <c r="N3" s="975">
        <v>8.1999999999999993</v>
      </c>
      <c r="O3" s="973"/>
      <c r="P3" s="973"/>
      <c r="Q3" s="976"/>
      <c r="R3" s="977">
        <v>125</v>
      </c>
      <c r="S3" s="977">
        <v>9</v>
      </c>
      <c r="T3" s="977">
        <v>130</v>
      </c>
      <c r="U3" s="977">
        <v>130</v>
      </c>
      <c r="V3" s="977">
        <v>0</v>
      </c>
      <c r="W3" s="977">
        <v>10</v>
      </c>
      <c r="X3" s="978">
        <f t="shared" ref="X3:X14" si="0">$R3/$R$94</f>
        <v>5.2345058626465664E-2</v>
      </c>
      <c r="Y3" s="978">
        <f t="shared" ref="Y3:Y63" si="1">$U3/$U$94</f>
        <v>0.20472440944881889</v>
      </c>
      <c r="Z3" s="973"/>
      <c r="AA3" s="979">
        <f>_xlfn.XLOOKUP(A3,'[4]Sub-analyza3 - zadania kvality'!$A:$A,'[4]Sub-analyza3 - zadania kvality'!$K:$K,"Nenašlo sa")</f>
        <v>1</v>
      </c>
      <c r="AB3" s="980" t="s">
        <v>3860</v>
      </c>
      <c r="AC3" s="981" t="s">
        <v>4564</v>
      </c>
      <c r="AD3" s="982">
        <v>1</v>
      </c>
      <c r="AE3" s="977">
        <v>2</v>
      </c>
      <c r="AF3" s="983"/>
      <c r="AG3" s="977">
        <v>1</v>
      </c>
      <c r="AH3" s="977">
        <v>8</v>
      </c>
      <c r="AI3" s="983">
        <v>1</v>
      </c>
      <c r="AJ3" s="983">
        <v>8</v>
      </c>
      <c r="AK3" s="977"/>
      <c r="AL3" s="977"/>
      <c r="AM3" s="983"/>
      <c r="AN3" s="983"/>
      <c r="AO3" s="977"/>
      <c r="AP3" s="977"/>
      <c r="AQ3" s="977"/>
      <c r="AR3" s="983"/>
      <c r="AS3" s="983"/>
      <c r="AT3" s="983"/>
      <c r="AU3" s="977">
        <v>1</v>
      </c>
      <c r="AV3" s="977">
        <v>5</v>
      </c>
      <c r="AW3" s="983"/>
      <c r="AX3" s="983"/>
      <c r="AY3" s="977">
        <v>0</v>
      </c>
      <c r="AZ3" s="977">
        <v>0</v>
      </c>
      <c r="BA3" s="983"/>
      <c r="BB3" s="983"/>
      <c r="BC3" s="977">
        <v>0</v>
      </c>
      <c r="BD3" s="977">
        <v>0</v>
      </c>
      <c r="BE3" s="983"/>
      <c r="BF3" s="983"/>
      <c r="BG3" s="972">
        <f>_xlfn.XLOOKUP('Pasport1 NetAcad zdroj4'!$A3,'[5]Pasport1 Akademie'!$B$2:$B$62,'[5]Pasport1 Akademie'!AY$2:AY$62,"zle")</f>
        <v>3</v>
      </c>
      <c r="BH3" s="972">
        <f>_xlfn.XLOOKUP('Pasport1 NetAcad zdroj4'!$A3,'[5]Pasport1 Akademie'!$B$2:$B$62,'[5]Pasport1 Akademie'!AZ$2:AZ$62,"zle")</f>
        <v>3</v>
      </c>
      <c r="BI3" s="972">
        <f>_xlfn.XLOOKUP('Pasport1 NetAcad zdroj4'!$A3,'[5]Pasport1 Akademie'!$B$2:$B$62,'[5]Pasport1 Akademie'!BA$2:BA$62,"zle")</f>
        <v>2</v>
      </c>
      <c r="BJ3" s="972">
        <f>_xlfn.XLOOKUP('Pasport1 NetAcad zdroj4'!$A3,'[5]Pasport1 Akademie'!$B$2:$B$62,'[5]Pasport1 Akademie'!BB$2:BB$62,"zle")</f>
        <v>6</v>
      </c>
      <c r="BK3" s="972">
        <f>_xlfn.XLOOKUP('Pasport1 NetAcad zdroj4'!$A3,'[5]Pasport1 Akademie'!$B$2:$B$62,'[5]Pasport1 Akademie'!AZ$2:AZ$62,"zle")</f>
        <v>3</v>
      </c>
      <c r="BL3" s="972">
        <f>_xlfn.XLOOKUP('Pasport1 NetAcad zdroj4'!$A3,'[5]Pasport1 Akademie'!$B$2:$B$62,'[5]Pasport1 Akademie'!BD$2:BD$62,"zle")</f>
        <v>1</v>
      </c>
      <c r="BM3" s="972">
        <f>_xlfn.XLOOKUP('Pasport1 NetAcad zdroj4'!$A3,'[5]Pasport1 Akademie'!$B$2:$B$62,'[5]Pasport1 Akademie'!BC$2:BC$62,"zle")</f>
        <v>1</v>
      </c>
      <c r="BN3" s="972"/>
      <c r="BO3" s="984"/>
      <c r="BP3" s="984" t="s">
        <v>4565</v>
      </c>
      <c r="BQ3" s="972"/>
      <c r="BR3" s="984"/>
      <c r="BS3" s="972" t="s">
        <v>4566</v>
      </c>
      <c r="BT3" s="985" t="s">
        <v>4567</v>
      </c>
      <c r="BU3" s="986">
        <v>2</v>
      </c>
      <c r="BW3" s="773" t="str">
        <f>_xlfn.XLOOKUP(A3,'[4]Sub-analyza3 - zadania kvality'!A:A,'[4]Sub-analyza3 - zadania kvality'!F:F,"Nenašlo sa")</f>
        <v xml:space="preserve">Súkromná stredná odborná škola </v>
      </c>
    </row>
    <row r="4" spans="1:75" x14ac:dyDescent="0.2">
      <c r="A4" s="916" t="s">
        <v>4132</v>
      </c>
      <c r="B4" s="987">
        <v>100003049</v>
      </c>
      <c r="C4" s="987">
        <v>491861</v>
      </c>
      <c r="D4" s="988" t="s">
        <v>4568</v>
      </c>
      <c r="E4" s="988" t="s">
        <v>4569</v>
      </c>
      <c r="F4" s="988" t="s">
        <v>4570</v>
      </c>
      <c r="G4" s="972" t="s">
        <v>4560</v>
      </c>
      <c r="H4" s="972" t="s">
        <v>4571</v>
      </c>
      <c r="I4" s="989" t="s">
        <v>4562</v>
      </c>
      <c r="J4" s="989">
        <v>1</v>
      </c>
      <c r="K4" s="918" t="s">
        <v>4572</v>
      </c>
      <c r="L4" s="974" t="s">
        <v>4563</v>
      </c>
      <c r="M4" s="918"/>
      <c r="N4" s="990">
        <v>6.6</v>
      </c>
      <c r="O4" s="991" t="s">
        <v>4573</v>
      </c>
      <c r="P4" s="989"/>
      <c r="Q4" s="989"/>
      <c r="R4" s="977">
        <v>684</v>
      </c>
      <c r="S4" s="977">
        <v>121</v>
      </c>
      <c r="T4" s="977">
        <v>695</v>
      </c>
      <c r="U4" s="977">
        <v>0</v>
      </c>
      <c r="V4" s="977">
        <v>228</v>
      </c>
      <c r="W4" s="977">
        <v>5</v>
      </c>
      <c r="X4" s="992">
        <f t="shared" si="0"/>
        <v>0.28643216080402012</v>
      </c>
      <c r="Y4" s="978">
        <f t="shared" si="1"/>
        <v>0</v>
      </c>
      <c r="Z4" s="993"/>
      <c r="AA4" s="979">
        <f>_xlfn.XLOOKUP(A4,'[4]Sub-analyza3 - zadania kvality'!$A:$A,'[4]Sub-analyza3 - zadania kvality'!$K:$K,"Nenašlo sa")</f>
        <v>1</v>
      </c>
      <c r="AB4" s="994" t="s">
        <v>3966</v>
      </c>
      <c r="AC4" s="995" t="s">
        <v>4574</v>
      </c>
      <c r="AD4" s="982">
        <v>1</v>
      </c>
      <c r="AE4" s="977">
        <v>3</v>
      </c>
      <c r="AF4" s="983"/>
      <c r="AG4" s="977">
        <v>1</v>
      </c>
      <c r="AH4" s="977">
        <v>16</v>
      </c>
      <c r="AI4" s="983">
        <v>1</v>
      </c>
      <c r="AJ4" s="983">
        <v>16</v>
      </c>
      <c r="AK4" s="977">
        <v>1</v>
      </c>
      <c r="AL4" s="977">
        <v>16</v>
      </c>
      <c r="AM4" s="983"/>
      <c r="AN4" s="983"/>
      <c r="AO4" s="977"/>
      <c r="AP4" s="977"/>
      <c r="AQ4" s="977"/>
      <c r="AR4" s="983"/>
      <c r="AS4" s="983"/>
      <c r="AT4" s="983"/>
      <c r="AU4" s="977">
        <v>0</v>
      </c>
      <c r="AV4" s="977">
        <v>0</v>
      </c>
      <c r="AW4" s="983"/>
      <c r="AX4" s="983"/>
      <c r="AY4" s="977">
        <v>0</v>
      </c>
      <c r="AZ4" s="977">
        <v>0</v>
      </c>
      <c r="BA4" s="983"/>
      <c r="BB4" s="983"/>
      <c r="BC4" s="977">
        <v>1</v>
      </c>
      <c r="BD4" s="977">
        <v>16</v>
      </c>
      <c r="BE4" s="983"/>
      <c r="BF4" s="983"/>
      <c r="BG4" s="972">
        <f>_xlfn.XLOOKUP('Pasport1 NetAcad zdroj4'!$A4,'[5]Pasport1 Akademie'!$B$2:$B$62,'[5]Pasport1 Akademie'!AY$2:AY$62,"zle")</f>
        <v>4</v>
      </c>
      <c r="BH4" s="972">
        <f>_xlfn.XLOOKUP('Pasport1 NetAcad zdroj4'!$A4,'[5]Pasport1 Akademie'!$B$2:$B$62,'[5]Pasport1 Akademie'!AZ$2:AZ$62,"zle")</f>
        <v>4</v>
      </c>
      <c r="BI4" s="972">
        <f>_xlfn.XLOOKUP('Pasport1 NetAcad zdroj4'!$A4,'[5]Pasport1 Akademie'!$B$2:$B$62,'[5]Pasport1 Akademie'!BA$2:BA$62,"zle")</f>
        <v>3</v>
      </c>
      <c r="BJ4" s="972">
        <f>_xlfn.XLOOKUP('Pasport1 NetAcad zdroj4'!$A4,'[5]Pasport1 Akademie'!$B$2:$B$62,'[5]Pasport1 Akademie'!BB$2:BB$62,"zle")</f>
        <v>4</v>
      </c>
      <c r="BK4" s="972">
        <f>_xlfn.XLOOKUP('Pasport1 NetAcad zdroj4'!$A4,'[5]Pasport1 Akademie'!$B$2:$B$62,'[5]Pasport1 Akademie'!AZ$2:AZ$62,"zle")</f>
        <v>4</v>
      </c>
      <c r="BL4" s="972">
        <f>_xlfn.XLOOKUP('Pasport1 NetAcad zdroj4'!$A4,'[5]Pasport1 Akademie'!$B$2:$B$62,'[5]Pasport1 Akademie'!BD$2:BD$62,"zle")</f>
        <v>3</v>
      </c>
      <c r="BM4" s="972">
        <f>_xlfn.XLOOKUP('Pasport1 NetAcad zdroj4'!$A4,'[5]Pasport1 Akademie'!$B$2:$B$62,'[5]Pasport1 Akademie'!BC$2:BC$62,"zle")</f>
        <v>3</v>
      </c>
      <c r="BN4" s="996" t="s">
        <v>4575</v>
      </c>
      <c r="BO4" s="997" t="s">
        <v>4576</v>
      </c>
      <c r="BP4" s="997" t="s">
        <v>4577</v>
      </c>
      <c r="BQ4" s="988"/>
      <c r="BR4" s="997"/>
      <c r="BS4" s="988"/>
      <c r="BT4" s="998"/>
      <c r="BU4" s="986">
        <v>4</v>
      </c>
      <c r="BW4" s="773" t="str">
        <f>_xlfn.XLOOKUP(A4,'[4]Sub-analyza3 - zadania kvality'!A:A,'[4]Sub-analyza3 - zadania kvality'!F:F,"Nenašlo sa")</f>
        <v>Stredná priemyselná škola dopravná</v>
      </c>
    </row>
    <row r="5" spans="1:75" x14ac:dyDescent="0.2">
      <c r="A5" s="916" t="s">
        <v>4022</v>
      </c>
      <c r="B5" s="987">
        <v>100008004</v>
      </c>
      <c r="C5" s="987">
        <v>161578</v>
      </c>
      <c r="D5" s="988" t="s">
        <v>4304</v>
      </c>
      <c r="E5" s="988" t="s">
        <v>4578</v>
      </c>
      <c r="F5" s="988" t="s">
        <v>3861</v>
      </c>
      <c r="G5" s="972" t="s">
        <v>4560</v>
      </c>
      <c r="H5" s="972" t="s">
        <v>4561</v>
      </c>
      <c r="I5" s="989" t="s">
        <v>4562</v>
      </c>
      <c r="J5" s="989">
        <v>1</v>
      </c>
      <c r="K5" s="918" t="s">
        <v>4562</v>
      </c>
      <c r="L5" s="974" t="s">
        <v>4563</v>
      </c>
      <c r="M5" s="918"/>
      <c r="N5" s="990">
        <v>7.2</v>
      </c>
      <c r="O5" s="989"/>
      <c r="P5" s="989"/>
      <c r="Q5" s="999"/>
      <c r="R5" s="977">
        <v>412</v>
      </c>
      <c r="S5" s="977">
        <v>42</v>
      </c>
      <c r="T5" s="977">
        <v>420</v>
      </c>
      <c r="U5" s="977">
        <v>100</v>
      </c>
      <c r="V5" s="977">
        <v>10</v>
      </c>
      <c r="W5" s="977">
        <v>5</v>
      </c>
      <c r="X5" s="978">
        <f t="shared" si="0"/>
        <v>0.17252931323283083</v>
      </c>
      <c r="Y5" s="978">
        <f t="shared" si="1"/>
        <v>0.15748031496062992</v>
      </c>
      <c r="Z5" s="993"/>
      <c r="AA5" s="1000">
        <f>_xlfn.XLOOKUP(A5,'[4]Sub-analyza3 - zadania kvality'!$A:$A,'[4]Sub-analyza3 - zadania kvality'!$K:$K,"Nenašlo sa")</f>
        <v>2.63</v>
      </c>
      <c r="AB5" s="980" t="s">
        <v>3860</v>
      </c>
      <c r="AC5" s="995" t="s">
        <v>4579</v>
      </c>
      <c r="AD5" s="982">
        <v>1</v>
      </c>
      <c r="AE5" s="977">
        <v>2</v>
      </c>
      <c r="AF5" s="983"/>
      <c r="AG5" s="977">
        <v>1</v>
      </c>
      <c r="AH5" s="977">
        <v>24</v>
      </c>
      <c r="AI5" s="983">
        <v>1</v>
      </c>
      <c r="AJ5" s="983">
        <v>24</v>
      </c>
      <c r="AK5" s="977">
        <v>1</v>
      </c>
      <c r="AL5" s="977">
        <v>15</v>
      </c>
      <c r="AM5" s="983"/>
      <c r="AN5" s="983"/>
      <c r="AO5" s="977">
        <v>1</v>
      </c>
      <c r="AP5" s="977">
        <v>15</v>
      </c>
      <c r="AQ5" s="977">
        <v>0</v>
      </c>
      <c r="AR5" s="983"/>
      <c r="AS5" s="983">
        <v>1</v>
      </c>
      <c r="AT5" s="983"/>
      <c r="AU5" s="977">
        <v>0</v>
      </c>
      <c r="AV5" s="977">
        <v>0</v>
      </c>
      <c r="AW5" s="983"/>
      <c r="AX5" s="983"/>
      <c r="AY5" s="1001">
        <v>1</v>
      </c>
      <c r="AZ5" s="1001">
        <v>15</v>
      </c>
      <c r="BA5" s="983">
        <v>1</v>
      </c>
      <c r="BB5" s="983"/>
      <c r="BC5" s="1001">
        <v>1</v>
      </c>
      <c r="BD5" s="1001">
        <v>15</v>
      </c>
      <c r="BE5" s="983">
        <v>1</v>
      </c>
      <c r="BF5" s="983"/>
      <c r="BG5" s="972">
        <f>_xlfn.XLOOKUP('Pasport1 NetAcad zdroj4'!$A5,'[5]Pasport1 Akademie'!$B$2:$B$62,'[5]Pasport1 Akademie'!AY$2:AY$62,"zle")</f>
        <v>5</v>
      </c>
      <c r="BH5" s="972">
        <f>_xlfn.XLOOKUP('Pasport1 NetAcad zdroj4'!$A5,'[5]Pasport1 Akademie'!$B$2:$B$62,'[5]Pasport1 Akademie'!AZ$2:AZ$62,"zle")</f>
        <v>2</v>
      </c>
      <c r="BI5" s="972">
        <f>_xlfn.XLOOKUP('Pasport1 NetAcad zdroj4'!$A5,'[5]Pasport1 Akademie'!$B$2:$B$62,'[5]Pasport1 Akademie'!BA$2:BA$62,"zle")</f>
        <v>2</v>
      </c>
      <c r="BJ5" s="972">
        <f>_xlfn.XLOOKUP('Pasport1 NetAcad zdroj4'!$A5,'[5]Pasport1 Akademie'!$B$2:$B$62,'[5]Pasport1 Akademie'!BB$2:BB$62,"zle")</f>
        <v>2</v>
      </c>
      <c r="BK5" s="972">
        <f>_xlfn.XLOOKUP('Pasport1 NetAcad zdroj4'!$A5,'[5]Pasport1 Akademie'!$B$2:$B$62,'[5]Pasport1 Akademie'!AZ$2:AZ$62,"zle")</f>
        <v>2</v>
      </c>
      <c r="BL5" s="972">
        <f>_xlfn.XLOOKUP('Pasport1 NetAcad zdroj4'!$A5,'[5]Pasport1 Akademie'!$B$2:$B$62,'[5]Pasport1 Akademie'!BD$2:BD$62,"zle")</f>
        <v>1</v>
      </c>
      <c r="BM5" s="972">
        <f>_xlfn.XLOOKUP('Pasport1 NetAcad zdroj4'!$A5,'[5]Pasport1 Akademie'!$B$2:$B$62,'[5]Pasport1 Akademie'!BC$2:BC$62,"zle")</f>
        <v>3</v>
      </c>
      <c r="BN5" s="996" t="s">
        <v>4580</v>
      </c>
      <c r="BO5" s="997" t="s">
        <v>4581</v>
      </c>
      <c r="BP5" s="997" t="s">
        <v>4582</v>
      </c>
      <c r="BQ5" s="988"/>
      <c r="BR5" s="997"/>
      <c r="BS5" s="988"/>
      <c r="BT5" s="998"/>
      <c r="BU5" s="986">
        <v>5</v>
      </c>
      <c r="BW5" s="773" t="str">
        <f>_xlfn.XLOOKUP(A5,'[4]Sub-analyza3 - zadania kvality'!A:A,'[4]Sub-analyza3 - zadania kvality'!F:F,"Nenašlo sa")</f>
        <v>Stredná priemyselná škola technická</v>
      </c>
    </row>
    <row r="6" spans="1:75" x14ac:dyDescent="0.2">
      <c r="A6" s="916" t="s">
        <v>4066</v>
      </c>
      <c r="B6" s="987">
        <v>100011838</v>
      </c>
      <c r="C6" s="987">
        <v>893358</v>
      </c>
      <c r="D6" s="988" t="s">
        <v>4583</v>
      </c>
      <c r="E6" s="988" t="s">
        <v>4584</v>
      </c>
      <c r="F6" s="988" t="s">
        <v>4585</v>
      </c>
      <c r="G6" s="972" t="s">
        <v>4560</v>
      </c>
      <c r="H6" s="972" t="s">
        <v>4586</v>
      </c>
      <c r="I6" s="989" t="s">
        <v>4562</v>
      </c>
      <c r="J6" s="989">
        <v>1</v>
      </c>
      <c r="K6" s="918" t="s">
        <v>4562</v>
      </c>
      <c r="L6" s="918" t="s">
        <v>4563</v>
      </c>
      <c r="M6" s="918"/>
      <c r="N6" s="1002"/>
      <c r="O6" s="989"/>
      <c r="P6" s="989"/>
      <c r="Q6" s="989"/>
      <c r="R6" s="977">
        <v>197</v>
      </c>
      <c r="S6" s="977">
        <v>7</v>
      </c>
      <c r="T6" s="977">
        <v>175</v>
      </c>
      <c r="U6" s="977">
        <v>80</v>
      </c>
      <c r="V6" s="977">
        <v>0</v>
      </c>
      <c r="W6" s="977">
        <v>2</v>
      </c>
      <c r="X6" s="978">
        <f t="shared" si="0"/>
        <v>8.2495812395309884E-2</v>
      </c>
      <c r="Y6" s="978">
        <f t="shared" si="1"/>
        <v>0.12598425196850394</v>
      </c>
      <c r="Z6" s="993"/>
      <c r="AA6" s="979">
        <f>_xlfn.XLOOKUP(A6,'[4]Sub-analyza3 - zadania kvality'!$A:$A,'[4]Sub-analyza3 - zadania kvality'!$K:$K,"Nenašlo sa")</f>
        <v>1</v>
      </c>
      <c r="AB6" s="994" t="s">
        <v>3860</v>
      </c>
      <c r="AC6" s="995"/>
      <c r="AD6" s="982">
        <v>1</v>
      </c>
      <c r="AE6" s="977">
        <v>1</v>
      </c>
      <c r="AF6" s="983"/>
      <c r="AG6" s="977">
        <v>1</v>
      </c>
      <c r="AH6" s="977">
        <v>15</v>
      </c>
      <c r="AI6" s="983">
        <v>1</v>
      </c>
      <c r="AJ6" s="983">
        <v>15</v>
      </c>
      <c r="AK6" s="977"/>
      <c r="AL6" s="977"/>
      <c r="AM6" s="983"/>
      <c r="AN6" s="983"/>
      <c r="AO6" s="977"/>
      <c r="AP6" s="977"/>
      <c r="AQ6" s="977"/>
      <c r="AR6" s="983"/>
      <c r="AS6" s="983"/>
      <c r="AT6" s="983"/>
      <c r="AU6" s="977">
        <v>0</v>
      </c>
      <c r="AV6" s="977">
        <v>0</v>
      </c>
      <c r="AW6" s="983"/>
      <c r="AX6" s="983"/>
      <c r="AY6" s="977">
        <v>0</v>
      </c>
      <c r="AZ6" s="977">
        <v>0</v>
      </c>
      <c r="BA6" s="983"/>
      <c r="BB6" s="983"/>
      <c r="BC6" s="977">
        <v>0</v>
      </c>
      <c r="BD6" s="977">
        <v>0</v>
      </c>
      <c r="BE6" s="983"/>
      <c r="BF6" s="983"/>
      <c r="BG6" s="972" t="str">
        <f>_xlfn.XLOOKUP('Pasport1 NetAcad zdroj4'!$A6,'[5]Pasport1 Akademie'!$B$2:$B$62,'[5]Pasport1 Akademie'!AY$2:AY$62,"zle")</f>
        <v>zle</v>
      </c>
      <c r="BH6" s="972" t="str">
        <f>_xlfn.XLOOKUP('Pasport1 NetAcad zdroj4'!$A6,'[5]Pasport1 Akademie'!$B$2:$B$62,'[5]Pasport1 Akademie'!AZ$2:AZ$62,"zle")</f>
        <v>zle</v>
      </c>
      <c r="BI6" s="972" t="str">
        <f>_xlfn.XLOOKUP('Pasport1 NetAcad zdroj4'!$A6,'[5]Pasport1 Akademie'!$B$2:$B$62,'[5]Pasport1 Akademie'!BA$2:BA$62,"zle")</f>
        <v>zle</v>
      </c>
      <c r="BJ6" s="972" t="str">
        <f>_xlfn.XLOOKUP('Pasport1 NetAcad zdroj4'!$A6,'[5]Pasport1 Akademie'!$B$2:$B$62,'[5]Pasport1 Akademie'!BB$2:BB$62,"zle")</f>
        <v>zle</v>
      </c>
      <c r="BK6" s="972" t="str">
        <f>_xlfn.XLOOKUP('Pasport1 NetAcad zdroj4'!$A6,'[5]Pasport1 Akademie'!$B$2:$B$62,'[5]Pasport1 Akademie'!AZ$2:AZ$62,"zle")</f>
        <v>zle</v>
      </c>
      <c r="BL6" s="972" t="str">
        <f>_xlfn.XLOOKUP('Pasport1 NetAcad zdroj4'!$A6,'[5]Pasport1 Akademie'!$B$2:$B$62,'[5]Pasport1 Akademie'!BD$2:BD$62,"zle")</f>
        <v>zle</v>
      </c>
      <c r="BM6" s="972" t="str">
        <f>_xlfn.XLOOKUP('Pasport1 NetAcad zdroj4'!$A6,'[5]Pasport1 Akademie'!$B$2:$B$62,'[5]Pasport1 Akademie'!BC$2:BC$62,"zle")</f>
        <v>zle</v>
      </c>
      <c r="BN6" s="996" t="s">
        <v>4587</v>
      </c>
      <c r="BO6" s="1003" t="s">
        <v>4588</v>
      </c>
      <c r="BP6" s="1003" t="s">
        <v>4589</v>
      </c>
      <c r="BQ6" s="988"/>
      <c r="BR6" s="988"/>
      <c r="BS6" s="988"/>
      <c r="BT6" s="1004"/>
      <c r="BU6" s="986">
        <v>6</v>
      </c>
      <c r="BW6" s="773" t="str">
        <f>_xlfn.XLOOKUP(A6,'[4]Sub-analyza3 - zadania kvality'!A:A,'[4]Sub-analyza3 - zadania kvality'!F:F,"Nenašlo sa")</f>
        <v>Stredná odborná škola polytechnická</v>
      </c>
    </row>
    <row r="7" spans="1:75" x14ac:dyDescent="0.2">
      <c r="A7" s="1005" t="s">
        <v>3990</v>
      </c>
      <c r="B7" s="987">
        <v>100013509</v>
      </c>
      <c r="C7" s="987">
        <v>161217</v>
      </c>
      <c r="D7" s="988" t="s">
        <v>4590</v>
      </c>
      <c r="E7" s="988" t="s">
        <v>4591</v>
      </c>
      <c r="F7" s="988" t="s">
        <v>4592</v>
      </c>
      <c r="G7" s="972" t="s">
        <v>4560</v>
      </c>
      <c r="H7" s="972" t="s">
        <v>4586</v>
      </c>
      <c r="I7" s="989" t="s">
        <v>4562</v>
      </c>
      <c r="J7" s="989">
        <v>1</v>
      </c>
      <c r="K7" s="918" t="s">
        <v>4593</v>
      </c>
      <c r="L7" s="974" t="s">
        <v>4563</v>
      </c>
      <c r="M7" s="918"/>
      <c r="N7" s="990">
        <v>6.1</v>
      </c>
      <c r="O7" s="989"/>
      <c r="P7" s="989"/>
      <c r="Q7" s="989"/>
      <c r="R7" s="1006">
        <v>345</v>
      </c>
      <c r="S7" s="977">
        <v>201</v>
      </c>
      <c r="T7" s="977">
        <v>250</v>
      </c>
      <c r="U7" s="977">
        <v>0</v>
      </c>
      <c r="V7" s="977">
        <v>200</v>
      </c>
      <c r="W7" s="977">
        <v>10</v>
      </c>
      <c r="X7" s="1007">
        <f t="shared" si="0"/>
        <v>0.14447236180904521</v>
      </c>
      <c r="Y7" s="978">
        <f t="shared" si="1"/>
        <v>0</v>
      </c>
      <c r="Z7" s="993"/>
      <c r="AA7" s="979">
        <f>_xlfn.XLOOKUP(A7,'[4]Sub-analyza3 - zadania kvality'!$A:$A,'[4]Sub-analyza3 - zadania kvality'!$K:$K,"Nenašlo sa")</f>
        <v>1</v>
      </c>
      <c r="AB7" s="1008" t="s">
        <v>3867</v>
      </c>
      <c r="AC7" s="1009" t="s">
        <v>4594</v>
      </c>
      <c r="AD7" s="982">
        <v>1</v>
      </c>
      <c r="AE7" s="977">
        <v>1</v>
      </c>
      <c r="AF7" s="983"/>
      <c r="AG7" s="1010">
        <v>1</v>
      </c>
      <c r="AH7" s="1011">
        <v>15</v>
      </c>
      <c r="AI7" s="983">
        <v>1</v>
      </c>
      <c r="AJ7" s="1012">
        <v>10</v>
      </c>
      <c r="AK7" s="977"/>
      <c r="AL7" s="977"/>
      <c r="AM7" s="983"/>
      <c r="AN7" s="983"/>
      <c r="AO7" s="977"/>
      <c r="AP7" s="977"/>
      <c r="AQ7" s="977"/>
      <c r="AR7" s="983"/>
      <c r="AS7" s="983"/>
      <c r="AT7" s="983"/>
      <c r="AU7" s="977">
        <v>0</v>
      </c>
      <c r="AV7" s="977">
        <v>0</v>
      </c>
      <c r="AW7" s="983"/>
      <c r="AX7" s="983"/>
      <c r="AY7" s="977">
        <v>0</v>
      </c>
      <c r="AZ7" s="977">
        <v>0</v>
      </c>
      <c r="BA7" s="983"/>
      <c r="BB7" s="983"/>
      <c r="BC7" s="977">
        <v>0</v>
      </c>
      <c r="BD7" s="977">
        <v>0</v>
      </c>
      <c r="BE7" s="983"/>
      <c r="BF7" s="983"/>
      <c r="BG7" s="972">
        <f>_xlfn.XLOOKUP('Pasport1 NetAcad zdroj4'!$A7,'[5]Pasport1 Akademie'!$B$2:$B$62,'[5]Pasport1 Akademie'!AY$2:AY$62,"zle")</f>
        <v>3</v>
      </c>
      <c r="BH7" s="972">
        <f>_xlfn.XLOOKUP('Pasport1 NetAcad zdroj4'!$A7,'[5]Pasport1 Akademie'!$B$2:$B$62,'[5]Pasport1 Akademie'!AZ$2:AZ$62,"zle")</f>
        <v>3</v>
      </c>
      <c r="BI7" s="972">
        <f>_xlfn.XLOOKUP('Pasport1 NetAcad zdroj4'!$A7,'[5]Pasport1 Akademie'!$B$2:$B$62,'[5]Pasport1 Akademie'!BA$2:BA$62,"zle")</f>
        <v>8</v>
      </c>
      <c r="BJ7" s="972">
        <f>_xlfn.XLOOKUP('Pasport1 NetAcad zdroj4'!$A7,'[5]Pasport1 Akademie'!$B$2:$B$62,'[5]Pasport1 Akademie'!BB$2:BB$62,"zle")</f>
        <v>6</v>
      </c>
      <c r="BK7" s="972">
        <f>_xlfn.XLOOKUP('Pasport1 NetAcad zdroj4'!$A7,'[5]Pasport1 Akademie'!$B$2:$B$62,'[5]Pasport1 Akademie'!AZ$2:AZ$62,"zle")</f>
        <v>3</v>
      </c>
      <c r="BL7" s="972">
        <f>_xlfn.XLOOKUP('Pasport1 NetAcad zdroj4'!$A7,'[5]Pasport1 Akademie'!$B$2:$B$62,'[5]Pasport1 Akademie'!BD$2:BD$62,"zle")</f>
        <v>3</v>
      </c>
      <c r="BM7" s="972">
        <f>_xlfn.XLOOKUP('Pasport1 NetAcad zdroj4'!$A7,'[5]Pasport1 Akademie'!$B$2:$B$62,'[5]Pasport1 Akademie'!BC$2:BC$62,"zle")</f>
        <v>3</v>
      </c>
      <c r="BN7" s="996" t="s">
        <v>4595</v>
      </c>
      <c r="BO7" s="1003" t="s">
        <v>4596</v>
      </c>
      <c r="BP7" s="997" t="s">
        <v>4597</v>
      </c>
      <c r="BQ7" s="988" t="s">
        <v>4598</v>
      </c>
      <c r="BR7" s="997" t="s">
        <v>4599</v>
      </c>
      <c r="BS7" s="988" t="s">
        <v>4600</v>
      </c>
      <c r="BT7" s="998" t="s">
        <v>4601</v>
      </c>
      <c r="BU7" s="986">
        <v>8</v>
      </c>
      <c r="BW7" s="773" t="str">
        <f>_xlfn.XLOOKUP(A7,'[4]Sub-analyza3 - zadania kvality'!A:A,'[4]Sub-analyza3 - zadania kvality'!F:F,"Nenašlo sa")</f>
        <v>Gymnázium Terézie Vansovej Stará Ľubovňa</v>
      </c>
    </row>
    <row r="8" spans="1:75" ht="14.25" customHeight="1" x14ac:dyDescent="0.2">
      <c r="A8" s="987">
        <v>42039371</v>
      </c>
      <c r="B8" s="987">
        <v>100012473</v>
      </c>
      <c r="C8" s="987">
        <v>42039371</v>
      </c>
      <c r="D8" s="988" t="s">
        <v>4602</v>
      </c>
      <c r="E8" s="988" t="s">
        <v>4603</v>
      </c>
      <c r="F8" s="988" t="s">
        <v>4604</v>
      </c>
      <c r="G8" s="972" t="s">
        <v>4560</v>
      </c>
      <c r="H8" s="972" t="s">
        <v>4586</v>
      </c>
      <c r="I8" s="989" t="s">
        <v>4562</v>
      </c>
      <c r="J8" s="989">
        <v>1</v>
      </c>
      <c r="K8" s="918" t="s">
        <v>4562</v>
      </c>
      <c r="L8" s="974" t="s">
        <v>4563</v>
      </c>
      <c r="M8" s="918"/>
      <c r="N8" s="990">
        <v>8.5</v>
      </c>
      <c r="O8" s="991" t="s">
        <v>4573</v>
      </c>
      <c r="P8" s="991" t="s">
        <v>4605</v>
      </c>
      <c r="Q8" s="989"/>
      <c r="R8" s="1006">
        <v>445</v>
      </c>
      <c r="S8" s="977">
        <v>166</v>
      </c>
      <c r="T8" s="977">
        <v>440</v>
      </c>
      <c r="U8" s="977">
        <v>235</v>
      </c>
      <c r="V8" s="977">
        <v>0</v>
      </c>
      <c r="W8" s="977">
        <v>50</v>
      </c>
      <c r="X8" s="1007">
        <f t="shared" si="0"/>
        <v>0.18634840871021777</v>
      </c>
      <c r="Y8" s="978">
        <f t="shared" si="1"/>
        <v>0.37007874015748032</v>
      </c>
      <c r="Z8" s="993"/>
      <c r="AA8" s="979">
        <f>_xlfn.XLOOKUP(A8,'[4]Sub-analyza3 - zadania kvality'!$A:$A,'[4]Sub-analyza3 - zadania kvality'!$K:$K,"Nenašlo sa")</f>
        <v>1.2978723404255319</v>
      </c>
      <c r="AB8" s="991" t="s">
        <v>3876</v>
      </c>
      <c r="AC8" s="1009" t="s">
        <v>4606</v>
      </c>
      <c r="AD8" s="982">
        <v>1</v>
      </c>
      <c r="AE8" s="977">
        <v>3</v>
      </c>
      <c r="AF8" s="983"/>
      <c r="AG8" s="977">
        <v>1</v>
      </c>
      <c r="AH8" s="977">
        <v>15</v>
      </c>
      <c r="AI8" s="983">
        <v>1</v>
      </c>
      <c r="AJ8" s="983">
        <v>15</v>
      </c>
      <c r="AK8" s="977">
        <v>1</v>
      </c>
      <c r="AL8" s="977">
        <v>15</v>
      </c>
      <c r="AM8" s="983">
        <v>1</v>
      </c>
      <c r="AN8" s="983">
        <v>15</v>
      </c>
      <c r="AO8" s="977">
        <v>1</v>
      </c>
      <c r="AP8" s="977">
        <v>15</v>
      </c>
      <c r="AQ8" s="977">
        <v>0</v>
      </c>
      <c r="AR8" s="983"/>
      <c r="AS8" s="983">
        <v>1</v>
      </c>
      <c r="AT8" s="983"/>
      <c r="AU8" s="977">
        <v>0</v>
      </c>
      <c r="AV8" s="977">
        <v>0</v>
      </c>
      <c r="AW8" s="983"/>
      <c r="AX8" s="983"/>
      <c r="AY8" s="977">
        <v>0</v>
      </c>
      <c r="AZ8" s="977">
        <v>0</v>
      </c>
      <c r="BA8" s="983"/>
      <c r="BB8" s="983"/>
      <c r="BC8" s="977">
        <v>0</v>
      </c>
      <c r="BD8" s="977">
        <v>0</v>
      </c>
      <c r="BE8" s="983"/>
      <c r="BF8" s="983"/>
      <c r="BG8" s="972">
        <f>_xlfn.XLOOKUP('Pasport1 NetAcad zdroj4'!$A8,'[5]Pasport1 Akademie'!$B$2:$B$62,'[5]Pasport1 Akademie'!AY$2:AY$62,"zle")</f>
        <v>8</v>
      </c>
      <c r="BH8" s="972">
        <f>_xlfn.XLOOKUP('Pasport1 NetAcad zdroj4'!$A8,'[5]Pasport1 Akademie'!$B$2:$B$62,'[5]Pasport1 Akademie'!AZ$2:AZ$62,"zle")</f>
        <v>5</v>
      </c>
      <c r="BI8" s="972">
        <f>_xlfn.XLOOKUP('Pasport1 NetAcad zdroj4'!$A8,'[5]Pasport1 Akademie'!$B$2:$B$62,'[5]Pasport1 Akademie'!BA$2:BA$62,"zle")</f>
        <v>5</v>
      </c>
      <c r="BJ8" s="972">
        <f>_xlfn.XLOOKUP('Pasport1 NetAcad zdroj4'!$A8,'[5]Pasport1 Akademie'!$B$2:$B$62,'[5]Pasport1 Akademie'!BB$2:BB$62,"zle")</f>
        <v>5</v>
      </c>
      <c r="BK8" s="972">
        <f>_xlfn.XLOOKUP('Pasport1 NetAcad zdroj4'!$A8,'[5]Pasport1 Akademie'!$B$2:$B$62,'[5]Pasport1 Akademie'!AZ$2:AZ$62,"zle")</f>
        <v>5</v>
      </c>
      <c r="BL8" s="972">
        <f>_xlfn.XLOOKUP('Pasport1 NetAcad zdroj4'!$A8,'[5]Pasport1 Akademie'!$B$2:$B$62,'[5]Pasport1 Akademie'!BD$2:BD$62,"zle")</f>
        <v>5</v>
      </c>
      <c r="BM8" s="972">
        <f>_xlfn.XLOOKUP('Pasport1 NetAcad zdroj4'!$A8,'[5]Pasport1 Akademie'!$B$2:$B$62,'[5]Pasport1 Akademie'!BC$2:BC$62,"zle")</f>
        <v>5</v>
      </c>
      <c r="BN8" s="996" t="s">
        <v>4607</v>
      </c>
      <c r="BO8" s="997" t="s">
        <v>4608</v>
      </c>
      <c r="BP8" s="997" t="s">
        <v>4608</v>
      </c>
      <c r="BQ8" s="988"/>
      <c r="BR8" s="997"/>
      <c r="BS8" s="988" t="s">
        <v>4609</v>
      </c>
      <c r="BT8" s="998" t="s">
        <v>4610</v>
      </c>
      <c r="BU8" s="986">
        <v>9</v>
      </c>
      <c r="BW8" s="773" t="str">
        <f>_xlfn.XLOOKUP(A8,'[4]Sub-analyza3 - zadania kvality'!A:A,'[4]Sub-analyza3 - zadania kvality'!F:F,"Nenašlo sa")</f>
        <v>Súkromná stredná odborná škola</v>
      </c>
    </row>
    <row r="9" spans="1:75" x14ac:dyDescent="0.2">
      <c r="A9" s="916" t="s">
        <v>4056</v>
      </c>
      <c r="B9" s="987">
        <v>100003980</v>
      </c>
      <c r="C9" s="987">
        <v>161594</v>
      </c>
      <c r="D9" s="988" t="s">
        <v>4314</v>
      </c>
      <c r="E9" s="988" t="s">
        <v>4611</v>
      </c>
      <c r="F9" s="988" t="s">
        <v>4612</v>
      </c>
      <c r="G9" s="972" t="s">
        <v>4560</v>
      </c>
      <c r="H9" s="972" t="s">
        <v>4613</v>
      </c>
      <c r="I9" s="989" t="s">
        <v>4562</v>
      </c>
      <c r="J9" s="989">
        <v>1</v>
      </c>
      <c r="K9" s="918" t="s">
        <v>4562</v>
      </c>
      <c r="L9" s="974" t="s">
        <v>4563</v>
      </c>
      <c r="M9" s="918"/>
      <c r="N9" s="990">
        <v>6</v>
      </c>
      <c r="O9" s="991" t="s">
        <v>4573</v>
      </c>
      <c r="P9" s="989"/>
      <c r="Q9" s="989"/>
      <c r="R9" s="1006">
        <v>302</v>
      </c>
      <c r="S9" s="977">
        <v>64</v>
      </c>
      <c r="T9" s="977">
        <v>305</v>
      </c>
      <c r="U9" s="977">
        <v>120</v>
      </c>
      <c r="V9" s="977">
        <v>100</v>
      </c>
      <c r="W9" s="977">
        <v>10</v>
      </c>
      <c r="X9" s="1007">
        <f t="shared" si="0"/>
        <v>0.12646566164154105</v>
      </c>
      <c r="Y9" s="978">
        <f t="shared" si="1"/>
        <v>0.1889763779527559</v>
      </c>
      <c r="Z9" s="993"/>
      <c r="AA9" s="979">
        <f>_xlfn.XLOOKUP(A9,'[4]Sub-analyza3 - zadania kvality'!$A:$A,'[4]Sub-analyza3 - zadania kvality'!$K:$K,"Nenašlo sa")</f>
        <v>1</v>
      </c>
      <c r="AB9" s="991" t="s">
        <v>3860</v>
      </c>
      <c r="AC9" s="1009" t="s">
        <v>4614</v>
      </c>
      <c r="AD9" s="982">
        <v>1</v>
      </c>
      <c r="AE9" s="977">
        <v>4</v>
      </c>
      <c r="AF9" s="983"/>
      <c r="AG9" s="977">
        <v>2</v>
      </c>
      <c r="AH9" s="977">
        <v>28</v>
      </c>
      <c r="AI9" s="983">
        <v>2</v>
      </c>
      <c r="AJ9" s="983">
        <v>28</v>
      </c>
      <c r="AK9" s="977"/>
      <c r="AL9" s="977"/>
      <c r="AM9" s="983"/>
      <c r="AN9" s="983"/>
      <c r="AO9" s="977">
        <v>1</v>
      </c>
      <c r="AP9" s="977">
        <v>12</v>
      </c>
      <c r="AQ9" s="977">
        <v>0</v>
      </c>
      <c r="AR9" s="983"/>
      <c r="AS9" s="983">
        <v>1</v>
      </c>
      <c r="AT9" s="983"/>
      <c r="AU9" s="977">
        <v>0</v>
      </c>
      <c r="AV9" s="977">
        <v>0</v>
      </c>
      <c r="AW9" s="983"/>
      <c r="AX9" s="983"/>
      <c r="AY9" s="977">
        <v>1</v>
      </c>
      <c r="AZ9" s="977">
        <v>15</v>
      </c>
      <c r="BA9" s="983"/>
      <c r="BB9" s="983"/>
      <c r="BC9" s="977">
        <v>0</v>
      </c>
      <c r="BD9" s="977">
        <v>0</v>
      </c>
      <c r="BE9" s="983"/>
      <c r="BF9" s="983"/>
      <c r="BG9" s="972">
        <f>_xlfn.XLOOKUP('Pasport1 NetAcad zdroj4'!$A9,'[5]Pasport1 Akademie'!$B$2:$B$62,'[5]Pasport1 Akademie'!AY$2:AY$62,"zle")</f>
        <v>10</v>
      </c>
      <c r="BH9" s="972">
        <f>_xlfn.XLOOKUP('Pasport1 NetAcad zdroj4'!$A9,'[5]Pasport1 Akademie'!$B$2:$B$62,'[5]Pasport1 Akademie'!AZ$2:AZ$62,"zle")</f>
        <v>6</v>
      </c>
      <c r="BI9" s="972">
        <f>_xlfn.XLOOKUP('Pasport1 NetAcad zdroj4'!$A9,'[5]Pasport1 Akademie'!$B$2:$B$62,'[5]Pasport1 Akademie'!BA$2:BA$62,"zle")</f>
        <v>2</v>
      </c>
      <c r="BJ9" s="972">
        <f>_xlfn.XLOOKUP('Pasport1 NetAcad zdroj4'!$A9,'[5]Pasport1 Akademie'!$B$2:$B$62,'[5]Pasport1 Akademie'!BB$2:BB$62,"zle")</f>
        <v>7</v>
      </c>
      <c r="BK9" s="972">
        <f>_xlfn.XLOOKUP('Pasport1 NetAcad zdroj4'!$A9,'[5]Pasport1 Akademie'!$B$2:$B$62,'[5]Pasport1 Akademie'!AZ$2:AZ$62,"zle")</f>
        <v>6</v>
      </c>
      <c r="BL9" s="972">
        <f>_xlfn.XLOOKUP('Pasport1 NetAcad zdroj4'!$A9,'[5]Pasport1 Akademie'!$B$2:$B$62,'[5]Pasport1 Akademie'!BD$2:BD$62,"zle")</f>
        <v>6</v>
      </c>
      <c r="BM9" s="972">
        <f>_xlfn.XLOOKUP('Pasport1 NetAcad zdroj4'!$A9,'[5]Pasport1 Akademie'!$B$2:$B$62,'[5]Pasport1 Akademie'!BC$2:BC$62,"zle")</f>
        <v>5</v>
      </c>
      <c r="BN9" s="996" t="s">
        <v>4615</v>
      </c>
      <c r="BO9" s="997" t="s">
        <v>4616</v>
      </c>
      <c r="BP9" s="997" t="s">
        <v>4617</v>
      </c>
      <c r="BQ9" s="988"/>
      <c r="BR9" s="997"/>
      <c r="BS9" s="988" t="s">
        <v>4618</v>
      </c>
      <c r="BT9" s="998" t="s">
        <v>4619</v>
      </c>
      <c r="BU9" s="986">
        <v>10</v>
      </c>
      <c r="BW9" s="773" t="str">
        <f>_xlfn.XLOOKUP(A9,'[4]Sub-analyza3 - zadania kvality'!A:A,'[4]Sub-analyza3 - zadania kvality'!F:F,"Nenašlo sa")</f>
        <v>Stredná priemyselná škola</v>
      </c>
    </row>
    <row r="10" spans="1:75" ht="64" x14ac:dyDescent="0.2">
      <c r="A10" s="916" t="s">
        <v>4047</v>
      </c>
      <c r="B10" s="987" t="s">
        <v>4620</v>
      </c>
      <c r="C10" s="987" t="s">
        <v>4621</v>
      </c>
      <c r="D10" s="988" t="s">
        <v>4622</v>
      </c>
      <c r="E10" s="988" t="s">
        <v>4623</v>
      </c>
      <c r="F10" s="988" t="s">
        <v>4624</v>
      </c>
      <c r="G10" s="972" t="s">
        <v>4560</v>
      </c>
      <c r="H10" s="972" t="s">
        <v>4625</v>
      </c>
      <c r="I10" s="989" t="s">
        <v>4562</v>
      </c>
      <c r="J10" s="989">
        <v>1</v>
      </c>
      <c r="K10" s="918" t="s">
        <v>4562</v>
      </c>
      <c r="L10" s="1013" t="s">
        <v>4626</v>
      </c>
      <c r="M10" s="974" t="s">
        <v>4625</v>
      </c>
      <c r="N10" s="990">
        <v>7.6</v>
      </c>
      <c r="O10" s="991" t="s">
        <v>4573</v>
      </c>
      <c r="P10" s="991" t="s">
        <v>4627</v>
      </c>
      <c r="Q10" s="989"/>
      <c r="R10" s="1006">
        <v>666</v>
      </c>
      <c r="S10" s="977">
        <v>41</v>
      </c>
      <c r="T10" s="977">
        <v>650</v>
      </c>
      <c r="U10" s="977">
        <v>120</v>
      </c>
      <c r="V10" s="977">
        <v>30</v>
      </c>
      <c r="W10" s="977">
        <v>10</v>
      </c>
      <c r="X10" s="1014">
        <f t="shared" si="0"/>
        <v>0.27889447236180903</v>
      </c>
      <c r="Y10" s="978">
        <f t="shared" si="1"/>
        <v>0.1889763779527559</v>
      </c>
      <c r="Z10" s="994" t="s">
        <v>4628</v>
      </c>
      <c r="AA10" s="1000">
        <f>_xlfn.XLOOKUP(A10,'[4]Sub-analyza3 - zadania kvality'!$A:$A,'[4]Sub-analyza3 - zadania kvality'!$K:$K,"Nenašlo sa")</f>
        <v>2.8083333333333331</v>
      </c>
      <c r="AB10" s="991" t="s">
        <v>3876</v>
      </c>
      <c r="AC10" s="1009" t="s">
        <v>4629</v>
      </c>
      <c r="AD10" s="982">
        <v>1</v>
      </c>
      <c r="AE10" s="977">
        <v>4</v>
      </c>
      <c r="AF10" s="983"/>
      <c r="AG10" s="977"/>
      <c r="AH10" s="977"/>
      <c r="AI10" s="983"/>
      <c r="AJ10" s="983"/>
      <c r="AK10" s="977">
        <v>1</v>
      </c>
      <c r="AL10" s="977">
        <v>17</v>
      </c>
      <c r="AM10" s="983">
        <v>1</v>
      </c>
      <c r="AN10" s="983">
        <v>17</v>
      </c>
      <c r="AO10" s="977">
        <v>1</v>
      </c>
      <c r="AP10" s="977">
        <v>17</v>
      </c>
      <c r="AQ10" s="977">
        <v>0</v>
      </c>
      <c r="AR10" s="983"/>
      <c r="AS10" s="983">
        <v>1</v>
      </c>
      <c r="AT10" s="983"/>
      <c r="AU10" s="977">
        <v>0</v>
      </c>
      <c r="AV10" s="977">
        <v>0</v>
      </c>
      <c r="AW10" s="983"/>
      <c r="AX10" s="983"/>
      <c r="AY10" s="977">
        <v>1</v>
      </c>
      <c r="AZ10" s="977">
        <v>17</v>
      </c>
      <c r="BA10" s="983"/>
      <c r="BB10" s="983"/>
      <c r="BC10" s="977">
        <v>1</v>
      </c>
      <c r="BD10" s="977">
        <v>17</v>
      </c>
      <c r="BE10" s="983"/>
      <c r="BF10" s="983"/>
      <c r="BG10" s="972">
        <f>_xlfn.XLOOKUP('Pasport1 NetAcad zdroj4'!$A10,'[5]Pasport1 Akademie'!$B$2:$B$62,'[5]Pasport1 Akademie'!AY$2:AY$62,"zle")</f>
        <v>10</v>
      </c>
      <c r="BH10" s="972">
        <f>_xlfn.XLOOKUP('Pasport1 NetAcad zdroj4'!$A10,'[5]Pasport1 Akademie'!$B$2:$B$62,'[5]Pasport1 Akademie'!AZ$2:AZ$62,"zle")</f>
        <v>5</v>
      </c>
      <c r="BI10" s="972">
        <f>_xlfn.XLOOKUP('Pasport1 NetAcad zdroj4'!$A10,'[5]Pasport1 Akademie'!$B$2:$B$62,'[5]Pasport1 Akademie'!BA$2:BA$62,"zle")</f>
        <v>3</v>
      </c>
      <c r="BJ10" s="972">
        <f>_xlfn.XLOOKUP('Pasport1 NetAcad zdroj4'!$A10,'[5]Pasport1 Akademie'!$B$2:$B$62,'[5]Pasport1 Akademie'!BB$2:BB$62,"zle")</f>
        <v>3</v>
      </c>
      <c r="BK10" s="972">
        <f>_xlfn.XLOOKUP('Pasport1 NetAcad zdroj4'!$A10,'[5]Pasport1 Akademie'!$B$2:$B$62,'[5]Pasport1 Akademie'!AZ$2:AZ$62,"zle")</f>
        <v>5</v>
      </c>
      <c r="BL10" s="972">
        <f>_xlfn.XLOOKUP('Pasport1 NetAcad zdroj4'!$A10,'[5]Pasport1 Akademie'!$B$2:$B$62,'[5]Pasport1 Akademie'!BD$2:BD$62,"zle")</f>
        <v>10</v>
      </c>
      <c r="BM10" s="972">
        <f>_xlfn.XLOOKUP('Pasport1 NetAcad zdroj4'!$A10,'[5]Pasport1 Akademie'!$B$2:$B$62,'[5]Pasport1 Akademie'!BC$2:BC$62,"zle")</f>
        <v>5</v>
      </c>
      <c r="BN10" s="996" t="s">
        <v>4630</v>
      </c>
      <c r="BO10" s="997" t="s">
        <v>4631</v>
      </c>
      <c r="BP10" s="997"/>
      <c r="BQ10" s="988" t="s">
        <v>4632</v>
      </c>
      <c r="BR10" s="997" t="s">
        <v>4633</v>
      </c>
      <c r="BS10" s="1015" t="s">
        <v>4634</v>
      </c>
      <c r="BT10" s="1016" t="s">
        <v>4635</v>
      </c>
      <c r="BU10" s="986">
        <v>11</v>
      </c>
      <c r="BW10" s="773" t="str">
        <f>_xlfn.XLOOKUP(A10,'[4]Sub-analyza3 - zadania kvality'!A:A,'[4]Sub-analyza3 - zadania kvality'!F:F,"Nenašlo sa")</f>
        <v>Stredná priemyselná škola Jozefa Murgaša</v>
      </c>
    </row>
    <row r="11" spans="1:75" x14ac:dyDescent="0.2">
      <c r="A11" s="987" t="s">
        <v>4086</v>
      </c>
      <c r="B11" s="987">
        <v>100012862</v>
      </c>
      <c r="C11" s="987" t="s">
        <v>4086</v>
      </c>
      <c r="D11" s="988" t="s">
        <v>4636</v>
      </c>
      <c r="E11" s="988" t="s">
        <v>4637</v>
      </c>
      <c r="F11" s="988" t="s">
        <v>4638</v>
      </c>
      <c r="G11" s="972" t="s">
        <v>4560</v>
      </c>
      <c r="H11" s="972" t="s">
        <v>4586</v>
      </c>
      <c r="I11" s="989" t="s">
        <v>4562</v>
      </c>
      <c r="J11" s="989">
        <v>1</v>
      </c>
      <c r="K11" s="1017" t="s">
        <v>4562</v>
      </c>
      <c r="L11" s="1018" t="s">
        <v>4626</v>
      </c>
      <c r="M11" s="1017"/>
      <c r="N11" s="1002"/>
      <c r="O11" s="989"/>
      <c r="P11" s="989"/>
      <c r="Q11" s="989"/>
      <c r="R11" s="1006">
        <v>588</v>
      </c>
      <c r="S11" s="1006">
        <v>3</v>
      </c>
      <c r="T11" s="1019">
        <v>30</v>
      </c>
      <c r="U11" s="1019">
        <v>30</v>
      </c>
      <c r="V11" s="1019">
        <v>90</v>
      </c>
      <c r="W11" s="977">
        <v>10</v>
      </c>
      <c r="X11" s="1014">
        <f t="shared" si="0"/>
        <v>0.24623115577889448</v>
      </c>
      <c r="Y11" s="978">
        <f t="shared" si="1"/>
        <v>4.7244094488188976E-2</v>
      </c>
      <c r="Z11" s="994" t="s">
        <v>4639</v>
      </c>
      <c r="AA11" s="1000">
        <f>_xlfn.XLOOKUP(A11,'[4]Sub-analyza3 - zadania kvality'!$A:$A,'[4]Sub-analyza3 - zadania kvality'!$K:$K,"Nenašlo sa")</f>
        <v>2.1666666666666665</v>
      </c>
      <c r="AB11" s="1020" t="s">
        <v>4087</v>
      </c>
      <c r="AC11" s="1021" t="s">
        <v>4640</v>
      </c>
      <c r="AD11" s="982">
        <v>1</v>
      </c>
      <c r="AE11" s="977">
        <v>2</v>
      </c>
      <c r="AF11" s="983"/>
      <c r="AG11" s="1022">
        <v>1</v>
      </c>
      <c r="AH11" s="1022">
        <v>20</v>
      </c>
      <c r="AI11" s="1023"/>
      <c r="AJ11" s="1023"/>
      <c r="AK11" s="977">
        <v>1</v>
      </c>
      <c r="AL11" s="977">
        <v>20</v>
      </c>
      <c r="AM11" s="983"/>
      <c r="AN11" s="983"/>
      <c r="AO11" s="977"/>
      <c r="AP11" s="977"/>
      <c r="AQ11" s="977"/>
      <c r="AR11" s="983"/>
      <c r="AS11" s="983"/>
      <c r="AT11" s="983"/>
      <c r="AU11" s="977">
        <v>0</v>
      </c>
      <c r="AV11" s="977">
        <v>0</v>
      </c>
      <c r="AW11" s="983"/>
      <c r="AX11" s="983"/>
      <c r="AY11" s="977">
        <v>0</v>
      </c>
      <c r="AZ11" s="977">
        <v>0</v>
      </c>
      <c r="BA11" s="983"/>
      <c r="BB11" s="983"/>
      <c r="BC11" s="977">
        <v>0</v>
      </c>
      <c r="BD11" s="977">
        <v>0</v>
      </c>
      <c r="BE11" s="983"/>
      <c r="BF11" s="983"/>
      <c r="BG11" s="972">
        <f>_xlfn.XLOOKUP('Pasport1 NetAcad zdroj4'!$A11,'[5]Pasport1 Akademie'!$B$2:$B$62,'[5]Pasport1 Akademie'!AY$2:AY$62,"zle")</f>
        <v>3</v>
      </c>
      <c r="BH11" s="972">
        <f>_xlfn.XLOOKUP('Pasport1 NetAcad zdroj4'!$A11,'[5]Pasport1 Akademie'!$B$2:$B$62,'[5]Pasport1 Akademie'!AZ$2:AZ$62,"zle")</f>
        <v>3</v>
      </c>
      <c r="BI11" s="972">
        <f>_xlfn.XLOOKUP('Pasport1 NetAcad zdroj4'!$A11,'[5]Pasport1 Akademie'!$B$2:$B$62,'[5]Pasport1 Akademie'!BA$2:BA$62,"zle")</f>
        <v>3</v>
      </c>
      <c r="BJ11" s="972">
        <f>_xlfn.XLOOKUP('Pasport1 NetAcad zdroj4'!$A11,'[5]Pasport1 Akademie'!$B$2:$B$62,'[5]Pasport1 Akademie'!BB$2:BB$62,"zle")</f>
        <v>6</v>
      </c>
      <c r="BK11" s="972">
        <f>_xlfn.XLOOKUP('Pasport1 NetAcad zdroj4'!$A11,'[5]Pasport1 Akademie'!$B$2:$B$62,'[5]Pasport1 Akademie'!AZ$2:AZ$62,"zle")</f>
        <v>3</v>
      </c>
      <c r="BL11" s="972">
        <f>_xlfn.XLOOKUP('Pasport1 NetAcad zdroj4'!$A11,'[5]Pasport1 Akademie'!$B$2:$B$62,'[5]Pasport1 Akademie'!BD$2:BD$62,"zle")</f>
        <v>6</v>
      </c>
      <c r="BM11" s="972">
        <f>_xlfn.XLOOKUP('Pasport1 NetAcad zdroj4'!$A11,'[5]Pasport1 Akademie'!$B$2:$B$62,'[5]Pasport1 Akademie'!BC$2:BC$62,"zle")</f>
        <v>2</v>
      </c>
      <c r="BN11" s="996" t="s">
        <v>4641</v>
      </c>
      <c r="BO11" s="997" t="s">
        <v>4642</v>
      </c>
      <c r="BP11" s="997" t="s">
        <v>4643</v>
      </c>
      <c r="BQ11" s="988"/>
      <c r="BR11" s="997"/>
      <c r="BS11" s="988" t="s">
        <v>4644</v>
      </c>
      <c r="BT11" s="998" t="s">
        <v>4645</v>
      </c>
      <c r="BU11" s="986">
        <v>12</v>
      </c>
      <c r="BW11" s="773" t="str">
        <f>_xlfn.XLOOKUP(A11,'[4]Sub-analyza3 - zadania kvality'!A:A,'[4]Sub-analyza3 - zadania kvality'!F:F,"Nenašlo sa")</f>
        <v>Stredná odborná škola technická ako org.zl. Spojenej školy</v>
      </c>
    </row>
    <row r="12" spans="1:75" x14ac:dyDescent="0.2">
      <c r="A12" s="987">
        <v>35568381</v>
      </c>
      <c r="B12" s="987">
        <v>100016258</v>
      </c>
      <c r="C12" s="987">
        <v>35568381</v>
      </c>
      <c r="D12" s="988" t="s">
        <v>4646</v>
      </c>
      <c r="E12" s="988" t="s">
        <v>4647</v>
      </c>
      <c r="F12" s="988" t="s">
        <v>4648</v>
      </c>
      <c r="G12" s="972" t="s">
        <v>4560</v>
      </c>
      <c r="H12" s="972" t="s">
        <v>4649</v>
      </c>
      <c r="I12" s="989" t="s">
        <v>4562</v>
      </c>
      <c r="J12" s="989">
        <v>1</v>
      </c>
      <c r="K12" s="918" t="s">
        <v>4593</v>
      </c>
      <c r="L12" s="918" t="s">
        <v>4650</v>
      </c>
      <c r="M12" s="918"/>
      <c r="N12" s="1002"/>
      <c r="O12" s="989"/>
      <c r="P12" s="989"/>
      <c r="Q12" s="989"/>
      <c r="R12" s="1006">
        <v>291</v>
      </c>
      <c r="S12" s="977">
        <v>191</v>
      </c>
      <c r="T12" s="977">
        <v>300</v>
      </c>
      <c r="U12" s="977">
        <v>80</v>
      </c>
      <c r="V12" s="977">
        <v>0</v>
      </c>
      <c r="W12" s="977">
        <v>10</v>
      </c>
      <c r="X12" s="1007">
        <f t="shared" si="0"/>
        <v>0.12185929648241206</v>
      </c>
      <c r="Y12" s="978">
        <f t="shared" si="1"/>
        <v>0.12598425196850394</v>
      </c>
      <c r="Z12" s="993"/>
      <c r="AA12" s="979">
        <f>_xlfn.XLOOKUP(A12,'[4]Sub-analyza3 - zadania kvality'!$A:$A,'[4]Sub-analyza3 - zadania kvality'!$K:$K,"Nenašlo sa")</f>
        <v>1.05</v>
      </c>
      <c r="AB12" s="989" t="s">
        <v>4122</v>
      </c>
      <c r="AC12" s="1009"/>
      <c r="AD12" s="982">
        <v>1</v>
      </c>
      <c r="AE12" s="977">
        <v>1</v>
      </c>
      <c r="AF12" s="983"/>
      <c r="AG12" s="1024">
        <v>1</v>
      </c>
      <c r="AH12" s="1024">
        <v>1</v>
      </c>
      <c r="AI12" s="983">
        <v>1</v>
      </c>
      <c r="AJ12" s="983">
        <v>1</v>
      </c>
      <c r="AK12" s="977"/>
      <c r="AL12" s="977"/>
      <c r="AM12" s="983"/>
      <c r="AN12" s="983"/>
      <c r="AO12" s="977"/>
      <c r="AP12" s="977"/>
      <c r="AQ12" s="977"/>
      <c r="AR12" s="983"/>
      <c r="AS12" s="983"/>
      <c r="AT12" s="983"/>
      <c r="AU12" s="977">
        <v>0</v>
      </c>
      <c r="AV12" s="977">
        <v>0</v>
      </c>
      <c r="AW12" s="983"/>
      <c r="AX12" s="983"/>
      <c r="AY12" s="977">
        <v>0</v>
      </c>
      <c r="AZ12" s="977">
        <v>0</v>
      </c>
      <c r="BA12" s="983"/>
      <c r="BB12" s="983"/>
      <c r="BC12" s="977">
        <v>0</v>
      </c>
      <c r="BD12" s="977">
        <v>0</v>
      </c>
      <c r="BE12" s="983"/>
      <c r="BF12" s="983"/>
      <c r="BG12" s="972">
        <f>_xlfn.XLOOKUP('Pasport1 NetAcad zdroj4'!$A12,'[5]Pasport1 Akademie'!$B$2:$B$62,'[5]Pasport1 Akademie'!AY$2:AY$62,"zle")</f>
        <v>5</v>
      </c>
      <c r="BH12" s="972">
        <f>_xlfn.XLOOKUP('Pasport1 NetAcad zdroj4'!$A12,'[5]Pasport1 Akademie'!$B$2:$B$62,'[5]Pasport1 Akademie'!AZ$2:AZ$62,"zle")</f>
        <v>3</v>
      </c>
      <c r="BI12" s="972">
        <f>_xlfn.XLOOKUP('Pasport1 NetAcad zdroj4'!$A12,'[5]Pasport1 Akademie'!$B$2:$B$62,'[5]Pasport1 Akademie'!BA$2:BA$62,"zle")</f>
        <v>3</v>
      </c>
      <c r="BJ12" s="972">
        <f>_xlfn.XLOOKUP('Pasport1 NetAcad zdroj4'!$A12,'[5]Pasport1 Akademie'!$B$2:$B$62,'[5]Pasport1 Akademie'!BB$2:BB$62,"zle")</f>
        <v>3</v>
      </c>
      <c r="BK12" s="972">
        <f>_xlfn.XLOOKUP('Pasport1 NetAcad zdroj4'!$A12,'[5]Pasport1 Akademie'!$B$2:$B$62,'[5]Pasport1 Akademie'!AZ$2:AZ$62,"zle")</f>
        <v>3</v>
      </c>
      <c r="BL12" s="972">
        <f>_xlfn.XLOOKUP('Pasport1 NetAcad zdroj4'!$A12,'[5]Pasport1 Akademie'!$B$2:$B$62,'[5]Pasport1 Akademie'!BD$2:BD$62,"zle")</f>
        <v>6</v>
      </c>
      <c r="BM12" s="972">
        <f>_xlfn.XLOOKUP('Pasport1 NetAcad zdroj4'!$A12,'[5]Pasport1 Akademie'!$B$2:$B$62,'[5]Pasport1 Akademie'!BC$2:BC$62,"zle")</f>
        <v>6</v>
      </c>
      <c r="BN12" s="996" t="s">
        <v>4651</v>
      </c>
      <c r="BO12" s="997" t="s">
        <v>4652</v>
      </c>
      <c r="BP12" s="997" t="s">
        <v>4653</v>
      </c>
      <c r="BQ12" s="988"/>
      <c r="BR12" s="997"/>
      <c r="BS12" s="988" t="s">
        <v>4654</v>
      </c>
      <c r="BT12" s="998" t="s">
        <v>4655</v>
      </c>
      <c r="BU12" s="986">
        <v>13</v>
      </c>
      <c r="BW12" s="773" t="str">
        <f>_xlfn.XLOOKUP(A12,'[4]Sub-analyza3 - zadania kvality'!A:A,'[4]Sub-analyza3 - zadania kvality'!F:F,"Nenašlo sa")</f>
        <v>Stredná odborná škola ekonomická</v>
      </c>
    </row>
    <row r="13" spans="1:75" x14ac:dyDescent="0.2">
      <c r="A13" s="916" t="s">
        <v>3950</v>
      </c>
      <c r="B13" s="987">
        <v>100012436</v>
      </c>
      <c r="C13" s="987">
        <v>891541</v>
      </c>
      <c r="D13" s="988" t="s">
        <v>4289</v>
      </c>
      <c r="E13" s="988" t="s">
        <v>4656</v>
      </c>
      <c r="F13" s="988" t="s">
        <v>4604</v>
      </c>
      <c r="G13" s="972" t="s">
        <v>4560</v>
      </c>
      <c r="H13" s="972" t="s">
        <v>4586</v>
      </c>
      <c r="I13" s="989" t="s">
        <v>4562</v>
      </c>
      <c r="J13" s="989">
        <v>1</v>
      </c>
      <c r="K13" s="918" t="s">
        <v>4562</v>
      </c>
      <c r="L13" s="918" t="s">
        <v>4563</v>
      </c>
      <c r="M13" s="918"/>
      <c r="N13" s="1002"/>
      <c r="O13" s="989"/>
      <c r="P13" s="989"/>
      <c r="Q13" s="989"/>
      <c r="R13" s="1006">
        <v>294</v>
      </c>
      <c r="S13" s="977">
        <v>19</v>
      </c>
      <c r="T13" s="977">
        <v>280</v>
      </c>
      <c r="U13" s="977">
        <v>100</v>
      </c>
      <c r="V13" s="977">
        <v>0</v>
      </c>
      <c r="W13" s="977">
        <v>2</v>
      </c>
      <c r="X13" s="1007">
        <f t="shared" si="0"/>
        <v>0.12311557788944724</v>
      </c>
      <c r="Y13" s="978">
        <f t="shared" si="1"/>
        <v>0.15748031496062992</v>
      </c>
      <c r="Z13" s="993"/>
      <c r="AA13" s="979">
        <f>_xlfn.XLOOKUP(A13,'[4]Sub-analyza3 - zadania kvality'!$A:$A,'[4]Sub-analyza3 - zadania kvality'!$K:$K,"Nenašlo sa")</f>
        <v>1</v>
      </c>
      <c r="AB13" s="989" t="s">
        <v>3860</v>
      </c>
      <c r="AC13" s="1009"/>
      <c r="AD13" s="982">
        <v>1</v>
      </c>
      <c r="AE13" s="977">
        <v>4</v>
      </c>
      <c r="AF13" s="983"/>
      <c r="AG13" s="977">
        <v>1</v>
      </c>
      <c r="AH13" s="977">
        <v>15</v>
      </c>
      <c r="AI13" s="983">
        <v>1</v>
      </c>
      <c r="AJ13" s="983">
        <v>15</v>
      </c>
      <c r="AK13" s="977"/>
      <c r="AL13" s="977"/>
      <c r="AM13" s="983"/>
      <c r="AN13" s="983"/>
      <c r="AO13" s="977">
        <v>1</v>
      </c>
      <c r="AP13" s="977">
        <v>15</v>
      </c>
      <c r="AQ13" s="977">
        <v>0</v>
      </c>
      <c r="AR13" s="983"/>
      <c r="AS13" s="983"/>
      <c r="AT13" s="983"/>
      <c r="AU13" s="1001">
        <v>1</v>
      </c>
      <c r="AV13" s="1001">
        <v>15</v>
      </c>
      <c r="AW13" s="983">
        <v>1</v>
      </c>
      <c r="AX13" s="983"/>
      <c r="AY13" s="1001">
        <v>1</v>
      </c>
      <c r="AZ13" s="1001">
        <v>15</v>
      </c>
      <c r="BA13" s="983">
        <v>1</v>
      </c>
      <c r="BB13" s="983"/>
      <c r="BC13" s="977">
        <v>0</v>
      </c>
      <c r="BD13" s="977">
        <v>0</v>
      </c>
      <c r="BE13" s="983"/>
      <c r="BF13" s="983"/>
      <c r="BG13" s="972">
        <f>_xlfn.XLOOKUP('Pasport1 NetAcad zdroj4'!$A13,'[5]Pasport1 Akademie'!$B$2:$B$62,'[5]Pasport1 Akademie'!AY$2:AY$62,"zle")</f>
        <v>7</v>
      </c>
      <c r="BH13" s="972">
        <f>_xlfn.XLOOKUP('Pasport1 NetAcad zdroj4'!$A13,'[5]Pasport1 Akademie'!$B$2:$B$62,'[5]Pasport1 Akademie'!AZ$2:AZ$62,"zle")</f>
        <v>5</v>
      </c>
      <c r="BI13" s="972">
        <f>_xlfn.XLOOKUP('Pasport1 NetAcad zdroj4'!$A13,'[5]Pasport1 Akademie'!$B$2:$B$62,'[5]Pasport1 Akademie'!BA$2:BA$62,"zle")</f>
        <v>2</v>
      </c>
      <c r="BJ13" s="972">
        <f>_xlfn.XLOOKUP('Pasport1 NetAcad zdroj4'!$A13,'[5]Pasport1 Akademie'!$B$2:$B$62,'[5]Pasport1 Akademie'!BB$2:BB$62,"zle")</f>
        <v>3</v>
      </c>
      <c r="BK13" s="972">
        <f>_xlfn.XLOOKUP('Pasport1 NetAcad zdroj4'!$A13,'[5]Pasport1 Akademie'!$B$2:$B$62,'[5]Pasport1 Akademie'!AZ$2:AZ$62,"zle")</f>
        <v>5</v>
      </c>
      <c r="BL13" s="972">
        <f>_xlfn.XLOOKUP('Pasport1 NetAcad zdroj4'!$A13,'[5]Pasport1 Akademie'!$B$2:$B$62,'[5]Pasport1 Akademie'!BD$2:BD$62,"zle")</f>
        <v>6</v>
      </c>
      <c r="BM13" s="972">
        <f>_xlfn.XLOOKUP('Pasport1 NetAcad zdroj4'!$A13,'[5]Pasport1 Akademie'!$B$2:$B$62,'[5]Pasport1 Akademie'!BC$2:BC$62,"zle")</f>
        <v>6</v>
      </c>
      <c r="BN13" s="996" t="s">
        <v>4657</v>
      </c>
      <c r="BO13" s="997" t="s">
        <v>4658</v>
      </c>
      <c r="BP13" s="997"/>
      <c r="BQ13" s="988"/>
      <c r="BR13" s="997"/>
      <c r="BS13" s="988" t="s">
        <v>4659</v>
      </c>
      <c r="BT13" s="998" t="s">
        <v>4660</v>
      </c>
      <c r="BU13" s="986">
        <v>14</v>
      </c>
      <c r="BW13" s="773" t="str">
        <f>_xlfn.XLOOKUP(A13,'[4]Sub-analyza3 - zadania kvality'!A:A,'[4]Sub-analyza3 - zadania kvality'!F:F,"Nenašlo sa")</f>
        <v>Stredná odborná škola technická</v>
      </c>
    </row>
    <row r="14" spans="1:75" ht="32" x14ac:dyDescent="0.2">
      <c r="A14" s="916" t="s">
        <v>4142</v>
      </c>
      <c r="B14" s="987">
        <v>100002394</v>
      </c>
      <c r="C14" s="987">
        <v>161454</v>
      </c>
      <c r="D14" s="988" t="s">
        <v>4661</v>
      </c>
      <c r="E14" s="1025" t="s">
        <v>4662</v>
      </c>
      <c r="F14" s="988" t="s">
        <v>4663</v>
      </c>
      <c r="G14" s="972" t="s">
        <v>4560</v>
      </c>
      <c r="H14" s="972" t="s">
        <v>4571</v>
      </c>
      <c r="I14" s="989" t="s">
        <v>4562</v>
      </c>
      <c r="J14" s="989">
        <v>1</v>
      </c>
      <c r="K14" s="918" t="s">
        <v>4562</v>
      </c>
      <c r="L14" s="974" t="s">
        <v>4563</v>
      </c>
      <c r="M14" s="974" t="s">
        <v>4571</v>
      </c>
      <c r="N14" s="1026">
        <v>5.8</v>
      </c>
      <c r="O14" s="989"/>
      <c r="P14" s="989"/>
      <c r="Q14" s="989"/>
      <c r="R14" s="1006">
        <v>419</v>
      </c>
      <c r="S14" s="977">
        <v>37</v>
      </c>
      <c r="T14" s="977">
        <v>410</v>
      </c>
      <c r="U14" s="977">
        <v>322</v>
      </c>
      <c r="V14" s="977">
        <v>88</v>
      </c>
      <c r="W14" s="977">
        <v>16</v>
      </c>
      <c r="X14" s="1007">
        <f t="shared" si="0"/>
        <v>0.1754606365159129</v>
      </c>
      <c r="Y14" s="992">
        <f t="shared" si="1"/>
        <v>0.50708661417322831</v>
      </c>
      <c r="Z14" s="993"/>
      <c r="AA14" s="979">
        <f>_xlfn.XLOOKUP(A14,'[4]Sub-analyza3 - zadania kvality'!$A:$A,'[4]Sub-analyza3 - zadania kvality'!$K:$K,"Nenašlo sa")</f>
        <v>1</v>
      </c>
      <c r="AB14" s="991" t="s">
        <v>3924</v>
      </c>
      <c r="AC14" s="1009" t="s">
        <v>4664</v>
      </c>
      <c r="AD14" s="982">
        <v>1</v>
      </c>
      <c r="AE14" s="977">
        <v>5</v>
      </c>
      <c r="AF14" s="983"/>
      <c r="AG14" s="977">
        <v>3</v>
      </c>
      <c r="AH14" s="977">
        <v>45</v>
      </c>
      <c r="AI14" s="983">
        <v>3</v>
      </c>
      <c r="AJ14" s="983">
        <v>45</v>
      </c>
      <c r="AK14" s="977">
        <v>1</v>
      </c>
      <c r="AL14" s="977">
        <v>15</v>
      </c>
      <c r="AM14" s="983">
        <v>1</v>
      </c>
      <c r="AN14" s="983">
        <v>15</v>
      </c>
      <c r="AO14" s="977"/>
      <c r="AP14" s="977"/>
      <c r="AQ14" s="977"/>
      <c r="AR14" s="983"/>
      <c r="AS14" s="983"/>
      <c r="AT14" s="983"/>
      <c r="AU14" s="977">
        <v>0</v>
      </c>
      <c r="AV14" s="977">
        <v>0</v>
      </c>
      <c r="AW14" s="983"/>
      <c r="AX14" s="983"/>
      <c r="AY14" s="977">
        <v>1</v>
      </c>
      <c r="AZ14" s="977">
        <v>15</v>
      </c>
      <c r="BA14" s="983"/>
      <c r="BB14" s="983"/>
      <c r="BC14" s="977">
        <v>0</v>
      </c>
      <c r="BD14" s="977">
        <v>0</v>
      </c>
      <c r="BE14" s="983"/>
      <c r="BF14" s="983"/>
      <c r="BG14" s="972">
        <f>_xlfn.XLOOKUP('Pasport1 NetAcad zdroj4'!$A14,'[5]Pasport1 Akademie'!$B$2:$B$62,'[5]Pasport1 Akademie'!AY$2:AY$62,"zle")</f>
        <v>10</v>
      </c>
      <c r="BH14" s="972">
        <f>_xlfn.XLOOKUP('Pasport1 NetAcad zdroj4'!$A14,'[5]Pasport1 Akademie'!$B$2:$B$62,'[5]Pasport1 Akademie'!AZ$2:AZ$62,"zle")</f>
        <v>6</v>
      </c>
      <c r="BI14" s="972">
        <f>_xlfn.XLOOKUP('Pasport1 NetAcad zdroj4'!$A14,'[5]Pasport1 Akademie'!$B$2:$B$62,'[5]Pasport1 Akademie'!BA$2:BA$62,"zle")</f>
        <v>5</v>
      </c>
      <c r="BJ14" s="972">
        <f>_xlfn.XLOOKUP('Pasport1 NetAcad zdroj4'!$A14,'[5]Pasport1 Akademie'!$B$2:$B$62,'[5]Pasport1 Akademie'!BB$2:BB$62,"zle")</f>
        <v>12</v>
      </c>
      <c r="BK14" s="972">
        <f>_xlfn.XLOOKUP('Pasport1 NetAcad zdroj4'!$A14,'[5]Pasport1 Akademie'!$B$2:$B$62,'[5]Pasport1 Akademie'!AZ$2:AZ$62,"zle")</f>
        <v>6</v>
      </c>
      <c r="BL14" s="972">
        <f>_xlfn.XLOOKUP('Pasport1 NetAcad zdroj4'!$A14,'[5]Pasport1 Akademie'!$B$2:$B$62,'[5]Pasport1 Akademie'!BD$2:BD$62,"zle")</f>
        <v>10</v>
      </c>
      <c r="BM14" s="972">
        <f>_xlfn.XLOOKUP('Pasport1 NetAcad zdroj4'!$A14,'[5]Pasport1 Akademie'!$B$2:$B$62,'[5]Pasport1 Akademie'!BC$2:BC$62,"zle")</f>
        <v>5</v>
      </c>
      <c r="BN14" s="996" t="s">
        <v>4665</v>
      </c>
      <c r="BO14" s="997" t="s">
        <v>4666</v>
      </c>
      <c r="BP14" s="997" t="s">
        <v>4666</v>
      </c>
      <c r="BQ14" s="988" t="s">
        <v>4667</v>
      </c>
      <c r="BR14" s="1003" t="s">
        <v>4668</v>
      </c>
      <c r="BS14" s="1015" t="s">
        <v>4669</v>
      </c>
      <c r="BT14" s="1016" t="s">
        <v>4670</v>
      </c>
      <c r="BU14" s="986">
        <v>15</v>
      </c>
      <c r="BW14" s="773" t="str">
        <f>_xlfn.XLOOKUP(A14,'[4]Sub-analyza3 - zadania kvality'!A:A,'[4]Sub-analyza3 - zadania kvality'!F:F,"Nenašlo sa")</f>
        <v>Stredná priemyselná škola elektrotechnická</v>
      </c>
    </row>
    <row r="15" spans="1:75" x14ac:dyDescent="0.2">
      <c r="A15" s="987" t="s">
        <v>3996</v>
      </c>
      <c r="B15" s="987"/>
      <c r="C15" s="987"/>
      <c r="D15" s="988" t="s">
        <v>4671</v>
      </c>
      <c r="E15" s="988" t="s">
        <v>4672</v>
      </c>
      <c r="F15" s="988" t="s">
        <v>4673</v>
      </c>
      <c r="G15" s="972" t="s">
        <v>4560</v>
      </c>
      <c r="H15" s="972" t="s">
        <v>4561</v>
      </c>
      <c r="I15" s="989" t="s">
        <v>4562</v>
      </c>
      <c r="J15" s="989">
        <v>1</v>
      </c>
      <c r="K15" s="1017" t="s">
        <v>4562</v>
      </c>
      <c r="L15" s="1017" t="s">
        <v>4563</v>
      </c>
      <c r="M15" s="1017"/>
      <c r="N15" s="1002"/>
      <c r="O15" s="989"/>
      <c r="P15" s="989"/>
      <c r="Q15" s="989"/>
      <c r="R15" s="1006" t="s">
        <v>4674</v>
      </c>
      <c r="S15" s="1006" t="s">
        <v>4674</v>
      </c>
      <c r="T15" s="977">
        <v>500</v>
      </c>
      <c r="U15" s="977">
        <v>100</v>
      </c>
      <c r="V15" s="977">
        <v>100</v>
      </c>
      <c r="W15" s="977">
        <v>10</v>
      </c>
      <c r="X15" s="1007"/>
      <c r="Y15" s="978">
        <f t="shared" si="1"/>
        <v>0.15748031496062992</v>
      </c>
      <c r="Z15" s="993"/>
      <c r="AA15" s="979">
        <f>_xlfn.XLOOKUP(A15,'[4]Sub-analyza3 - zadania kvality'!$A:$A,'[4]Sub-analyza3 - zadania kvality'!$K:$K,"Nenašlo sa")</f>
        <v>1.36</v>
      </c>
      <c r="AB15" s="989" t="s">
        <v>4675</v>
      </c>
      <c r="AC15" s="1027"/>
      <c r="AD15" s="982">
        <v>1</v>
      </c>
      <c r="AE15" s="977">
        <v>3</v>
      </c>
      <c r="AF15" s="983"/>
      <c r="AG15" s="1028">
        <v>1</v>
      </c>
      <c r="AH15" s="1028">
        <v>7</v>
      </c>
      <c r="AI15" s="983"/>
      <c r="AJ15" s="983"/>
      <c r="AK15" s="977">
        <v>1</v>
      </c>
      <c r="AL15" s="977">
        <v>7</v>
      </c>
      <c r="AM15" s="983"/>
      <c r="AN15" s="983"/>
      <c r="AO15" s="977"/>
      <c r="AP15" s="977"/>
      <c r="AQ15" s="977"/>
      <c r="AR15" s="983"/>
      <c r="AS15" s="983"/>
      <c r="AT15" s="983"/>
      <c r="AU15" s="977">
        <v>1</v>
      </c>
      <c r="AV15" s="977">
        <v>7</v>
      </c>
      <c r="AW15" s="983"/>
      <c r="AX15" s="983"/>
      <c r="AY15" s="977">
        <v>0</v>
      </c>
      <c r="AZ15" s="977">
        <v>0</v>
      </c>
      <c r="BA15" s="983"/>
      <c r="BB15" s="983"/>
      <c r="BC15" s="977">
        <v>0</v>
      </c>
      <c r="BD15" s="977">
        <v>0</v>
      </c>
      <c r="BE15" s="983"/>
      <c r="BF15" s="983"/>
      <c r="BG15" s="972">
        <f>_xlfn.XLOOKUP('Pasport1 NetAcad zdroj4'!$A15,'[5]Pasport1 Akademie'!$B$2:$B$62,'[5]Pasport1 Akademie'!AY$2:AY$62,"zle")</f>
        <v>6</v>
      </c>
      <c r="BH15" s="972">
        <f>_xlfn.XLOOKUP('Pasport1 NetAcad zdroj4'!$A15,'[5]Pasport1 Akademie'!$B$2:$B$62,'[5]Pasport1 Akademie'!AZ$2:AZ$62,"zle")</f>
        <v>6</v>
      </c>
      <c r="BI15" s="972">
        <f>_xlfn.XLOOKUP('Pasport1 NetAcad zdroj4'!$A15,'[5]Pasport1 Akademie'!$B$2:$B$62,'[5]Pasport1 Akademie'!BA$2:BA$62,"zle")</f>
        <v>4</v>
      </c>
      <c r="BJ15" s="972">
        <f>_xlfn.XLOOKUP('Pasport1 NetAcad zdroj4'!$A15,'[5]Pasport1 Akademie'!$B$2:$B$62,'[5]Pasport1 Akademie'!BB$2:BB$62,"zle")</f>
        <v>8</v>
      </c>
      <c r="BK15" s="972">
        <f>_xlfn.XLOOKUP('Pasport1 NetAcad zdroj4'!$A15,'[5]Pasport1 Akademie'!$B$2:$B$62,'[5]Pasport1 Akademie'!AZ$2:AZ$62,"zle")</f>
        <v>6</v>
      </c>
      <c r="BL15" s="972">
        <f>_xlfn.XLOOKUP('Pasport1 NetAcad zdroj4'!$A15,'[5]Pasport1 Akademie'!$B$2:$B$62,'[5]Pasport1 Akademie'!BD$2:BD$62,"zle")</f>
        <v>4</v>
      </c>
      <c r="BM15" s="972">
        <f>_xlfn.XLOOKUP('Pasport1 NetAcad zdroj4'!$A15,'[5]Pasport1 Akademie'!$B$2:$B$62,'[5]Pasport1 Akademie'!BC$2:BC$62,"zle")</f>
        <v>2</v>
      </c>
      <c r="BN15" s="996" t="s">
        <v>4676</v>
      </c>
      <c r="BO15" s="997" t="s">
        <v>4677</v>
      </c>
      <c r="BP15" s="997"/>
      <c r="BQ15" s="988"/>
      <c r="BR15" s="1029"/>
      <c r="BS15" s="917" t="s">
        <v>4678</v>
      </c>
      <c r="BT15" s="1030" t="s">
        <v>4679</v>
      </c>
      <c r="BU15" s="1031">
        <v>16</v>
      </c>
      <c r="BW15" s="773" t="str">
        <f>_xlfn.XLOOKUP(A15,'[4]Sub-analyza3 - zadania kvality'!A:A,'[4]Sub-analyza3 - zadania kvality'!F:F,"Nenašlo sa")</f>
        <v>Akadémia ozbrojených síl generála M. R. Štefánika</v>
      </c>
    </row>
    <row r="16" spans="1:75" ht="15" customHeight="1" x14ac:dyDescent="0.2">
      <c r="A16" s="916" t="s">
        <v>4091</v>
      </c>
      <c r="B16" s="987">
        <v>100015543</v>
      </c>
      <c r="C16" s="987">
        <v>161063</v>
      </c>
      <c r="D16" s="988" t="s">
        <v>4680</v>
      </c>
      <c r="E16" s="988" t="s">
        <v>4681</v>
      </c>
      <c r="F16" s="988" t="s">
        <v>4682</v>
      </c>
      <c r="G16" s="972" t="s">
        <v>4560</v>
      </c>
      <c r="H16" s="972" t="s">
        <v>4649</v>
      </c>
      <c r="I16" s="989" t="s">
        <v>4562</v>
      </c>
      <c r="J16" s="989">
        <v>1</v>
      </c>
      <c r="K16" s="918" t="s">
        <v>4593</v>
      </c>
      <c r="L16" s="974" t="s">
        <v>4563</v>
      </c>
      <c r="M16" s="918"/>
      <c r="N16" s="990">
        <v>6.7</v>
      </c>
      <c r="O16" s="989"/>
      <c r="P16" s="989"/>
      <c r="Q16" s="989"/>
      <c r="R16" s="1006">
        <v>616</v>
      </c>
      <c r="S16" s="977">
        <v>327</v>
      </c>
      <c r="T16" s="977">
        <v>629</v>
      </c>
      <c r="U16" s="977">
        <v>0</v>
      </c>
      <c r="V16" s="977">
        <v>60</v>
      </c>
      <c r="W16" s="977">
        <v>10</v>
      </c>
      <c r="X16" s="1014">
        <f t="shared" ref="X16:X63" si="2">$R16/$R$94</f>
        <v>0.25795644891122277</v>
      </c>
      <c r="Y16" s="978">
        <f t="shared" si="1"/>
        <v>0</v>
      </c>
      <c r="Z16" s="993"/>
      <c r="AA16" s="979">
        <f>_xlfn.XLOOKUP(A16,'[4]Sub-analyza3 - zadania kvality'!$A:$A,'[4]Sub-analyza3 - zadania kvality'!$K:$K,"Nenašlo sa")</f>
        <v>1</v>
      </c>
      <c r="AB16" s="989" t="s">
        <v>3867</v>
      </c>
      <c r="AC16" s="1009" t="s">
        <v>4683</v>
      </c>
      <c r="AD16" s="982">
        <v>1</v>
      </c>
      <c r="AE16" s="977">
        <v>3</v>
      </c>
      <c r="AF16" s="983"/>
      <c r="AG16" s="1022">
        <v>2</v>
      </c>
      <c r="AH16" s="1022">
        <v>32</v>
      </c>
      <c r="AI16" s="983">
        <v>1</v>
      </c>
      <c r="AJ16" s="983">
        <v>16</v>
      </c>
      <c r="AK16" s="977"/>
      <c r="AL16" s="977"/>
      <c r="AM16" s="983"/>
      <c r="AN16" s="983"/>
      <c r="AO16" s="977">
        <v>1</v>
      </c>
      <c r="AP16" s="977">
        <v>16</v>
      </c>
      <c r="AQ16" s="977">
        <v>0</v>
      </c>
      <c r="AR16" s="983"/>
      <c r="AS16" s="983">
        <v>1</v>
      </c>
      <c r="AT16" s="983"/>
      <c r="AU16" s="977">
        <v>0</v>
      </c>
      <c r="AV16" s="977">
        <v>0</v>
      </c>
      <c r="AW16" s="983"/>
      <c r="AX16" s="983"/>
      <c r="AY16" s="977">
        <v>0</v>
      </c>
      <c r="AZ16" s="977">
        <v>0</v>
      </c>
      <c r="BA16" s="983"/>
      <c r="BB16" s="983"/>
      <c r="BC16" s="977">
        <v>0</v>
      </c>
      <c r="BD16" s="977">
        <v>0</v>
      </c>
      <c r="BE16" s="983"/>
      <c r="BF16" s="983"/>
      <c r="BG16" s="972">
        <f>_xlfn.XLOOKUP('Pasport1 NetAcad zdroj4'!$A16,'[5]Pasport1 Akademie'!$B$2:$B$62,'[5]Pasport1 Akademie'!AY$2:AY$62,"zle")</f>
        <v>6</v>
      </c>
      <c r="BH16" s="972">
        <f>_xlfn.XLOOKUP('Pasport1 NetAcad zdroj4'!$A16,'[5]Pasport1 Akademie'!$B$2:$B$62,'[5]Pasport1 Akademie'!AZ$2:AZ$62,"zle")</f>
        <v>4</v>
      </c>
      <c r="BI16" s="972">
        <f>_xlfn.XLOOKUP('Pasport1 NetAcad zdroj4'!$A16,'[5]Pasport1 Akademie'!$B$2:$B$62,'[5]Pasport1 Akademie'!BA$2:BA$62,"zle")</f>
        <v>4</v>
      </c>
      <c r="BJ16" s="972">
        <f>_xlfn.XLOOKUP('Pasport1 NetAcad zdroj4'!$A16,'[5]Pasport1 Akademie'!$B$2:$B$62,'[5]Pasport1 Akademie'!BB$2:BB$62,"zle")</f>
        <v>4</v>
      </c>
      <c r="BK16" s="972">
        <f>_xlfn.XLOOKUP('Pasport1 NetAcad zdroj4'!$A16,'[5]Pasport1 Akademie'!$B$2:$B$62,'[5]Pasport1 Akademie'!AZ$2:AZ$62,"zle")</f>
        <v>4</v>
      </c>
      <c r="BL16" s="972">
        <f>_xlfn.XLOOKUP('Pasport1 NetAcad zdroj4'!$A16,'[5]Pasport1 Akademie'!$B$2:$B$62,'[5]Pasport1 Akademie'!BD$2:BD$62,"zle")</f>
        <v>4</v>
      </c>
      <c r="BM16" s="972">
        <f>_xlfn.XLOOKUP('Pasport1 NetAcad zdroj4'!$A16,'[5]Pasport1 Akademie'!$B$2:$B$62,'[5]Pasport1 Akademie'!BC$2:BC$62,"zle")</f>
        <v>4</v>
      </c>
      <c r="BN16" s="996" t="s">
        <v>4684</v>
      </c>
      <c r="BO16" s="997" t="s">
        <v>4685</v>
      </c>
      <c r="BP16" s="997" t="s">
        <v>4686</v>
      </c>
      <c r="BQ16" s="988"/>
      <c r="BR16" s="997"/>
      <c r="BS16" s="988" t="s">
        <v>4687</v>
      </c>
      <c r="BT16" s="998" t="s">
        <v>4688</v>
      </c>
      <c r="BU16" s="986">
        <v>17</v>
      </c>
      <c r="BW16" s="773" t="str">
        <f>_xlfn.XLOOKUP(A16,'[4]Sub-analyza3 - zadania kvality'!A:A,'[4]Sub-analyza3 - zadania kvality'!F:F,"Nenašlo sa")</f>
        <v>Gymnázium P. Horova</v>
      </c>
    </row>
    <row r="17" spans="1:75" x14ac:dyDescent="0.2">
      <c r="A17" s="916" t="s">
        <v>4172</v>
      </c>
      <c r="B17" s="987">
        <v>100012443</v>
      </c>
      <c r="C17" s="987">
        <v>161802</v>
      </c>
      <c r="D17" s="988" t="s">
        <v>4689</v>
      </c>
      <c r="E17" s="988" t="s">
        <v>4690</v>
      </c>
      <c r="F17" s="988" t="s">
        <v>4604</v>
      </c>
      <c r="G17" s="972" t="s">
        <v>4560</v>
      </c>
      <c r="H17" s="972" t="s">
        <v>4586</v>
      </c>
      <c r="I17" s="989" t="s">
        <v>4562</v>
      </c>
      <c r="J17" s="989">
        <v>1</v>
      </c>
      <c r="K17" s="918" t="s">
        <v>4593</v>
      </c>
      <c r="L17" s="918" t="s">
        <v>4563</v>
      </c>
      <c r="M17" s="918"/>
      <c r="N17" s="1002">
        <v>7.4</v>
      </c>
      <c r="O17" s="989"/>
      <c r="P17" s="989"/>
      <c r="Q17" s="989"/>
      <c r="R17" s="1006">
        <v>461</v>
      </c>
      <c r="S17" s="977">
        <v>62</v>
      </c>
      <c r="T17" s="977">
        <v>500</v>
      </c>
      <c r="U17" s="977">
        <v>150</v>
      </c>
      <c r="V17" s="977">
        <v>250</v>
      </c>
      <c r="W17" s="977">
        <v>10</v>
      </c>
      <c r="X17" s="1007">
        <f t="shared" si="2"/>
        <v>0.19304857621440535</v>
      </c>
      <c r="Y17" s="978">
        <f t="shared" si="1"/>
        <v>0.23622047244094488</v>
      </c>
      <c r="Z17" s="993"/>
      <c r="AA17" s="979">
        <f>_xlfn.XLOOKUP(A17,'[4]Sub-analyza3 - zadania kvality'!$A:$A,'[4]Sub-analyza3 - zadania kvality'!$K:$K,"Nenašlo sa")</f>
        <v>1</v>
      </c>
      <c r="AB17" s="989" t="s">
        <v>3966</v>
      </c>
      <c r="AC17" s="1027"/>
      <c r="AD17" s="982">
        <v>1</v>
      </c>
      <c r="AE17" s="977">
        <v>2</v>
      </c>
      <c r="AF17" s="983"/>
      <c r="AG17" s="977">
        <v>1</v>
      </c>
      <c r="AH17" s="977">
        <v>11</v>
      </c>
      <c r="AI17" s="983">
        <v>1</v>
      </c>
      <c r="AJ17" s="983">
        <v>11</v>
      </c>
      <c r="AK17" s="977"/>
      <c r="AL17" s="977"/>
      <c r="AM17" s="983"/>
      <c r="AN17" s="983"/>
      <c r="AO17" s="977"/>
      <c r="AP17" s="977"/>
      <c r="AQ17" s="977"/>
      <c r="AR17" s="983"/>
      <c r="AS17" s="983"/>
      <c r="AT17" s="983"/>
      <c r="AU17" s="977">
        <v>0</v>
      </c>
      <c r="AV17" s="977">
        <v>0</v>
      </c>
      <c r="AW17" s="983"/>
      <c r="AX17" s="983"/>
      <c r="AY17" s="977">
        <v>0</v>
      </c>
      <c r="AZ17" s="977">
        <v>0</v>
      </c>
      <c r="BA17" s="983"/>
      <c r="BB17" s="983"/>
      <c r="BC17" s="977">
        <v>1</v>
      </c>
      <c r="BD17" s="977">
        <v>11</v>
      </c>
      <c r="BE17" s="983"/>
      <c r="BF17" s="983"/>
      <c r="BG17" s="972">
        <f>_xlfn.XLOOKUP('Pasport1 NetAcad zdroj4'!$A17,'[5]Pasport1 Akademie'!$B$2:$B$62,'[5]Pasport1 Akademie'!AY$2:AY$62,"zle")</f>
        <v>5</v>
      </c>
      <c r="BH17" s="972">
        <f>_xlfn.XLOOKUP('Pasport1 NetAcad zdroj4'!$A17,'[5]Pasport1 Akademie'!$B$2:$B$62,'[5]Pasport1 Akademie'!AZ$2:AZ$62,"zle")</f>
        <v>3</v>
      </c>
      <c r="BI17" s="972">
        <f>_xlfn.XLOOKUP('Pasport1 NetAcad zdroj4'!$A17,'[5]Pasport1 Akademie'!$B$2:$B$62,'[5]Pasport1 Akademie'!BA$2:BA$62,"zle")</f>
        <v>3</v>
      </c>
      <c r="BJ17" s="972">
        <f>_xlfn.XLOOKUP('Pasport1 NetAcad zdroj4'!$A17,'[5]Pasport1 Akademie'!$B$2:$B$62,'[5]Pasport1 Akademie'!BB$2:BB$62,"zle")</f>
        <v>10</v>
      </c>
      <c r="BK17" s="972">
        <f>_xlfn.XLOOKUP('Pasport1 NetAcad zdroj4'!$A17,'[5]Pasport1 Akademie'!$B$2:$B$62,'[5]Pasport1 Akademie'!AZ$2:AZ$62,"zle")</f>
        <v>3</v>
      </c>
      <c r="BL17" s="972">
        <f>_xlfn.XLOOKUP('Pasport1 NetAcad zdroj4'!$A17,'[5]Pasport1 Akademie'!$B$2:$B$62,'[5]Pasport1 Akademie'!BD$2:BD$62,"zle")</f>
        <v>4</v>
      </c>
      <c r="BM17" s="972">
        <f>_xlfn.XLOOKUP('Pasport1 NetAcad zdroj4'!$A17,'[5]Pasport1 Akademie'!$B$2:$B$62,'[5]Pasport1 Akademie'!BC$2:BC$62,"zle")</f>
        <v>2</v>
      </c>
      <c r="BN17" s="996"/>
      <c r="BO17" s="997"/>
      <c r="BP17" s="997" t="s">
        <v>4691</v>
      </c>
      <c r="BQ17" s="988" t="s">
        <v>4692</v>
      </c>
      <c r="BR17" s="997" t="s">
        <v>4693</v>
      </c>
      <c r="BS17" s="988"/>
      <c r="BT17" s="998"/>
      <c r="BU17" s="986">
        <v>19</v>
      </c>
      <c r="BW17" s="773" t="str">
        <f>_xlfn.XLOOKUP(A17,'[4]Sub-analyza3 - zadania kvality'!A:A,'[4]Sub-analyza3 - zadania kvality'!F:F,"Nenašlo sa")</f>
        <v>Stredná priemyselná škola techniky a dizajnu</v>
      </c>
    </row>
    <row r="18" spans="1:75" s="1049" customFormat="1" x14ac:dyDescent="0.2">
      <c r="A18" s="1032" t="s">
        <v>4273</v>
      </c>
      <c r="B18" s="1032">
        <v>100007946</v>
      </c>
      <c r="C18" s="1032">
        <v>710261748</v>
      </c>
      <c r="D18" s="1033" t="s">
        <v>4274</v>
      </c>
      <c r="E18" s="1033" t="s">
        <v>4275</v>
      </c>
      <c r="F18" s="1033" t="s">
        <v>3861</v>
      </c>
      <c r="G18" s="1034" t="s">
        <v>4560</v>
      </c>
      <c r="H18" s="1034" t="s">
        <v>4561</v>
      </c>
      <c r="I18" s="1035" t="s">
        <v>4562</v>
      </c>
      <c r="J18" s="1035">
        <v>1</v>
      </c>
      <c r="K18" s="1036" t="s">
        <v>4562</v>
      </c>
      <c r="L18" s="1036" t="s">
        <v>4563</v>
      </c>
      <c r="M18" s="1036"/>
      <c r="N18" s="1037"/>
      <c r="O18" s="1035"/>
      <c r="P18" s="1035"/>
      <c r="Q18" s="1035" t="s">
        <v>4694</v>
      </c>
      <c r="R18" s="1036">
        <v>401</v>
      </c>
      <c r="S18" s="1036">
        <v>15</v>
      </c>
      <c r="T18" s="1001">
        <v>530</v>
      </c>
      <c r="U18" s="1001">
        <v>34</v>
      </c>
      <c r="V18" s="1001">
        <v>160</v>
      </c>
      <c r="W18" s="1001">
        <v>10</v>
      </c>
      <c r="X18" s="1038">
        <f t="shared" si="2"/>
        <v>0.16792294807370184</v>
      </c>
      <c r="Y18" s="1039">
        <f t="shared" si="1"/>
        <v>5.3543307086614172E-2</v>
      </c>
      <c r="Z18" s="1040"/>
      <c r="AA18" s="1041" t="s">
        <v>4695</v>
      </c>
      <c r="AB18" s="1035" t="s">
        <v>3860</v>
      </c>
      <c r="AC18" s="1042" t="s">
        <v>4696</v>
      </c>
      <c r="AD18" s="1043">
        <v>1</v>
      </c>
      <c r="AE18" s="1001">
        <v>1</v>
      </c>
      <c r="AF18" s="1012"/>
      <c r="AG18" s="1001">
        <v>1</v>
      </c>
      <c r="AH18" s="1001">
        <v>20</v>
      </c>
      <c r="AI18" s="1012">
        <v>1</v>
      </c>
      <c r="AJ18" s="1012">
        <v>20</v>
      </c>
      <c r="AK18" s="1001"/>
      <c r="AL18" s="1001"/>
      <c r="AM18" s="1012"/>
      <c r="AN18" s="1012"/>
      <c r="AO18" s="1001"/>
      <c r="AP18" s="1001"/>
      <c r="AQ18" s="1001"/>
      <c r="AR18" s="1012"/>
      <c r="AS18" s="1012"/>
      <c r="AT18" s="1012"/>
      <c r="AU18" s="1001">
        <v>0</v>
      </c>
      <c r="AV18" s="1001">
        <v>0</v>
      </c>
      <c r="AW18" s="1012"/>
      <c r="AX18" s="1012"/>
      <c r="AY18" s="1001">
        <v>0</v>
      </c>
      <c r="AZ18" s="1001">
        <v>0</v>
      </c>
      <c r="BA18" s="1012"/>
      <c r="BB18" s="1012"/>
      <c r="BC18" s="1001">
        <v>0</v>
      </c>
      <c r="BD18" s="1001">
        <v>0</v>
      </c>
      <c r="BE18" s="1012"/>
      <c r="BF18" s="1012"/>
      <c r="BG18" s="1034">
        <f>_xlfn.XLOOKUP('Pasport1 NetAcad zdroj4'!$A18,'[5]Pasport1 Akademie'!$B$2:$B$62,'[5]Pasport1 Akademie'!AY$2:AY$62,"zle")</f>
        <v>4</v>
      </c>
      <c r="BH18" s="1034">
        <f>_xlfn.XLOOKUP('Pasport1 NetAcad zdroj4'!$A18,'[5]Pasport1 Akademie'!$B$2:$B$62,'[5]Pasport1 Akademie'!AZ$2:AZ$62,"zle")</f>
        <v>3</v>
      </c>
      <c r="BI18" s="1034">
        <f>_xlfn.XLOOKUP('Pasport1 NetAcad zdroj4'!$A18,'[5]Pasport1 Akademie'!$B$2:$B$62,'[5]Pasport1 Akademie'!BA$2:BA$62,"zle")</f>
        <v>1</v>
      </c>
      <c r="BJ18" s="1034">
        <f>_xlfn.XLOOKUP('Pasport1 NetAcad zdroj4'!$A18,'[5]Pasport1 Akademie'!$B$2:$B$62,'[5]Pasport1 Akademie'!BB$2:BB$62,"zle")</f>
        <v>6</v>
      </c>
      <c r="BK18" s="1034">
        <f>_xlfn.XLOOKUP('Pasport1 NetAcad zdroj4'!$A18,'[5]Pasport1 Akademie'!$B$2:$B$62,'[5]Pasport1 Akademie'!AZ$2:AZ$62,"zle")</f>
        <v>3</v>
      </c>
      <c r="BL18" s="1034">
        <f>_xlfn.XLOOKUP('Pasport1 NetAcad zdroj4'!$A18,'[5]Pasport1 Akademie'!$B$2:$B$62,'[5]Pasport1 Akademie'!BD$2:BD$62,"zle")</f>
        <v>4</v>
      </c>
      <c r="BM18" s="1034">
        <f>_xlfn.XLOOKUP('Pasport1 NetAcad zdroj4'!$A18,'[5]Pasport1 Akademie'!$B$2:$B$62,'[5]Pasport1 Akademie'!BC$2:BC$62,"zle")</f>
        <v>4</v>
      </c>
      <c r="BN18" s="1044" t="s">
        <v>4697</v>
      </c>
      <c r="BO18" s="1045" t="s">
        <v>4698</v>
      </c>
      <c r="BP18" s="1046" t="s">
        <v>4698</v>
      </c>
      <c r="BQ18" s="1033"/>
      <c r="BR18" s="1046"/>
      <c r="BS18" s="1033" t="s">
        <v>4699</v>
      </c>
      <c r="BT18" s="1047" t="s">
        <v>4700</v>
      </c>
      <c r="BU18" s="1048">
        <v>21</v>
      </c>
      <c r="BW18" s="1049" t="str">
        <f>_xlfn.XLOOKUP(A18,'[4]Sub-analyza3 - zadania kvality'!A:A,'[4]Sub-analyza3 - zadania kvality'!F:F,"Nenašlo sa")</f>
        <v>A3</v>
      </c>
    </row>
    <row r="19" spans="1:75" ht="32" x14ac:dyDescent="0.2">
      <c r="A19" s="987">
        <v>42024471</v>
      </c>
      <c r="B19" s="987">
        <v>100004073</v>
      </c>
      <c r="C19" s="987">
        <v>42024471</v>
      </c>
      <c r="D19" s="988" t="s">
        <v>4701</v>
      </c>
      <c r="E19" s="988" t="s">
        <v>4702</v>
      </c>
      <c r="F19" s="988" t="s">
        <v>4703</v>
      </c>
      <c r="G19" s="972" t="s">
        <v>4560</v>
      </c>
      <c r="H19" s="972" t="s">
        <v>4613</v>
      </c>
      <c r="I19" s="989" t="s">
        <v>4562</v>
      </c>
      <c r="J19" s="989">
        <v>1</v>
      </c>
      <c r="K19" s="918" t="s">
        <v>4562</v>
      </c>
      <c r="L19" s="974" t="s">
        <v>4563</v>
      </c>
      <c r="M19" s="918"/>
      <c r="N19" s="990">
        <v>6.4</v>
      </c>
      <c r="O19" s="991" t="s">
        <v>4573</v>
      </c>
      <c r="P19" s="991" t="s">
        <v>4605</v>
      </c>
      <c r="Q19" s="989"/>
      <c r="R19" s="1006">
        <v>438</v>
      </c>
      <c r="S19" s="977">
        <v>104</v>
      </c>
      <c r="T19" s="977">
        <v>200</v>
      </c>
      <c r="U19" s="977">
        <v>171</v>
      </c>
      <c r="V19" s="977">
        <v>58</v>
      </c>
      <c r="W19" s="977">
        <v>20</v>
      </c>
      <c r="X19" s="1007">
        <f t="shared" si="2"/>
        <v>0.18341708542713567</v>
      </c>
      <c r="Y19" s="978">
        <f t="shared" si="1"/>
        <v>0.26929133858267718</v>
      </c>
      <c r="Z19" s="993"/>
      <c r="AA19" s="1000">
        <f>_xlfn.XLOOKUP(A19,'[4]Sub-analyza3 - zadania kvality'!$A:$A,'[4]Sub-analyza3 - zadania kvality'!$K:$K,"Nenašlo sa")</f>
        <v>2.7836257309941521</v>
      </c>
      <c r="AB19" s="991" t="s">
        <v>3860</v>
      </c>
      <c r="AC19" s="1009" t="s">
        <v>4704</v>
      </c>
      <c r="AD19" s="982">
        <v>1</v>
      </c>
      <c r="AE19" s="977">
        <v>3</v>
      </c>
      <c r="AF19" s="983"/>
      <c r="AG19" s="977"/>
      <c r="AH19" s="977"/>
      <c r="AI19" s="983">
        <v>1</v>
      </c>
      <c r="AJ19" s="983">
        <v>10</v>
      </c>
      <c r="AK19" s="977">
        <v>1</v>
      </c>
      <c r="AL19" s="977">
        <v>10</v>
      </c>
      <c r="AM19" s="983">
        <v>1</v>
      </c>
      <c r="AN19" s="983">
        <v>10</v>
      </c>
      <c r="AO19" s="977"/>
      <c r="AP19" s="977"/>
      <c r="AQ19" s="977"/>
      <c r="AR19" s="983"/>
      <c r="AS19" s="983"/>
      <c r="AT19" s="983"/>
      <c r="AU19" s="977">
        <v>1</v>
      </c>
      <c r="AV19" s="977">
        <v>5</v>
      </c>
      <c r="AW19" s="983"/>
      <c r="AX19" s="983"/>
      <c r="AY19" s="977">
        <v>1</v>
      </c>
      <c r="AZ19" s="977">
        <v>10</v>
      </c>
      <c r="BA19" s="983"/>
      <c r="BB19" s="983"/>
      <c r="BC19" s="977">
        <v>0</v>
      </c>
      <c r="BD19" s="977">
        <v>0</v>
      </c>
      <c r="BE19" s="983"/>
      <c r="BF19" s="983"/>
      <c r="BG19" s="972">
        <f>_xlfn.XLOOKUP('Pasport1 NetAcad zdroj4'!$A19,'[5]Pasport1 Akademie'!$B$2:$B$62,'[5]Pasport1 Akademie'!AY$2:AY$62,"zle")</f>
        <v>10</v>
      </c>
      <c r="BH19" s="972">
        <f>_xlfn.XLOOKUP('Pasport1 NetAcad zdroj4'!$A19,'[5]Pasport1 Akademie'!$B$2:$B$62,'[5]Pasport1 Akademie'!AZ$2:AZ$62,"zle")</f>
        <v>2</v>
      </c>
      <c r="BI19" s="972">
        <f>_xlfn.XLOOKUP('Pasport1 NetAcad zdroj4'!$A19,'[5]Pasport1 Akademie'!$B$2:$B$62,'[5]Pasport1 Akademie'!BA$2:BA$62,"zle")</f>
        <v>1</v>
      </c>
      <c r="BJ19" s="972">
        <f>_xlfn.XLOOKUP('Pasport1 NetAcad zdroj4'!$A19,'[5]Pasport1 Akademie'!$B$2:$B$62,'[5]Pasport1 Akademie'!BB$2:BB$62,"zle")</f>
        <v>20</v>
      </c>
      <c r="BK19" s="972">
        <f>_xlfn.XLOOKUP('Pasport1 NetAcad zdroj4'!$A19,'[5]Pasport1 Akademie'!$B$2:$B$62,'[5]Pasport1 Akademie'!AZ$2:AZ$62,"zle")</f>
        <v>2</v>
      </c>
      <c r="BL19" s="972">
        <f>_xlfn.XLOOKUP('Pasport1 NetAcad zdroj4'!$A19,'[5]Pasport1 Akademie'!$B$2:$B$62,'[5]Pasport1 Akademie'!BD$2:BD$62,"zle")</f>
        <v>6</v>
      </c>
      <c r="BM19" s="972">
        <f>_xlfn.XLOOKUP('Pasport1 NetAcad zdroj4'!$A19,'[5]Pasport1 Akademie'!$B$2:$B$62,'[5]Pasport1 Akademie'!BC$2:BC$62,"zle")</f>
        <v>6</v>
      </c>
      <c r="BN19" s="996" t="s">
        <v>4705</v>
      </c>
      <c r="BO19" s="997" t="s">
        <v>4706</v>
      </c>
      <c r="BP19" s="997"/>
      <c r="BQ19" s="988"/>
      <c r="BR19" s="997"/>
      <c r="BS19" s="1015" t="s">
        <v>4707</v>
      </c>
      <c r="BT19" s="1016" t="s">
        <v>4708</v>
      </c>
      <c r="BU19" s="986">
        <v>22</v>
      </c>
      <c r="BW19" s="773" t="str">
        <f>_xlfn.XLOOKUP(A19,'[4]Sub-analyza3 - zadania kvality'!A:A,'[4]Sub-analyza3 - zadania kvality'!F:F,"Nenašlo sa")</f>
        <v>Stredná odborná škola Handlová</v>
      </c>
    </row>
    <row r="20" spans="1:75" s="1049" customFormat="1" ht="15.75" customHeight="1" x14ac:dyDescent="0.2">
      <c r="A20" s="1050">
        <v>37890221</v>
      </c>
      <c r="B20" s="1050">
        <v>100010121</v>
      </c>
      <c r="C20" s="1050">
        <v>37890221</v>
      </c>
      <c r="D20" s="1051" t="s">
        <v>4278</v>
      </c>
      <c r="E20" s="1051" t="s">
        <v>4279</v>
      </c>
      <c r="F20" s="1051" t="s">
        <v>4709</v>
      </c>
      <c r="G20" s="1034" t="s">
        <v>4560</v>
      </c>
      <c r="H20" s="1034" t="s">
        <v>4625</v>
      </c>
      <c r="I20" s="1052" t="s">
        <v>4562</v>
      </c>
      <c r="J20" s="1052">
        <v>1</v>
      </c>
      <c r="K20" s="1013" t="s">
        <v>4593</v>
      </c>
      <c r="L20" s="1013" t="s">
        <v>4650</v>
      </c>
      <c r="M20" s="1013"/>
      <c r="N20" s="1053"/>
      <c r="O20" s="1052"/>
      <c r="P20" s="1052"/>
      <c r="Q20" s="1052"/>
      <c r="R20" s="1054">
        <v>545</v>
      </c>
      <c r="S20" s="1001">
        <v>335</v>
      </c>
      <c r="T20" s="1001">
        <v>560</v>
      </c>
      <c r="U20" s="1001">
        <v>0</v>
      </c>
      <c r="V20" s="1001">
        <v>30</v>
      </c>
      <c r="W20" s="1001">
        <v>0</v>
      </c>
      <c r="X20" s="1055">
        <f t="shared" si="2"/>
        <v>0.22822445561139029</v>
      </c>
      <c r="Y20" s="1039">
        <f t="shared" si="1"/>
        <v>0</v>
      </c>
      <c r="Z20" s="1040"/>
      <c r="AA20" s="1056" t="s">
        <v>4695</v>
      </c>
      <c r="AB20" s="1052" t="s">
        <v>4122</v>
      </c>
      <c r="AC20" s="1042"/>
      <c r="AD20" s="1043">
        <v>1</v>
      </c>
      <c r="AE20" s="1001">
        <v>1</v>
      </c>
      <c r="AF20" s="1012"/>
      <c r="AG20" s="1057">
        <v>1</v>
      </c>
      <c r="AH20" s="1057">
        <v>14</v>
      </c>
      <c r="AI20" s="1012"/>
      <c r="AJ20" s="1012"/>
      <c r="AK20" s="1001"/>
      <c r="AL20" s="1001"/>
      <c r="AM20" s="1012"/>
      <c r="AN20" s="1012"/>
      <c r="AO20" s="1001"/>
      <c r="AP20" s="1001"/>
      <c r="AQ20" s="1001"/>
      <c r="AR20" s="1012"/>
      <c r="AS20" s="1012"/>
      <c r="AT20" s="1012"/>
      <c r="AU20" s="1001">
        <v>0</v>
      </c>
      <c r="AV20" s="1001">
        <v>0</v>
      </c>
      <c r="AW20" s="1012"/>
      <c r="AX20" s="1012"/>
      <c r="AY20" s="1001">
        <v>0</v>
      </c>
      <c r="AZ20" s="1001">
        <v>0</v>
      </c>
      <c r="BA20" s="1012"/>
      <c r="BB20" s="1012"/>
      <c r="BC20" s="1001">
        <v>0</v>
      </c>
      <c r="BD20" s="1001">
        <v>0</v>
      </c>
      <c r="BE20" s="1012"/>
      <c r="BF20" s="1012"/>
      <c r="BG20" s="1034">
        <f>_xlfn.XLOOKUP('Pasport1 NetAcad zdroj4'!$A20,'[5]Pasport1 Akademie'!$B$2:$B$62,'[5]Pasport1 Akademie'!AY$2:AY$62,"zle")</f>
        <v>4</v>
      </c>
      <c r="BH20" s="1034">
        <f>_xlfn.XLOOKUP('Pasport1 NetAcad zdroj4'!$A20,'[5]Pasport1 Akademie'!$B$2:$B$62,'[5]Pasport1 Akademie'!AZ$2:AZ$62,"zle")</f>
        <v>2</v>
      </c>
      <c r="BI20" s="1034">
        <f>_xlfn.XLOOKUP('Pasport1 NetAcad zdroj4'!$A20,'[5]Pasport1 Akademie'!$B$2:$B$62,'[5]Pasport1 Akademie'!BA$2:BA$62,"zle")</f>
        <v>2</v>
      </c>
      <c r="BJ20" s="1034">
        <f>_xlfn.XLOOKUP('Pasport1 NetAcad zdroj4'!$A20,'[5]Pasport1 Akademie'!$B$2:$B$62,'[5]Pasport1 Akademie'!BB$2:BB$62,"zle")</f>
        <v>4</v>
      </c>
      <c r="BK20" s="1034">
        <f>_xlfn.XLOOKUP('Pasport1 NetAcad zdroj4'!$A20,'[5]Pasport1 Akademie'!$B$2:$B$62,'[5]Pasport1 Akademie'!AZ$2:AZ$62,"zle")</f>
        <v>2</v>
      </c>
      <c r="BL20" s="1034">
        <f>_xlfn.XLOOKUP('Pasport1 NetAcad zdroj4'!$A20,'[5]Pasport1 Akademie'!$B$2:$B$62,'[5]Pasport1 Akademie'!BD$2:BD$62,"zle")</f>
        <v>4</v>
      </c>
      <c r="BM20" s="1034">
        <f>_xlfn.XLOOKUP('Pasport1 NetAcad zdroj4'!$A20,'[5]Pasport1 Akademie'!$B$2:$B$62,'[5]Pasport1 Akademie'!BC$2:BC$62,"zle")</f>
        <v>4</v>
      </c>
      <c r="BN20" s="1044" t="s">
        <v>4710</v>
      </c>
      <c r="BO20" s="1045" t="s">
        <v>4711</v>
      </c>
      <c r="BP20" s="1045" t="s">
        <v>4712</v>
      </c>
      <c r="BQ20" s="1051"/>
      <c r="BR20" s="1045"/>
      <c r="BS20" s="1051"/>
      <c r="BT20" s="1058"/>
      <c r="BU20" s="1059">
        <v>23</v>
      </c>
      <c r="BW20" s="1049" t="str">
        <f>_xlfn.XLOOKUP(A20,'[4]Sub-analyza3 - zadania kvality'!A:A,'[4]Sub-analyza3 - zadania kvality'!F:F,"Nenašlo sa")</f>
        <v>B2</v>
      </c>
    </row>
    <row r="21" spans="1:75" ht="15.75" customHeight="1" x14ac:dyDescent="0.2">
      <c r="A21" s="916" t="s">
        <v>3873</v>
      </c>
      <c r="B21" s="987">
        <v>100003575</v>
      </c>
      <c r="C21" s="987">
        <v>161381</v>
      </c>
      <c r="D21" s="988" t="s">
        <v>4713</v>
      </c>
      <c r="E21" s="988" t="s">
        <v>4714</v>
      </c>
      <c r="F21" s="988" t="s">
        <v>4715</v>
      </c>
      <c r="G21" s="972" t="s">
        <v>4560</v>
      </c>
      <c r="H21" s="972" t="s">
        <v>4571</v>
      </c>
      <c r="I21" s="989" t="s">
        <v>4562</v>
      </c>
      <c r="J21" s="989">
        <v>1</v>
      </c>
      <c r="K21" s="918" t="s">
        <v>4562</v>
      </c>
      <c r="L21" s="918" t="s">
        <v>4563</v>
      </c>
      <c r="M21" s="918"/>
      <c r="N21" s="1002"/>
      <c r="O21" s="989"/>
      <c r="P21" s="989"/>
      <c r="Q21" s="989"/>
      <c r="R21" s="1006">
        <v>222</v>
      </c>
      <c r="S21" s="977">
        <v>34</v>
      </c>
      <c r="T21" s="977">
        <v>240</v>
      </c>
      <c r="U21" s="977">
        <v>45</v>
      </c>
      <c r="V21" s="977">
        <v>120</v>
      </c>
      <c r="W21" s="977">
        <v>2</v>
      </c>
      <c r="X21" s="1007">
        <f t="shared" si="2"/>
        <v>9.2964824120603015E-2</v>
      </c>
      <c r="Y21" s="978">
        <f t="shared" si="1"/>
        <v>7.0866141732283464E-2</v>
      </c>
      <c r="Z21" s="993"/>
      <c r="AA21" s="979">
        <f>_xlfn.XLOOKUP(A21,'[4]Sub-analyza3 - zadania kvality'!$A:$A,'[4]Sub-analyza3 - zadania kvality'!$K:$K,"Nenašlo sa")</f>
        <v>1</v>
      </c>
      <c r="AB21" s="989" t="s">
        <v>3860</v>
      </c>
      <c r="AC21" s="1009" t="s">
        <v>4716</v>
      </c>
      <c r="AD21" s="982">
        <v>1</v>
      </c>
      <c r="AE21" s="977">
        <v>4</v>
      </c>
      <c r="AF21" s="983"/>
      <c r="AG21" s="977">
        <v>1</v>
      </c>
      <c r="AH21" s="977">
        <v>12</v>
      </c>
      <c r="AI21" s="983">
        <v>1</v>
      </c>
      <c r="AJ21" s="983">
        <v>12</v>
      </c>
      <c r="AK21" s="977"/>
      <c r="AL21" s="977"/>
      <c r="AM21" s="983"/>
      <c r="AN21" s="983"/>
      <c r="AO21" s="977"/>
      <c r="AP21" s="977"/>
      <c r="AQ21" s="977"/>
      <c r="AR21" s="983"/>
      <c r="AS21" s="983"/>
      <c r="AT21" s="983"/>
      <c r="AU21" s="977">
        <v>1</v>
      </c>
      <c r="AV21" s="977">
        <v>10</v>
      </c>
      <c r="AW21" s="983"/>
      <c r="AX21" s="983"/>
      <c r="AY21" s="977">
        <v>1</v>
      </c>
      <c r="AZ21" s="977">
        <v>12</v>
      </c>
      <c r="BA21" s="983"/>
      <c r="BB21" s="983"/>
      <c r="BC21" s="977">
        <v>1</v>
      </c>
      <c r="BD21" s="977">
        <v>2</v>
      </c>
      <c r="BE21" s="983"/>
      <c r="BF21" s="983"/>
      <c r="BG21" s="972">
        <f>_xlfn.XLOOKUP('Pasport1 NetAcad zdroj4'!$A21,'[5]Pasport1 Akademie'!$B$2:$B$62,'[5]Pasport1 Akademie'!AY$2:AY$62,"zle")</f>
        <v>4</v>
      </c>
      <c r="BH21" s="972">
        <f>_xlfn.XLOOKUP('Pasport1 NetAcad zdroj4'!$A21,'[5]Pasport1 Akademie'!$B$2:$B$62,'[5]Pasport1 Akademie'!AZ$2:AZ$62,"zle")</f>
        <v>3</v>
      </c>
      <c r="BI21" s="972">
        <f>_xlfn.XLOOKUP('Pasport1 NetAcad zdroj4'!$A21,'[5]Pasport1 Akademie'!$B$2:$B$62,'[5]Pasport1 Akademie'!BA$2:BA$62,"zle")</f>
        <v>1</v>
      </c>
      <c r="BJ21" s="972">
        <f>_xlfn.XLOOKUP('Pasport1 NetAcad zdroj4'!$A21,'[5]Pasport1 Akademie'!$B$2:$B$62,'[5]Pasport1 Akademie'!BB$2:BB$62,"zle")</f>
        <v>3</v>
      </c>
      <c r="BK21" s="972">
        <f>_xlfn.XLOOKUP('Pasport1 NetAcad zdroj4'!$A21,'[5]Pasport1 Akademie'!$B$2:$B$62,'[5]Pasport1 Akademie'!AZ$2:AZ$62,"zle")</f>
        <v>3</v>
      </c>
      <c r="BL21" s="972">
        <f>_xlfn.XLOOKUP('Pasport1 NetAcad zdroj4'!$A21,'[5]Pasport1 Akademie'!$B$2:$B$62,'[5]Pasport1 Akademie'!BD$2:BD$62,"zle")</f>
        <v>4</v>
      </c>
      <c r="BM21" s="972">
        <f>_xlfn.XLOOKUP('Pasport1 NetAcad zdroj4'!$A21,'[5]Pasport1 Akademie'!$B$2:$B$62,'[5]Pasport1 Akademie'!BC$2:BC$62,"zle")</f>
        <v>4</v>
      </c>
      <c r="BN21" s="996" t="s">
        <v>4717</v>
      </c>
      <c r="BO21" s="1003" t="s">
        <v>4718</v>
      </c>
      <c r="BP21" s="997" t="s">
        <v>4719</v>
      </c>
      <c r="BQ21" s="988"/>
      <c r="BR21" s="997"/>
      <c r="BS21" s="988" t="s">
        <v>4720</v>
      </c>
      <c r="BT21" s="998" t="s">
        <v>4721</v>
      </c>
      <c r="BU21" s="986">
        <v>24</v>
      </c>
      <c r="BW21" s="773" t="str">
        <f>_xlfn.XLOOKUP(A21,'[4]Sub-analyza3 - zadania kvality'!A:A,'[4]Sub-analyza3 - zadania kvality'!F:F,"Nenašlo sa")</f>
        <v>Stredná priemyselná škola Myjava</v>
      </c>
    </row>
    <row r="22" spans="1:75" ht="15.75" customHeight="1" x14ac:dyDescent="0.2">
      <c r="A22" s="916" t="s">
        <v>3933</v>
      </c>
      <c r="B22" s="987">
        <v>100014987</v>
      </c>
      <c r="C22" s="987">
        <v>893331</v>
      </c>
      <c r="D22" s="988" t="s">
        <v>4722</v>
      </c>
      <c r="E22" s="988" t="s">
        <v>4723</v>
      </c>
      <c r="F22" s="988" t="s">
        <v>4724</v>
      </c>
      <c r="G22" s="972" t="s">
        <v>4560</v>
      </c>
      <c r="H22" s="972" t="s">
        <v>4649</v>
      </c>
      <c r="I22" s="989" t="s">
        <v>4562</v>
      </c>
      <c r="J22" s="989">
        <v>1</v>
      </c>
      <c r="K22" s="918" t="s">
        <v>4562</v>
      </c>
      <c r="L22" s="1013" t="s">
        <v>4626</v>
      </c>
      <c r="M22" s="974" t="s">
        <v>4649</v>
      </c>
      <c r="N22" s="1002" t="s">
        <v>4725</v>
      </c>
      <c r="O22" s="991" t="s">
        <v>4573</v>
      </c>
      <c r="P22" s="991" t="s">
        <v>4605</v>
      </c>
      <c r="Q22" s="989"/>
      <c r="R22" s="1006">
        <v>744</v>
      </c>
      <c r="S22" s="977">
        <v>111</v>
      </c>
      <c r="T22" s="977">
        <v>740</v>
      </c>
      <c r="U22" s="1001">
        <v>635</v>
      </c>
      <c r="V22" s="977">
        <v>105</v>
      </c>
      <c r="W22" s="977">
        <v>10</v>
      </c>
      <c r="X22" s="1014">
        <f t="shared" si="2"/>
        <v>0.31155778894472363</v>
      </c>
      <c r="Y22" s="992">
        <f t="shared" si="1"/>
        <v>1</v>
      </c>
      <c r="Z22" s="994" t="s">
        <v>4639</v>
      </c>
      <c r="AA22" s="979">
        <f>_xlfn.XLOOKUP(A22,'[4]Sub-analyza3 - zadania kvality'!$A:$A,'[4]Sub-analyza3 - zadania kvality'!$K:$K,"Nenašlo sa")</f>
        <v>1.2141732283464568</v>
      </c>
      <c r="AB22" s="991" t="s">
        <v>3876</v>
      </c>
      <c r="AC22" s="1009" t="s">
        <v>4726</v>
      </c>
      <c r="AD22" s="982">
        <v>1</v>
      </c>
      <c r="AE22" s="977">
        <v>5</v>
      </c>
      <c r="AF22" s="983"/>
      <c r="AG22" s="977">
        <v>2</v>
      </c>
      <c r="AH22" s="977">
        <v>15</v>
      </c>
      <c r="AI22" s="983">
        <v>2</v>
      </c>
      <c r="AJ22" s="983">
        <v>30</v>
      </c>
      <c r="AK22" s="977">
        <v>1</v>
      </c>
      <c r="AL22" s="977">
        <v>15</v>
      </c>
      <c r="AM22" s="983">
        <v>1</v>
      </c>
      <c r="AN22" s="983">
        <v>15</v>
      </c>
      <c r="AO22" s="977"/>
      <c r="AP22" s="977"/>
      <c r="AQ22" s="977"/>
      <c r="AR22" s="983"/>
      <c r="AS22" s="983"/>
      <c r="AT22" s="983"/>
      <c r="AU22" s="977">
        <v>0</v>
      </c>
      <c r="AV22" s="977">
        <v>0</v>
      </c>
      <c r="AW22" s="983"/>
      <c r="AX22" s="983"/>
      <c r="AY22" s="1001">
        <v>1</v>
      </c>
      <c r="AZ22" s="1001">
        <v>15</v>
      </c>
      <c r="BA22" s="983">
        <v>1</v>
      </c>
      <c r="BB22" s="983"/>
      <c r="BC22" s="1001">
        <v>1</v>
      </c>
      <c r="BD22" s="1001">
        <v>15</v>
      </c>
      <c r="BE22" s="983">
        <v>1</v>
      </c>
      <c r="BF22" s="983"/>
      <c r="BG22" s="972">
        <f>_xlfn.XLOOKUP('Pasport1 NetAcad zdroj4'!$A22,'[5]Pasport1 Akademie'!$B$2:$B$62,'[5]Pasport1 Akademie'!AY$2:AY$62,"zle")</f>
        <v>10</v>
      </c>
      <c r="BH22" s="972">
        <f>_xlfn.XLOOKUP('Pasport1 NetAcad zdroj4'!$A22,'[5]Pasport1 Akademie'!$B$2:$B$62,'[5]Pasport1 Akademie'!AZ$2:AZ$62,"zle")</f>
        <v>6</v>
      </c>
      <c r="BI22" s="972">
        <f>_xlfn.XLOOKUP('Pasport1 NetAcad zdroj4'!$A22,'[5]Pasport1 Akademie'!$B$2:$B$62,'[5]Pasport1 Akademie'!BA$2:BA$62,"zle")</f>
        <v>5</v>
      </c>
      <c r="BJ22" s="972">
        <f>_xlfn.XLOOKUP('Pasport1 NetAcad zdroj4'!$A22,'[5]Pasport1 Akademie'!$B$2:$B$62,'[5]Pasport1 Akademie'!BB$2:BB$62,"zle")</f>
        <v>6</v>
      </c>
      <c r="BK22" s="972">
        <f>_xlfn.XLOOKUP('Pasport1 NetAcad zdroj4'!$A22,'[5]Pasport1 Akademie'!$B$2:$B$62,'[5]Pasport1 Akademie'!AZ$2:AZ$62,"zle")</f>
        <v>6</v>
      </c>
      <c r="BL22" s="972">
        <f>_xlfn.XLOOKUP('Pasport1 NetAcad zdroj4'!$A22,'[5]Pasport1 Akademie'!$B$2:$B$62,'[5]Pasport1 Akademie'!BD$2:BD$62,"zle")</f>
        <v>4</v>
      </c>
      <c r="BM22" s="972">
        <f>_xlfn.XLOOKUP('Pasport1 NetAcad zdroj4'!$A22,'[5]Pasport1 Akademie'!$B$2:$B$62,'[5]Pasport1 Akademie'!BC$2:BC$62,"zle")</f>
        <v>4</v>
      </c>
      <c r="BN22" s="996" t="s">
        <v>4727</v>
      </c>
      <c r="BO22" s="997" t="s">
        <v>4728</v>
      </c>
      <c r="BP22" s="997" t="s">
        <v>4728</v>
      </c>
      <c r="BQ22" s="988" t="s">
        <v>4729</v>
      </c>
      <c r="BR22" s="997" t="s">
        <v>4730</v>
      </c>
      <c r="BS22" s="988"/>
      <c r="BT22" s="998"/>
      <c r="BU22" s="986">
        <v>25</v>
      </c>
      <c r="BW22" s="773" t="str">
        <f>_xlfn.XLOOKUP(A22,'[4]Sub-analyza3 - zadania kvality'!A:A,'[4]Sub-analyza3 - zadania kvality'!F:F,"Nenašlo sa")</f>
        <v>Stredná odborná škola informačných technológií</v>
      </c>
    </row>
    <row r="23" spans="1:75" ht="15.75" customHeight="1" x14ac:dyDescent="0.2">
      <c r="A23" s="987" t="s">
        <v>4152</v>
      </c>
      <c r="B23" s="987">
        <v>100005926</v>
      </c>
      <c r="C23" s="987">
        <v>710261926</v>
      </c>
      <c r="D23" s="988" t="s">
        <v>4731</v>
      </c>
      <c r="E23" s="988" t="s">
        <v>4732</v>
      </c>
      <c r="F23" s="988" t="s">
        <v>4733</v>
      </c>
      <c r="G23" s="972" t="s">
        <v>4560</v>
      </c>
      <c r="H23" s="972" t="s">
        <v>4734</v>
      </c>
      <c r="I23" s="989" t="s">
        <v>4562</v>
      </c>
      <c r="J23" s="989">
        <v>1</v>
      </c>
      <c r="K23" s="1017" t="s">
        <v>4562</v>
      </c>
      <c r="L23" s="1060" t="s">
        <v>4563</v>
      </c>
      <c r="M23" s="974" t="s">
        <v>4734</v>
      </c>
      <c r="N23" s="990">
        <v>6.8</v>
      </c>
      <c r="O23" s="991" t="s">
        <v>4573</v>
      </c>
      <c r="P23" s="989"/>
      <c r="Q23" s="989"/>
      <c r="R23" s="1006">
        <v>454</v>
      </c>
      <c r="S23" s="1006">
        <v>9</v>
      </c>
      <c r="T23" s="977">
        <v>510</v>
      </c>
      <c r="U23" s="977">
        <v>252</v>
      </c>
      <c r="V23" s="977">
        <v>258</v>
      </c>
      <c r="W23" s="977">
        <v>10</v>
      </c>
      <c r="X23" s="1061">
        <f t="shared" si="2"/>
        <v>0.19011725293132328</v>
      </c>
      <c r="Y23" s="978">
        <f t="shared" si="1"/>
        <v>0.3968503937007874</v>
      </c>
      <c r="Z23" s="993"/>
      <c r="AA23" s="979">
        <f>_xlfn.XLOOKUP(A23,'[4]Sub-analyza3 - zadania kvality'!$A:$A,'[4]Sub-analyza3 - zadania kvality'!$K:$K,"Nenašlo sa")</f>
        <v>1.6666666666666667</v>
      </c>
      <c r="AB23" s="991" t="s">
        <v>3876</v>
      </c>
      <c r="AC23" s="1009" t="s">
        <v>4735</v>
      </c>
      <c r="AD23" s="982">
        <v>1</v>
      </c>
      <c r="AE23" s="977">
        <v>5</v>
      </c>
      <c r="AF23" s="983"/>
      <c r="AG23" s="977">
        <v>3</v>
      </c>
      <c r="AH23" s="977">
        <v>63</v>
      </c>
      <c r="AI23" s="983">
        <v>3</v>
      </c>
      <c r="AJ23" s="983">
        <v>63</v>
      </c>
      <c r="AK23" s="977"/>
      <c r="AL23" s="977"/>
      <c r="AM23" s="983"/>
      <c r="AN23" s="983"/>
      <c r="AO23" s="977"/>
      <c r="AP23" s="977"/>
      <c r="AQ23" s="977"/>
      <c r="AR23" s="983"/>
      <c r="AS23" s="983"/>
      <c r="AT23" s="983"/>
      <c r="AU23" s="977">
        <v>0</v>
      </c>
      <c r="AV23" s="977">
        <v>0</v>
      </c>
      <c r="AW23" s="983"/>
      <c r="AX23" s="983"/>
      <c r="AY23" s="977">
        <v>1</v>
      </c>
      <c r="AZ23" s="977">
        <v>21</v>
      </c>
      <c r="BA23" s="983"/>
      <c r="BB23" s="983"/>
      <c r="BC23" s="977">
        <v>1</v>
      </c>
      <c r="BD23" s="977">
        <v>21</v>
      </c>
      <c r="BE23" s="983"/>
      <c r="BF23" s="983"/>
      <c r="BG23" s="972">
        <f>_xlfn.XLOOKUP('Pasport1 NetAcad zdroj4'!$A23,'[5]Pasport1 Akademie'!$B$2:$B$62,'[5]Pasport1 Akademie'!AY$2:AY$62,"zle")</f>
        <v>10</v>
      </c>
      <c r="BH23" s="972">
        <f>_xlfn.XLOOKUP('Pasport1 NetAcad zdroj4'!$A23,'[5]Pasport1 Akademie'!$B$2:$B$62,'[5]Pasport1 Akademie'!AZ$2:AZ$62,"zle")</f>
        <v>6</v>
      </c>
      <c r="BI23" s="972">
        <f>_xlfn.XLOOKUP('Pasport1 NetAcad zdroj4'!$A23,'[5]Pasport1 Akademie'!$B$2:$B$62,'[5]Pasport1 Akademie'!BA$2:BA$62,"zle")</f>
        <v>0</v>
      </c>
      <c r="BJ23" s="972">
        <f>_xlfn.XLOOKUP('Pasport1 NetAcad zdroj4'!$A23,'[5]Pasport1 Akademie'!$B$2:$B$62,'[5]Pasport1 Akademie'!BB$2:BB$62,"zle")</f>
        <v>6</v>
      </c>
      <c r="BK23" s="972">
        <f>_xlfn.XLOOKUP('Pasport1 NetAcad zdroj4'!$A23,'[5]Pasport1 Akademie'!$B$2:$B$62,'[5]Pasport1 Akademie'!AZ$2:AZ$62,"zle")</f>
        <v>6</v>
      </c>
      <c r="BL23" s="972">
        <f>_xlfn.XLOOKUP('Pasport1 NetAcad zdroj4'!$A23,'[5]Pasport1 Akademie'!$B$2:$B$62,'[5]Pasport1 Akademie'!BD$2:BD$62,"zle")</f>
        <v>12</v>
      </c>
      <c r="BM23" s="972">
        <f>_xlfn.XLOOKUP('Pasport1 NetAcad zdroj4'!$A23,'[5]Pasport1 Akademie'!$B$2:$B$62,'[5]Pasport1 Akademie'!BC$2:BC$62,"zle")</f>
        <v>6</v>
      </c>
      <c r="BN23" s="996" t="s">
        <v>4736</v>
      </c>
      <c r="BO23" s="1062" t="s">
        <v>4737</v>
      </c>
      <c r="BP23" s="1062" t="s">
        <v>4738</v>
      </c>
      <c r="BQ23" s="1063"/>
      <c r="BR23" s="1062"/>
      <c r="BS23" s="1063" t="s">
        <v>4739</v>
      </c>
      <c r="BT23" s="1064" t="s">
        <v>4740</v>
      </c>
      <c r="BU23" s="1065">
        <v>26</v>
      </c>
      <c r="BW23" s="773" t="str">
        <f>_xlfn.XLOOKUP(A23,'[4]Sub-analyza3 - zadania kvality'!A:A,'[4]Sub-analyza3 - zadania kvality'!F:F,"Nenašlo sa")</f>
        <v>Stredná priemyselná škola elektrotechnická S. A. Jedlika ako org.zl. Spojenej školy</v>
      </c>
    </row>
    <row r="24" spans="1:75" x14ac:dyDescent="0.2">
      <c r="A24" s="987" t="s">
        <v>3961</v>
      </c>
      <c r="B24" s="987">
        <v>100009487</v>
      </c>
      <c r="C24" s="1066">
        <v>37956108</v>
      </c>
      <c r="D24" s="988" t="s">
        <v>4741</v>
      </c>
      <c r="E24" s="988" t="s">
        <v>4742</v>
      </c>
      <c r="F24" s="988" t="s">
        <v>4624</v>
      </c>
      <c r="G24" s="972" t="s">
        <v>4560</v>
      </c>
      <c r="H24" s="972" t="s">
        <v>4625</v>
      </c>
      <c r="I24" s="989" t="s">
        <v>4562</v>
      </c>
      <c r="J24" s="989">
        <v>1</v>
      </c>
      <c r="K24" s="918" t="s">
        <v>4562</v>
      </c>
      <c r="L24" s="1067" t="s">
        <v>4626</v>
      </c>
      <c r="M24" s="918"/>
      <c r="N24" s="1002"/>
      <c r="O24" s="989"/>
      <c r="P24" s="989"/>
      <c r="Q24" s="989"/>
      <c r="R24" s="1006">
        <v>230</v>
      </c>
      <c r="S24" s="977">
        <v>0</v>
      </c>
      <c r="T24" s="977">
        <v>230</v>
      </c>
      <c r="U24" s="977">
        <v>100</v>
      </c>
      <c r="V24" s="977">
        <v>130</v>
      </c>
      <c r="W24" s="977">
        <v>20</v>
      </c>
      <c r="X24" s="1007">
        <f t="shared" si="2"/>
        <v>9.6314907872696823E-2</v>
      </c>
      <c r="Y24" s="978">
        <f t="shared" si="1"/>
        <v>0.15748031496062992</v>
      </c>
      <c r="Z24" s="980" t="s">
        <v>4639</v>
      </c>
      <c r="AA24" s="979">
        <f>_xlfn.XLOOKUP(A24,'[4]Sub-analyza3 - zadania kvality'!$A:$A,'[4]Sub-analyza3 - zadania kvality'!$K:$K,"Nenašlo sa")</f>
        <v>1</v>
      </c>
      <c r="AB24" s="989" t="s">
        <v>3860</v>
      </c>
      <c r="AC24" s="1009" t="s">
        <v>4743</v>
      </c>
      <c r="AD24" s="982">
        <v>1</v>
      </c>
      <c r="AE24" s="977">
        <v>5</v>
      </c>
      <c r="AF24" s="983"/>
      <c r="AG24" s="977">
        <v>1</v>
      </c>
      <c r="AH24" s="977">
        <v>15</v>
      </c>
      <c r="AI24" s="983">
        <v>1</v>
      </c>
      <c r="AJ24" s="983">
        <v>15</v>
      </c>
      <c r="AK24" s="977">
        <v>1</v>
      </c>
      <c r="AL24" s="977">
        <v>10</v>
      </c>
      <c r="AM24" s="983"/>
      <c r="AN24" s="983"/>
      <c r="AO24" s="977">
        <v>1</v>
      </c>
      <c r="AP24" s="977">
        <v>10</v>
      </c>
      <c r="AQ24" s="977">
        <v>0</v>
      </c>
      <c r="AR24" s="983"/>
      <c r="AS24" s="983"/>
      <c r="AT24" s="983"/>
      <c r="AU24" s="977">
        <v>0</v>
      </c>
      <c r="AV24" s="977">
        <v>0</v>
      </c>
      <c r="AW24" s="983"/>
      <c r="AX24" s="983"/>
      <c r="AY24" s="977">
        <v>1</v>
      </c>
      <c r="AZ24" s="977">
        <v>10</v>
      </c>
      <c r="BA24" s="983"/>
      <c r="BB24" s="983"/>
      <c r="BC24" s="977">
        <v>1</v>
      </c>
      <c r="BD24" s="977">
        <v>10</v>
      </c>
      <c r="BE24" s="983"/>
      <c r="BF24" s="983"/>
      <c r="BG24" s="972">
        <f>_xlfn.XLOOKUP('Pasport1 NetAcad zdroj4'!$A24,'[5]Pasport1 Akademie'!$B$2:$B$62,'[5]Pasport1 Akademie'!AY$2:AY$62,"zle")</f>
        <v>7</v>
      </c>
      <c r="BH24" s="972">
        <f>_xlfn.XLOOKUP('Pasport1 NetAcad zdroj4'!$A24,'[5]Pasport1 Akademie'!$B$2:$B$62,'[5]Pasport1 Akademie'!AZ$2:AZ$62,"zle")</f>
        <v>5</v>
      </c>
      <c r="BI24" s="972">
        <f>_xlfn.XLOOKUP('Pasport1 NetAcad zdroj4'!$A24,'[5]Pasport1 Akademie'!$B$2:$B$62,'[5]Pasport1 Akademie'!BA$2:BA$62,"zle")</f>
        <v>5</v>
      </c>
      <c r="BJ24" s="972">
        <f>_xlfn.XLOOKUP('Pasport1 NetAcad zdroj4'!$A24,'[5]Pasport1 Akademie'!$B$2:$B$62,'[5]Pasport1 Akademie'!BB$2:BB$62,"zle")</f>
        <v>20</v>
      </c>
      <c r="BK24" s="972">
        <f>_xlfn.XLOOKUP('Pasport1 NetAcad zdroj4'!$A24,'[5]Pasport1 Akademie'!$B$2:$B$62,'[5]Pasport1 Akademie'!AZ$2:AZ$62,"zle")</f>
        <v>5</v>
      </c>
      <c r="BL24" s="972">
        <f>_xlfn.XLOOKUP('Pasport1 NetAcad zdroj4'!$A24,'[5]Pasport1 Akademie'!$B$2:$B$62,'[5]Pasport1 Akademie'!BD$2:BD$62,"zle")</f>
        <v>5</v>
      </c>
      <c r="BM24" s="972">
        <f>_xlfn.XLOOKUP('Pasport1 NetAcad zdroj4'!$A24,'[5]Pasport1 Akademie'!$B$2:$B$62,'[5]Pasport1 Akademie'!BC$2:BC$62,"zle")</f>
        <v>5</v>
      </c>
      <c r="BN24" s="972" t="s">
        <v>4744</v>
      </c>
      <c r="BO24" s="1068" t="s">
        <v>4745</v>
      </c>
      <c r="BP24" s="984" t="s">
        <v>4746</v>
      </c>
      <c r="BQ24" s="988" t="s">
        <v>4747</v>
      </c>
      <c r="BR24" s="1068" t="s">
        <v>4746</v>
      </c>
      <c r="BS24" s="988" t="s">
        <v>4748</v>
      </c>
      <c r="BT24" s="985" t="s">
        <v>4749</v>
      </c>
      <c r="BU24" s="986">
        <v>27</v>
      </c>
      <c r="BW24" s="773" t="str">
        <f>_xlfn.XLOOKUP(A24,'[4]Sub-analyza3 - zadania kvality'!A:A,'[4]Sub-analyza3 - zadania kvality'!F:F,"Nenašlo sa")</f>
        <v>Spojená škola - Stredná odborná škola elektrotechnická</v>
      </c>
    </row>
    <row r="25" spans="1:75" ht="15.75" customHeight="1" x14ac:dyDescent="0.2">
      <c r="A25" s="987">
        <v>53948998</v>
      </c>
      <c r="B25" s="987">
        <v>100019365</v>
      </c>
      <c r="C25" s="987">
        <v>53948998</v>
      </c>
      <c r="D25" s="988" t="s">
        <v>4750</v>
      </c>
      <c r="E25" s="988" t="s">
        <v>4751</v>
      </c>
      <c r="F25" s="988" t="s">
        <v>4752</v>
      </c>
      <c r="G25" s="972" t="s">
        <v>4560</v>
      </c>
      <c r="H25" s="972" t="s">
        <v>4561</v>
      </c>
      <c r="I25" s="989" t="s">
        <v>4562</v>
      </c>
      <c r="J25" s="989">
        <v>1</v>
      </c>
      <c r="K25" s="918" t="s">
        <v>4562</v>
      </c>
      <c r="L25" s="974" t="s">
        <v>4563</v>
      </c>
      <c r="M25" s="918"/>
      <c r="N25" s="990">
        <v>6.7</v>
      </c>
      <c r="O25" s="991" t="s">
        <v>4573</v>
      </c>
      <c r="P25" s="989"/>
      <c r="Q25" s="989" t="s">
        <v>4694</v>
      </c>
      <c r="R25" s="1006">
        <v>449</v>
      </c>
      <c r="S25" s="977">
        <v>19</v>
      </c>
      <c r="T25" s="977">
        <v>850</v>
      </c>
      <c r="U25" s="977">
        <v>420</v>
      </c>
      <c r="V25" s="977">
        <v>100</v>
      </c>
      <c r="W25" s="977">
        <v>25</v>
      </c>
      <c r="X25" s="1007">
        <f t="shared" si="2"/>
        <v>0.18802345058626466</v>
      </c>
      <c r="Y25" s="992">
        <f t="shared" si="1"/>
        <v>0.66141732283464572</v>
      </c>
      <c r="Z25" s="993"/>
      <c r="AA25" s="979">
        <f>_xlfn.XLOOKUP(A25,'[4]Sub-analyza3 - zadania kvality'!$A:$A,'[4]Sub-analyza3 - zadania kvality'!$K:$K,"Nenašlo sa")</f>
        <v>1</v>
      </c>
      <c r="AB25" s="991" t="s">
        <v>3924</v>
      </c>
      <c r="AC25" s="1009" t="s">
        <v>4735</v>
      </c>
      <c r="AD25" s="982">
        <v>1</v>
      </c>
      <c r="AE25" s="977">
        <v>3</v>
      </c>
      <c r="AF25" s="983"/>
      <c r="AG25" s="977">
        <v>1</v>
      </c>
      <c r="AH25" s="977">
        <v>13</v>
      </c>
      <c r="AI25" s="983">
        <v>1</v>
      </c>
      <c r="AJ25" s="983">
        <v>13</v>
      </c>
      <c r="AK25" s="977">
        <v>1</v>
      </c>
      <c r="AL25" s="977">
        <v>13</v>
      </c>
      <c r="AM25" s="983"/>
      <c r="AN25" s="983"/>
      <c r="AO25" s="977"/>
      <c r="AP25" s="977"/>
      <c r="AQ25" s="977"/>
      <c r="AR25" s="983"/>
      <c r="AS25" s="983"/>
      <c r="AT25" s="983"/>
      <c r="AU25" s="977">
        <v>0</v>
      </c>
      <c r="AV25" s="977">
        <v>0</v>
      </c>
      <c r="AW25" s="983"/>
      <c r="AX25" s="983"/>
      <c r="AY25" s="1001">
        <v>1</v>
      </c>
      <c r="AZ25" s="1001">
        <v>13</v>
      </c>
      <c r="BA25" s="983">
        <v>1</v>
      </c>
      <c r="BB25" s="983"/>
      <c r="BC25" s="977">
        <v>0</v>
      </c>
      <c r="BD25" s="977">
        <v>0</v>
      </c>
      <c r="BE25" s="983"/>
      <c r="BF25" s="983"/>
      <c r="BG25" s="972">
        <f>_xlfn.XLOOKUP('Pasport1 NetAcad zdroj4'!$A25,'[5]Pasport1 Akademie'!$B$2:$B$62,'[5]Pasport1 Akademie'!AY$2:AY$62,"zle")</f>
        <v>10</v>
      </c>
      <c r="BH25" s="972">
        <f>_xlfn.XLOOKUP('Pasport1 NetAcad zdroj4'!$A25,'[5]Pasport1 Akademie'!$B$2:$B$62,'[5]Pasport1 Akademie'!AZ$2:AZ$62,"zle")</f>
        <v>6</v>
      </c>
      <c r="BI25" s="972">
        <f>_xlfn.XLOOKUP('Pasport1 NetAcad zdroj4'!$A25,'[5]Pasport1 Akademie'!$B$2:$B$62,'[5]Pasport1 Akademie'!BA$2:BA$62,"zle")</f>
        <v>2</v>
      </c>
      <c r="BJ25" s="972">
        <f>_xlfn.XLOOKUP('Pasport1 NetAcad zdroj4'!$A25,'[5]Pasport1 Akademie'!$B$2:$B$62,'[5]Pasport1 Akademie'!BB$2:BB$62,"zle")</f>
        <v>10</v>
      </c>
      <c r="BK25" s="972">
        <f>_xlfn.XLOOKUP('Pasport1 NetAcad zdroj4'!$A25,'[5]Pasport1 Akademie'!$B$2:$B$62,'[5]Pasport1 Akademie'!AZ$2:AZ$62,"zle")</f>
        <v>6</v>
      </c>
      <c r="BL25" s="972">
        <f>_xlfn.XLOOKUP('Pasport1 NetAcad zdroj4'!$A25,'[5]Pasport1 Akademie'!$B$2:$B$62,'[5]Pasport1 Akademie'!BD$2:BD$62,"zle")</f>
        <v>10</v>
      </c>
      <c r="BM25" s="972">
        <f>_xlfn.XLOOKUP('Pasport1 NetAcad zdroj4'!$A25,'[5]Pasport1 Akademie'!$B$2:$B$62,'[5]Pasport1 Akademie'!BC$2:BC$62,"zle")</f>
        <v>6</v>
      </c>
      <c r="BN25" s="996" t="s">
        <v>4753</v>
      </c>
      <c r="BO25" s="997" t="s">
        <v>4754</v>
      </c>
      <c r="BP25" s="997" t="s">
        <v>4755</v>
      </c>
      <c r="BQ25" s="988"/>
      <c r="BR25" s="997"/>
      <c r="BS25" s="988"/>
      <c r="BT25" s="998"/>
      <c r="BU25" s="986">
        <v>28</v>
      </c>
      <c r="BW25" s="773" t="str">
        <f>_xlfn.XLOOKUP(A25,'[4]Sub-analyza3 - zadania kvality'!A:A,'[4]Sub-analyza3 - zadania kvality'!F:F,"Nenašlo sa")</f>
        <v>Stredná priemyselná škola informačných technológií Ignáca Gessaya</v>
      </c>
    </row>
    <row r="26" spans="1:75" ht="15.75" customHeight="1" x14ac:dyDescent="0.2">
      <c r="A26" s="987">
        <v>42096651</v>
      </c>
      <c r="B26" s="987">
        <v>100015563</v>
      </c>
      <c r="C26" s="987">
        <v>42096651</v>
      </c>
      <c r="D26" s="988" t="s">
        <v>4756</v>
      </c>
      <c r="E26" s="988" t="s">
        <v>4757</v>
      </c>
      <c r="F26" s="988" t="s">
        <v>4682</v>
      </c>
      <c r="G26" s="972" t="s">
        <v>4560</v>
      </c>
      <c r="H26" s="972" t="s">
        <v>4649</v>
      </c>
      <c r="I26" s="989" t="s">
        <v>4562</v>
      </c>
      <c r="J26" s="989">
        <v>1</v>
      </c>
      <c r="K26" s="918" t="s">
        <v>4562</v>
      </c>
      <c r="L26" s="974" t="s">
        <v>4563</v>
      </c>
      <c r="M26" s="918"/>
      <c r="N26" s="1002"/>
      <c r="O26" s="991" t="s">
        <v>4573</v>
      </c>
      <c r="P26" s="989"/>
      <c r="Q26" s="989"/>
      <c r="R26" s="1006">
        <v>531</v>
      </c>
      <c r="S26" s="977">
        <v>11</v>
      </c>
      <c r="T26" s="977">
        <v>490</v>
      </c>
      <c r="U26" s="977">
        <v>220</v>
      </c>
      <c r="V26" s="977">
        <v>70</v>
      </c>
      <c r="W26" s="977">
        <v>5</v>
      </c>
      <c r="X26" s="1014">
        <f t="shared" si="2"/>
        <v>0.22236180904522612</v>
      </c>
      <c r="Y26" s="978">
        <f t="shared" si="1"/>
        <v>0.34645669291338582</v>
      </c>
      <c r="Z26" s="993"/>
      <c r="AA26" s="979">
        <f>_xlfn.XLOOKUP(A26,'[4]Sub-analyza3 - zadania kvality'!$A:$A,'[4]Sub-analyza3 - zadania kvality'!$K:$K,"Nenašlo sa")</f>
        <v>1</v>
      </c>
      <c r="AB26" s="991" t="s">
        <v>3860</v>
      </c>
      <c r="AC26" s="1009" t="s">
        <v>4758</v>
      </c>
      <c r="AD26" s="982">
        <v>1</v>
      </c>
      <c r="AE26" s="977">
        <v>3</v>
      </c>
      <c r="AF26" s="983"/>
      <c r="AG26" s="977">
        <v>1</v>
      </c>
      <c r="AH26" s="977">
        <v>15</v>
      </c>
      <c r="AI26" s="983">
        <v>1</v>
      </c>
      <c r="AJ26" s="983">
        <v>15</v>
      </c>
      <c r="AK26" s="977"/>
      <c r="AL26" s="977"/>
      <c r="AM26" s="983"/>
      <c r="AN26" s="983"/>
      <c r="AO26" s="977"/>
      <c r="AP26" s="977"/>
      <c r="AQ26" s="977"/>
      <c r="AR26" s="983"/>
      <c r="AS26" s="983"/>
      <c r="AT26" s="983"/>
      <c r="AU26" s="1001">
        <v>1</v>
      </c>
      <c r="AV26" s="1001">
        <v>5</v>
      </c>
      <c r="AW26" s="983">
        <v>1</v>
      </c>
      <c r="AX26" s="983"/>
      <c r="AY26" s="1001">
        <v>1</v>
      </c>
      <c r="AZ26" s="1001">
        <v>10</v>
      </c>
      <c r="BA26" s="983">
        <v>1</v>
      </c>
      <c r="BB26" s="983"/>
      <c r="BC26" s="977">
        <v>0</v>
      </c>
      <c r="BD26" s="977">
        <v>0</v>
      </c>
      <c r="BE26" s="983"/>
      <c r="BF26" s="983"/>
      <c r="BG26" s="972">
        <f>_xlfn.XLOOKUP('Pasport1 NetAcad zdroj4'!$A26,'[5]Pasport1 Akademie'!$B$2:$B$62,'[5]Pasport1 Akademie'!AY$2:AY$62,"zle")</f>
        <v>10</v>
      </c>
      <c r="BH26" s="972">
        <f>_xlfn.XLOOKUP('Pasport1 NetAcad zdroj4'!$A26,'[5]Pasport1 Akademie'!$B$2:$B$62,'[5]Pasport1 Akademie'!AZ$2:AZ$62,"zle")</f>
        <v>5</v>
      </c>
      <c r="BI26" s="972">
        <f>_xlfn.XLOOKUP('Pasport1 NetAcad zdroj4'!$A26,'[5]Pasport1 Akademie'!$B$2:$B$62,'[5]Pasport1 Akademie'!BA$2:BA$62,"zle")</f>
        <v>3</v>
      </c>
      <c r="BJ26" s="972">
        <f>_xlfn.XLOOKUP('Pasport1 NetAcad zdroj4'!$A26,'[5]Pasport1 Akademie'!$B$2:$B$62,'[5]Pasport1 Akademie'!BB$2:BB$62,"zle")</f>
        <v>10</v>
      </c>
      <c r="BK26" s="972">
        <f>_xlfn.XLOOKUP('Pasport1 NetAcad zdroj4'!$A26,'[5]Pasport1 Akademie'!$B$2:$B$62,'[5]Pasport1 Akademie'!AZ$2:AZ$62,"zle")</f>
        <v>5</v>
      </c>
      <c r="BL26" s="972">
        <f>_xlfn.XLOOKUP('Pasport1 NetAcad zdroj4'!$A26,'[5]Pasport1 Akademie'!$B$2:$B$62,'[5]Pasport1 Akademie'!BD$2:BD$62,"zle")</f>
        <v>10</v>
      </c>
      <c r="BM26" s="972">
        <f>_xlfn.XLOOKUP('Pasport1 NetAcad zdroj4'!$A26,'[5]Pasport1 Akademie'!$B$2:$B$62,'[5]Pasport1 Akademie'!BC$2:BC$62,"zle")</f>
        <v>5</v>
      </c>
      <c r="BN26" s="996" t="s">
        <v>4759</v>
      </c>
      <c r="BO26" s="1003" t="s">
        <v>4760</v>
      </c>
      <c r="BP26" s="997" t="s">
        <v>4761</v>
      </c>
      <c r="BQ26" s="988" t="s">
        <v>4762</v>
      </c>
      <c r="BR26" s="997" t="s">
        <v>4763</v>
      </c>
      <c r="BS26" s="988" t="s">
        <v>4764</v>
      </c>
      <c r="BT26" s="998" t="s">
        <v>4763</v>
      </c>
      <c r="BU26" s="986">
        <v>29</v>
      </c>
      <c r="BW26" s="773" t="str">
        <f>_xlfn.XLOOKUP(A26,'[4]Sub-analyza3 - zadania kvality'!A:A,'[4]Sub-analyza3 - zadania kvality'!F:F,"Nenašlo sa")</f>
        <v>Stredná odborná škola technická Michalovce</v>
      </c>
    </row>
    <row r="27" spans="1:75" ht="15.75" customHeight="1" x14ac:dyDescent="0.2">
      <c r="A27" s="987" t="s">
        <v>3993</v>
      </c>
      <c r="B27" s="987">
        <v>100004741</v>
      </c>
      <c r="C27" s="987">
        <v>710237723</v>
      </c>
      <c r="D27" s="1015" t="s">
        <v>4765</v>
      </c>
      <c r="E27" s="988" t="s">
        <v>4766</v>
      </c>
      <c r="F27" s="988" t="s">
        <v>4767</v>
      </c>
      <c r="G27" s="972" t="s">
        <v>4560</v>
      </c>
      <c r="H27" s="972" t="s">
        <v>4613</v>
      </c>
      <c r="I27" s="920" t="s">
        <v>4562</v>
      </c>
      <c r="J27" s="920">
        <v>1</v>
      </c>
      <c r="K27" s="918" t="s">
        <v>4562</v>
      </c>
      <c r="L27" s="918" t="s">
        <v>4650</v>
      </c>
      <c r="M27" s="918"/>
      <c r="N27" s="1026"/>
      <c r="O27" s="920"/>
      <c r="P27" s="920"/>
      <c r="Q27" s="999"/>
      <c r="R27" s="1017">
        <v>169</v>
      </c>
      <c r="S27" s="977">
        <v>13</v>
      </c>
      <c r="T27" s="977">
        <v>160</v>
      </c>
      <c r="U27" s="977">
        <v>145</v>
      </c>
      <c r="V27" s="977">
        <v>15</v>
      </c>
      <c r="W27" s="977">
        <v>20</v>
      </c>
      <c r="X27" s="1061">
        <f t="shared" si="2"/>
        <v>7.0770519262981571E-2</v>
      </c>
      <c r="Y27" s="978">
        <f t="shared" si="1"/>
        <v>0.2283464566929134</v>
      </c>
      <c r="Z27" s="993"/>
      <c r="AA27" s="979">
        <f>_xlfn.XLOOKUP(A27,'[4]Sub-analyza3 - zadania kvality'!$A:$A,'[4]Sub-analyza3 - zadania kvality'!$K:$K,"Nenašlo sa")</f>
        <v>1</v>
      </c>
      <c r="AB27" s="920" t="s">
        <v>3860</v>
      </c>
      <c r="AC27" s="1009" t="s">
        <v>4768</v>
      </c>
      <c r="AD27" s="982">
        <v>1</v>
      </c>
      <c r="AE27" s="977">
        <v>2</v>
      </c>
      <c r="AF27" s="983"/>
      <c r="AG27" s="977"/>
      <c r="AH27" s="977"/>
      <c r="AI27" s="983"/>
      <c r="AJ27" s="983"/>
      <c r="AK27" s="977"/>
      <c r="AL27" s="977"/>
      <c r="AM27" s="983"/>
      <c r="AN27" s="983"/>
      <c r="AO27" s="977"/>
      <c r="AP27" s="977"/>
      <c r="AQ27" s="977"/>
      <c r="AR27" s="983"/>
      <c r="AS27" s="983"/>
      <c r="AT27" s="983"/>
      <c r="AU27" s="977"/>
      <c r="AV27" s="977"/>
      <c r="AW27" s="983"/>
      <c r="AX27" s="983"/>
      <c r="AY27" s="977">
        <v>1</v>
      </c>
      <c r="AZ27" s="977">
        <v>8</v>
      </c>
      <c r="BA27" s="983"/>
      <c r="BB27" s="983"/>
      <c r="BC27" s="977">
        <v>1</v>
      </c>
      <c r="BD27" s="977">
        <v>8</v>
      </c>
      <c r="BE27" s="983"/>
      <c r="BF27" s="983"/>
      <c r="BG27" s="972">
        <f>_xlfn.XLOOKUP('Pasport1 NetAcad zdroj4'!$A27,'[5]Pasport1 Akademie'!$B$2:$B$62,'[5]Pasport1 Akademie'!AY$2:AY$62,"zle")</f>
        <v>3</v>
      </c>
      <c r="BH27" s="972">
        <f>_xlfn.XLOOKUP('Pasport1 NetAcad zdroj4'!$A27,'[5]Pasport1 Akademie'!$B$2:$B$62,'[5]Pasport1 Akademie'!AZ$2:AZ$62,"zle")</f>
        <v>3</v>
      </c>
      <c r="BI27" s="972">
        <f>_xlfn.XLOOKUP('Pasport1 NetAcad zdroj4'!$A27,'[5]Pasport1 Akademie'!$B$2:$B$62,'[5]Pasport1 Akademie'!BA$2:BA$62,"zle")</f>
        <v>1</v>
      </c>
      <c r="BJ27" s="972">
        <f>_xlfn.XLOOKUP('Pasport1 NetAcad zdroj4'!$A27,'[5]Pasport1 Akademie'!$B$2:$B$62,'[5]Pasport1 Akademie'!BB$2:BB$62,"zle")</f>
        <v>4</v>
      </c>
      <c r="BK27" s="972">
        <f>_xlfn.XLOOKUP('Pasport1 NetAcad zdroj4'!$A27,'[5]Pasport1 Akademie'!$B$2:$B$62,'[5]Pasport1 Akademie'!AZ$2:AZ$62,"zle")</f>
        <v>3</v>
      </c>
      <c r="BL27" s="972">
        <f>_xlfn.XLOOKUP('Pasport1 NetAcad zdroj4'!$A27,'[5]Pasport1 Akademie'!$B$2:$B$62,'[5]Pasport1 Akademie'!BD$2:BD$62,"zle")</f>
        <v>2</v>
      </c>
      <c r="BM27" s="972">
        <f>_xlfn.XLOOKUP('Pasport1 NetAcad zdroj4'!$A27,'[5]Pasport1 Akademie'!$B$2:$B$62,'[5]Pasport1 Akademie'!BC$2:BC$62,"zle")</f>
        <v>2</v>
      </c>
      <c r="BN27" s="996" t="s">
        <v>4769</v>
      </c>
      <c r="BO27" s="1069" t="s">
        <v>4770</v>
      </c>
      <c r="BP27" s="1029"/>
      <c r="BQ27" s="917" t="s">
        <v>4771</v>
      </c>
      <c r="BR27" s="1069" t="s">
        <v>4772</v>
      </c>
      <c r="BS27" s="917" t="s">
        <v>4773</v>
      </c>
      <c r="BT27" s="1070" t="s">
        <v>4774</v>
      </c>
      <c r="BU27" s="1031">
        <v>30</v>
      </c>
      <c r="BW27" s="773" t="str">
        <f>_xlfn.XLOOKUP(A27,'[4]Sub-analyza3 - zadania kvality'!A:A,'[4]Sub-analyza3 - zadania kvality'!F:F,"Nenašlo sa")</f>
        <v>Spojená škola sv. Jána Bosca - org. zl. SOŠ IT sv. Jána Bosca</v>
      </c>
    </row>
    <row r="28" spans="1:75" ht="15.75" customHeight="1" x14ac:dyDescent="0.2">
      <c r="A28" s="916" t="s">
        <v>4096</v>
      </c>
      <c r="B28" s="987">
        <v>100016200</v>
      </c>
      <c r="C28" s="987">
        <v>521663</v>
      </c>
      <c r="D28" s="988" t="s">
        <v>4304</v>
      </c>
      <c r="E28" s="988" t="s">
        <v>4775</v>
      </c>
      <c r="F28" s="988" t="s">
        <v>4648</v>
      </c>
      <c r="G28" s="972" t="s">
        <v>4560</v>
      </c>
      <c r="H28" s="972" t="s">
        <v>4649</v>
      </c>
      <c r="I28" s="989" t="s">
        <v>4562</v>
      </c>
      <c r="J28" s="989">
        <v>1</v>
      </c>
      <c r="K28" s="918" t="s">
        <v>4562</v>
      </c>
      <c r="L28" s="1013" t="s">
        <v>4626</v>
      </c>
      <c r="M28" s="918"/>
      <c r="N28" s="990">
        <v>7</v>
      </c>
      <c r="O28" s="991" t="s">
        <v>4573</v>
      </c>
      <c r="P28" s="989"/>
      <c r="Q28" s="989"/>
      <c r="R28" s="1006">
        <v>462</v>
      </c>
      <c r="S28" s="977">
        <v>35</v>
      </c>
      <c r="T28" s="977">
        <v>460</v>
      </c>
      <c r="U28" s="977">
        <v>150</v>
      </c>
      <c r="V28" s="977">
        <v>200</v>
      </c>
      <c r="W28" s="977">
        <v>16</v>
      </c>
      <c r="X28" s="1007">
        <f t="shared" si="2"/>
        <v>0.19346733668341709</v>
      </c>
      <c r="Y28" s="978">
        <f t="shared" si="1"/>
        <v>0.23622047244094488</v>
      </c>
      <c r="Z28" s="994" t="s">
        <v>4639</v>
      </c>
      <c r="AA28" s="979">
        <f>_xlfn.XLOOKUP(A28,'[4]Sub-analyza3 - zadania kvality'!$A:$A,'[4]Sub-analyza3 - zadania kvality'!$K:$K,"Nenašlo sa")</f>
        <v>1</v>
      </c>
      <c r="AB28" s="1071" t="s">
        <v>3860</v>
      </c>
      <c r="AC28" s="1009" t="s">
        <v>4614</v>
      </c>
      <c r="AD28" s="982">
        <v>1</v>
      </c>
      <c r="AE28" s="977">
        <v>4</v>
      </c>
      <c r="AF28" s="983"/>
      <c r="AG28" s="977">
        <v>1</v>
      </c>
      <c r="AH28" s="977">
        <v>20</v>
      </c>
      <c r="AI28" s="983">
        <v>1</v>
      </c>
      <c r="AJ28" s="983">
        <v>20</v>
      </c>
      <c r="AK28" s="977">
        <v>1</v>
      </c>
      <c r="AL28" s="977">
        <v>20</v>
      </c>
      <c r="AM28" s="983">
        <v>1</v>
      </c>
      <c r="AN28" s="983">
        <v>20</v>
      </c>
      <c r="AO28" s="977"/>
      <c r="AP28" s="977"/>
      <c r="AQ28" s="977"/>
      <c r="AR28" s="983"/>
      <c r="AS28" s="983"/>
      <c r="AT28" s="983"/>
      <c r="AU28" s="977">
        <v>1</v>
      </c>
      <c r="AV28" s="977">
        <v>15</v>
      </c>
      <c r="AW28" s="983"/>
      <c r="AX28" s="983"/>
      <c r="AY28" s="977">
        <v>0</v>
      </c>
      <c r="AZ28" s="977">
        <v>0</v>
      </c>
      <c r="BA28" s="983"/>
      <c r="BB28" s="983"/>
      <c r="BC28" s="977">
        <v>1</v>
      </c>
      <c r="BD28" s="977">
        <v>20</v>
      </c>
      <c r="BE28" s="983"/>
      <c r="BF28" s="983"/>
      <c r="BG28" s="972">
        <f>_xlfn.XLOOKUP('Pasport1 NetAcad zdroj4'!$A28,'[5]Pasport1 Akademie'!$B$2:$B$62,'[5]Pasport1 Akademie'!AY$2:AY$62,"zle")</f>
        <v>10</v>
      </c>
      <c r="BH28" s="972">
        <f>_xlfn.XLOOKUP('Pasport1 NetAcad zdroj4'!$A28,'[5]Pasport1 Akademie'!$B$2:$B$62,'[5]Pasport1 Akademie'!AZ$2:AZ$62,"zle")</f>
        <v>6</v>
      </c>
      <c r="BI28" s="972">
        <f>_xlfn.XLOOKUP('Pasport1 NetAcad zdroj4'!$A28,'[5]Pasport1 Akademie'!$B$2:$B$62,'[5]Pasport1 Akademie'!BA$2:BA$62,"zle")</f>
        <v>4</v>
      </c>
      <c r="BJ28" s="972">
        <f>_xlfn.XLOOKUP('Pasport1 NetAcad zdroj4'!$A28,'[5]Pasport1 Akademie'!$B$2:$B$62,'[5]Pasport1 Akademie'!BB$2:BB$62,"zle")</f>
        <v>25</v>
      </c>
      <c r="BK28" s="972">
        <f>_xlfn.XLOOKUP('Pasport1 NetAcad zdroj4'!$A28,'[5]Pasport1 Akademie'!$B$2:$B$62,'[5]Pasport1 Akademie'!AZ$2:AZ$62,"zle")</f>
        <v>6</v>
      </c>
      <c r="BL28" s="972">
        <f>_xlfn.XLOOKUP('Pasport1 NetAcad zdroj4'!$A28,'[5]Pasport1 Akademie'!$B$2:$B$62,'[5]Pasport1 Akademie'!BD$2:BD$62,"zle")</f>
        <v>12</v>
      </c>
      <c r="BM28" s="972">
        <f>_xlfn.XLOOKUP('Pasport1 NetAcad zdroj4'!$A28,'[5]Pasport1 Akademie'!$B$2:$B$62,'[5]Pasport1 Akademie'!BC$2:BC$62,"zle")</f>
        <v>6</v>
      </c>
      <c r="BN28" s="996" t="s">
        <v>4776</v>
      </c>
      <c r="BO28" s="997" t="s">
        <v>4777</v>
      </c>
      <c r="BP28" s="997" t="s">
        <v>4778</v>
      </c>
      <c r="BQ28" s="988"/>
      <c r="BR28" s="997"/>
      <c r="BS28" s="988"/>
      <c r="BT28" s="998"/>
      <c r="BU28" s="986">
        <v>31</v>
      </c>
      <c r="BW28" s="773" t="str">
        <f>_xlfn.XLOOKUP(A28,'[4]Sub-analyza3 - zadania kvality'!A:A,'[4]Sub-analyza3 - zadania kvality'!F:F,"Nenašlo sa")</f>
        <v>Stredná priemyselná škola technická</v>
      </c>
    </row>
    <row r="29" spans="1:75" s="1049" customFormat="1" ht="15.75" customHeight="1" x14ac:dyDescent="0.2">
      <c r="A29" s="1050">
        <v>37784722</v>
      </c>
      <c r="B29" s="1050">
        <v>100012960</v>
      </c>
      <c r="C29" s="1050">
        <v>37784722</v>
      </c>
      <c r="D29" s="1051" t="s">
        <v>4280</v>
      </c>
      <c r="E29" s="1051" t="s">
        <v>4281</v>
      </c>
      <c r="F29" s="1051" t="s">
        <v>4638</v>
      </c>
      <c r="G29" s="1034" t="s">
        <v>4560</v>
      </c>
      <c r="H29" s="1034" t="s">
        <v>4586</v>
      </c>
      <c r="I29" s="1052" t="s">
        <v>4562</v>
      </c>
      <c r="J29" s="1052">
        <v>1</v>
      </c>
      <c r="K29" s="1013" t="s">
        <v>4593</v>
      </c>
      <c r="L29" s="1013" t="s">
        <v>4563</v>
      </c>
      <c r="M29" s="1013"/>
      <c r="N29" s="1053"/>
      <c r="O29" s="1052"/>
      <c r="P29" s="1052"/>
      <c r="Q29" s="1052"/>
      <c r="R29" s="1054">
        <v>104</v>
      </c>
      <c r="S29" s="1001">
        <v>50</v>
      </c>
      <c r="T29" s="1001">
        <v>120</v>
      </c>
      <c r="U29" s="1001">
        <v>60</v>
      </c>
      <c r="V29" s="1001">
        <v>15</v>
      </c>
      <c r="W29" s="1001">
        <v>6</v>
      </c>
      <c r="X29" s="1055">
        <f t="shared" si="2"/>
        <v>4.3551088777219429E-2</v>
      </c>
      <c r="Y29" s="1039">
        <f t="shared" si="1"/>
        <v>9.4488188976377951E-2</v>
      </c>
      <c r="Z29" s="1040"/>
      <c r="AA29" s="1056" t="s">
        <v>4695</v>
      </c>
      <c r="AB29" s="1052" t="s">
        <v>4122</v>
      </c>
      <c r="AC29" s="1042"/>
      <c r="AD29" s="1043">
        <v>1</v>
      </c>
      <c r="AE29" s="1001">
        <v>3</v>
      </c>
      <c r="AF29" s="1012"/>
      <c r="AG29" s="1057">
        <v>1</v>
      </c>
      <c r="AH29" s="1057">
        <v>16</v>
      </c>
      <c r="AI29" s="1012"/>
      <c r="AJ29" s="1012"/>
      <c r="AK29" s="1001"/>
      <c r="AL29" s="1001"/>
      <c r="AM29" s="1012"/>
      <c r="AN29" s="1012"/>
      <c r="AO29" s="1001"/>
      <c r="AP29" s="1001"/>
      <c r="AQ29" s="1001"/>
      <c r="AR29" s="1012"/>
      <c r="AS29" s="1012"/>
      <c r="AT29" s="1012"/>
      <c r="AU29" s="1001">
        <v>0</v>
      </c>
      <c r="AV29" s="1001">
        <v>0</v>
      </c>
      <c r="AW29" s="1012"/>
      <c r="AX29" s="1012"/>
      <c r="AY29" s="1001">
        <v>1</v>
      </c>
      <c r="AZ29" s="1001">
        <v>8</v>
      </c>
      <c r="BA29" s="1012"/>
      <c r="BB29" s="1012"/>
      <c r="BC29" s="1001">
        <v>1</v>
      </c>
      <c r="BD29" s="1001">
        <v>8</v>
      </c>
      <c r="BE29" s="1012"/>
      <c r="BF29" s="1012"/>
      <c r="BG29" s="1034">
        <f>_xlfn.XLOOKUP('Pasport1 NetAcad zdroj4'!$A29,'[5]Pasport1 Akademie'!$B$2:$B$62,'[5]Pasport1 Akademie'!AY$2:AY$62,"zle")</f>
        <v>7</v>
      </c>
      <c r="BH29" s="1034">
        <f>_xlfn.XLOOKUP('Pasport1 NetAcad zdroj4'!$A29,'[5]Pasport1 Akademie'!$B$2:$B$62,'[5]Pasport1 Akademie'!AZ$2:AZ$62,"zle")</f>
        <v>4</v>
      </c>
      <c r="BI29" s="1034">
        <f>_xlfn.XLOOKUP('Pasport1 NetAcad zdroj4'!$A29,'[5]Pasport1 Akademie'!$B$2:$B$62,'[5]Pasport1 Akademie'!BA$2:BA$62,"zle")</f>
        <v>2</v>
      </c>
      <c r="BJ29" s="1034">
        <f>_xlfn.XLOOKUP('Pasport1 NetAcad zdroj4'!$A29,'[5]Pasport1 Akademie'!$B$2:$B$62,'[5]Pasport1 Akademie'!BB$2:BB$62,"zle")</f>
        <v>6</v>
      </c>
      <c r="BK29" s="1034">
        <f>_xlfn.XLOOKUP('Pasport1 NetAcad zdroj4'!$A29,'[5]Pasport1 Akademie'!$B$2:$B$62,'[5]Pasport1 Akademie'!AZ$2:AZ$62,"zle")</f>
        <v>4</v>
      </c>
      <c r="BL29" s="1034">
        <f>_xlfn.XLOOKUP('Pasport1 NetAcad zdroj4'!$A29,'[5]Pasport1 Akademie'!$B$2:$B$62,'[5]Pasport1 Akademie'!BD$2:BD$62,"zle")</f>
        <v>2</v>
      </c>
      <c r="BM29" s="1034">
        <f>_xlfn.XLOOKUP('Pasport1 NetAcad zdroj4'!$A29,'[5]Pasport1 Akademie'!$B$2:$B$62,'[5]Pasport1 Akademie'!BC$2:BC$62,"zle")</f>
        <v>2</v>
      </c>
      <c r="BN29" s="1044" t="s">
        <v>4779</v>
      </c>
      <c r="BO29" s="1072" t="s">
        <v>4780</v>
      </c>
      <c r="BP29" s="1073" t="s">
        <v>4781</v>
      </c>
      <c r="BQ29" s="1051" t="s">
        <v>4782</v>
      </c>
      <c r="BR29" s="1072" t="s">
        <v>4783</v>
      </c>
      <c r="BS29" s="1051" t="s">
        <v>4784</v>
      </c>
      <c r="BT29" s="1074" t="s">
        <v>4785</v>
      </c>
      <c r="BU29" s="1048">
        <v>32</v>
      </c>
      <c r="BW29" s="1049" t="str">
        <f>_xlfn.XLOOKUP(A29,'[4]Sub-analyza3 - zadania kvality'!A:A,'[4]Sub-analyza3 - zadania kvality'!F:F,"Nenašlo sa")</f>
        <v>B2</v>
      </c>
    </row>
    <row r="30" spans="1:75" ht="15.75" customHeight="1" x14ac:dyDescent="0.2">
      <c r="A30" s="987">
        <v>31313833</v>
      </c>
      <c r="B30" s="987">
        <v>100014940</v>
      </c>
      <c r="C30" s="987">
        <v>31313833</v>
      </c>
      <c r="D30" s="988" t="s">
        <v>4786</v>
      </c>
      <c r="E30" s="988" t="s">
        <v>4787</v>
      </c>
      <c r="F30" s="988" t="s">
        <v>4724</v>
      </c>
      <c r="G30" s="972" t="s">
        <v>4560</v>
      </c>
      <c r="H30" s="972" t="s">
        <v>4649</v>
      </c>
      <c r="I30" s="989" t="s">
        <v>4562</v>
      </c>
      <c r="J30" s="989">
        <v>1</v>
      </c>
      <c r="K30" s="918" t="s">
        <v>4562</v>
      </c>
      <c r="L30" s="918" t="s">
        <v>4563</v>
      </c>
      <c r="M30" s="918"/>
      <c r="N30" s="1002"/>
      <c r="O30" s="989"/>
      <c r="P30" s="989"/>
      <c r="Q30" s="989"/>
      <c r="R30" s="1006">
        <v>276</v>
      </c>
      <c r="S30" s="977">
        <v>130</v>
      </c>
      <c r="T30" s="977">
        <v>170</v>
      </c>
      <c r="U30" s="977">
        <v>170</v>
      </c>
      <c r="V30" s="977">
        <v>130</v>
      </c>
      <c r="W30" s="977">
        <v>30</v>
      </c>
      <c r="X30" s="1007">
        <f t="shared" si="2"/>
        <v>0.11557788944723618</v>
      </c>
      <c r="Y30" s="978">
        <f t="shared" si="1"/>
        <v>0.26771653543307089</v>
      </c>
      <c r="Z30" s="993"/>
      <c r="AA30" s="979">
        <f>_xlfn.XLOOKUP(A30,'[4]Sub-analyza3 - zadania kvality'!$A:$A,'[4]Sub-analyza3 - zadania kvality'!$K:$K,"Nenašlo sa")</f>
        <v>1</v>
      </c>
      <c r="AB30" s="989" t="s">
        <v>3860</v>
      </c>
      <c r="AC30" s="1009" t="s">
        <v>4788</v>
      </c>
      <c r="AD30" s="982">
        <v>1</v>
      </c>
      <c r="AE30" s="977">
        <v>3</v>
      </c>
      <c r="AF30" s="983"/>
      <c r="AG30" s="977">
        <v>1</v>
      </c>
      <c r="AH30" s="977">
        <v>15</v>
      </c>
      <c r="AI30" s="983">
        <v>1</v>
      </c>
      <c r="AJ30" s="983">
        <v>15</v>
      </c>
      <c r="AK30" s="977"/>
      <c r="AL30" s="977"/>
      <c r="AM30" s="983"/>
      <c r="AN30" s="983"/>
      <c r="AO30" s="977"/>
      <c r="AP30" s="977"/>
      <c r="AQ30" s="977"/>
      <c r="AR30" s="983"/>
      <c r="AS30" s="983"/>
      <c r="AT30" s="983"/>
      <c r="AU30" s="977">
        <v>0</v>
      </c>
      <c r="AV30" s="977">
        <v>0</v>
      </c>
      <c r="AW30" s="983"/>
      <c r="AX30" s="983"/>
      <c r="AY30" s="1001">
        <v>1</v>
      </c>
      <c r="AZ30" s="1001">
        <v>15</v>
      </c>
      <c r="BA30" s="983">
        <v>1</v>
      </c>
      <c r="BB30" s="983"/>
      <c r="BC30" s="1001">
        <v>1</v>
      </c>
      <c r="BD30" s="1001">
        <v>10</v>
      </c>
      <c r="BE30" s="983">
        <v>1</v>
      </c>
      <c r="BF30" s="983"/>
      <c r="BG30" s="972">
        <f>_xlfn.XLOOKUP('Pasport1 NetAcad zdroj4'!$A30,'[5]Pasport1 Akademie'!$B$2:$B$62,'[5]Pasport1 Akademie'!AY$2:AY$62,"zle")</f>
        <v>4</v>
      </c>
      <c r="BH30" s="972">
        <f>_xlfn.XLOOKUP('Pasport1 NetAcad zdroj4'!$A30,'[5]Pasport1 Akademie'!$B$2:$B$62,'[5]Pasport1 Akademie'!AZ$2:AZ$62,"zle")</f>
        <v>2</v>
      </c>
      <c r="BI30" s="972">
        <f>_xlfn.XLOOKUP('Pasport1 NetAcad zdroj4'!$A30,'[5]Pasport1 Akademie'!$B$2:$B$62,'[5]Pasport1 Akademie'!BA$2:BA$62,"zle")</f>
        <v>2</v>
      </c>
      <c r="BJ30" s="972">
        <f>_xlfn.XLOOKUP('Pasport1 NetAcad zdroj4'!$A30,'[5]Pasport1 Akademie'!$B$2:$B$62,'[5]Pasport1 Akademie'!BB$2:BB$62,"zle")</f>
        <v>4</v>
      </c>
      <c r="BK30" s="972">
        <f>_xlfn.XLOOKUP('Pasport1 NetAcad zdroj4'!$A30,'[5]Pasport1 Akademie'!$B$2:$B$62,'[5]Pasport1 Akademie'!AZ$2:AZ$62,"zle")</f>
        <v>2</v>
      </c>
      <c r="BL30" s="972">
        <f>_xlfn.XLOOKUP('Pasport1 NetAcad zdroj4'!$A30,'[5]Pasport1 Akademie'!$B$2:$B$62,'[5]Pasport1 Akademie'!BD$2:BD$62,"zle")</f>
        <v>3</v>
      </c>
      <c r="BM30" s="972">
        <f>_xlfn.XLOOKUP('Pasport1 NetAcad zdroj4'!$A30,'[5]Pasport1 Akademie'!$B$2:$B$62,'[5]Pasport1 Akademie'!BC$2:BC$62,"zle")</f>
        <v>2</v>
      </c>
      <c r="BN30" s="996" t="s">
        <v>4789</v>
      </c>
      <c r="BO30" s="1075" t="s">
        <v>4790</v>
      </c>
      <c r="BP30" s="1076" t="s">
        <v>4790</v>
      </c>
      <c r="BQ30" s="988"/>
      <c r="BR30" s="997"/>
      <c r="BS30" s="988" t="s">
        <v>4791</v>
      </c>
      <c r="BT30" s="998" t="s">
        <v>4792</v>
      </c>
      <c r="BU30" s="986">
        <v>33</v>
      </c>
      <c r="BW30" s="773" t="str">
        <f>_xlfn.XLOOKUP(A30,'[4]Sub-analyza3 - zadania kvality'!A:A,'[4]Sub-analyza3 - zadania kvality'!F:F,"Nenašlo sa")</f>
        <v>Súkromná stredná odborná škola ekonomicko-technická</v>
      </c>
    </row>
    <row r="31" spans="1:75" s="1049" customFormat="1" ht="15.75" customHeight="1" x14ac:dyDescent="0.2">
      <c r="A31" s="1050">
        <v>36087947</v>
      </c>
      <c r="B31" s="1050">
        <v>100002578</v>
      </c>
      <c r="C31" s="1050">
        <v>36087947</v>
      </c>
      <c r="D31" s="1051" t="s">
        <v>4282</v>
      </c>
      <c r="E31" s="1051" t="s">
        <v>4283</v>
      </c>
      <c r="F31" s="1051" t="s">
        <v>4793</v>
      </c>
      <c r="G31" s="1034" t="s">
        <v>4560</v>
      </c>
      <c r="H31" s="1034" t="s">
        <v>4571</v>
      </c>
      <c r="I31" s="1052" t="s">
        <v>4562</v>
      </c>
      <c r="J31" s="1052">
        <v>1</v>
      </c>
      <c r="K31" s="1013" t="s">
        <v>4562</v>
      </c>
      <c r="L31" s="1013" t="s">
        <v>4563</v>
      </c>
      <c r="M31" s="1013"/>
      <c r="N31" s="1053"/>
      <c r="O31" s="1052"/>
      <c r="P31" s="1052"/>
      <c r="Q31" s="1052"/>
      <c r="R31" s="1054">
        <v>208</v>
      </c>
      <c r="S31" s="1001">
        <v>68</v>
      </c>
      <c r="T31" s="1001">
        <v>225</v>
      </c>
      <c r="U31" s="1001">
        <v>150</v>
      </c>
      <c r="V31" s="1001">
        <v>150</v>
      </c>
      <c r="W31" s="1001">
        <v>20</v>
      </c>
      <c r="X31" s="1055">
        <f t="shared" si="2"/>
        <v>8.7102177554438859E-2</v>
      </c>
      <c r="Y31" s="1039">
        <f t="shared" si="1"/>
        <v>0.23622047244094488</v>
      </c>
      <c r="Z31" s="1040"/>
      <c r="AA31" s="1056" t="s">
        <v>4695</v>
      </c>
      <c r="AB31" s="1052" t="s">
        <v>3860</v>
      </c>
      <c r="AC31" s="1042"/>
      <c r="AD31" s="1043">
        <v>1</v>
      </c>
      <c r="AE31" s="1001">
        <v>4</v>
      </c>
      <c r="AF31" s="1012"/>
      <c r="AG31" s="1001">
        <v>1</v>
      </c>
      <c r="AH31" s="1001">
        <v>10</v>
      </c>
      <c r="AI31" s="1012">
        <v>1</v>
      </c>
      <c r="AJ31" s="1012">
        <v>10</v>
      </c>
      <c r="AK31" s="1001"/>
      <c r="AL31" s="1001"/>
      <c r="AM31" s="1012"/>
      <c r="AN31" s="1012"/>
      <c r="AO31" s="1001">
        <v>1</v>
      </c>
      <c r="AP31" s="1001">
        <v>1</v>
      </c>
      <c r="AQ31" s="1001">
        <v>3</v>
      </c>
      <c r="AR31" s="1012"/>
      <c r="AS31" s="1012">
        <v>1</v>
      </c>
      <c r="AT31" s="1012"/>
      <c r="AU31" s="1001">
        <v>1</v>
      </c>
      <c r="AV31" s="1001">
        <v>12</v>
      </c>
      <c r="AW31" s="1012">
        <v>1</v>
      </c>
      <c r="AX31" s="1012"/>
      <c r="AY31" s="1001">
        <v>1</v>
      </c>
      <c r="AZ31" s="1001">
        <v>12</v>
      </c>
      <c r="BA31" s="1012">
        <v>1</v>
      </c>
      <c r="BB31" s="1012"/>
      <c r="BC31" s="1001">
        <v>0</v>
      </c>
      <c r="BD31" s="1001">
        <v>0</v>
      </c>
      <c r="BE31" s="1012"/>
      <c r="BF31" s="1012"/>
      <c r="BG31" s="1034">
        <f>_xlfn.XLOOKUP('Pasport1 NetAcad zdroj4'!$A31,'[5]Pasport1 Akademie'!$B$2:$B$62,'[5]Pasport1 Akademie'!AY$2:AY$62,"zle")</f>
        <v>7</v>
      </c>
      <c r="BH31" s="1034">
        <f>_xlfn.XLOOKUP('Pasport1 NetAcad zdroj4'!$A31,'[5]Pasport1 Akademie'!$B$2:$B$62,'[5]Pasport1 Akademie'!AZ$2:AZ$62,"zle")</f>
        <v>6</v>
      </c>
      <c r="BI31" s="1034">
        <f>_xlfn.XLOOKUP('Pasport1 NetAcad zdroj4'!$A31,'[5]Pasport1 Akademie'!$B$2:$B$62,'[5]Pasport1 Akademie'!BA$2:BA$62,"zle")</f>
        <v>3</v>
      </c>
      <c r="BJ31" s="1034">
        <f>_xlfn.XLOOKUP('Pasport1 NetAcad zdroj4'!$A31,'[5]Pasport1 Akademie'!$B$2:$B$62,'[5]Pasport1 Akademie'!BB$2:BB$62,"zle")</f>
        <v>14</v>
      </c>
      <c r="BK31" s="1034">
        <f>_xlfn.XLOOKUP('Pasport1 NetAcad zdroj4'!$A31,'[5]Pasport1 Akademie'!$B$2:$B$62,'[5]Pasport1 Akademie'!AZ$2:AZ$62,"zle")</f>
        <v>6</v>
      </c>
      <c r="BL31" s="1034">
        <f>_xlfn.XLOOKUP('Pasport1 NetAcad zdroj4'!$A31,'[5]Pasport1 Akademie'!$B$2:$B$62,'[5]Pasport1 Akademie'!BD$2:BD$62,"zle")</f>
        <v>14</v>
      </c>
      <c r="BM31" s="1034">
        <f>_xlfn.XLOOKUP('Pasport1 NetAcad zdroj4'!$A31,'[5]Pasport1 Akademie'!$B$2:$B$62,'[5]Pasport1 Akademie'!BC$2:BC$62,"zle")</f>
        <v>6</v>
      </c>
      <c r="BN31" s="1044" t="s">
        <v>4794</v>
      </c>
      <c r="BO31" s="1073" t="s">
        <v>4795</v>
      </c>
      <c r="BP31" s="1073" t="s">
        <v>4796</v>
      </c>
      <c r="BQ31" s="1051"/>
      <c r="BR31" s="1073"/>
      <c r="BS31" s="1051" t="s">
        <v>4797</v>
      </c>
      <c r="BT31" s="1074" t="s">
        <v>4798</v>
      </c>
      <c r="BU31" s="1048">
        <v>34</v>
      </c>
      <c r="BW31" s="1049" t="str">
        <f>_xlfn.XLOOKUP(A31,'[4]Sub-analyza3 - zadania kvality'!A:A,'[4]Sub-analyza3 - zadania kvality'!F:F,"Nenašlo sa")</f>
        <v>A3</v>
      </c>
    </row>
    <row r="32" spans="1:75" ht="15.75" customHeight="1" x14ac:dyDescent="0.2">
      <c r="A32" s="916" t="s">
        <v>3859</v>
      </c>
      <c r="B32" s="987">
        <v>100003685</v>
      </c>
      <c r="C32" s="987">
        <v>161403</v>
      </c>
      <c r="D32" s="988" t="s">
        <v>4314</v>
      </c>
      <c r="E32" s="988" t="s">
        <v>4799</v>
      </c>
      <c r="F32" s="988" t="s">
        <v>4800</v>
      </c>
      <c r="G32" s="972" t="s">
        <v>4560</v>
      </c>
      <c r="H32" s="972" t="s">
        <v>4613</v>
      </c>
      <c r="I32" s="989" t="s">
        <v>4562</v>
      </c>
      <c r="J32" s="989">
        <v>1</v>
      </c>
      <c r="K32" s="918" t="s">
        <v>4562</v>
      </c>
      <c r="L32" s="918" t="s">
        <v>4563</v>
      </c>
      <c r="M32" s="918"/>
      <c r="N32" s="1002"/>
      <c r="O32" s="989" t="s">
        <v>4573</v>
      </c>
      <c r="P32" s="989"/>
      <c r="Q32" s="989"/>
      <c r="R32" s="1006">
        <v>343</v>
      </c>
      <c r="S32" s="977">
        <v>12</v>
      </c>
      <c r="T32" s="977">
        <v>350</v>
      </c>
      <c r="U32" s="977">
        <v>76</v>
      </c>
      <c r="V32" s="977">
        <v>60</v>
      </c>
      <c r="W32" s="977">
        <v>16</v>
      </c>
      <c r="X32" s="1007">
        <f t="shared" si="2"/>
        <v>0.14363484087102177</v>
      </c>
      <c r="Y32" s="978">
        <f t="shared" si="1"/>
        <v>0.11968503937007874</v>
      </c>
      <c r="Z32" s="993"/>
      <c r="AA32" s="979">
        <f>_xlfn.XLOOKUP(A32,'[4]Sub-analyza3 - zadania kvality'!$A:$A,'[4]Sub-analyza3 - zadania kvality'!$K:$K,"Nenašlo sa")</f>
        <v>1</v>
      </c>
      <c r="AB32" s="989" t="s">
        <v>3860</v>
      </c>
      <c r="AC32" s="1009"/>
      <c r="AD32" s="982">
        <v>1</v>
      </c>
      <c r="AE32" s="977">
        <v>4</v>
      </c>
      <c r="AF32" s="983"/>
      <c r="AG32" s="977">
        <v>2</v>
      </c>
      <c r="AH32" s="977">
        <v>20</v>
      </c>
      <c r="AI32" s="983">
        <v>2</v>
      </c>
      <c r="AJ32" s="983">
        <v>20</v>
      </c>
      <c r="AK32" s="977">
        <v>1</v>
      </c>
      <c r="AL32" s="977">
        <v>20</v>
      </c>
      <c r="AM32" s="983"/>
      <c r="AN32" s="983"/>
      <c r="AO32" s="977"/>
      <c r="AP32" s="977"/>
      <c r="AQ32" s="977"/>
      <c r="AR32" s="983"/>
      <c r="AS32" s="983"/>
      <c r="AT32" s="983"/>
      <c r="AU32" s="977">
        <v>1</v>
      </c>
      <c r="AV32" s="977">
        <v>10</v>
      </c>
      <c r="AW32" s="983"/>
      <c r="AX32" s="983"/>
      <c r="AY32" s="977">
        <v>0</v>
      </c>
      <c r="AZ32" s="977">
        <v>0</v>
      </c>
      <c r="BA32" s="983"/>
      <c r="BB32" s="983"/>
      <c r="BC32" s="977">
        <v>0</v>
      </c>
      <c r="BD32" s="977">
        <v>0</v>
      </c>
      <c r="BE32" s="983"/>
      <c r="BF32" s="983"/>
      <c r="BG32" s="972">
        <f>_xlfn.XLOOKUP('Pasport1 NetAcad zdroj4'!$A32,'[5]Pasport1 Akademie'!$B$2:$B$62,'[5]Pasport1 Akademie'!AY$2:AY$62,"zle")</f>
        <v>5</v>
      </c>
      <c r="BH32" s="972">
        <f>_xlfn.XLOOKUP('Pasport1 NetAcad zdroj4'!$A32,'[5]Pasport1 Akademie'!$B$2:$B$62,'[5]Pasport1 Akademie'!AZ$2:AZ$62,"zle")</f>
        <v>3</v>
      </c>
      <c r="BI32" s="972">
        <f>_xlfn.XLOOKUP('Pasport1 NetAcad zdroj4'!$A32,'[5]Pasport1 Akademie'!$B$2:$B$62,'[5]Pasport1 Akademie'!BA$2:BA$62,"zle")</f>
        <v>5</v>
      </c>
      <c r="BJ32" s="972">
        <f>_xlfn.XLOOKUP('Pasport1 NetAcad zdroj4'!$A32,'[5]Pasport1 Akademie'!$B$2:$B$62,'[5]Pasport1 Akademie'!BB$2:BB$62,"zle")</f>
        <v>5</v>
      </c>
      <c r="BK32" s="972">
        <f>_xlfn.XLOOKUP('Pasport1 NetAcad zdroj4'!$A32,'[5]Pasport1 Akademie'!$B$2:$B$62,'[5]Pasport1 Akademie'!AZ$2:AZ$62,"zle")</f>
        <v>3</v>
      </c>
      <c r="BL32" s="972">
        <f>_xlfn.XLOOKUP('Pasport1 NetAcad zdroj4'!$A32,'[5]Pasport1 Akademie'!$B$2:$B$62,'[5]Pasport1 Akademie'!BD$2:BD$62,"zle")</f>
        <v>4</v>
      </c>
      <c r="BM32" s="972">
        <f>_xlfn.XLOOKUP('Pasport1 NetAcad zdroj4'!$A32,'[5]Pasport1 Akademie'!$B$2:$B$62,'[5]Pasport1 Akademie'!BC$2:BC$62,"zle")</f>
        <v>3</v>
      </c>
      <c r="BN32" s="996" t="s">
        <v>4801</v>
      </c>
      <c r="BO32" s="997" t="s">
        <v>4802</v>
      </c>
      <c r="BP32" s="997" t="s">
        <v>4803</v>
      </c>
      <c r="BQ32" s="988"/>
      <c r="BR32" s="997"/>
      <c r="BS32" s="988"/>
      <c r="BT32" s="998"/>
      <c r="BU32" s="986">
        <v>36</v>
      </c>
      <c r="BW32" s="773" t="str">
        <f>_xlfn.XLOOKUP(A32,'[4]Sub-analyza3 - zadania kvality'!A:A,'[4]Sub-analyza3 - zadania kvality'!F:F,"Nenašlo sa")</f>
        <v>Stredná priemyselná škola</v>
      </c>
    </row>
    <row r="33" spans="1:75" x14ac:dyDescent="0.2">
      <c r="A33" s="987">
        <v>17055431</v>
      </c>
      <c r="B33" s="987">
        <v>100009350</v>
      </c>
      <c r="C33" s="987">
        <v>17055431</v>
      </c>
      <c r="D33" s="988" t="s">
        <v>4722</v>
      </c>
      <c r="E33" s="988" t="s">
        <v>4804</v>
      </c>
      <c r="F33" s="988" t="s">
        <v>4624</v>
      </c>
      <c r="G33" s="972" t="s">
        <v>4560</v>
      </c>
      <c r="H33" s="972" t="s">
        <v>4625</v>
      </c>
      <c r="I33" s="989" t="s">
        <v>4562</v>
      </c>
      <c r="J33" s="989">
        <v>1</v>
      </c>
      <c r="K33" s="918" t="s">
        <v>4562</v>
      </c>
      <c r="L33" s="1013" t="s">
        <v>4626</v>
      </c>
      <c r="M33" s="974" t="s">
        <v>4625</v>
      </c>
      <c r="N33" s="990">
        <v>5.7</v>
      </c>
      <c r="O33" s="991" t="s">
        <v>4573</v>
      </c>
      <c r="P33" s="991" t="s">
        <v>4605</v>
      </c>
      <c r="Q33" s="989"/>
      <c r="R33" s="1006">
        <v>569</v>
      </c>
      <c r="S33" s="977">
        <v>123</v>
      </c>
      <c r="T33" s="977">
        <v>565</v>
      </c>
      <c r="U33" s="977">
        <v>240</v>
      </c>
      <c r="V33" s="977">
        <v>96</v>
      </c>
      <c r="W33" s="977">
        <v>22</v>
      </c>
      <c r="X33" s="1014">
        <f t="shared" si="2"/>
        <v>0.23827470686767169</v>
      </c>
      <c r="Y33" s="978">
        <f t="shared" si="1"/>
        <v>0.37795275590551181</v>
      </c>
      <c r="Z33" s="994" t="s">
        <v>4628</v>
      </c>
      <c r="AA33" s="979">
        <f>_xlfn.XLOOKUP(A33,'[4]Sub-analyza3 - zadania kvality'!$A:$A,'[4]Sub-analyza3 - zadania kvality'!$K:$K,"Nenašlo sa")</f>
        <v>2.0125000000000002</v>
      </c>
      <c r="AB33" s="991" t="s">
        <v>3876</v>
      </c>
      <c r="AC33" s="1009" t="s">
        <v>4805</v>
      </c>
      <c r="AD33" s="982">
        <v>1</v>
      </c>
      <c r="AE33" s="977">
        <v>5</v>
      </c>
      <c r="AF33" s="983"/>
      <c r="AG33" s="977">
        <v>2</v>
      </c>
      <c r="AH33" s="977">
        <v>20</v>
      </c>
      <c r="AI33" s="983">
        <v>2</v>
      </c>
      <c r="AJ33" s="983">
        <v>40</v>
      </c>
      <c r="AK33" s="977">
        <v>1</v>
      </c>
      <c r="AL33" s="977">
        <v>10</v>
      </c>
      <c r="AM33" s="983"/>
      <c r="AN33" s="983"/>
      <c r="AO33" s="977"/>
      <c r="AP33" s="977"/>
      <c r="AQ33" s="977"/>
      <c r="AR33" s="983"/>
      <c r="AS33" s="983"/>
      <c r="AT33" s="983"/>
      <c r="AU33" s="977">
        <v>0</v>
      </c>
      <c r="AV33" s="977">
        <v>0</v>
      </c>
      <c r="AW33" s="983"/>
      <c r="AX33" s="983"/>
      <c r="AY33" s="977">
        <v>1</v>
      </c>
      <c r="AZ33" s="977">
        <v>10</v>
      </c>
      <c r="BA33" s="983"/>
      <c r="BB33" s="983"/>
      <c r="BC33" s="977">
        <v>1</v>
      </c>
      <c r="BD33" s="977">
        <v>10</v>
      </c>
      <c r="BE33" s="983"/>
      <c r="BF33" s="983"/>
      <c r="BG33" s="972">
        <f>_xlfn.XLOOKUP('Pasport1 NetAcad zdroj4'!$A33,'[5]Pasport1 Akademie'!$B$2:$B$62,'[5]Pasport1 Akademie'!AY$2:AY$62,"zle")</f>
        <v>10</v>
      </c>
      <c r="BH33" s="972">
        <f>_xlfn.XLOOKUP('Pasport1 NetAcad zdroj4'!$A33,'[5]Pasport1 Akademie'!$B$2:$B$62,'[5]Pasport1 Akademie'!AZ$2:AZ$62,"zle")</f>
        <v>6</v>
      </c>
      <c r="BI33" s="972">
        <f>_xlfn.XLOOKUP('Pasport1 NetAcad zdroj4'!$A33,'[5]Pasport1 Akademie'!$B$2:$B$62,'[5]Pasport1 Akademie'!BA$2:BA$62,"zle")</f>
        <v>4</v>
      </c>
      <c r="BJ33" s="972">
        <f>_xlfn.XLOOKUP('Pasport1 NetAcad zdroj4'!$A33,'[5]Pasport1 Akademie'!$B$2:$B$62,'[5]Pasport1 Akademie'!BB$2:BB$62,"zle")</f>
        <v>12</v>
      </c>
      <c r="BK33" s="972">
        <f>_xlfn.XLOOKUP('Pasport1 NetAcad zdroj4'!$A33,'[5]Pasport1 Akademie'!$B$2:$B$62,'[5]Pasport1 Akademie'!AZ$2:AZ$62,"zle")</f>
        <v>6</v>
      </c>
      <c r="BL33" s="972">
        <f>_xlfn.XLOOKUP('Pasport1 NetAcad zdroj4'!$A33,'[5]Pasport1 Akademie'!$B$2:$B$62,'[5]Pasport1 Akademie'!BD$2:BD$62,"zle")</f>
        <v>12</v>
      </c>
      <c r="BM33" s="972">
        <f>_xlfn.XLOOKUP('Pasport1 NetAcad zdroj4'!$A33,'[5]Pasport1 Akademie'!$B$2:$B$62,'[5]Pasport1 Akademie'!BC$2:BC$62,"zle")</f>
        <v>6</v>
      </c>
      <c r="BN33" s="996" t="s">
        <v>4806</v>
      </c>
      <c r="BO33" s="997" t="s">
        <v>4807</v>
      </c>
      <c r="BP33" s="997"/>
      <c r="BQ33" s="988" t="s">
        <v>4808</v>
      </c>
      <c r="BR33" s="997" t="s">
        <v>4809</v>
      </c>
      <c r="BS33" s="988" t="s">
        <v>4810</v>
      </c>
      <c r="BT33" s="998" t="s">
        <v>4811</v>
      </c>
      <c r="BU33" s="986">
        <v>38</v>
      </c>
      <c r="BW33" s="773" t="str">
        <f>_xlfn.XLOOKUP(A33,'[4]Sub-analyza3 - zadania kvality'!A:A,'[4]Sub-analyza3 - zadania kvality'!F:F,"Nenašlo sa")</f>
        <v>Stredná odborná škola informačných technológií</v>
      </c>
    </row>
    <row r="34" spans="1:75" s="1049" customFormat="1" ht="15.75" customHeight="1" x14ac:dyDescent="0.2">
      <c r="A34" s="1077">
        <v>42035261</v>
      </c>
      <c r="B34" s="1050">
        <v>100011494</v>
      </c>
      <c r="C34" s="1078">
        <v>42035261</v>
      </c>
      <c r="D34" s="1051" t="s">
        <v>4284</v>
      </c>
      <c r="E34" s="1051" t="s">
        <v>4285</v>
      </c>
      <c r="F34" s="1051" t="s">
        <v>4812</v>
      </c>
      <c r="G34" s="1034" t="s">
        <v>4560</v>
      </c>
      <c r="H34" s="1034" t="s">
        <v>4586</v>
      </c>
      <c r="I34" s="1052" t="s">
        <v>4562</v>
      </c>
      <c r="J34" s="1052">
        <v>1</v>
      </c>
      <c r="K34" s="1013" t="s">
        <v>4562</v>
      </c>
      <c r="L34" s="1013" t="s">
        <v>4563</v>
      </c>
      <c r="M34" s="1013"/>
      <c r="N34" s="1053"/>
      <c r="O34" s="1052"/>
      <c r="P34" s="1052"/>
      <c r="Q34" s="1052"/>
      <c r="R34" s="1054">
        <v>377</v>
      </c>
      <c r="S34" s="1001">
        <v>3</v>
      </c>
      <c r="T34" s="1001">
        <v>350</v>
      </c>
      <c r="U34" s="1001">
        <v>261</v>
      </c>
      <c r="V34" s="1001">
        <v>131</v>
      </c>
      <c r="W34" s="1001">
        <v>10</v>
      </c>
      <c r="X34" s="1055">
        <f t="shared" si="2"/>
        <v>0.15787269681742044</v>
      </c>
      <c r="Y34" s="1039">
        <f t="shared" si="1"/>
        <v>0.41102362204724407</v>
      </c>
      <c r="Z34" s="1040"/>
      <c r="AA34" s="1056" t="s">
        <v>4695</v>
      </c>
      <c r="AB34" s="1052" t="s">
        <v>3860</v>
      </c>
      <c r="AC34" s="1042" t="s">
        <v>4813</v>
      </c>
      <c r="AD34" s="1043">
        <v>1</v>
      </c>
      <c r="AE34" s="1001">
        <v>4</v>
      </c>
      <c r="AF34" s="1012"/>
      <c r="AG34" s="1001">
        <v>2</v>
      </c>
      <c r="AH34" s="1001">
        <v>15</v>
      </c>
      <c r="AI34" s="1012">
        <v>1</v>
      </c>
      <c r="AJ34" s="1012">
        <v>30</v>
      </c>
      <c r="AK34" s="1001"/>
      <c r="AL34" s="1001"/>
      <c r="AM34" s="1012"/>
      <c r="AN34" s="1012"/>
      <c r="AO34" s="1001"/>
      <c r="AP34" s="1001"/>
      <c r="AQ34" s="1001"/>
      <c r="AR34" s="1012"/>
      <c r="AS34" s="1012"/>
      <c r="AT34" s="1012"/>
      <c r="AU34" s="1001"/>
      <c r="AV34" s="1001"/>
      <c r="AW34" s="1012"/>
      <c r="AX34" s="1012"/>
      <c r="AY34" s="1001">
        <v>1</v>
      </c>
      <c r="AZ34" s="1001">
        <v>15</v>
      </c>
      <c r="BA34" s="1012"/>
      <c r="BB34" s="1012"/>
      <c r="BC34" s="1001">
        <v>1</v>
      </c>
      <c r="BD34" s="1001">
        <v>15</v>
      </c>
      <c r="BE34" s="1012"/>
      <c r="BF34" s="1012"/>
      <c r="BG34" s="1034">
        <f>_xlfn.XLOOKUP('Pasport1 NetAcad zdroj4'!$A34,'[5]Pasport1 Akademie'!$B$2:$B$62,'[5]Pasport1 Akademie'!AY$2:AY$62,"zle")</f>
        <v>8</v>
      </c>
      <c r="BH34" s="1034">
        <f>_xlfn.XLOOKUP('Pasport1 NetAcad zdroj4'!$A34,'[5]Pasport1 Akademie'!$B$2:$B$62,'[5]Pasport1 Akademie'!AZ$2:AZ$62,"zle")</f>
        <v>4</v>
      </c>
      <c r="BI34" s="1034">
        <f>_xlfn.XLOOKUP('Pasport1 NetAcad zdroj4'!$A34,'[5]Pasport1 Akademie'!$B$2:$B$62,'[5]Pasport1 Akademie'!BA$2:BA$62,"zle")</f>
        <v>4</v>
      </c>
      <c r="BJ34" s="1034">
        <f>_xlfn.XLOOKUP('Pasport1 NetAcad zdroj4'!$A34,'[5]Pasport1 Akademie'!$B$2:$B$62,'[5]Pasport1 Akademie'!BB$2:BB$62,"zle")</f>
        <v>14</v>
      </c>
      <c r="BK34" s="1034">
        <f>_xlfn.XLOOKUP('Pasport1 NetAcad zdroj4'!$A34,'[5]Pasport1 Akademie'!$B$2:$B$62,'[5]Pasport1 Akademie'!AZ$2:AZ$62,"zle")</f>
        <v>4</v>
      </c>
      <c r="BL34" s="1034">
        <f>_xlfn.XLOOKUP('Pasport1 NetAcad zdroj4'!$A34,'[5]Pasport1 Akademie'!$B$2:$B$62,'[5]Pasport1 Akademie'!BD$2:BD$62,"zle")</f>
        <v>7</v>
      </c>
      <c r="BM34" s="1034">
        <f>_xlfn.XLOOKUP('Pasport1 NetAcad zdroj4'!$A34,'[5]Pasport1 Akademie'!$B$2:$B$62,'[5]Pasport1 Akademie'!BC$2:BC$62,"zle")</f>
        <v>4</v>
      </c>
      <c r="BN34" s="1044" t="s">
        <v>4814</v>
      </c>
      <c r="BO34" s="1072" t="s">
        <v>4815</v>
      </c>
      <c r="BP34" s="1072" t="s">
        <v>4815</v>
      </c>
      <c r="BQ34" s="1079" t="s">
        <v>4816</v>
      </c>
      <c r="BR34" s="1080" t="s">
        <v>4817</v>
      </c>
      <c r="BS34" s="1051" t="s">
        <v>4818</v>
      </c>
      <c r="BT34" s="1081" t="s">
        <v>4819</v>
      </c>
      <c r="BU34" s="1048">
        <v>39</v>
      </c>
      <c r="BW34" s="1049" t="str">
        <f>_xlfn.XLOOKUP(A34,'[4]Sub-analyza3 - zadania kvality'!A:A,'[4]Sub-analyza3 - zadania kvality'!F:F,"Nenašlo sa")</f>
        <v>A3</v>
      </c>
    </row>
    <row r="35" spans="1:75" ht="15.75" customHeight="1" x14ac:dyDescent="0.2">
      <c r="A35" s="987" t="s">
        <v>4083</v>
      </c>
      <c r="B35" s="987">
        <v>100003312</v>
      </c>
      <c r="C35" s="987">
        <v>37922459</v>
      </c>
      <c r="D35" s="988" t="s">
        <v>4820</v>
      </c>
      <c r="E35" s="988" t="s">
        <v>4821</v>
      </c>
      <c r="F35" s="988" t="s">
        <v>4822</v>
      </c>
      <c r="G35" s="972" t="s">
        <v>4560</v>
      </c>
      <c r="H35" s="972" t="s">
        <v>4613</v>
      </c>
      <c r="I35" s="989" t="s">
        <v>4562</v>
      </c>
      <c r="J35" s="989">
        <v>1</v>
      </c>
      <c r="K35" s="918" t="s">
        <v>4562</v>
      </c>
      <c r="L35" s="918" t="s">
        <v>4563</v>
      </c>
      <c r="M35" s="918"/>
      <c r="N35" s="1002"/>
      <c r="O35" s="989"/>
      <c r="P35" s="989"/>
      <c r="Q35" s="989"/>
      <c r="R35" s="1006">
        <v>340</v>
      </c>
      <c r="S35" s="977">
        <v>22</v>
      </c>
      <c r="T35" s="977">
        <v>230</v>
      </c>
      <c r="U35" s="977">
        <v>100</v>
      </c>
      <c r="V35" s="977">
        <v>70</v>
      </c>
      <c r="W35" s="977">
        <v>14</v>
      </c>
      <c r="X35" s="1007">
        <f t="shared" si="2"/>
        <v>0.14237855946398659</v>
      </c>
      <c r="Y35" s="978">
        <f t="shared" si="1"/>
        <v>0.15748031496062992</v>
      </c>
      <c r="Z35" s="993"/>
      <c r="AA35" s="979">
        <f>_xlfn.XLOOKUP(A35,'[4]Sub-analyza3 - zadania kvality'!$A:$A,'[4]Sub-analyza3 - zadania kvality'!$K:$K,"Nenašlo sa")</f>
        <v>1</v>
      </c>
      <c r="AB35" s="989" t="s">
        <v>3860</v>
      </c>
      <c r="AC35" s="1009" t="s">
        <v>4823</v>
      </c>
      <c r="AD35" s="982">
        <v>1</v>
      </c>
      <c r="AE35" s="977">
        <v>4</v>
      </c>
      <c r="AF35" s="983"/>
      <c r="AG35" s="977">
        <v>1</v>
      </c>
      <c r="AH35" s="977">
        <v>16</v>
      </c>
      <c r="AI35" s="983">
        <v>1</v>
      </c>
      <c r="AJ35" s="983">
        <v>16</v>
      </c>
      <c r="AK35" s="977"/>
      <c r="AL35" s="977"/>
      <c r="AM35" s="983"/>
      <c r="AN35" s="983"/>
      <c r="AO35" s="977">
        <v>1</v>
      </c>
      <c r="AP35" s="977">
        <v>12</v>
      </c>
      <c r="AQ35" s="977">
        <v>0</v>
      </c>
      <c r="AR35" s="983"/>
      <c r="AS35" s="983"/>
      <c r="AT35" s="983"/>
      <c r="AU35" s="1001">
        <v>1</v>
      </c>
      <c r="AV35" s="1001">
        <v>12</v>
      </c>
      <c r="AW35" s="983">
        <v>1</v>
      </c>
      <c r="AX35" s="983"/>
      <c r="AY35" s="977">
        <v>0</v>
      </c>
      <c r="AZ35" s="977">
        <v>0</v>
      </c>
      <c r="BA35" s="983"/>
      <c r="BB35" s="983"/>
      <c r="BC35" s="1001">
        <v>1</v>
      </c>
      <c r="BD35" s="1001">
        <v>12</v>
      </c>
      <c r="BE35" s="983">
        <v>1</v>
      </c>
      <c r="BF35" s="983"/>
      <c r="BG35" s="972">
        <f>_xlfn.XLOOKUP('Pasport1 NetAcad zdroj4'!$A35,'[5]Pasport1 Akademie'!$B$2:$B$62,'[5]Pasport1 Akademie'!AY$2:AY$62,"zle")</f>
        <v>7</v>
      </c>
      <c r="BH35" s="972">
        <f>_xlfn.XLOOKUP('Pasport1 NetAcad zdroj4'!$A35,'[5]Pasport1 Akademie'!$B$2:$B$62,'[5]Pasport1 Akademie'!AZ$2:AZ$62,"zle")</f>
        <v>5</v>
      </c>
      <c r="BI35" s="972">
        <f>_xlfn.XLOOKUP('Pasport1 NetAcad zdroj4'!$A35,'[5]Pasport1 Akademie'!$B$2:$B$62,'[5]Pasport1 Akademie'!BA$2:BA$62,"zle")</f>
        <v>3</v>
      </c>
      <c r="BJ35" s="972">
        <f>_xlfn.XLOOKUP('Pasport1 NetAcad zdroj4'!$A35,'[5]Pasport1 Akademie'!$B$2:$B$62,'[5]Pasport1 Akademie'!BB$2:BB$62,"zle")</f>
        <v>12</v>
      </c>
      <c r="BK35" s="972">
        <f>_xlfn.XLOOKUP('Pasport1 NetAcad zdroj4'!$A35,'[5]Pasport1 Akademie'!$B$2:$B$62,'[5]Pasport1 Akademie'!AZ$2:AZ$62,"zle")</f>
        <v>5</v>
      </c>
      <c r="BL35" s="972">
        <f>_xlfn.XLOOKUP('Pasport1 NetAcad zdroj4'!$A35,'[5]Pasport1 Akademie'!$B$2:$B$62,'[5]Pasport1 Akademie'!BD$2:BD$62,"zle")</f>
        <v>20</v>
      </c>
      <c r="BM35" s="972">
        <f>_xlfn.XLOOKUP('Pasport1 NetAcad zdroj4'!$A35,'[5]Pasport1 Akademie'!$B$2:$B$62,'[5]Pasport1 Akademie'!BC$2:BC$62,"zle")</f>
        <v>5</v>
      </c>
      <c r="BN35" s="996" t="s">
        <v>4824</v>
      </c>
      <c r="BO35" s="1003" t="s">
        <v>4825</v>
      </c>
      <c r="BP35" s="1003" t="s">
        <v>4825</v>
      </c>
      <c r="BQ35" s="988"/>
      <c r="BR35" s="988"/>
      <c r="BS35" s="988" t="s">
        <v>4826</v>
      </c>
      <c r="BT35" s="1004" t="s">
        <v>4827</v>
      </c>
      <c r="BU35" s="986">
        <v>40</v>
      </c>
      <c r="BW35" s="773" t="str">
        <f>_xlfn.XLOOKUP(A35,'[4]Sub-analyza3 - zadania kvality'!A:A,'[4]Sub-analyza3 - zadania kvality'!F:F,"Nenašlo sa")</f>
        <v>Stredná odborná škola strojnícka</v>
      </c>
    </row>
    <row r="36" spans="1:75" ht="15.75" customHeight="1" x14ac:dyDescent="0.2">
      <c r="A36" s="987">
        <v>17050545</v>
      </c>
      <c r="B36" s="987">
        <v>100015875</v>
      </c>
      <c r="C36" s="987">
        <v>17050545</v>
      </c>
      <c r="D36" s="988" t="s">
        <v>4289</v>
      </c>
      <c r="E36" s="988" t="s">
        <v>4828</v>
      </c>
      <c r="F36" s="988" t="s">
        <v>4829</v>
      </c>
      <c r="G36" s="972" t="s">
        <v>4560</v>
      </c>
      <c r="H36" s="972" t="s">
        <v>4649</v>
      </c>
      <c r="I36" s="989" t="s">
        <v>4562</v>
      </c>
      <c r="J36" s="989">
        <v>1</v>
      </c>
      <c r="K36" s="918" t="s">
        <v>4562</v>
      </c>
      <c r="L36" s="974" t="s">
        <v>4563</v>
      </c>
      <c r="M36" s="918"/>
      <c r="N36" s="1002"/>
      <c r="O36" s="989"/>
      <c r="P36" s="989"/>
      <c r="Q36" s="989"/>
      <c r="R36" s="1006">
        <v>265</v>
      </c>
      <c r="S36" s="977">
        <v>8</v>
      </c>
      <c r="T36" s="977">
        <v>239</v>
      </c>
      <c r="U36" s="977">
        <v>77</v>
      </c>
      <c r="V36" s="977">
        <v>162</v>
      </c>
      <c r="W36" s="977">
        <v>10</v>
      </c>
      <c r="X36" s="1007">
        <f t="shared" si="2"/>
        <v>0.11097152428810721</v>
      </c>
      <c r="Y36" s="978">
        <f t="shared" si="1"/>
        <v>0.12125984251968504</v>
      </c>
      <c r="Z36" s="993"/>
      <c r="AA36" s="1000">
        <f>_xlfn.XLOOKUP(A36,'[4]Sub-analyza3 - zadania kvality'!$A:$A,'[4]Sub-analyza3 - zadania kvality'!$K:$K,"Nenašlo sa")</f>
        <v>2.4415584415584415</v>
      </c>
      <c r="AB36" s="989" t="s">
        <v>3924</v>
      </c>
      <c r="AC36" s="1009" t="s">
        <v>4830</v>
      </c>
      <c r="AD36" s="982">
        <v>1</v>
      </c>
      <c r="AE36" s="977">
        <v>3</v>
      </c>
      <c r="AF36" s="983"/>
      <c r="AG36" s="977"/>
      <c r="AH36" s="977"/>
      <c r="AI36" s="983"/>
      <c r="AJ36" s="983"/>
      <c r="AK36" s="977">
        <v>1</v>
      </c>
      <c r="AL36" s="977">
        <v>16</v>
      </c>
      <c r="AM36" s="983">
        <v>1</v>
      </c>
      <c r="AN36" s="983">
        <v>16</v>
      </c>
      <c r="AO36" s="977"/>
      <c r="AP36" s="977"/>
      <c r="AQ36" s="977"/>
      <c r="AR36" s="983"/>
      <c r="AS36" s="983"/>
      <c r="AT36" s="983"/>
      <c r="AU36" s="977">
        <v>0</v>
      </c>
      <c r="AV36" s="977">
        <v>0</v>
      </c>
      <c r="AW36" s="983"/>
      <c r="AX36" s="983"/>
      <c r="AY36" s="1001">
        <v>1</v>
      </c>
      <c r="AZ36" s="1001">
        <v>16</v>
      </c>
      <c r="BA36" s="983">
        <v>1</v>
      </c>
      <c r="BB36" s="983"/>
      <c r="BC36" s="1001">
        <v>1</v>
      </c>
      <c r="BD36" s="1001">
        <v>16</v>
      </c>
      <c r="BE36" s="983">
        <v>1</v>
      </c>
      <c r="BF36" s="983"/>
      <c r="BG36" s="972">
        <f>_xlfn.XLOOKUP('Pasport1 NetAcad zdroj4'!$A36,'[5]Pasport1 Akademie'!$B$2:$B$62,'[5]Pasport1 Akademie'!AY$2:AY$62,"zle")</f>
        <v>8</v>
      </c>
      <c r="BH36" s="972">
        <f>_xlfn.XLOOKUP('Pasport1 NetAcad zdroj4'!$A36,'[5]Pasport1 Akademie'!$B$2:$B$62,'[5]Pasport1 Akademie'!AZ$2:AZ$62,"zle")</f>
        <v>4</v>
      </c>
      <c r="BI36" s="972">
        <f>_xlfn.XLOOKUP('Pasport1 NetAcad zdroj4'!$A36,'[5]Pasport1 Akademie'!$B$2:$B$62,'[5]Pasport1 Akademie'!BA$2:BA$62,"zle")</f>
        <v>0</v>
      </c>
      <c r="BJ36" s="972">
        <f>_xlfn.XLOOKUP('Pasport1 NetAcad zdroj4'!$A36,'[5]Pasport1 Akademie'!$B$2:$B$62,'[5]Pasport1 Akademie'!BB$2:BB$62,"zle")</f>
        <v>5</v>
      </c>
      <c r="BK36" s="972">
        <f>_xlfn.XLOOKUP('Pasport1 NetAcad zdroj4'!$A36,'[5]Pasport1 Akademie'!$B$2:$B$62,'[5]Pasport1 Akademie'!AZ$2:AZ$62,"zle")</f>
        <v>4</v>
      </c>
      <c r="BL36" s="972">
        <f>_xlfn.XLOOKUP('Pasport1 NetAcad zdroj4'!$A36,'[5]Pasport1 Akademie'!$B$2:$B$62,'[5]Pasport1 Akademie'!BD$2:BD$62,"zle")</f>
        <v>8</v>
      </c>
      <c r="BM36" s="972">
        <f>_xlfn.XLOOKUP('Pasport1 NetAcad zdroj4'!$A36,'[5]Pasport1 Akademie'!$B$2:$B$62,'[5]Pasport1 Akademie'!BC$2:BC$62,"zle")</f>
        <v>5</v>
      </c>
      <c r="BN36" s="996" t="s">
        <v>4831</v>
      </c>
      <c r="BO36" s="1082" t="s">
        <v>4832</v>
      </c>
      <c r="BP36" s="1082" t="s">
        <v>4833</v>
      </c>
      <c r="BQ36" s="1015"/>
      <c r="BR36" s="1082"/>
      <c r="BS36" s="1015" t="s">
        <v>4834</v>
      </c>
      <c r="BT36" s="1016" t="s">
        <v>4835</v>
      </c>
      <c r="BU36" s="1065">
        <v>41</v>
      </c>
      <c r="BW36" s="773" t="str">
        <f>_xlfn.XLOOKUP(A36,'[4]Sub-analyza3 - zadania kvality'!A:A,'[4]Sub-analyza3 - zadania kvality'!F:F,"Nenašlo sa")</f>
        <v>Stredná odborná škola technická</v>
      </c>
    </row>
    <row r="37" spans="1:75" ht="15.75" customHeight="1" x14ac:dyDescent="0.2">
      <c r="A37" s="987">
        <v>17151589</v>
      </c>
      <c r="B37" s="987">
        <v>100016216</v>
      </c>
      <c r="C37" s="987">
        <v>17151589</v>
      </c>
      <c r="D37" s="988" t="s">
        <v>4836</v>
      </c>
      <c r="E37" s="988" t="s">
        <v>4837</v>
      </c>
      <c r="F37" s="988" t="s">
        <v>4648</v>
      </c>
      <c r="G37" s="972" t="s">
        <v>4560</v>
      </c>
      <c r="H37" s="972" t="s">
        <v>4649</v>
      </c>
      <c r="I37" s="989" t="s">
        <v>4562</v>
      </c>
      <c r="J37" s="989">
        <v>1</v>
      </c>
      <c r="K37" s="918" t="s">
        <v>4593</v>
      </c>
      <c r="L37" s="1013" t="s">
        <v>4626</v>
      </c>
      <c r="M37" s="918"/>
      <c r="N37" s="990">
        <v>6.3</v>
      </c>
      <c r="O37" s="989"/>
      <c r="P37" s="989"/>
      <c r="Q37" s="989" t="s">
        <v>4694</v>
      </c>
      <c r="R37" s="1006">
        <v>341</v>
      </c>
      <c r="S37" s="977">
        <v>237</v>
      </c>
      <c r="T37" s="977">
        <v>260</v>
      </c>
      <c r="U37" s="977">
        <v>0</v>
      </c>
      <c r="V37" s="977">
        <v>150</v>
      </c>
      <c r="W37" s="977">
        <v>14</v>
      </c>
      <c r="X37" s="1007">
        <f t="shared" si="2"/>
        <v>0.14279731993299832</v>
      </c>
      <c r="Y37" s="978">
        <f t="shared" si="1"/>
        <v>0</v>
      </c>
      <c r="Z37" s="994" t="s">
        <v>4639</v>
      </c>
      <c r="AA37" s="979">
        <f>_xlfn.XLOOKUP(A37,'[4]Sub-analyza3 - zadania kvality'!$A:$A,'[4]Sub-analyza3 - zadania kvality'!$K:$K,"Nenašlo sa")</f>
        <v>1</v>
      </c>
      <c r="AB37" s="989" t="s">
        <v>3867</v>
      </c>
      <c r="AC37" s="1009" t="s">
        <v>4838</v>
      </c>
      <c r="AD37" s="982">
        <v>1</v>
      </c>
      <c r="AE37" s="977">
        <v>4</v>
      </c>
      <c r="AF37" s="983"/>
      <c r="AG37" s="1028"/>
      <c r="AH37" s="1028"/>
      <c r="AI37" s="983"/>
      <c r="AJ37" s="983"/>
      <c r="AK37" s="977">
        <v>1</v>
      </c>
      <c r="AL37" s="977">
        <v>5</v>
      </c>
      <c r="AM37" s="983"/>
      <c r="AN37" s="983"/>
      <c r="AO37" s="977"/>
      <c r="AP37" s="977"/>
      <c r="AQ37" s="977"/>
      <c r="AR37" s="983"/>
      <c r="AS37" s="983"/>
      <c r="AT37" s="983"/>
      <c r="AU37" s="977">
        <v>1</v>
      </c>
      <c r="AV37" s="977">
        <v>2</v>
      </c>
      <c r="AW37" s="983"/>
      <c r="AX37" s="983"/>
      <c r="AY37" s="977">
        <v>1</v>
      </c>
      <c r="AZ37" s="977">
        <v>7</v>
      </c>
      <c r="BA37" s="983"/>
      <c r="BB37" s="983"/>
      <c r="BC37" s="977">
        <v>1</v>
      </c>
      <c r="BD37" s="977">
        <v>7</v>
      </c>
      <c r="BE37" s="983"/>
      <c r="BF37" s="983"/>
      <c r="BG37" s="972">
        <f>_xlfn.XLOOKUP('Pasport1 NetAcad zdroj4'!$A37,'[5]Pasport1 Akademie'!$B$2:$B$62,'[5]Pasport1 Akademie'!AY$2:AY$62,"zle")</f>
        <v>4</v>
      </c>
      <c r="BH37" s="972">
        <f>_xlfn.XLOOKUP('Pasport1 NetAcad zdroj4'!$A37,'[5]Pasport1 Akademie'!$B$2:$B$62,'[5]Pasport1 Akademie'!AZ$2:AZ$62,"zle")</f>
        <v>4</v>
      </c>
      <c r="BI37" s="972">
        <f>_xlfn.XLOOKUP('Pasport1 NetAcad zdroj4'!$A37,'[5]Pasport1 Akademie'!$B$2:$B$62,'[5]Pasport1 Akademie'!BA$2:BA$62,"zle")</f>
        <v>2</v>
      </c>
      <c r="BJ37" s="972">
        <f>_xlfn.XLOOKUP('Pasport1 NetAcad zdroj4'!$A37,'[5]Pasport1 Akademie'!$B$2:$B$62,'[5]Pasport1 Akademie'!BB$2:BB$62,"zle")</f>
        <v>2</v>
      </c>
      <c r="BK37" s="972">
        <f>_xlfn.XLOOKUP('Pasport1 NetAcad zdroj4'!$A37,'[5]Pasport1 Akademie'!$B$2:$B$62,'[5]Pasport1 Akademie'!AZ$2:AZ$62,"zle")</f>
        <v>4</v>
      </c>
      <c r="BL37" s="972">
        <f>_xlfn.XLOOKUP('Pasport1 NetAcad zdroj4'!$A37,'[5]Pasport1 Akademie'!$B$2:$B$62,'[5]Pasport1 Akademie'!BD$2:BD$62,"zle")</f>
        <v>1</v>
      </c>
      <c r="BM37" s="972">
        <f>_xlfn.XLOOKUP('Pasport1 NetAcad zdroj4'!$A37,'[5]Pasport1 Akademie'!$B$2:$B$62,'[5]Pasport1 Akademie'!BC$2:BC$62,"zle")</f>
        <v>4</v>
      </c>
      <c r="BN37" s="996" t="s">
        <v>4839</v>
      </c>
      <c r="BO37" s="1069" t="s">
        <v>4840</v>
      </c>
      <c r="BP37" s="997" t="s">
        <v>4840</v>
      </c>
      <c r="BQ37" s="988"/>
      <c r="BR37" s="997"/>
      <c r="BS37" s="988"/>
      <c r="BT37" s="998"/>
      <c r="BU37" s="986">
        <v>42</v>
      </c>
      <c r="BW37" s="773" t="str">
        <f>_xlfn.XLOOKUP(A37,'[4]Sub-analyza3 - zadania kvality'!A:A,'[4]Sub-analyza3 - zadania kvality'!F:F,"Nenašlo sa")</f>
        <v xml:space="preserve">Gymnázium </v>
      </c>
    </row>
    <row r="38" spans="1:75" ht="15.75" customHeight="1" x14ac:dyDescent="0.2">
      <c r="A38" s="916" t="s">
        <v>4167</v>
      </c>
      <c r="B38" s="987">
        <v>100014886</v>
      </c>
      <c r="C38" s="987">
        <v>398900</v>
      </c>
      <c r="D38" s="988" t="s">
        <v>4841</v>
      </c>
      <c r="E38" s="988" t="s">
        <v>4842</v>
      </c>
      <c r="F38" s="988" t="s">
        <v>4724</v>
      </c>
      <c r="G38" s="972" t="s">
        <v>4560</v>
      </c>
      <c r="H38" s="972" t="s">
        <v>4649</v>
      </c>
      <c r="I38" s="989" t="s">
        <v>4562</v>
      </c>
      <c r="J38" s="989">
        <v>1</v>
      </c>
      <c r="K38" s="918" t="s">
        <v>4593</v>
      </c>
      <c r="L38" s="918" t="s">
        <v>4650</v>
      </c>
      <c r="M38" s="918"/>
      <c r="N38" s="1002"/>
      <c r="O38" s="989"/>
      <c r="P38" s="989"/>
      <c r="Q38" s="989"/>
      <c r="R38" s="1006">
        <v>568</v>
      </c>
      <c r="S38" s="977">
        <v>329</v>
      </c>
      <c r="T38" s="977">
        <v>570</v>
      </c>
      <c r="U38" s="977">
        <v>0</v>
      </c>
      <c r="V38" s="977">
        <v>15</v>
      </c>
      <c r="W38" s="977">
        <v>15</v>
      </c>
      <c r="X38" s="1014">
        <f t="shared" si="2"/>
        <v>0.23785594639865998</v>
      </c>
      <c r="Y38" s="978">
        <f t="shared" si="1"/>
        <v>0</v>
      </c>
      <c r="Z38" s="993"/>
      <c r="AA38" s="979">
        <f>_xlfn.XLOOKUP(A38,'[4]Sub-analyza3 - zadania kvality'!$A:$A,'[4]Sub-analyza3 - zadania kvality'!$K:$K,"Nenašlo sa")</f>
        <v>1</v>
      </c>
      <c r="AB38" s="989" t="s">
        <v>3867</v>
      </c>
      <c r="AC38" s="1009"/>
      <c r="AD38" s="982">
        <v>1</v>
      </c>
      <c r="AE38" s="977">
        <v>1</v>
      </c>
      <c r="AF38" s="983"/>
      <c r="AG38" s="1022">
        <v>1</v>
      </c>
      <c r="AH38" s="1022">
        <v>16</v>
      </c>
      <c r="AI38" s="983"/>
      <c r="AJ38" s="983"/>
      <c r="AK38" s="977"/>
      <c r="AL38" s="977"/>
      <c r="AM38" s="983"/>
      <c r="AN38" s="983"/>
      <c r="AO38" s="977"/>
      <c r="AP38" s="977"/>
      <c r="AQ38" s="977"/>
      <c r="AR38" s="983"/>
      <c r="AS38" s="983"/>
      <c r="AT38" s="983"/>
      <c r="AU38" s="977">
        <v>0</v>
      </c>
      <c r="AV38" s="977">
        <v>0</v>
      </c>
      <c r="AW38" s="983"/>
      <c r="AX38" s="983"/>
      <c r="AY38" s="977">
        <v>0</v>
      </c>
      <c r="AZ38" s="977">
        <v>0</v>
      </c>
      <c r="BA38" s="983"/>
      <c r="BB38" s="983"/>
      <c r="BC38" s="977">
        <v>0</v>
      </c>
      <c r="BD38" s="977">
        <v>0</v>
      </c>
      <c r="BE38" s="983"/>
      <c r="BF38" s="983"/>
      <c r="BG38" s="972">
        <f>_xlfn.XLOOKUP('Pasport1 NetAcad zdroj4'!$A38,'[5]Pasport1 Akademie'!$B$2:$B$62,'[5]Pasport1 Akademie'!AY$2:AY$62,"zle")</f>
        <v>6</v>
      </c>
      <c r="BH38" s="972">
        <f>_xlfn.XLOOKUP('Pasport1 NetAcad zdroj4'!$A38,'[5]Pasport1 Akademie'!$B$2:$B$62,'[5]Pasport1 Akademie'!AZ$2:AZ$62,"zle")</f>
        <v>2</v>
      </c>
      <c r="BI38" s="972">
        <f>_xlfn.XLOOKUP('Pasport1 NetAcad zdroj4'!$A38,'[5]Pasport1 Akademie'!$B$2:$B$62,'[5]Pasport1 Akademie'!BA$2:BA$62,"zle")</f>
        <v>0</v>
      </c>
      <c r="BJ38" s="972">
        <f>_xlfn.XLOOKUP('Pasport1 NetAcad zdroj4'!$A38,'[5]Pasport1 Akademie'!$B$2:$B$62,'[5]Pasport1 Akademie'!BB$2:BB$62,"zle")</f>
        <v>4</v>
      </c>
      <c r="BK38" s="972">
        <f>_xlfn.XLOOKUP('Pasport1 NetAcad zdroj4'!$A38,'[5]Pasport1 Akademie'!$B$2:$B$62,'[5]Pasport1 Akademie'!AZ$2:AZ$62,"zle")</f>
        <v>2</v>
      </c>
      <c r="BL38" s="972">
        <f>_xlfn.XLOOKUP('Pasport1 NetAcad zdroj4'!$A38,'[5]Pasport1 Akademie'!$B$2:$B$62,'[5]Pasport1 Akademie'!BD$2:BD$62,"zle")</f>
        <v>0</v>
      </c>
      <c r="BM38" s="972"/>
      <c r="BN38" s="996" t="s">
        <v>4843</v>
      </c>
      <c r="BO38" s="997" t="s">
        <v>4844</v>
      </c>
      <c r="BP38" s="997"/>
      <c r="BQ38" s="988"/>
      <c r="BR38" s="997"/>
      <c r="BS38" s="988"/>
      <c r="BT38" s="998"/>
      <c r="BU38" s="986">
        <v>43</v>
      </c>
      <c r="BW38" s="773" t="str">
        <f>_xlfn.XLOOKUP(A38,'[4]Sub-analyza3 - zadania kvality'!A:A,'[4]Sub-analyza3 - zadania kvality'!F:F,"Nenašlo sa")</f>
        <v>Gymnázium Trebišovská</v>
      </c>
    </row>
    <row r="39" spans="1:75" ht="15.75" customHeight="1" x14ac:dyDescent="0.2">
      <c r="A39" s="987" t="s">
        <v>3965</v>
      </c>
      <c r="B39" s="987">
        <v>100008739</v>
      </c>
      <c r="C39" s="1066">
        <v>17050448</v>
      </c>
      <c r="D39" s="988" t="s">
        <v>4845</v>
      </c>
      <c r="E39" s="988" t="s">
        <v>4846</v>
      </c>
      <c r="F39" s="988" t="s">
        <v>4847</v>
      </c>
      <c r="G39" s="972" t="s">
        <v>4560</v>
      </c>
      <c r="H39" s="972" t="s">
        <v>4561</v>
      </c>
      <c r="I39" s="989" t="s">
        <v>4562</v>
      </c>
      <c r="J39" s="989">
        <v>1</v>
      </c>
      <c r="K39" s="918" t="s">
        <v>4593</v>
      </c>
      <c r="L39" s="918" t="s">
        <v>4650</v>
      </c>
      <c r="M39" s="918"/>
      <c r="N39" s="1002"/>
      <c r="O39" s="989" t="s">
        <v>4573</v>
      </c>
      <c r="P39" s="989"/>
      <c r="Q39" s="989"/>
      <c r="R39" s="1006">
        <v>470</v>
      </c>
      <c r="S39" s="977">
        <v>7</v>
      </c>
      <c r="T39" s="977">
        <v>60</v>
      </c>
      <c r="U39" s="977">
        <v>30</v>
      </c>
      <c r="V39" s="977">
        <v>20</v>
      </c>
      <c r="W39" s="977">
        <v>10</v>
      </c>
      <c r="X39" s="1007">
        <f t="shared" si="2"/>
        <v>0.1968174204355109</v>
      </c>
      <c r="Y39" s="978">
        <f t="shared" si="1"/>
        <v>4.7244094488188976E-2</v>
      </c>
      <c r="Z39" s="1083"/>
      <c r="AA39" s="979">
        <f>_xlfn.XLOOKUP(A39,'[4]Sub-analyza3 - zadania kvality'!$A:$A,'[4]Sub-analyza3 - zadania kvality'!$K:$K,"Nenašlo sa")</f>
        <v>1</v>
      </c>
      <c r="AB39" s="989" t="s">
        <v>3966</v>
      </c>
      <c r="AC39" s="1027"/>
      <c r="AD39" s="982">
        <v>1</v>
      </c>
      <c r="AE39" s="977">
        <v>5</v>
      </c>
      <c r="AF39" s="983"/>
      <c r="AG39" s="977">
        <v>1</v>
      </c>
      <c r="AH39" s="977">
        <v>11</v>
      </c>
      <c r="AI39" s="983">
        <v>1</v>
      </c>
      <c r="AJ39" s="983">
        <v>11</v>
      </c>
      <c r="AK39" s="977">
        <v>1</v>
      </c>
      <c r="AL39" s="977">
        <v>11</v>
      </c>
      <c r="AM39" s="983"/>
      <c r="AN39" s="983"/>
      <c r="AO39" s="977"/>
      <c r="AP39" s="977"/>
      <c r="AQ39" s="977"/>
      <c r="AR39" s="983"/>
      <c r="AS39" s="983"/>
      <c r="AT39" s="983"/>
      <c r="AU39" s="1001">
        <v>1</v>
      </c>
      <c r="AV39" s="1001">
        <v>11</v>
      </c>
      <c r="AW39" s="983">
        <v>1</v>
      </c>
      <c r="AX39" s="983"/>
      <c r="AY39" s="1001">
        <v>1</v>
      </c>
      <c r="AZ39" s="1001">
        <v>11</v>
      </c>
      <c r="BA39" s="983">
        <v>1</v>
      </c>
      <c r="BB39" s="983"/>
      <c r="BC39" s="1001">
        <v>1</v>
      </c>
      <c r="BD39" s="1001">
        <v>11</v>
      </c>
      <c r="BE39" s="983">
        <v>1</v>
      </c>
      <c r="BF39" s="983"/>
      <c r="BG39" s="972">
        <f>_xlfn.XLOOKUP('Pasport1 NetAcad zdroj4'!$A39,'[5]Pasport1 Akademie'!$B$2:$B$62,'[5]Pasport1 Akademie'!AY$2:AY$62,"zle")</f>
        <v>6</v>
      </c>
      <c r="BH39" s="972">
        <f>_xlfn.XLOOKUP('Pasport1 NetAcad zdroj4'!$A39,'[5]Pasport1 Akademie'!$B$2:$B$62,'[5]Pasport1 Akademie'!AZ$2:AZ$62,"zle")</f>
        <v>6</v>
      </c>
      <c r="BI39" s="972">
        <f>_xlfn.XLOOKUP('Pasport1 NetAcad zdroj4'!$A39,'[5]Pasport1 Akademie'!$B$2:$B$62,'[5]Pasport1 Akademie'!BA$2:BA$62,"zle")</f>
        <v>6</v>
      </c>
      <c r="BJ39" s="972">
        <f>_xlfn.XLOOKUP('Pasport1 NetAcad zdroj4'!$A39,'[5]Pasport1 Akademie'!$B$2:$B$62,'[5]Pasport1 Akademie'!BB$2:BB$62,"zle")</f>
        <v>6</v>
      </c>
      <c r="BK39" s="972">
        <f>_xlfn.XLOOKUP('Pasport1 NetAcad zdroj4'!$A39,'[5]Pasport1 Akademie'!$B$2:$B$62,'[5]Pasport1 Akademie'!AZ$2:AZ$62,"zle")</f>
        <v>6</v>
      </c>
      <c r="BL39" s="972">
        <f>_xlfn.XLOOKUP('Pasport1 NetAcad zdroj4'!$A39,'[5]Pasport1 Akademie'!$B$2:$B$62,'[5]Pasport1 Akademie'!BD$2:BD$62,"zle")</f>
        <v>6</v>
      </c>
      <c r="BM39" s="972">
        <f>_xlfn.XLOOKUP('Pasport1 NetAcad zdroj4'!$A39,'[5]Pasport1 Akademie'!$B$2:$B$62,'[5]Pasport1 Akademie'!BC$2:BC$62,"zle")</f>
        <v>6</v>
      </c>
      <c r="BN39" s="1084" t="s">
        <v>4848</v>
      </c>
      <c r="BO39" s="1085" t="s">
        <v>4849</v>
      </c>
      <c r="BP39" s="1085" t="s">
        <v>4850</v>
      </c>
      <c r="BQ39" s="988"/>
      <c r="BR39" s="1085"/>
      <c r="BS39" s="988" t="s">
        <v>4851</v>
      </c>
      <c r="BT39" s="1086" t="s">
        <v>4852</v>
      </c>
      <c r="BU39" s="986">
        <v>44</v>
      </c>
      <c r="BW39" s="773" t="str">
        <f>_xlfn.XLOOKUP(A39,'[4]Sub-analyza3 - zadania kvality'!A:A,'[4]Sub-analyza3 - zadania kvality'!F:F,"Nenašlo sa")</f>
        <v>Stredná odborná škola technická ako org.zl.Spojenej školy</v>
      </c>
    </row>
    <row r="40" spans="1:75" ht="15.75" customHeight="1" x14ac:dyDescent="0.2">
      <c r="A40" s="916" t="s">
        <v>4164</v>
      </c>
      <c r="B40" s="987">
        <v>100010774</v>
      </c>
      <c r="C40" s="987">
        <v>160709</v>
      </c>
      <c r="D40" s="988" t="s">
        <v>4853</v>
      </c>
      <c r="E40" s="988" t="s">
        <v>4854</v>
      </c>
      <c r="F40" s="988" t="s">
        <v>4855</v>
      </c>
      <c r="G40" s="972" t="s">
        <v>4560</v>
      </c>
      <c r="H40" s="972" t="s">
        <v>4625</v>
      </c>
      <c r="I40" s="989" t="s">
        <v>4562</v>
      </c>
      <c r="J40" s="989">
        <v>1</v>
      </c>
      <c r="K40" s="918" t="s">
        <v>4593</v>
      </c>
      <c r="L40" s="974" t="s">
        <v>4563</v>
      </c>
      <c r="M40" s="918"/>
      <c r="N40" s="1002"/>
      <c r="O40" s="989"/>
      <c r="P40" s="989"/>
      <c r="Q40" s="989" t="s">
        <v>4694</v>
      </c>
      <c r="R40" s="1006">
        <v>227</v>
      </c>
      <c r="S40" s="977">
        <v>146</v>
      </c>
      <c r="T40" s="977">
        <v>159</v>
      </c>
      <c r="U40" s="977">
        <v>60</v>
      </c>
      <c r="V40" s="977">
        <v>60</v>
      </c>
      <c r="W40" s="977">
        <v>20</v>
      </c>
      <c r="X40" s="1007">
        <f t="shared" si="2"/>
        <v>9.5058626465661641E-2</v>
      </c>
      <c r="Y40" s="978">
        <f t="shared" si="1"/>
        <v>9.4488188976377951E-2</v>
      </c>
      <c r="Z40" s="993"/>
      <c r="AA40" s="979">
        <f>_xlfn.XLOOKUP(A40,'[4]Sub-analyza3 - zadania kvality'!$A:$A,'[4]Sub-analyza3 - zadania kvality'!$K:$K,"Nenašlo sa")</f>
        <v>1</v>
      </c>
      <c r="AB40" s="989" t="s">
        <v>3867</v>
      </c>
      <c r="AC40" s="1009"/>
      <c r="AD40" s="982">
        <v>1</v>
      </c>
      <c r="AE40" s="977">
        <v>1</v>
      </c>
      <c r="AF40" s="983"/>
      <c r="AG40" s="1022">
        <v>1</v>
      </c>
      <c r="AH40" s="1022">
        <v>16</v>
      </c>
      <c r="AI40" s="983"/>
      <c r="AJ40" s="983"/>
      <c r="AK40" s="977"/>
      <c r="AL40" s="977"/>
      <c r="AM40" s="983"/>
      <c r="AN40" s="983"/>
      <c r="AO40" s="977"/>
      <c r="AP40" s="977"/>
      <c r="AQ40" s="977"/>
      <c r="AR40" s="983"/>
      <c r="AS40" s="983"/>
      <c r="AT40" s="983"/>
      <c r="AU40" s="977">
        <v>0</v>
      </c>
      <c r="AV40" s="977">
        <v>0</v>
      </c>
      <c r="AW40" s="983"/>
      <c r="AX40" s="983"/>
      <c r="AY40" s="977">
        <v>0</v>
      </c>
      <c r="AZ40" s="977">
        <v>0</v>
      </c>
      <c r="BA40" s="983"/>
      <c r="BB40" s="983"/>
      <c r="BC40" s="977">
        <v>0</v>
      </c>
      <c r="BD40" s="977">
        <v>0</v>
      </c>
      <c r="BE40" s="983"/>
      <c r="BF40" s="983"/>
      <c r="BG40" s="972">
        <f>_xlfn.XLOOKUP('Pasport1 NetAcad zdroj4'!$A40,'[5]Pasport1 Akademie'!$B$2:$B$62,'[5]Pasport1 Akademie'!AY$2:AY$62,"zle")</f>
        <v>5</v>
      </c>
      <c r="BH40" s="972">
        <f>_xlfn.XLOOKUP('Pasport1 NetAcad zdroj4'!$A40,'[5]Pasport1 Akademie'!$B$2:$B$62,'[5]Pasport1 Akademie'!AZ$2:AZ$62,"zle")</f>
        <v>4</v>
      </c>
      <c r="BI40" s="972">
        <f>_xlfn.XLOOKUP('Pasport1 NetAcad zdroj4'!$A40,'[5]Pasport1 Akademie'!$B$2:$B$62,'[5]Pasport1 Akademie'!BA$2:BA$62,"zle")</f>
        <v>1</v>
      </c>
      <c r="BJ40" s="972">
        <f>_xlfn.XLOOKUP('Pasport1 NetAcad zdroj4'!$A40,'[5]Pasport1 Akademie'!$B$2:$B$62,'[5]Pasport1 Akademie'!BB$2:BB$62,"zle")</f>
        <v>2</v>
      </c>
      <c r="BK40" s="972">
        <f>_xlfn.XLOOKUP('Pasport1 NetAcad zdroj4'!$A40,'[5]Pasport1 Akademie'!$B$2:$B$62,'[5]Pasport1 Akademie'!AZ$2:AZ$62,"zle")</f>
        <v>4</v>
      </c>
      <c r="BL40" s="972">
        <f>_xlfn.XLOOKUP('Pasport1 NetAcad zdroj4'!$A40,'[5]Pasport1 Akademie'!$B$2:$B$62,'[5]Pasport1 Akademie'!BD$2:BD$62,"zle")</f>
        <v>2</v>
      </c>
      <c r="BM40" s="972">
        <f>_xlfn.XLOOKUP('Pasport1 NetAcad zdroj4'!$A40,'[5]Pasport1 Akademie'!$B$2:$B$62,'[5]Pasport1 Akademie'!BC$2:BC$62,"zle")</f>
        <v>1</v>
      </c>
      <c r="BN40" s="996"/>
      <c r="BO40" s="1029"/>
      <c r="BP40" s="997" t="s">
        <v>4856</v>
      </c>
      <c r="BQ40" s="988"/>
      <c r="BR40" s="997"/>
      <c r="BS40" s="988" t="s">
        <v>4857</v>
      </c>
      <c r="BT40" s="998" t="s">
        <v>4858</v>
      </c>
      <c r="BU40" s="986">
        <v>45</v>
      </c>
      <c r="BW40" s="773" t="str">
        <f>_xlfn.XLOOKUP(A40,'[4]Sub-analyza3 - zadania kvality'!A:A,'[4]Sub-analyza3 - zadania kvality'!F:F,"Nenašlo sa")</f>
        <v>Gymnázium  Augusta Horislava Škultétyho</v>
      </c>
    </row>
    <row r="41" spans="1:75" s="1049" customFormat="1" x14ac:dyDescent="0.2">
      <c r="A41" s="1032" t="s">
        <v>4286</v>
      </c>
      <c r="B41" s="1050">
        <v>100003989</v>
      </c>
      <c r="C41" s="1050">
        <v>160741</v>
      </c>
      <c r="D41" s="1051" t="s">
        <v>4287</v>
      </c>
      <c r="E41" s="1051" t="s">
        <v>4288</v>
      </c>
      <c r="F41" s="1051" t="s">
        <v>4612</v>
      </c>
      <c r="G41" s="1034" t="s">
        <v>4560</v>
      </c>
      <c r="H41" s="1034" t="s">
        <v>4613</v>
      </c>
      <c r="I41" s="1052" t="s">
        <v>4562</v>
      </c>
      <c r="J41" s="1052">
        <v>1</v>
      </c>
      <c r="K41" s="1013" t="s">
        <v>4593</v>
      </c>
      <c r="L41" s="1013" t="s">
        <v>4650</v>
      </c>
      <c r="M41" s="1013"/>
      <c r="N41" s="1053">
        <v>7.1</v>
      </c>
      <c r="O41" s="1052"/>
      <c r="P41" s="1052"/>
      <c r="Q41" s="1052"/>
      <c r="R41" s="1054">
        <v>460</v>
      </c>
      <c r="S41" s="1001">
        <v>294</v>
      </c>
      <c r="T41" s="1001">
        <v>430</v>
      </c>
      <c r="U41" s="1001">
        <v>0</v>
      </c>
      <c r="V41" s="1001">
        <v>30</v>
      </c>
      <c r="W41" s="1001">
        <v>8</v>
      </c>
      <c r="X41" s="1055">
        <f t="shared" si="2"/>
        <v>0.19262981574539365</v>
      </c>
      <c r="Y41" s="1039">
        <f t="shared" si="1"/>
        <v>0</v>
      </c>
      <c r="Z41" s="1087"/>
      <c r="AA41" s="1056" t="s">
        <v>4695</v>
      </c>
      <c r="AB41" s="1052" t="s">
        <v>3867</v>
      </c>
      <c r="AC41" s="1042"/>
      <c r="AD41" s="1043">
        <v>1</v>
      </c>
      <c r="AE41" s="1001">
        <v>2</v>
      </c>
      <c r="AF41" s="1012"/>
      <c r="AG41" s="1057">
        <v>1</v>
      </c>
      <c r="AH41" s="1057">
        <v>14</v>
      </c>
      <c r="AI41" s="1012"/>
      <c r="AJ41" s="1012"/>
      <c r="AK41" s="1001"/>
      <c r="AL41" s="1001"/>
      <c r="AM41" s="1012"/>
      <c r="AN41" s="1012"/>
      <c r="AO41" s="1001"/>
      <c r="AP41" s="1001"/>
      <c r="AQ41" s="1001"/>
      <c r="AR41" s="1012"/>
      <c r="AS41" s="1012"/>
      <c r="AT41" s="1012"/>
      <c r="AU41" s="1001">
        <v>0</v>
      </c>
      <c r="AV41" s="1001">
        <v>0</v>
      </c>
      <c r="AW41" s="1012"/>
      <c r="AX41" s="1012"/>
      <c r="AY41" s="1001">
        <v>0</v>
      </c>
      <c r="AZ41" s="1001">
        <v>0</v>
      </c>
      <c r="BA41" s="1012"/>
      <c r="BB41" s="1012"/>
      <c r="BC41" s="1001">
        <v>1</v>
      </c>
      <c r="BD41" s="1001">
        <v>14</v>
      </c>
      <c r="BE41" s="1012"/>
      <c r="BF41" s="1012"/>
      <c r="BG41" s="1034">
        <f>_xlfn.XLOOKUP('Pasport1 NetAcad zdroj4'!$A41,'[5]Pasport1 Akademie'!$B$2:$B$62,'[5]Pasport1 Akademie'!AY$2:AY$62,"zle")</f>
        <v>5</v>
      </c>
      <c r="BH41" s="1034">
        <f>_xlfn.XLOOKUP('Pasport1 NetAcad zdroj4'!$A41,'[5]Pasport1 Akademie'!$B$2:$B$62,'[5]Pasport1 Akademie'!AZ$2:AZ$62,"zle")</f>
        <v>3</v>
      </c>
      <c r="BI41" s="1034">
        <f>_xlfn.XLOOKUP('Pasport1 NetAcad zdroj4'!$A41,'[5]Pasport1 Akademie'!$B$2:$B$62,'[5]Pasport1 Akademie'!BA$2:BA$62,"zle")</f>
        <v>2</v>
      </c>
      <c r="BJ41" s="1034">
        <f>_xlfn.XLOOKUP('Pasport1 NetAcad zdroj4'!$A41,'[5]Pasport1 Akademie'!$B$2:$B$62,'[5]Pasport1 Akademie'!BB$2:BB$62,"zle")</f>
        <v>3</v>
      </c>
      <c r="BK41" s="1034">
        <f>_xlfn.XLOOKUP('Pasport1 NetAcad zdroj4'!$A41,'[5]Pasport1 Akademie'!$B$2:$B$62,'[5]Pasport1 Akademie'!AZ$2:AZ$62,"zle")</f>
        <v>3</v>
      </c>
      <c r="BL41" s="1034">
        <f>_xlfn.XLOOKUP('Pasport1 NetAcad zdroj4'!$A41,'[5]Pasport1 Akademie'!$B$2:$B$62,'[5]Pasport1 Akademie'!BD$2:BD$62,"zle")</f>
        <v>10</v>
      </c>
      <c r="BM41" s="1034">
        <f>_xlfn.XLOOKUP('Pasport1 NetAcad zdroj4'!$A41,'[5]Pasport1 Akademie'!$B$2:$B$62,'[5]Pasport1 Akademie'!BC$2:BC$62,"zle")</f>
        <v>5</v>
      </c>
      <c r="BN41" s="1088" t="s">
        <v>4859</v>
      </c>
      <c r="BO41" s="1089" t="s">
        <v>4860</v>
      </c>
      <c r="BP41" s="1090" t="s">
        <v>4861</v>
      </c>
      <c r="BQ41" s="1051"/>
      <c r="BR41" s="1090"/>
      <c r="BS41" s="1051" t="s">
        <v>4862</v>
      </c>
      <c r="BT41" s="1091" t="s">
        <v>4863</v>
      </c>
      <c r="BU41" s="1048">
        <v>46</v>
      </c>
      <c r="BW41" s="1049" t="str">
        <f>_xlfn.XLOOKUP(A41,'[4]Sub-analyza3 - zadania kvality'!A:A,'[4]Sub-analyza3 - zadania kvality'!F:F,"Nenašlo sa")</f>
        <v>B3</v>
      </c>
    </row>
    <row r="42" spans="1:75" ht="15.75" customHeight="1" x14ac:dyDescent="0.2">
      <c r="A42" s="916" t="s">
        <v>4071</v>
      </c>
      <c r="B42" s="987">
        <v>100015903</v>
      </c>
      <c r="C42" s="987">
        <v>161144</v>
      </c>
      <c r="D42" s="988" t="s">
        <v>4864</v>
      </c>
      <c r="E42" s="988" t="s">
        <v>4865</v>
      </c>
      <c r="F42" s="988" t="s">
        <v>4829</v>
      </c>
      <c r="G42" s="972" t="s">
        <v>4560</v>
      </c>
      <c r="H42" s="972" t="s">
        <v>4649</v>
      </c>
      <c r="I42" s="989" t="s">
        <v>4562</v>
      </c>
      <c r="J42" s="989">
        <v>1</v>
      </c>
      <c r="K42" s="918" t="s">
        <v>4593</v>
      </c>
      <c r="L42" s="974" t="s">
        <v>4563</v>
      </c>
      <c r="M42" s="918"/>
      <c r="N42" s="990">
        <v>6.4</v>
      </c>
      <c r="O42" s="989"/>
      <c r="P42" s="989"/>
      <c r="Q42" s="989"/>
      <c r="R42" s="1006">
        <v>436</v>
      </c>
      <c r="S42" s="977">
        <v>234</v>
      </c>
      <c r="T42" s="977">
        <v>420</v>
      </c>
      <c r="U42" s="977">
        <v>0</v>
      </c>
      <c r="V42" s="977">
        <v>100</v>
      </c>
      <c r="W42" s="977">
        <v>2</v>
      </c>
      <c r="X42" s="1007">
        <f t="shared" si="2"/>
        <v>0.18257956448911222</v>
      </c>
      <c r="Y42" s="978">
        <f t="shared" si="1"/>
        <v>0</v>
      </c>
      <c r="Z42" s="993"/>
      <c r="AA42" s="979">
        <f>_xlfn.XLOOKUP(A42,'[4]Sub-analyza3 - zadania kvality'!$A:$A,'[4]Sub-analyza3 - zadania kvality'!$K:$K,"Nenašlo sa")</f>
        <v>1</v>
      </c>
      <c r="AB42" s="989" t="s">
        <v>3867</v>
      </c>
      <c r="AC42" s="1009"/>
      <c r="AD42" s="982">
        <v>1</v>
      </c>
      <c r="AE42" s="977">
        <v>1</v>
      </c>
      <c r="AF42" s="983"/>
      <c r="AG42" s="1028">
        <v>1</v>
      </c>
      <c r="AH42" s="1028">
        <v>0</v>
      </c>
      <c r="AI42" s="983"/>
      <c r="AJ42" s="983"/>
      <c r="AK42" s="977"/>
      <c r="AL42" s="977"/>
      <c r="AM42" s="983"/>
      <c r="AN42" s="983"/>
      <c r="AO42" s="977"/>
      <c r="AP42" s="977"/>
      <c r="AQ42" s="977"/>
      <c r="AR42" s="983"/>
      <c r="AS42" s="983"/>
      <c r="AT42" s="983"/>
      <c r="AU42" s="977">
        <v>0</v>
      </c>
      <c r="AV42" s="977">
        <v>0</v>
      </c>
      <c r="AW42" s="983"/>
      <c r="AX42" s="983"/>
      <c r="AY42" s="977">
        <v>0</v>
      </c>
      <c r="AZ42" s="977">
        <v>0</v>
      </c>
      <c r="BA42" s="983"/>
      <c r="BB42" s="983"/>
      <c r="BC42" s="977">
        <v>0</v>
      </c>
      <c r="BD42" s="977">
        <v>0</v>
      </c>
      <c r="BE42" s="983"/>
      <c r="BF42" s="983"/>
      <c r="BG42" s="972">
        <f>_xlfn.XLOOKUP('Pasport1 NetAcad zdroj4'!$A42,'[5]Pasport1 Akademie'!$B$2:$B$62,'[5]Pasport1 Akademie'!AY$2:AY$62,"zle")</f>
        <v>2</v>
      </c>
      <c r="BH42" s="972"/>
      <c r="BI42" s="972">
        <f>_xlfn.XLOOKUP('Pasport1 NetAcad zdroj4'!$A42,'[5]Pasport1 Akademie'!$B$2:$B$62,'[5]Pasport1 Akademie'!BA$2:BA$62,"zle")</f>
        <v>2</v>
      </c>
      <c r="BJ42" s="972">
        <f>_xlfn.XLOOKUP('Pasport1 NetAcad zdroj4'!$A42,'[5]Pasport1 Akademie'!$B$2:$B$62,'[5]Pasport1 Akademie'!BB$2:BB$62,"zle")</f>
        <v>2</v>
      </c>
      <c r="BK42" s="972"/>
      <c r="BL42" s="972">
        <f>_xlfn.XLOOKUP('Pasport1 NetAcad zdroj4'!$A42,'[5]Pasport1 Akademie'!$B$2:$B$62,'[5]Pasport1 Akademie'!BD$2:BD$62,"zle")</f>
        <v>2</v>
      </c>
      <c r="BM42" s="972">
        <f>_xlfn.XLOOKUP('Pasport1 NetAcad zdroj4'!$A42,'[5]Pasport1 Akademie'!$B$2:$B$62,'[5]Pasport1 Akademie'!BC$2:BC$62,"zle")</f>
        <v>2</v>
      </c>
      <c r="BN42" s="996" t="s">
        <v>4866</v>
      </c>
      <c r="BO42" s="997" t="s">
        <v>4867</v>
      </c>
      <c r="BP42" s="997" t="s">
        <v>4868</v>
      </c>
      <c r="BQ42" s="988"/>
      <c r="BR42" s="997"/>
      <c r="BS42" s="988" t="s">
        <v>4869</v>
      </c>
      <c r="BT42" s="998" t="s">
        <v>4870</v>
      </c>
      <c r="BU42" s="986">
        <v>47</v>
      </c>
      <c r="BW42" s="773" t="str">
        <f>_xlfn.XLOOKUP(A42,'[4]Sub-analyza3 - zadania kvality'!A:A,'[4]Sub-analyza3 - zadania kvality'!F:F,"Nenašlo sa")</f>
        <v>Gymnázium P. J. Šafárika - P. J. Šafárik Gimnázium</v>
      </c>
    </row>
    <row r="43" spans="1:75" s="1049" customFormat="1" ht="15.75" customHeight="1" x14ac:dyDescent="0.2">
      <c r="A43" s="1050">
        <v>37942484</v>
      </c>
      <c r="B43" s="1050">
        <v>100011768</v>
      </c>
      <c r="C43" s="1050">
        <v>37942484</v>
      </c>
      <c r="D43" s="1051" t="s">
        <v>4289</v>
      </c>
      <c r="E43" s="1051" t="s">
        <v>4290</v>
      </c>
      <c r="F43" s="1051" t="s">
        <v>4585</v>
      </c>
      <c r="G43" s="1034" t="s">
        <v>4560</v>
      </c>
      <c r="H43" s="1034" t="s">
        <v>4586</v>
      </c>
      <c r="I43" s="1035" t="s">
        <v>4562</v>
      </c>
      <c r="J43" s="1035">
        <v>1</v>
      </c>
      <c r="K43" s="1013" t="s">
        <v>4593</v>
      </c>
      <c r="L43" s="1013" t="s">
        <v>4563</v>
      </c>
      <c r="M43" s="1013"/>
      <c r="N43" s="1037"/>
      <c r="O43" s="1035"/>
      <c r="P43" s="1035"/>
      <c r="Q43" s="1035"/>
      <c r="R43" s="1036">
        <v>244</v>
      </c>
      <c r="S43" s="1001">
        <v>12</v>
      </c>
      <c r="T43" s="1001">
        <v>80</v>
      </c>
      <c r="U43" s="1001">
        <v>20</v>
      </c>
      <c r="V43" s="1001">
        <v>60</v>
      </c>
      <c r="W43" s="1001">
        <v>4</v>
      </c>
      <c r="X43" s="1038">
        <f t="shared" si="2"/>
        <v>0.10217755443886097</v>
      </c>
      <c r="Y43" s="1039">
        <f t="shared" si="1"/>
        <v>3.1496062992125984E-2</v>
      </c>
      <c r="Z43" s="1040"/>
      <c r="AA43" s="1056" t="s">
        <v>4695</v>
      </c>
      <c r="AB43" s="1035" t="s">
        <v>3966</v>
      </c>
      <c r="AC43" s="1092"/>
      <c r="AD43" s="1043">
        <v>1</v>
      </c>
      <c r="AE43" s="1001">
        <v>3</v>
      </c>
      <c r="AF43" s="1012"/>
      <c r="AG43" s="1001">
        <v>1</v>
      </c>
      <c r="AH43" s="1001">
        <v>15</v>
      </c>
      <c r="AI43" s="1012">
        <v>1</v>
      </c>
      <c r="AJ43" s="1012">
        <v>15</v>
      </c>
      <c r="AK43" s="1001"/>
      <c r="AL43" s="1001"/>
      <c r="AM43" s="1012"/>
      <c r="AN43" s="1012"/>
      <c r="AO43" s="1001"/>
      <c r="AP43" s="1001"/>
      <c r="AQ43" s="1001"/>
      <c r="AR43" s="1012"/>
      <c r="AS43" s="1012"/>
      <c r="AT43" s="1012"/>
      <c r="AU43" s="1001">
        <v>1</v>
      </c>
      <c r="AV43" s="1001">
        <v>10</v>
      </c>
      <c r="AW43" s="1012"/>
      <c r="AX43" s="1012"/>
      <c r="AY43" s="1001">
        <v>1</v>
      </c>
      <c r="AZ43" s="1001">
        <v>15</v>
      </c>
      <c r="BA43" s="1012"/>
      <c r="BB43" s="1012"/>
      <c r="BC43" s="1001">
        <v>0</v>
      </c>
      <c r="BD43" s="1001">
        <v>0</v>
      </c>
      <c r="BE43" s="1012"/>
      <c r="BF43" s="1012"/>
      <c r="BG43" s="1034">
        <f>_xlfn.XLOOKUP('Pasport1 NetAcad zdroj4'!$A43,'[5]Pasport1 Akademie'!$B$2:$B$62,'[5]Pasport1 Akademie'!AY$2:AY$62,"zle")</f>
        <v>4</v>
      </c>
      <c r="BH43" s="1034">
        <f>_xlfn.XLOOKUP('Pasport1 NetAcad zdroj4'!$A43,'[5]Pasport1 Akademie'!$B$2:$B$62,'[5]Pasport1 Akademie'!AZ$2:AZ$62,"zle")</f>
        <v>3</v>
      </c>
      <c r="BI43" s="1034">
        <f>_xlfn.XLOOKUP('Pasport1 NetAcad zdroj4'!$A43,'[5]Pasport1 Akademie'!$B$2:$B$62,'[5]Pasport1 Akademie'!BA$2:BA$62,"zle")</f>
        <v>3</v>
      </c>
      <c r="BJ43" s="1034">
        <f>_xlfn.XLOOKUP('Pasport1 NetAcad zdroj4'!$A43,'[5]Pasport1 Akademie'!$B$2:$B$62,'[5]Pasport1 Akademie'!BB$2:BB$62,"zle")</f>
        <v>6</v>
      </c>
      <c r="BK43" s="1034">
        <f>_xlfn.XLOOKUP('Pasport1 NetAcad zdroj4'!$A43,'[5]Pasport1 Akademie'!$B$2:$B$62,'[5]Pasport1 Akademie'!AZ$2:AZ$62,"zle")</f>
        <v>3</v>
      </c>
      <c r="BL43" s="1034">
        <f>_xlfn.XLOOKUP('Pasport1 NetAcad zdroj4'!$A43,'[5]Pasport1 Akademie'!$B$2:$B$62,'[5]Pasport1 Akademie'!BD$2:BD$62,"zle")</f>
        <v>6</v>
      </c>
      <c r="BM43" s="1034">
        <f>_xlfn.XLOOKUP('Pasport1 NetAcad zdroj4'!$A43,'[5]Pasport1 Akademie'!$B$2:$B$62,'[5]Pasport1 Akademie'!BC$2:BC$62,"zle")</f>
        <v>4</v>
      </c>
      <c r="BN43" s="1044" t="s">
        <v>4871</v>
      </c>
      <c r="BO43" s="1045" t="s">
        <v>4872</v>
      </c>
      <c r="BP43" s="1045" t="s">
        <v>4872</v>
      </c>
      <c r="BQ43" s="1033"/>
      <c r="BR43" s="1033"/>
      <c r="BS43" s="1033" t="s">
        <v>4873</v>
      </c>
      <c r="BT43" s="1058" t="s">
        <v>4874</v>
      </c>
      <c r="BU43" s="1093">
        <v>50</v>
      </c>
      <c r="BW43" s="1049" t="str">
        <f>_xlfn.XLOOKUP(A43,'[4]Sub-analyza3 - zadania kvality'!A:A,'[4]Sub-analyza3 - zadania kvality'!F:F,"Nenašlo sa")</f>
        <v>B1</v>
      </c>
    </row>
    <row r="44" spans="1:75" ht="15.75" customHeight="1" x14ac:dyDescent="0.2">
      <c r="A44" s="916" t="s">
        <v>3972</v>
      </c>
      <c r="B44" s="987">
        <v>100007675</v>
      </c>
      <c r="C44" s="987">
        <v>893170</v>
      </c>
      <c r="D44" s="988" t="s">
        <v>4296</v>
      </c>
      <c r="E44" s="988" t="s">
        <v>4875</v>
      </c>
      <c r="F44" s="988" t="s">
        <v>4876</v>
      </c>
      <c r="G44" s="972" t="s">
        <v>4560</v>
      </c>
      <c r="H44" s="972" t="s">
        <v>4561</v>
      </c>
      <c r="I44" s="920" t="s">
        <v>4562</v>
      </c>
      <c r="J44" s="920">
        <v>1</v>
      </c>
      <c r="K44" s="918" t="s">
        <v>4562</v>
      </c>
      <c r="L44" s="974" t="s">
        <v>4563</v>
      </c>
      <c r="M44" s="918"/>
      <c r="N44" s="1026"/>
      <c r="O44" s="1071" t="s">
        <v>4573</v>
      </c>
      <c r="P44" s="920"/>
      <c r="Q44" s="999"/>
      <c r="R44" s="1017">
        <v>432</v>
      </c>
      <c r="S44" s="977">
        <v>25</v>
      </c>
      <c r="T44" s="977">
        <v>440</v>
      </c>
      <c r="U44" s="977">
        <v>319</v>
      </c>
      <c r="V44" s="977">
        <v>86</v>
      </c>
      <c r="W44" s="977">
        <v>20</v>
      </c>
      <c r="X44" s="1061">
        <f t="shared" si="2"/>
        <v>0.18090452261306533</v>
      </c>
      <c r="Y44" s="992">
        <f t="shared" si="1"/>
        <v>0.5023622047244094</v>
      </c>
      <c r="Z44" s="993"/>
      <c r="AA44" s="979">
        <f>_xlfn.XLOOKUP(A44,'[4]Sub-analyza3 - zadania kvality'!$A:$A,'[4]Sub-analyza3 - zadania kvality'!$K:$K,"Nenašlo sa")</f>
        <v>1.6426332288401253</v>
      </c>
      <c r="AB44" s="1071" t="s">
        <v>3860</v>
      </c>
      <c r="AC44" s="1009" t="s">
        <v>4614</v>
      </c>
      <c r="AD44" s="982">
        <v>1</v>
      </c>
      <c r="AE44" s="977">
        <v>5</v>
      </c>
      <c r="AF44" s="983"/>
      <c r="AG44" s="977">
        <v>1</v>
      </c>
      <c r="AH44" s="977">
        <v>14</v>
      </c>
      <c r="AI44" s="983">
        <v>1</v>
      </c>
      <c r="AJ44" s="983">
        <v>14</v>
      </c>
      <c r="AK44" s="977">
        <v>1</v>
      </c>
      <c r="AL44" s="977">
        <v>14</v>
      </c>
      <c r="AM44" s="983"/>
      <c r="AN44" s="983"/>
      <c r="AO44" s="977"/>
      <c r="AP44" s="977"/>
      <c r="AQ44" s="977"/>
      <c r="AR44" s="983"/>
      <c r="AS44" s="983"/>
      <c r="AT44" s="983"/>
      <c r="AU44" s="977">
        <v>1</v>
      </c>
      <c r="AV44" s="977">
        <v>8</v>
      </c>
      <c r="AW44" s="983"/>
      <c r="AX44" s="983"/>
      <c r="AY44" s="977">
        <v>1</v>
      </c>
      <c r="AZ44" s="977">
        <v>10</v>
      </c>
      <c r="BA44" s="983"/>
      <c r="BB44" s="983"/>
      <c r="BC44" s="977">
        <v>0</v>
      </c>
      <c r="BD44" s="977">
        <v>0</v>
      </c>
      <c r="BE44" s="983"/>
      <c r="BF44" s="983"/>
      <c r="BG44" s="972">
        <f>_xlfn.XLOOKUP('Pasport1 NetAcad zdroj4'!$A44,'[5]Pasport1 Akademie'!$B$2:$B$62,'[5]Pasport1 Akademie'!AY$2:AY$62,"zle")</f>
        <v>7</v>
      </c>
      <c r="BH44" s="972">
        <f>_xlfn.XLOOKUP('Pasport1 NetAcad zdroj4'!$A44,'[5]Pasport1 Akademie'!$B$2:$B$62,'[5]Pasport1 Akademie'!AZ$2:AZ$62,"zle")</f>
        <v>6</v>
      </c>
      <c r="BI44" s="972">
        <f>_xlfn.XLOOKUP('Pasport1 NetAcad zdroj4'!$A44,'[5]Pasport1 Akademie'!$B$2:$B$62,'[5]Pasport1 Akademie'!BA$2:BA$62,"zle")</f>
        <v>3</v>
      </c>
      <c r="BJ44" s="972">
        <f>_xlfn.XLOOKUP('Pasport1 NetAcad zdroj4'!$A44,'[5]Pasport1 Akademie'!$B$2:$B$62,'[5]Pasport1 Akademie'!BB$2:BB$62,"zle")</f>
        <v>6</v>
      </c>
      <c r="BK44" s="972">
        <f>_xlfn.XLOOKUP('Pasport1 NetAcad zdroj4'!$A44,'[5]Pasport1 Akademie'!$B$2:$B$62,'[5]Pasport1 Akademie'!AZ$2:AZ$62,"zle")</f>
        <v>6</v>
      </c>
      <c r="BL44" s="972">
        <f>_xlfn.XLOOKUP('Pasport1 NetAcad zdroj4'!$A44,'[5]Pasport1 Akademie'!$B$2:$B$62,'[5]Pasport1 Akademie'!BD$2:BD$62,"zle")</f>
        <v>10</v>
      </c>
      <c r="BM44" s="972">
        <f>_xlfn.XLOOKUP('Pasport1 NetAcad zdroj4'!$A44,'[5]Pasport1 Akademie'!$B$2:$B$62,'[5]Pasport1 Akademie'!BC$2:BC$62,"zle")</f>
        <v>5</v>
      </c>
      <c r="BN44" s="996" t="s">
        <v>4877</v>
      </c>
      <c r="BO44" s="1094" t="s">
        <v>4878</v>
      </c>
      <c r="BP44" s="1094" t="s">
        <v>4879</v>
      </c>
      <c r="BQ44" s="917"/>
      <c r="BR44" s="1094"/>
      <c r="BS44" s="917"/>
      <c r="BT44" s="1095"/>
      <c r="BU44" s="1096">
        <v>51</v>
      </c>
      <c r="BW44" s="773" t="str">
        <f>_xlfn.XLOOKUP(A44,'[4]Sub-analyza3 - zadania kvality'!A:A,'[4]Sub-analyza3 - zadania kvality'!F:F,"Nenašlo sa")</f>
        <v>Stredná odborná škola elektrotechnická</v>
      </c>
    </row>
    <row r="45" spans="1:75" ht="15.75" customHeight="1" x14ac:dyDescent="0.2">
      <c r="A45" s="987">
        <v>37942492</v>
      </c>
      <c r="B45" s="987">
        <v>100014054</v>
      </c>
      <c r="C45" s="987">
        <v>37942492</v>
      </c>
      <c r="D45" s="988" t="s">
        <v>4880</v>
      </c>
      <c r="E45" s="988" t="s">
        <v>4881</v>
      </c>
      <c r="F45" s="988" t="s">
        <v>4882</v>
      </c>
      <c r="G45" s="972" t="s">
        <v>4560</v>
      </c>
      <c r="H45" s="972" t="s">
        <v>4586</v>
      </c>
      <c r="I45" s="920" t="s">
        <v>4562</v>
      </c>
      <c r="J45" s="920">
        <v>1</v>
      </c>
      <c r="K45" s="918" t="s">
        <v>4562</v>
      </c>
      <c r="L45" s="918" t="s">
        <v>4563</v>
      </c>
      <c r="M45" s="918"/>
      <c r="N45" s="1026"/>
      <c r="O45" s="920"/>
      <c r="P45" s="920"/>
      <c r="Q45" s="999"/>
      <c r="R45" s="1017">
        <v>258</v>
      </c>
      <c r="S45" s="977">
        <v>4</v>
      </c>
      <c r="T45" s="1019">
        <v>70</v>
      </c>
      <c r="U45" s="1019">
        <v>40</v>
      </c>
      <c r="V45" s="1019">
        <v>40</v>
      </c>
      <c r="W45" s="977">
        <v>10</v>
      </c>
      <c r="X45" s="1061">
        <f t="shared" si="2"/>
        <v>0.10804020100502512</v>
      </c>
      <c r="Y45" s="978">
        <f t="shared" si="1"/>
        <v>6.2992125984251968E-2</v>
      </c>
      <c r="Z45" s="993"/>
      <c r="AA45" s="979">
        <f>_xlfn.XLOOKUP(A45,'[4]Sub-analyza3 - zadania kvality'!$A:$A,'[4]Sub-analyza3 - zadania kvality'!$K:$K,"Nenašlo sa")</f>
        <v>1</v>
      </c>
      <c r="AB45" s="920" t="s">
        <v>3860</v>
      </c>
      <c r="AC45" s="1009" t="s">
        <v>4788</v>
      </c>
      <c r="AD45" s="982">
        <v>1</v>
      </c>
      <c r="AE45" s="977">
        <v>2</v>
      </c>
      <c r="AF45" s="983"/>
      <c r="AG45" s="977">
        <v>1</v>
      </c>
      <c r="AH45" s="977">
        <v>1</v>
      </c>
      <c r="AI45" s="983">
        <v>1</v>
      </c>
      <c r="AJ45" s="983">
        <v>1</v>
      </c>
      <c r="AK45" s="977">
        <v>1</v>
      </c>
      <c r="AL45" s="977">
        <v>1</v>
      </c>
      <c r="AM45" s="983"/>
      <c r="AN45" s="983"/>
      <c r="AO45" s="977"/>
      <c r="AP45" s="977"/>
      <c r="AQ45" s="977"/>
      <c r="AR45" s="983"/>
      <c r="AS45" s="983"/>
      <c r="AT45" s="983"/>
      <c r="AU45" s="977">
        <v>0</v>
      </c>
      <c r="AV45" s="977">
        <v>0</v>
      </c>
      <c r="AW45" s="983"/>
      <c r="AX45" s="983"/>
      <c r="AY45" s="977">
        <v>0</v>
      </c>
      <c r="AZ45" s="977">
        <v>0</v>
      </c>
      <c r="BA45" s="983"/>
      <c r="BB45" s="983"/>
      <c r="BC45" s="977">
        <v>0</v>
      </c>
      <c r="BD45" s="977">
        <v>0</v>
      </c>
      <c r="BE45" s="983"/>
      <c r="BF45" s="983"/>
      <c r="BG45" s="972">
        <f>_xlfn.XLOOKUP('Pasport1 NetAcad zdroj4'!$A45,'[5]Pasport1 Akademie'!$B$2:$B$62,'[5]Pasport1 Akademie'!AY$2:AY$62,"zle")</f>
        <v>4</v>
      </c>
      <c r="BH45" s="972">
        <f>_xlfn.XLOOKUP('Pasport1 NetAcad zdroj4'!$A45,'[5]Pasport1 Akademie'!$B$2:$B$62,'[5]Pasport1 Akademie'!AZ$2:AZ$62,"zle")</f>
        <v>3</v>
      </c>
      <c r="BI45" s="972">
        <f>_xlfn.XLOOKUP('Pasport1 NetAcad zdroj4'!$A45,'[5]Pasport1 Akademie'!$B$2:$B$62,'[5]Pasport1 Akademie'!BA$2:BA$62,"zle")</f>
        <v>3</v>
      </c>
      <c r="BJ45" s="972">
        <f>_xlfn.XLOOKUP('Pasport1 NetAcad zdroj4'!$A45,'[5]Pasport1 Akademie'!$B$2:$B$62,'[5]Pasport1 Akademie'!BB$2:BB$62,"zle")</f>
        <v>2</v>
      </c>
      <c r="BK45" s="972">
        <f>_xlfn.XLOOKUP('Pasport1 NetAcad zdroj4'!$A45,'[5]Pasport1 Akademie'!$B$2:$B$62,'[5]Pasport1 Akademie'!AZ$2:AZ$62,"zle")</f>
        <v>3</v>
      </c>
      <c r="BL45" s="972">
        <f>_xlfn.XLOOKUP('Pasport1 NetAcad zdroj4'!$A45,'[5]Pasport1 Akademie'!$B$2:$B$62,'[5]Pasport1 Akademie'!BD$2:BD$62,"zle")</f>
        <v>2</v>
      </c>
      <c r="BM45" s="972">
        <f>_xlfn.XLOOKUP('Pasport1 NetAcad zdroj4'!$A45,'[5]Pasport1 Akademie'!$B$2:$B$62,'[5]Pasport1 Akademie'!BC$2:BC$62,"zle")</f>
        <v>2</v>
      </c>
      <c r="BN45" s="996" t="s">
        <v>4883</v>
      </c>
      <c r="BO45" s="1029" t="s">
        <v>4884</v>
      </c>
      <c r="BP45" s="1029" t="s">
        <v>4885</v>
      </c>
      <c r="BQ45" s="917"/>
      <c r="BR45" s="1029"/>
      <c r="BS45" s="917" t="s">
        <v>4886</v>
      </c>
      <c r="BT45" s="1070" t="s">
        <v>4887</v>
      </c>
      <c r="BU45" s="1031">
        <v>52</v>
      </c>
      <c r="BW45" s="773" t="str">
        <f>_xlfn.XLOOKUP(A45,'[4]Sub-analyza3 - zadania kvality'!A:A,'[4]Sub-analyza3 - zadania kvality'!F:F,"Nenašlo sa")</f>
        <v>Stredná odborná škola drevárska</v>
      </c>
    </row>
    <row r="46" spans="1:75" s="1049" customFormat="1" x14ac:dyDescent="0.2">
      <c r="A46" s="1050">
        <v>37890182</v>
      </c>
      <c r="B46" s="1050">
        <v>100010298</v>
      </c>
      <c r="C46" s="1050">
        <v>37890182</v>
      </c>
      <c r="D46" s="1051" t="s">
        <v>4291</v>
      </c>
      <c r="E46" s="1051" t="s">
        <v>4292</v>
      </c>
      <c r="F46" s="1051" t="s">
        <v>4888</v>
      </c>
      <c r="G46" s="1034" t="s">
        <v>4560</v>
      </c>
      <c r="H46" s="1034" t="s">
        <v>4625</v>
      </c>
      <c r="I46" s="1035" t="s">
        <v>4562</v>
      </c>
      <c r="J46" s="1035">
        <v>1</v>
      </c>
      <c r="K46" s="1013" t="s">
        <v>4593</v>
      </c>
      <c r="L46" s="1013" t="s">
        <v>4650</v>
      </c>
      <c r="M46" s="1013"/>
      <c r="N46" s="1037"/>
      <c r="O46" s="1035"/>
      <c r="P46" s="1035"/>
      <c r="Q46" s="1035" t="s">
        <v>4694</v>
      </c>
      <c r="R46" s="1036">
        <v>154</v>
      </c>
      <c r="S46" s="1001">
        <v>2</v>
      </c>
      <c r="T46" s="1097">
        <v>60</v>
      </c>
      <c r="U46" s="1097">
        <v>0</v>
      </c>
      <c r="V46" s="1097">
        <v>0</v>
      </c>
      <c r="W46" s="1001">
        <v>4</v>
      </c>
      <c r="X46" s="1038">
        <f t="shared" si="2"/>
        <v>6.4489112227805692E-2</v>
      </c>
      <c r="Y46" s="1039">
        <f t="shared" si="1"/>
        <v>0</v>
      </c>
      <c r="Z46" s="1040"/>
      <c r="AA46" s="1056" t="s">
        <v>4695</v>
      </c>
      <c r="AB46" s="1035" t="s">
        <v>4122</v>
      </c>
      <c r="AC46" s="1042"/>
      <c r="AD46" s="1043">
        <v>1</v>
      </c>
      <c r="AE46" s="1001">
        <v>1</v>
      </c>
      <c r="AF46" s="1012"/>
      <c r="AG46" s="1057"/>
      <c r="AH46" s="1057"/>
      <c r="AI46" s="1012"/>
      <c r="AJ46" s="1012"/>
      <c r="AK46" s="1001"/>
      <c r="AL46" s="1001"/>
      <c r="AM46" s="1012"/>
      <c r="AN46" s="1012"/>
      <c r="AO46" s="1001"/>
      <c r="AP46" s="1001"/>
      <c r="AQ46" s="1001"/>
      <c r="AR46" s="1012"/>
      <c r="AS46" s="1012"/>
      <c r="AT46" s="1012"/>
      <c r="AU46" s="1001">
        <v>0</v>
      </c>
      <c r="AV46" s="1001">
        <v>0</v>
      </c>
      <c r="AW46" s="1012"/>
      <c r="AX46" s="1012"/>
      <c r="AY46" s="1001">
        <v>1</v>
      </c>
      <c r="AZ46" s="1001">
        <v>12</v>
      </c>
      <c r="BA46" s="1012"/>
      <c r="BB46" s="1012"/>
      <c r="BC46" s="1001">
        <v>0</v>
      </c>
      <c r="BD46" s="1001">
        <v>0</v>
      </c>
      <c r="BE46" s="1012"/>
      <c r="BF46" s="1012"/>
      <c r="BG46" s="1034">
        <f>_xlfn.XLOOKUP('Pasport1 NetAcad zdroj4'!$A46,'[5]Pasport1 Akademie'!$B$2:$B$62,'[5]Pasport1 Akademie'!AY$2:AY$62,"zle")</f>
        <v>2</v>
      </c>
      <c r="BH46" s="1034">
        <f>_xlfn.XLOOKUP('Pasport1 NetAcad zdroj4'!$A46,'[5]Pasport1 Akademie'!$B$2:$B$62,'[5]Pasport1 Akademie'!AZ$2:AZ$62,"zle")</f>
        <v>2</v>
      </c>
      <c r="BI46" s="1034">
        <f>_xlfn.XLOOKUP('Pasport1 NetAcad zdroj4'!$A46,'[5]Pasport1 Akademie'!$B$2:$B$62,'[5]Pasport1 Akademie'!BA$2:BA$62,"zle")</f>
        <v>2</v>
      </c>
      <c r="BJ46" s="1034">
        <f>_xlfn.XLOOKUP('Pasport1 NetAcad zdroj4'!$A46,'[5]Pasport1 Akademie'!$B$2:$B$62,'[5]Pasport1 Akademie'!BB$2:BB$62,"zle")</f>
        <v>4</v>
      </c>
      <c r="BK46" s="1034">
        <f>_xlfn.XLOOKUP('Pasport1 NetAcad zdroj4'!$A46,'[5]Pasport1 Akademie'!$B$2:$B$62,'[5]Pasport1 Akademie'!AZ$2:AZ$62,"zle")</f>
        <v>2</v>
      </c>
      <c r="BL46" s="1034">
        <f>_xlfn.XLOOKUP('Pasport1 NetAcad zdroj4'!$A46,'[5]Pasport1 Akademie'!$B$2:$B$62,'[5]Pasport1 Akademie'!BD$2:BD$62,"zle")</f>
        <v>1</v>
      </c>
      <c r="BM46" s="1034">
        <f>_xlfn.XLOOKUP('Pasport1 NetAcad zdroj4'!$A46,'[5]Pasport1 Akademie'!$B$2:$B$62,'[5]Pasport1 Akademie'!BC$2:BC$62,"zle")</f>
        <v>1</v>
      </c>
      <c r="BN46" s="1044" t="s">
        <v>4889</v>
      </c>
      <c r="BO46" s="1046" t="s">
        <v>4890</v>
      </c>
      <c r="BP46" s="1046" t="s">
        <v>4891</v>
      </c>
      <c r="BQ46" s="1033"/>
      <c r="BR46" s="1046"/>
      <c r="BS46" s="1033"/>
      <c r="BT46" s="1047"/>
      <c r="BU46" s="1093">
        <v>53</v>
      </c>
      <c r="BW46" s="1049" t="str">
        <f>_xlfn.XLOOKUP(A46,'[4]Sub-analyza3 - zadania kvality'!A:A,'[4]Sub-analyza3 - zadania kvality'!F:F,"Nenašlo sa")</f>
        <v>B2</v>
      </c>
    </row>
    <row r="47" spans="1:75" s="1049" customFormat="1" ht="15.75" customHeight="1" x14ac:dyDescent="0.2">
      <c r="A47" s="1050" t="s">
        <v>4293</v>
      </c>
      <c r="B47" s="1050">
        <v>100016475</v>
      </c>
      <c r="C47" s="1098">
        <v>35568356</v>
      </c>
      <c r="D47" s="1051" t="s">
        <v>4294</v>
      </c>
      <c r="E47" s="1051" t="s">
        <v>4295</v>
      </c>
      <c r="F47" s="1051" t="s">
        <v>4892</v>
      </c>
      <c r="G47" s="1034" t="s">
        <v>4560</v>
      </c>
      <c r="H47" s="1034" t="s">
        <v>4649</v>
      </c>
      <c r="I47" s="1052" t="s">
        <v>4893</v>
      </c>
      <c r="J47" s="1052">
        <v>1</v>
      </c>
      <c r="K47" s="1013" t="s">
        <v>4562</v>
      </c>
      <c r="L47" s="1013" t="s">
        <v>4563</v>
      </c>
      <c r="M47" s="1013"/>
      <c r="N47" s="1053">
        <v>7</v>
      </c>
      <c r="O47" s="1052"/>
      <c r="P47" s="1052"/>
      <c r="Q47" s="1052"/>
      <c r="R47" s="1054">
        <v>408</v>
      </c>
      <c r="S47" s="1001">
        <v>137</v>
      </c>
      <c r="T47" s="1001">
        <v>420</v>
      </c>
      <c r="U47" s="1001">
        <v>79</v>
      </c>
      <c r="V47" s="1001">
        <v>40</v>
      </c>
      <c r="W47" s="1001">
        <v>8</v>
      </c>
      <c r="X47" s="1055">
        <f t="shared" si="2"/>
        <v>0.17085427135678391</v>
      </c>
      <c r="Y47" s="1039">
        <f t="shared" si="1"/>
        <v>0.12440944881889764</v>
      </c>
      <c r="Z47" s="1040"/>
      <c r="AA47" s="1056" t="s">
        <v>4695</v>
      </c>
      <c r="AB47" s="1052" t="s">
        <v>3860</v>
      </c>
      <c r="AC47" s="1042" t="s">
        <v>4894</v>
      </c>
      <c r="AD47" s="1043">
        <v>1</v>
      </c>
      <c r="AE47" s="1001">
        <v>2</v>
      </c>
      <c r="AF47" s="1012"/>
      <c r="AG47" s="1001">
        <v>1</v>
      </c>
      <c r="AH47" s="1001">
        <v>15</v>
      </c>
      <c r="AI47" s="1012">
        <v>1</v>
      </c>
      <c r="AJ47" s="1012">
        <v>15</v>
      </c>
      <c r="AK47" s="1001"/>
      <c r="AL47" s="1001"/>
      <c r="AM47" s="1012"/>
      <c r="AN47" s="1012"/>
      <c r="AO47" s="1001"/>
      <c r="AP47" s="1001"/>
      <c r="AQ47" s="1001"/>
      <c r="AR47" s="1012"/>
      <c r="AS47" s="1012"/>
      <c r="AT47" s="1012"/>
      <c r="AU47" s="1001">
        <v>1</v>
      </c>
      <c r="AV47" s="1001">
        <v>15</v>
      </c>
      <c r="AW47" s="1012">
        <v>1</v>
      </c>
      <c r="AX47" s="1012"/>
      <c r="AY47" s="1001">
        <v>0</v>
      </c>
      <c r="AZ47" s="1001">
        <v>0</v>
      </c>
      <c r="BA47" s="1012"/>
      <c r="BB47" s="1012"/>
      <c r="BC47" s="1001">
        <v>0</v>
      </c>
      <c r="BD47" s="1001">
        <v>0</v>
      </c>
      <c r="BE47" s="1012"/>
      <c r="BF47" s="1012"/>
      <c r="BG47" s="1034">
        <f>_xlfn.XLOOKUP('Pasport1 NetAcad zdroj4'!$A47,'[5]Pasport1 Akademie'!$B$2:$B$62,'[5]Pasport1 Akademie'!AY$2:AY$62,"zle")</f>
        <v>5</v>
      </c>
      <c r="BH47" s="1034">
        <f>_xlfn.XLOOKUP('Pasport1 NetAcad zdroj4'!$A47,'[5]Pasport1 Akademie'!$B$2:$B$62,'[5]Pasport1 Akademie'!AZ$2:AZ$62,"zle")</f>
        <v>5</v>
      </c>
      <c r="BI47" s="1034">
        <f>_xlfn.XLOOKUP('Pasport1 NetAcad zdroj4'!$A47,'[5]Pasport1 Akademie'!$B$2:$B$62,'[5]Pasport1 Akademie'!BA$2:BA$62,"zle")</f>
        <v>2</v>
      </c>
      <c r="BJ47" s="1034">
        <f>_xlfn.XLOOKUP('Pasport1 NetAcad zdroj4'!$A47,'[5]Pasport1 Akademie'!$B$2:$B$62,'[5]Pasport1 Akademie'!BB$2:BB$62,"zle")</f>
        <v>4</v>
      </c>
      <c r="BK47" s="1034">
        <f>_xlfn.XLOOKUP('Pasport1 NetAcad zdroj4'!$A47,'[5]Pasport1 Akademie'!$B$2:$B$62,'[5]Pasport1 Akademie'!AZ$2:AZ$62,"zle")</f>
        <v>5</v>
      </c>
      <c r="BL47" s="1034">
        <f>_xlfn.XLOOKUP('Pasport1 NetAcad zdroj4'!$A47,'[5]Pasport1 Akademie'!$B$2:$B$62,'[5]Pasport1 Akademie'!BD$2:BD$62,"zle")</f>
        <v>4</v>
      </c>
      <c r="BM47" s="1034">
        <f>_xlfn.XLOOKUP('Pasport1 NetAcad zdroj4'!$A47,'[5]Pasport1 Akademie'!$B$2:$B$62,'[5]Pasport1 Akademie'!BC$2:BC$62,"zle")</f>
        <v>5</v>
      </c>
      <c r="BN47" s="1044" t="s">
        <v>4895</v>
      </c>
      <c r="BO47" s="1045"/>
      <c r="BP47" s="1045" t="s">
        <v>4896</v>
      </c>
      <c r="BQ47" s="1033" t="s">
        <v>4897</v>
      </c>
      <c r="BR47" s="1045" t="s">
        <v>4898</v>
      </c>
      <c r="BS47" s="1099" t="s">
        <v>4899</v>
      </c>
      <c r="BT47" s="1100" t="s">
        <v>4900</v>
      </c>
      <c r="BU47" s="1059">
        <v>56</v>
      </c>
      <c r="BW47" s="1049" t="str">
        <f>_xlfn.XLOOKUP(A47,'[4]Sub-analyza3 - zadania kvality'!A:A,'[4]Sub-analyza3 - zadania kvality'!F:F,"Nenašlo sa")</f>
        <v>A3</v>
      </c>
    </row>
    <row r="48" spans="1:75" ht="15.75" customHeight="1" x14ac:dyDescent="0.2">
      <c r="A48" s="916" t="s">
        <v>3866</v>
      </c>
      <c r="B48" s="987">
        <v>100014731</v>
      </c>
      <c r="C48" s="987">
        <v>160989</v>
      </c>
      <c r="D48" s="988" t="s">
        <v>4901</v>
      </c>
      <c r="E48" s="988" t="s">
        <v>4902</v>
      </c>
      <c r="F48" s="988" t="s">
        <v>4724</v>
      </c>
      <c r="G48" s="972" t="s">
        <v>4560</v>
      </c>
      <c r="H48" s="972" t="s">
        <v>4649</v>
      </c>
      <c r="I48" s="920" t="s">
        <v>4562</v>
      </c>
      <c r="J48" s="920">
        <v>1</v>
      </c>
      <c r="K48" s="918" t="s">
        <v>4593</v>
      </c>
      <c r="L48" s="974" t="s">
        <v>4563</v>
      </c>
      <c r="M48" s="918"/>
      <c r="N48" s="1101">
        <v>8.3000000000000007</v>
      </c>
      <c r="O48" s="1071" t="s">
        <v>4573</v>
      </c>
      <c r="P48" s="920"/>
      <c r="Q48" s="999"/>
      <c r="R48" s="1017">
        <v>629</v>
      </c>
      <c r="S48" s="977">
        <v>396</v>
      </c>
      <c r="T48" s="977">
        <v>655</v>
      </c>
      <c r="U48" s="977">
        <v>0</v>
      </c>
      <c r="V48" s="977">
        <v>50</v>
      </c>
      <c r="W48" s="977">
        <v>25</v>
      </c>
      <c r="X48" s="1102">
        <f t="shared" si="2"/>
        <v>0.26340033500837523</v>
      </c>
      <c r="Y48" s="978">
        <f t="shared" si="1"/>
        <v>0</v>
      </c>
      <c r="Z48" s="993"/>
      <c r="AA48" s="979">
        <f>_xlfn.XLOOKUP(A48,'[4]Sub-analyza3 - zadania kvality'!$A:$A,'[4]Sub-analyza3 - zadania kvality'!$K:$K,"Nenašlo sa")</f>
        <v>1</v>
      </c>
      <c r="AB48" s="920" t="s">
        <v>3867</v>
      </c>
      <c r="AC48" s="1009" t="s">
        <v>4903</v>
      </c>
      <c r="AD48" s="982">
        <v>1</v>
      </c>
      <c r="AE48" s="977">
        <v>2</v>
      </c>
      <c r="AF48" s="983"/>
      <c r="AG48" s="1103">
        <v>1</v>
      </c>
      <c r="AH48" s="1103">
        <v>15</v>
      </c>
      <c r="AI48" s="983">
        <v>1</v>
      </c>
      <c r="AJ48" s="983">
        <v>15</v>
      </c>
      <c r="AK48" s="977"/>
      <c r="AL48" s="977"/>
      <c r="AM48" s="983"/>
      <c r="AN48" s="983"/>
      <c r="AO48" s="977"/>
      <c r="AP48" s="977"/>
      <c r="AQ48" s="977"/>
      <c r="AR48" s="983"/>
      <c r="AS48" s="983"/>
      <c r="AT48" s="983"/>
      <c r="AU48" s="1001">
        <v>0</v>
      </c>
      <c r="AV48" s="1001">
        <v>0</v>
      </c>
      <c r="AW48" s="983">
        <v>1</v>
      </c>
      <c r="AX48" s="983"/>
      <c r="AY48" s="1001">
        <v>1</v>
      </c>
      <c r="AZ48" s="1001">
        <v>15</v>
      </c>
      <c r="BA48" s="983">
        <v>1</v>
      </c>
      <c r="BB48" s="983"/>
      <c r="BC48" s="977">
        <v>0</v>
      </c>
      <c r="BD48" s="977">
        <v>0</v>
      </c>
      <c r="BE48" s="983"/>
      <c r="BF48" s="983"/>
      <c r="BG48" s="972">
        <f>_xlfn.XLOOKUP('Pasport1 NetAcad zdroj4'!$A48,'[5]Pasport1 Akademie'!$B$2:$B$62,'[5]Pasport1 Akademie'!AY$2:AY$62,"zle")</f>
        <v>5</v>
      </c>
      <c r="BH48" s="972">
        <f>_xlfn.XLOOKUP('Pasport1 NetAcad zdroj4'!$A48,'[5]Pasport1 Akademie'!$B$2:$B$62,'[5]Pasport1 Akademie'!AZ$2:AZ$62,"zle")</f>
        <v>3</v>
      </c>
      <c r="BI48" s="972">
        <f>_xlfn.XLOOKUP('Pasport1 NetAcad zdroj4'!$A48,'[5]Pasport1 Akademie'!$B$2:$B$62,'[5]Pasport1 Akademie'!BA$2:BA$62,"zle")</f>
        <v>2</v>
      </c>
      <c r="BJ48" s="972">
        <f>_xlfn.XLOOKUP('Pasport1 NetAcad zdroj4'!$A48,'[5]Pasport1 Akademie'!$B$2:$B$62,'[5]Pasport1 Akademie'!BB$2:BB$62,"zle")</f>
        <v>6</v>
      </c>
      <c r="BK48" s="972">
        <f>_xlfn.XLOOKUP('Pasport1 NetAcad zdroj4'!$A48,'[5]Pasport1 Akademie'!$B$2:$B$62,'[5]Pasport1 Akademie'!AZ$2:AZ$62,"zle")</f>
        <v>3</v>
      </c>
      <c r="BL48" s="972">
        <f>_xlfn.XLOOKUP('Pasport1 NetAcad zdroj4'!$A48,'[5]Pasport1 Akademie'!$B$2:$B$62,'[5]Pasport1 Akademie'!BD$2:BD$62,"zle")</f>
        <v>5</v>
      </c>
      <c r="BM48" s="972">
        <f>_xlfn.XLOOKUP('Pasport1 NetAcad zdroj4'!$A48,'[5]Pasport1 Akademie'!$B$2:$B$62,'[5]Pasport1 Akademie'!BC$2:BC$62,"zle")</f>
        <v>4</v>
      </c>
      <c r="BN48" s="996" t="s">
        <v>4904</v>
      </c>
      <c r="BO48" s="1069" t="s">
        <v>4905</v>
      </c>
      <c r="BP48" s="1069" t="s">
        <v>4906</v>
      </c>
      <c r="BQ48" s="1104" t="s">
        <v>4907</v>
      </c>
      <c r="BR48" s="1069" t="s">
        <v>4908</v>
      </c>
      <c r="BS48" s="917"/>
      <c r="BT48" s="1070"/>
      <c r="BU48" s="1031">
        <v>57</v>
      </c>
      <c r="BW48" s="773" t="str">
        <f>_xlfn.XLOOKUP(A48,'[4]Sub-analyza3 - zadania kvality'!A:A,'[4]Sub-analyza3 - zadania kvality'!F:F,"Nenašlo sa")</f>
        <v xml:space="preserve">Gymnázium Šrobárova </v>
      </c>
    </row>
    <row r="49" spans="1:75" ht="15.75" customHeight="1" x14ac:dyDescent="0.2">
      <c r="A49" s="916" t="s">
        <v>3909</v>
      </c>
      <c r="B49" s="987">
        <v>100011452</v>
      </c>
      <c r="C49" s="987">
        <v>161705</v>
      </c>
      <c r="D49" s="988" t="s">
        <v>4304</v>
      </c>
      <c r="E49" s="988" t="s">
        <v>4909</v>
      </c>
      <c r="F49" s="988" t="s">
        <v>4812</v>
      </c>
      <c r="G49" s="972" t="s">
        <v>4560</v>
      </c>
      <c r="H49" s="972" t="s">
        <v>4586</v>
      </c>
      <c r="I49" s="920" t="s">
        <v>4562</v>
      </c>
      <c r="J49" s="920">
        <v>1</v>
      </c>
      <c r="K49" s="918" t="s">
        <v>4562</v>
      </c>
      <c r="L49" s="974" t="s">
        <v>4563</v>
      </c>
      <c r="M49" s="918"/>
      <c r="N49" s="1101">
        <v>6.7</v>
      </c>
      <c r="O49" s="1071" t="s">
        <v>4573</v>
      </c>
      <c r="P49" s="1071" t="s">
        <v>4605</v>
      </c>
      <c r="Q49" s="999"/>
      <c r="R49" s="1017">
        <v>406</v>
      </c>
      <c r="S49" s="977">
        <v>40</v>
      </c>
      <c r="T49" s="977">
        <v>380</v>
      </c>
      <c r="U49" s="977">
        <v>150</v>
      </c>
      <c r="V49" s="977">
        <v>100</v>
      </c>
      <c r="W49" s="977">
        <v>25</v>
      </c>
      <c r="X49" s="1061">
        <f t="shared" si="2"/>
        <v>0.17001675041876047</v>
      </c>
      <c r="Y49" s="978">
        <f t="shared" si="1"/>
        <v>0.23622047244094488</v>
      </c>
      <c r="Z49" s="993"/>
      <c r="AA49" s="1000">
        <f>_xlfn.XLOOKUP(A49,'[4]Sub-analyza3 - zadania kvality'!$A:$A,'[4]Sub-analyza3 - zadania kvality'!$K:$K,"Nenašlo sa")</f>
        <v>2.2799999999999998</v>
      </c>
      <c r="AB49" s="1071" t="s">
        <v>3860</v>
      </c>
      <c r="AC49" s="1009" t="s">
        <v>4704</v>
      </c>
      <c r="AD49" s="982">
        <v>1</v>
      </c>
      <c r="AE49" s="977">
        <v>2</v>
      </c>
      <c r="AF49" s="983"/>
      <c r="AG49" s="977">
        <v>1</v>
      </c>
      <c r="AH49" s="977">
        <v>18</v>
      </c>
      <c r="AI49" s="983">
        <v>1</v>
      </c>
      <c r="AJ49" s="983">
        <v>18</v>
      </c>
      <c r="AK49" s="977"/>
      <c r="AL49" s="977"/>
      <c r="AM49" s="983"/>
      <c r="AN49" s="983"/>
      <c r="AO49" s="977"/>
      <c r="AP49" s="977"/>
      <c r="AQ49" s="977"/>
      <c r="AR49" s="983"/>
      <c r="AS49" s="983"/>
      <c r="AT49" s="983"/>
      <c r="AU49" s="1001">
        <v>1</v>
      </c>
      <c r="AV49" s="1001">
        <v>18</v>
      </c>
      <c r="AW49" s="983">
        <v>1</v>
      </c>
      <c r="AX49" s="983"/>
      <c r="AY49" s="977">
        <v>0</v>
      </c>
      <c r="AZ49" s="977">
        <v>0</v>
      </c>
      <c r="BA49" s="983"/>
      <c r="BB49" s="983"/>
      <c r="BC49" s="918">
        <v>0</v>
      </c>
      <c r="BD49" s="977">
        <v>0</v>
      </c>
      <c r="BE49" s="983"/>
      <c r="BF49" s="983"/>
      <c r="BG49" s="972">
        <f>_xlfn.XLOOKUP('Pasport1 NetAcad zdroj4'!$A49,'[5]Pasport1 Akademie'!$B$2:$B$62,'[5]Pasport1 Akademie'!AY$2:AY$62,"zle")</f>
        <v>10</v>
      </c>
      <c r="BH49" s="972">
        <f>_xlfn.XLOOKUP('Pasport1 NetAcad zdroj4'!$A49,'[5]Pasport1 Akademie'!$B$2:$B$62,'[5]Pasport1 Akademie'!AZ$2:AZ$62,"zle")</f>
        <v>6</v>
      </c>
      <c r="BI49" s="972">
        <f>_xlfn.XLOOKUP('Pasport1 NetAcad zdroj4'!$A49,'[5]Pasport1 Akademie'!$B$2:$B$62,'[5]Pasport1 Akademie'!BA$2:BA$62,"zle")</f>
        <v>6</v>
      </c>
      <c r="BJ49" s="972">
        <f>_xlfn.XLOOKUP('Pasport1 NetAcad zdroj4'!$A49,'[5]Pasport1 Akademie'!$B$2:$B$62,'[5]Pasport1 Akademie'!BB$2:BB$62,"zle")</f>
        <v>6</v>
      </c>
      <c r="BK49" s="972">
        <f>_xlfn.XLOOKUP('Pasport1 NetAcad zdroj4'!$A49,'[5]Pasport1 Akademie'!$B$2:$B$62,'[5]Pasport1 Akademie'!AZ$2:AZ$62,"zle")</f>
        <v>6</v>
      </c>
      <c r="BL49" s="972">
        <f>_xlfn.XLOOKUP('Pasport1 NetAcad zdroj4'!$A49,'[5]Pasport1 Akademie'!$B$2:$B$62,'[5]Pasport1 Akademie'!BD$2:BD$62,"zle")</f>
        <v>5</v>
      </c>
      <c r="BM49" s="972">
        <f>_xlfn.XLOOKUP('Pasport1 NetAcad zdroj4'!$A49,'[5]Pasport1 Akademie'!$B$2:$B$62,'[5]Pasport1 Akademie'!BC$2:BC$62,"zle")</f>
        <v>5</v>
      </c>
      <c r="BN49" s="996" t="s">
        <v>4910</v>
      </c>
      <c r="BO49" s="1105" t="s">
        <v>4911</v>
      </c>
      <c r="BP49" s="1105"/>
      <c r="BQ49" s="1104"/>
      <c r="BR49" s="1105"/>
      <c r="BS49" s="1104" t="s">
        <v>4912</v>
      </c>
      <c r="BT49" s="1106" t="s">
        <v>4913</v>
      </c>
      <c r="BU49" s="1096">
        <v>58</v>
      </c>
      <c r="BW49" s="773" t="str">
        <f>_xlfn.XLOOKUP(A49,'[4]Sub-analyza3 - zadania kvality'!A:A,'[4]Sub-analyza3 - zadania kvality'!F:F,"Nenašlo sa")</f>
        <v>Stredná priemyselná škola technická</v>
      </c>
    </row>
    <row r="50" spans="1:75" s="1049" customFormat="1" ht="15.75" customHeight="1" x14ac:dyDescent="0.2">
      <c r="A50" s="1050">
        <v>17055377</v>
      </c>
      <c r="B50" s="1050">
        <v>100009163</v>
      </c>
      <c r="C50" s="1050">
        <v>17055377</v>
      </c>
      <c r="D50" s="1051" t="s">
        <v>4296</v>
      </c>
      <c r="E50" s="1051" t="s">
        <v>4297</v>
      </c>
      <c r="F50" s="1051" t="s">
        <v>4559</v>
      </c>
      <c r="G50" s="1034" t="s">
        <v>4560</v>
      </c>
      <c r="H50" s="1034" t="s">
        <v>4561</v>
      </c>
      <c r="I50" s="1035" t="s">
        <v>4562</v>
      </c>
      <c r="J50" s="1035">
        <v>1</v>
      </c>
      <c r="K50" s="1013" t="s">
        <v>4562</v>
      </c>
      <c r="L50" s="1013" t="s">
        <v>4626</v>
      </c>
      <c r="M50" s="1013"/>
      <c r="N50" s="1037">
        <v>6</v>
      </c>
      <c r="O50" s="1035"/>
      <c r="P50" s="1035"/>
      <c r="Q50" s="1035"/>
      <c r="R50" s="1036">
        <v>377</v>
      </c>
      <c r="S50" s="1001">
        <v>2</v>
      </c>
      <c r="T50" s="1001">
        <v>307</v>
      </c>
      <c r="U50" s="1001">
        <v>76</v>
      </c>
      <c r="V50" s="1001">
        <v>78</v>
      </c>
      <c r="W50" s="1001">
        <v>21</v>
      </c>
      <c r="X50" s="1038">
        <f t="shared" si="2"/>
        <v>0.15787269681742044</v>
      </c>
      <c r="Y50" s="1039">
        <f t="shared" si="1"/>
        <v>0.11968503937007874</v>
      </c>
      <c r="Z50" s="1040" t="s">
        <v>4639</v>
      </c>
      <c r="AA50" s="1056" t="s">
        <v>4695</v>
      </c>
      <c r="AB50" s="1035" t="s">
        <v>3860</v>
      </c>
      <c r="AC50" s="1042"/>
      <c r="AD50" s="1043">
        <v>1</v>
      </c>
      <c r="AE50" s="1001">
        <v>5</v>
      </c>
      <c r="AF50" s="1012"/>
      <c r="AG50" s="1001">
        <v>1</v>
      </c>
      <c r="AH50" s="1001">
        <v>12</v>
      </c>
      <c r="AI50" s="1012">
        <v>1</v>
      </c>
      <c r="AJ50" s="1012">
        <v>12</v>
      </c>
      <c r="AK50" s="1001"/>
      <c r="AL50" s="1001"/>
      <c r="AM50" s="1012"/>
      <c r="AN50" s="1012"/>
      <c r="AO50" s="1001">
        <v>1</v>
      </c>
      <c r="AP50" s="1001">
        <v>12</v>
      </c>
      <c r="AQ50" s="1001">
        <v>1</v>
      </c>
      <c r="AR50" s="1012"/>
      <c r="AS50" s="1012">
        <v>1</v>
      </c>
      <c r="AT50" s="1012"/>
      <c r="AU50" s="1001">
        <v>1</v>
      </c>
      <c r="AV50" s="1001">
        <v>12</v>
      </c>
      <c r="AW50" s="1012"/>
      <c r="AX50" s="1012"/>
      <c r="AY50" s="1001">
        <v>1</v>
      </c>
      <c r="AZ50" s="1001">
        <v>12</v>
      </c>
      <c r="BA50" s="1012"/>
      <c r="BB50" s="1012"/>
      <c r="BC50" s="1001">
        <v>1</v>
      </c>
      <c r="BD50" s="1001">
        <v>12</v>
      </c>
      <c r="BE50" s="1012"/>
      <c r="BF50" s="1012"/>
      <c r="BG50" s="1034">
        <f>_xlfn.XLOOKUP('Pasport1 NetAcad zdroj4'!$A50,'[5]Pasport1 Akademie'!$B$2:$B$62,'[5]Pasport1 Akademie'!AY$2:AY$62,"zle")</f>
        <v>10</v>
      </c>
      <c r="BH50" s="1034">
        <f>_xlfn.XLOOKUP('Pasport1 NetAcad zdroj4'!$A50,'[5]Pasport1 Akademie'!$B$2:$B$62,'[5]Pasport1 Akademie'!AZ$2:AZ$62,"zle")</f>
        <v>6</v>
      </c>
      <c r="BI50" s="1034">
        <f>_xlfn.XLOOKUP('Pasport1 NetAcad zdroj4'!$A50,'[5]Pasport1 Akademie'!$B$2:$B$62,'[5]Pasport1 Akademie'!BA$2:BA$62,"zle")</f>
        <v>2</v>
      </c>
      <c r="BJ50" s="1034">
        <f>_xlfn.XLOOKUP('Pasport1 NetAcad zdroj4'!$A50,'[5]Pasport1 Akademie'!$B$2:$B$62,'[5]Pasport1 Akademie'!BB$2:BB$62,"zle")</f>
        <v>15</v>
      </c>
      <c r="BK50" s="1034">
        <f>_xlfn.XLOOKUP('Pasport1 NetAcad zdroj4'!$A50,'[5]Pasport1 Akademie'!$B$2:$B$62,'[5]Pasport1 Akademie'!AZ$2:AZ$62,"zle")</f>
        <v>6</v>
      </c>
      <c r="BL50" s="1034">
        <f>_xlfn.XLOOKUP('Pasport1 NetAcad zdroj4'!$A50,'[5]Pasport1 Akademie'!$B$2:$B$62,'[5]Pasport1 Akademie'!BD$2:BD$62,"zle")</f>
        <v>15</v>
      </c>
      <c r="BM50" s="1034">
        <f>_xlfn.XLOOKUP('Pasport1 NetAcad zdroj4'!$A50,'[5]Pasport1 Akademie'!$B$2:$B$62,'[5]Pasport1 Akademie'!BC$2:BC$62,"zle")</f>
        <v>6</v>
      </c>
      <c r="BN50" s="1044" t="s">
        <v>4914</v>
      </c>
      <c r="BO50" s="1046" t="s">
        <v>4915</v>
      </c>
      <c r="BP50" s="1046" t="s">
        <v>4915</v>
      </c>
      <c r="BQ50" s="1033"/>
      <c r="BR50" s="1046"/>
      <c r="BS50" s="1033" t="s">
        <v>4916</v>
      </c>
      <c r="BT50" s="1047" t="s">
        <v>4917</v>
      </c>
      <c r="BU50" s="1093">
        <v>59</v>
      </c>
      <c r="BW50" s="1049" t="str">
        <f>_xlfn.XLOOKUP(A50,'[4]Sub-analyza3 - zadania kvality'!A:A,'[4]Sub-analyza3 - zadania kvality'!F:F,"Nenašlo sa")</f>
        <v>A3</v>
      </c>
    </row>
    <row r="51" spans="1:75" ht="15.75" customHeight="1" x14ac:dyDescent="0.2">
      <c r="A51" s="987">
        <v>51906201</v>
      </c>
      <c r="B51" s="987">
        <v>100018505</v>
      </c>
      <c r="C51" s="987">
        <v>51906201</v>
      </c>
      <c r="D51" s="988" t="s">
        <v>4918</v>
      </c>
      <c r="E51" s="988" t="s">
        <v>4919</v>
      </c>
      <c r="F51" s="988" t="s">
        <v>4920</v>
      </c>
      <c r="G51" s="972" t="s">
        <v>4560</v>
      </c>
      <c r="H51" s="972" t="s">
        <v>4561</v>
      </c>
      <c r="I51" s="920" t="s">
        <v>4562</v>
      </c>
      <c r="J51" s="920">
        <v>1</v>
      </c>
      <c r="K51" s="918" t="s">
        <v>4562</v>
      </c>
      <c r="L51" s="1013" t="s">
        <v>4626</v>
      </c>
      <c r="M51" s="974" t="s">
        <v>4561</v>
      </c>
      <c r="N51" s="1101">
        <v>6.9</v>
      </c>
      <c r="O51" s="920"/>
      <c r="P51" s="920"/>
      <c r="Q51" s="999" t="s">
        <v>4694</v>
      </c>
      <c r="R51" s="1017">
        <v>718</v>
      </c>
      <c r="S51" s="977">
        <v>45</v>
      </c>
      <c r="T51" s="977">
        <v>710</v>
      </c>
      <c r="U51" s="977">
        <v>432</v>
      </c>
      <c r="V51" s="977">
        <v>195</v>
      </c>
      <c r="W51" s="977">
        <v>28</v>
      </c>
      <c r="X51" s="1102">
        <f t="shared" si="2"/>
        <v>0.30067001675041877</v>
      </c>
      <c r="Y51" s="992">
        <f t="shared" si="1"/>
        <v>0.68031496062992125</v>
      </c>
      <c r="Z51" s="994" t="s">
        <v>4628</v>
      </c>
      <c r="AA51" s="979">
        <f>_xlfn.XLOOKUP(A51,'[4]Sub-analyza3 - zadania kvality'!$A:$A,'[4]Sub-analyza3 - zadania kvality'!$K:$K,"Nenašlo sa")</f>
        <v>1.2222222222222223</v>
      </c>
      <c r="AB51" s="991" t="s">
        <v>3876</v>
      </c>
      <c r="AC51" s="1009" t="s">
        <v>4704</v>
      </c>
      <c r="AD51" s="982">
        <v>1</v>
      </c>
      <c r="AE51" s="977">
        <v>5</v>
      </c>
      <c r="AF51" s="983"/>
      <c r="AG51" s="977">
        <v>2</v>
      </c>
      <c r="AH51" s="977">
        <v>15</v>
      </c>
      <c r="AI51" s="983">
        <v>2</v>
      </c>
      <c r="AJ51" s="983">
        <v>30</v>
      </c>
      <c r="AK51" s="977">
        <v>1</v>
      </c>
      <c r="AL51" s="977">
        <v>15</v>
      </c>
      <c r="AM51" s="983">
        <v>1</v>
      </c>
      <c r="AN51" s="983">
        <v>15</v>
      </c>
      <c r="AO51" s="977"/>
      <c r="AP51" s="977"/>
      <c r="AQ51" s="977"/>
      <c r="AR51" s="983"/>
      <c r="AS51" s="983">
        <v>1</v>
      </c>
      <c r="AT51" s="983"/>
      <c r="AU51" s="977">
        <v>0</v>
      </c>
      <c r="AV51" s="977">
        <v>0</v>
      </c>
      <c r="AW51" s="983"/>
      <c r="AX51" s="983"/>
      <c r="AY51" s="977">
        <v>2</v>
      </c>
      <c r="AZ51" s="977">
        <v>30</v>
      </c>
      <c r="BA51" s="983"/>
      <c r="BB51" s="983"/>
      <c r="BC51" s="977">
        <v>0</v>
      </c>
      <c r="BD51" s="977">
        <v>0</v>
      </c>
      <c r="BE51" s="983"/>
      <c r="BF51" s="983"/>
      <c r="BG51" s="972">
        <f>_xlfn.XLOOKUP('Pasport1 NetAcad zdroj4'!$A51,'[5]Pasport1 Akademie'!$B$2:$B$62,'[5]Pasport1 Akademie'!AY$2:AY$62,"zle")</f>
        <v>10</v>
      </c>
      <c r="BH51" s="972">
        <f>_xlfn.XLOOKUP('Pasport1 NetAcad zdroj4'!$A51,'[5]Pasport1 Akademie'!$B$2:$B$62,'[5]Pasport1 Akademie'!AZ$2:AZ$62,"zle")</f>
        <v>6</v>
      </c>
      <c r="BI51" s="972">
        <f>_xlfn.XLOOKUP('Pasport1 NetAcad zdroj4'!$A51,'[5]Pasport1 Akademie'!$B$2:$B$62,'[5]Pasport1 Akademie'!BA$2:BA$62,"zle")</f>
        <v>2</v>
      </c>
      <c r="BJ51" s="972">
        <f>_xlfn.XLOOKUP('Pasport1 NetAcad zdroj4'!$A51,'[5]Pasport1 Akademie'!$B$2:$B$62,'[5]Pasport1 Akademie'!BB$2:BB$62,"zle")</f>
        <v>9</v>
      </c>
      <c r="BK51" s="972">
        <f>_xlfn.XLOOKUP('Pasport1 NetAcad zdroj4'!$A51,'[5]Pasport1 Akademie'!$B$2:$B$62,'[5]Pasport1 Akademie'!AZ$2:AZ$62,"zle")</f>
        <v>6</v>
      </c>
      <c r="BL51" s="972">
        <f>_xlfn.XLOOKUP('Pasport1 NetAcad zdroj4'!$A51,'[5]Pasport1 Akademie'!$B$2:$B$62,'[5]Pasport1 Akademie'!BD$2:BD$62,"zle")</f>
        <v>4</v>
      </c>
      <c r="BM51" s="972">
        <f>_xlfn.XLOOKUP('Pasport1 NetAcad zdroj4'!$A51,'[5]Pasport1 Akademie'!$B$2:$B$62,'[5]Pasport1 Akademie'!BC$2:BC$62,"zle")</f>
        <v>4</v>
      </c>
      <c r="BN51" s="996" t="s">
        <v>4921</v>
      </c>
      <c r="BO51" s="1029" t="s">
        <v>4922</v>
      </c>
      <c r="BP51" s="1029" t="s">
        <v>4923</v>
      </c>
      <c r="BQ51" s="917"/>
      <c r="BR51" s="1029"/>
      <c r="BS51" s="917" t="s">
        <v>4924</v>
      </c>
      <c r="BT51" s="1070" t="s">
        <v>4925</v>
      </c>
      <c r="BU51" s="1031">
        <v>60</v>
      </c>
      <c r="BW51" s="773" t="str">
        <f>_xlfn.XLOOKUP(A51,'[4]Sub-analyza3 - zadania kvality'!A:A,'[4]Sub-analyza3 - zadania kvality'!F:F,"Nenašlo sa")</f>
        <v>Stredná priemyselná škola informačných technológií</v>
      </c>
    </row>
    <row r="52" spans="1:75" ht="15.75" customHeight="1" x14ac:dyDescent="0.2">
      <c r="A52" s="916" t="s">
        <v>4073</v>
      </c>
      <c r="B52" s="987">
        <v>100014610</v>
      </c>
      <c r="C52" s="987">
        <v>161756</v>
      </c>
      <c r="D52" s="988" t="s">
        <v>4926</v>
      </c>
      <c r="E52" s="988" t="s">
        <v>4927</v>
      </c>
      <c r="F52" s="988" t="s">
        <v>4724</v>
      </c>
      <c r="G52" s="972" t="s">
        <v>4560</v>
      </c>
      <c r="H52" s="972" t="s">
        <v>4649</v>
      </c>
      <c r="I52" s="920" t="s">
        <v>4562</v>
      </c>
      <c r="J52" s="920">
        <v>1</v>
      </c>
      <c r="K52" s="918" t="s">
        <v>4562</v>
      </c>
      <c r="L52" s="1013" t="s">
        <v>4626</v>
      </c>
      <c r="M52" s="974" t="s">
        <v>4649</v>
      </c>
      <c r="N52" s="1101">
        <v>8.1999999999999993</v>
      </c>
      <c r="O52" s="1071" t="s">
        <v>4573</v>
      </c>
      <c r="P52" s="1071" t="s">
        <v>4627</v>
      </c>
      <c r="Q52" s="999"/>
      <c r="R52" s="1107">
        <v>827</v>
      </c>
      <c r="S52" s="977">
        <v>23</v>
      </c>
      <c r="T52" s="1001">
        <v>820</v>
      </c>
      <c r="U52" s="977">
        <v>580</v>
      </c>
      <c r="V52" s="977">
        <v>240</v>
      </c>
      <c r="W52" s="977">
        <v>10</v>
      </c>
      <c r="X52" s="1102">
        <f t="shared" si="2"/>
        <v>0.34631490787269681</v>
      </c>
      <c r="Y52" s="992">
        <f t="shared" si="1"/>
        <v>0.91338582677165359</v>
      </c>
      <c r="Z52" s="994" t="s">
        <v>4628</v>
      </c>
      <c r="AA52" s="979">
        <f>_xlfn.XLOOKUP(A52,'[4]Sub-analyza3 - zadania kvality'!$A:$A,'[4]Sub-analyza3 - zadania kvality'!$K:$K,"Nenašlo sa")</f>
        <v>1.0655172413793104</v>
      </c>
      <c r="AB52" s="991" t="s">
        <v>3876</v>
      </c>
      <c r="AC52" s="1009" t="s">
        <v>4629</v>
      </c>
      <c r="AD52" s="982">
        <v>1</v>
      </c>
      <c r="AE52" s="977">
        <v>1</v>
      </c>
      <c r="AF52" s="983"/>
      <c r="AG52" s="977">
        <v>1</v>
      </c>
      <c r="AH52" s="977">
        <v>16</v>
      </c>
      <c r="AI52" s="983">
        <v>1</v>
      </c>
      <c r="AJ52" s="983">
        <v>16</v>
      </c>
      <c r="AK52" s="977"/>
      <c r="AL52" s="977"/>
      <c r="AM52" s="983"/>
      <c r="AN52" s="983"/>
      <c r="AO52" s="977"/>
      <c r="AP52" s="977"/>
      <c r="AQ52" s="977"/>
      <c r="AR52" s="983"/>
      <c r="AS52" s="983">
        <v>1</v>
      </c>
      <c r="AT52" s="983"/>
      <c r="AU52" s="977">
        <v>0</v>
      </c>
      <c r="AV52" s="977">
        <v>0</v>
      </c>
      <c r="AW52" s="983"/>
      <c r="AX52" s="983"/>
      <c r="AY52" s="977">
        <v>0</v>
      </c>
      <c r="AZ52" s="977">
        <v>0</v>
      </c>
      <c r="BA52" s="983"/>
      <c r="BB52" s="983"/>
      <c r="BC52" s="977">
        <v>0</v>
      </c>
      <c r="BD52" s="977">
        <v>0</v>
      </c>
      <c r="BE52" s="983"/>
      <c r="BF52" s="983"/>
      <c r="BG52" s="972">
        <f>_xlfn.XLOOKUP('Pasport1 NetAcad zdroj4'!$A52,'[5]Pasport1 Akademie'!$B$2:$B$62,'[5]Pasport1 Akademie'!AY$2:AY$62,"zle")</f>
        <v>10</v>
      </c>
      <c r="BH52" s="972">
        <f>_xlfn.XLOOKUP('Pasport1 NetAcad zdroj4'!$A52,'[5]Pasport1 Akademie'!$B$2:$B$62,'[5]Pasport1 Akademie'!AZ$2:AZ$62,"zle")</f>
        <v>6</v>
      </c>
      <c r="BI52" s="972">
        <f>_xlfn.XLOOKUP('Pasport1 NetAcad zdroj4'!$A52,'[5]Pasport1 Akademie'!$B$2:$B$62,'[5]Pasport1 Akademie'!BA$2:BA$62,"zle")</f>
        <v>4</v>
      </c>
      <c r="BJ52" s="972">
        <f>_xlfn.XLOOKUP('Pasport1 NetAcad zdroj4'!$A52,'[5]Pasport1 Akademie'!$B$2:$B$62,'[5]Pasport1 Akademie'!BB$2:BB$62,"zle")</f>
        <v>12</v>
      </c>
      <c r="BK52" s="972">
        <f>_xlfn.XLOOKUP('Pasport1 NetAcad zdroj4'!$A52,'[5]Pasport1 Akademie'!$B$2:$B$62,'[5]Pasport1 Akademie'!AZ$2:AZ$62,"zle")</f>
        <v>6</v>
      </c>
      <c r="BL52" s="972">
        <f>_xlfn.XLOOKUP('Pasport1 NetAcad zdroj4'!$A52,'[5]Pasport1 Akademie'!$B$2:$B$62,'[5]Pasport1 Akademie'!BD$2:BD$62,"zle")</f>
        <v>4</v>
      </c>
      <c r="BM52" s="972">
        <f>_xlfn.XLOOKUP('Pasport1 NetAcad zdroj4'!$A52,'[5]Pasport1 Akademie'!$B$2:$B$62,'[5]Pasport1 Akademie'!BC$2:BC$62,"zle")</f>
        <v>3</v>
      </c>
      <c r="BN52" s="996" t="s">
        <v>4928</v>
      </c>
      <c r="BO52" s="1108" t="s">
        <v>4929</v>
      </c>
      <c r="BP52" s="1108"/>
      <c r="BQ52" s="917"/>
      <c r="BR52" s="1108"/>
      <c r="BS52" s="917" t="s">
        <v>4930</v>
      </c>
      <c r="BT52" s="1109" t="s">
        <v>4931</v>
      </c>
      <c r="BU52" s="1031">
        <v>63</v>
      </c>
      <c r="BW52" s="773" t="str">
        <f>_xlfn.XLOOKUP(A52,'[4]Sub-analyza3 - zadania kvality'!A:A,'[4]Sub-analyza3 - zadania kvality'!F:F,"Nenašlo sa")</f>
        <v>Stredná priemyselná škola elektrotechnická Košice</v>
      </c>
    </row>
    <row r="53" spans="1:75" s="1049" customFormat="1" ht="15.75" customHeight="1" x14ac:dyDescent="0.2">
      <c r="A53" s="1050">
        <v>36088978</v>
      </c>
      <c r="B53" s="1050">
        <v>100002732</v>
      </c>
      <c r="C53" s="1050">
        <v>36088978</v>
      </c>
      <c r="D53" s="1051" t="s">
        <v>4298</v>
      </c>
      <c r="E53" s="1051" t="s">
        <v>4299</v>
      </c>
      <c r="F53" s="1051" t="s">
        <v>4932</v>
      </c>
      <c r="G53" s="1034" t="s">
        <v>4560</v>
      </c>
      <c r="H53" s="1034" t="s">
        <v>4571</v>
      </c>
      <c r="I53" s="1035" t="s">
        <v>4562</v>
      </c>
      <c r="J53" s="1035">
        <v>1</v>
      </c>
      <c r="K53" s="1013" t="s">
        <v>4562</v>
      </c>
      <c r="L53" s="1013" t="s">
        <v>4563</v>
      </c>
      <c r="M53" s="1013"/>
      <c r="N53" s="1037"/>
      <c r="O53" s="1035"/>
      <c r="P53" s="1035"/>
      <c r="Q53" s="1035"/>
      <c r="R53" s="1036">
        <v>239</v>
      </c>
      <c r="S53" s="1001">
        <v>88</v>
      </c>
      <c r="T53" s="1001">
        <v>280</v>
      </c>
      <c r="U53" s="1001">
        <v>105</v>
      </c>
      <c r="V53" s="1001">
        <v>0</v>
      </c>
      <c r="W53" s="1001">
        <v>10</v>
      </c>
      <c r="X53" s="1038">
        <f t="shared" si="2"/>
        <v>0.10008375209380234</v>
      </c>
      <c r="Y53" s="1039">
        <f t="shared" si="1"/>
        <v>0.16535433070866143</v>
      </c>
      <c r="Z53" s="1040"/>
      <c r="AA53" s="1056" t="s">
        <v>4695</v>
      </c>
      <c r="AB53" s="1035" t="s">
        <v>3860</v>
      </c>
      <c r="AC53" s="1042"/>
      <c r="AD53" s="1043">
        <v>1</v>
      </c>
      <c r="AE53" s="1001">
        <v>5</v>
      </c>
      <c r="AF53" s="1012"/>
      <c r="AG53" s="1001">
        <v>1</v>
      </c>
      <c r="AH53" s="1001">
        <v>25</v>
      </c>
      <c r="AI53" s="1012">
        <v>1</v>
      </c>
      <c r="AJ53" s="1012">
        <v>25</v>
      </c>
      <c r="AK53" s="1001">
        <v>1</v>
      </c>
      <c r="AL53" s="1001">
        <v>25</v>
      </c>
      <c r="AM53" s="1012"/>
      <c r="AN53" s="1012"/>
      <c r="AO53" s="1001">
        <v>1</v>
      </c>
      <c r="AP53" s="1001">
        <v>25</v>
      </c>
      <c r="AQ53" s="1001">
        <v>0</v>
      </c>
      <c r="AR53" s="1012"/>
      <c r="AS53" s="1012"/>
      <c r="AT53" s="1012"/>
      <c r="AU53" s="1001">
        <v>1</v>
      </c>
      <c r="AV53" s="1001">
        <v>25</v>
      </c>
      <c r="AW53" s="1012"/>
      <c r="AX53" s="1012"/>
      <c r="AY53" s="1001">
        <v>1</v>
      </c>
      <c r="AZ53" s="1001">
        <v>25</v>
      </c>
      <c r="BA53" s="1012"/>
      <c r="BB53" s="1012"/>
      <c r="BC53" s="1001">
        <v>0</v>
      </c>
      <c r="BD53" s="1001">
        <v>0</v>
      </c>
      <c r="BE53" s="1012"/>
      <c r="BF53" s="1012"/>
      <c r="BG53" s="1034">
        <f>_xlfn.XLOOKUP('Pasport1 NetAcad zdroj4'!$A53,'[5]Pasport1 Akademie'!$B$2:$B$62,'[5]Pasport1 Akademie'!AY$2:AY$62,"zle")</f>
        <v>7</v>
      </c>
      <c r="BH53" s="1034">
        <f>_xlfn.XLOOKUP('Pasport1 NetAcad zdroj4'!$A53,'[5]Pasport1 Akademie'!$B$2:$B$62,'[5]Pasport1 Akademie'!AZ$2:AZ$62,"zle")</f>
        <v>6</v>
      </c>
      <c r="BI53" s="1034">
        <f>_xlfn.XLOOKUP('Pasport1 NetAcad zdroj4'!$A53,'[5]Pasport1 Akademie'!$B$2:$B$62,'[5]Pasport1 Akademie'!BA$2:BA$62,"zle")</f>
        <v>5</v>
      </c>
      <c r="BJ53" s="1034">
        <f>_xlfn.XLOOKUP('Pasport1 NetAcad zdroj4'!$A53,'[5]Pasport1 Akademie'!$B$2:$B$62,'[5]Pasport1 Akademie'!BB$2:BB$62,"zle")</f>
        <v>10</v>
      </c>
      <c r="BK53" s="1034">
        <f>_xlfn.XLOOKUP('Pasport1 NetAcad zdroj4'!$A53,'[5]Pasport1 Akademie'!$B$2:$B$62,'[5]Pasport1 Akademie'!AZ$2:AZ$62,"zle")</f>
        <v>6</v>
      </c>
      <c r="BL53" s="1034">
        <f>_xlfn.XLOOKUP('Pasport1 NetAcad zdroj4'!$A53,'[5]Pasport1 Akademie'!$B$2:$B$62,'[5]Pasport1 Akademie'!BD$2:BD$62,"zle")</f>
        <v>5</v>
      </c>
      <c r="BM53" s="1034">
        <f>_xlfn.XLOOKUP('Pasport1 NetAcad zdroj4'!$A53,'[5]Pasport1 Akademie'!$B$2:$B$62,'[5]Pasport1 Akademie'!BC$2:BC$62,"zle")</f>
        <v>6</v>
      </c>
      <c r="BN53" s="1044" t="s">
        <v>4933</v>
      </c>
      <c r="BO53" s="1046" t="s">
        <v>4934</v>
      </c>
      <c r="BP53" s="1046" t="s">
        <v>4935</v>
      </c>
      <c r="BQ53" s="1033"/>
      <c r="BR53" s="1046"/>
      <c r="BS53" s="1033"/>
      <c r="BT53" s="1047"/>
      <c r="BU53" s="1093">
        <v>64</v>
      </c>
      <c r="BW53" s="1049" t="str">
        <f>_xlfn.XLOOKUP(A53,'[4]Sub-analyza3 - zadania kvality'!A:A,'[4]Sub-analyza3 - zadania kvality'!F:F,"Nenašlo sa")</f>
        <v>A3</v>
      </c>
    </row>
    <row r="54" spans="1:75" ht="15.75" customHeight="1" x14ac:dyDescent="0.2">
      <c r="A54" s="916" t="s">
        <v>4100</v>
      </c>
      <c r="B54" s="987">
        <v>100013363</v>
      </c>
      <c r="C54" s="987">
        <v>161721</v>
      </c>
      <c r="D54" s="988" t="s">
        <v>4314</v>
      </c>
      <c r="E54" s="988" t="s">
        <v>4936</v>
      </c>
      <c r="F54" s="988" t="s">
        <v>4937</v>
      </c>
      <c r="G54" s="972" t="s">
        <v>4560</v>
      </c>
      <c r="H54" s="972" t="s">
        <v>4586</v>
      </c>
      <c r="I54" s="920" t="s">
        <v>4562</v>
      </c>
      <c r="J54" s="920">
        <v>1</v>
      </c>
      <c r="K54" s="918" t="s">
        <v>4562</v>
      </c>
      <c r="L54" s="918" t="s">
        <v>4563</v>
      </c>
      <c r="M54" s="918"/>
      <c r="N54" s="1026"/>
      <c r="O54" s="920"/>
      <c r="P54" s="920"/>
      <c r="Q54" s="999" t="s">
        <v>4694</v>
      </c>
      <c r="R54" s="1017">
        <v>218</v>
      </c>
      <c r="S54" s="977">
        <v>18</v>
      </c>
      <c r="T54" s="977">
        <v>240</v>
      </c>
      <c r="U54" s="977">
        <v>150</v>
      </c>
      <c r="V54" s="977">
        <v>150</v>
      </c>
      <c r="W54" s="977">
        <v>20</v>
      </c>
      <c r="X54" s="1061">
        <f t="shared" si="2"/>
        <v>9.1289782244556111E-2</v>
      </c>
      <c r="Y54" s="978">
        <f t="shared" si="1"/>
        <v>0.23622047244094488</v>
      </c>
      <c r="Z54" s="993"/>
      <c r="AA54" s="979">
        <f>_xlfn.XLOOKUP(A54,'[4]Sub-analyza3 - zadania kvality'!$A:$A,'[4]Sub-analyza3 - zadania kvality'!$K:$K,"Nenašlo sa")</f>
        <v>1</v>
      </c>
      <c r="AB54" s="920" t="s">
        <v>3860</v>
      </c>
      <c r="AC54" s="1009" t="s">
        <v>4938</v>
      </c>
      <c r="AD54" s="982">
        <v>1</v>
      </c>
      <c r="AE54" s="977">
        <v>3</v>
      </c>
      <c r="AF54" s="983"/>
      <c r="AG54" s="977">
        <v>3</v>
      </c>
      <c r="AH54" s="977">
        <v>36</v>
      </c>
      <c r="AI54" s="983">
        <v>2</v>
      </c>
      <c r="AJ54" s="983">
        <v>24</v>
      </c>
      <c r="AK54" s="977"/>
      <c r="AL54" s="977"/>
      <c r="AM54" s="983"/>
      <c r="AN54" s="983"/>
      <c r="AO54" s="977"/>
      <c r="AP54" s="977"/>
      <c r="AQ54" s="977"/>
      <c r="AR54" s="983"/>
      <c r="AS54" s="983"/>
      <c r="AT54" s="983"/>
      <c r="AU54" s="977">
        <v>0</v>
      </c>
      <c r="AV54" s="977">
        <v>0</v>
      </c>
      <c r="AW54" s="983"/>
      <c r="AX54" s="983"/>
      <c r="AY54" s="977">
        <v>0</v>
      </c>
      <c r="AZ54" s="977">
        <v>0</v>
      </c>
      <c r="BA54" s="983"/>
      <c r="BB54" s="983"/>
      <c r="BC54" s="977">
        <v>0</v>
      </c>
      <c r="BD54" s="977">
        <v>0</v>
      </c>
      <c r="BE54" s="983"/>
      <c r="BF54" s="983"/>
      <c r="BG54" s="972">
        <f>_xlfn.XLOOKUP('Pasport1 NetAcad zdroj4'!$A54,'[5]Pasport1 Akademie'!$B$2:$B$62,'[5]Pasport1 Akademie'!AY$2:AY$62,"zle")</f>
        <v>10</v>
      </c>
      <c r="BH54" s="972">
        <f>_xlfn.XLOOKUP('Pasport1 NetAcad zdroj4'!$A54,'[5]Pasport1 Akademie'!$B$2:$B$62,'[5]Pasport1 Akademie'!AZ$2:AZ$62,"zle")</f>
        <v>6</v>
      </c>
      <c r="BI54" s="972">
        <f>_xlfn.XLOOKUP('Pasport1 NetAcad zdroj4'!$A54,'[5]Pasport1 Akademie'!$B$2:$B$62,'[5]Pasport1 Akademie'!BA$2:BA$62,"zle")</f>
        <v>0</v>
      </c>
      <c r="BJ54" s="972">
        <f>_xlfn.XLOOKUP('Pasport1 NetAcad zdroj4'!$A54,'[5]Pasport1 Akademie'!$B$2:$B$62,'[5]Pasport1 Akademie'!BB$2:BB$62,"zle")</f>
        <v>1</v>
      </c>
      <c r="BK54" s="972">
        <f>_xlfn.XLOOKUP('Pasport1 NetAcad zdroj4'!$A54,'[5]Pasport1 Akademie'!$B$2:$B$62,'[5]Pasport1 Akademie'!AZ$2:AZ$62,"zle")</f>
        <v>6</v>
      </c>
      <c r="BL54" s="972">
        <f>_xlfn.XLOOKUP('Pasport1 NetAcad zdroj4'!$A54,'[5]Pasport1 Akademie'!$B$2:$B$62,'[5]Pasport1 Akademie'!BD$2:BD$62,"zle")</f>
        <v>3</v>
      </c>
      <c r="BM54" s="972">
        <f>_xlfn.XLOOKUP('Pasport1 NetAcad zdroj4'!$A54,'[5]Pasport1 Akademie'!$B$2:$B$62,'[5]Pasport1 Akademie'!BC$2:BC$62,"zle")</f>
        <v>6</v>
      </c>
      <c r="BN54" s="996" t="s">
        <v>4939</v>
      </c>
      <c r="BO54" s="1029" t="s">
        <v>4940</v>
      </c>
      <c r="BP54" s="1029" t="s">
        <v>4941</v>
      </c>
      <c r="BQ54" s="917"/>
      <c r="BR54" s="1029"/>
      <c r="BS54" s="917" t="s">
        <v>4942</v>
      </c>
      <c r="BT54" s="1070" t="s">
        <v>4943</v>
      </c>
      <c r="BU54" s="1031">
        <v>62</v>
      </c>
      <c r="BW54" s="773" t="str">
        <f>_xlfn.XLOOKUP(A54,'[4]Sub-analyza3 - zadania kvality'!A:A,'[4]Sub-analyza3 - zadania kvality'!F:F,"Nenašlo sa")</f>
        <v>Stredná priemyselná škola</v>
      </c>
    </row>
    <row r="55" spans="1:75" s="1049" customFormat="1" ht="15.75" customHeight="1" x14ac:dyDescent="0.2">
      <c r="A55" s="1032" t="s">
        <v>4301</v>
      </c>
      <c r="B55" s="1050">
        <v>100010008</v>
      </c>
      <c r="C55" s="1050">
        <v>160580</v>
      </c>
      <c r="D55" s="1051" t="s">
        <v>4302</v>
      </c>
      <c r="E55" s="1051" t="s">
        <v>4303</v>
      </c>
      <c r="F55" s="1051" t="s">
        <v>4944</v>
      </c>
      <c r="G55" s="1034" t="s">
        <v>4560</v>
      </c>
      <c r="H55" s="1034" t="s">
        <v>4625</v>
      </c>
      <c r="I55" s="1035" t="s">
        <v>4562</v>
      </c>
      <c r="J55" s="1035">
        <v>1</v>
      </c>
      <c r="K55" s="1013" t="s">
        <v>4593</v>
      </c>
      <c r="L55" s="1013" t="s">
        <v>4563</v>
      </c>
      <c r="M55" s="1013"/>
      <c r="N55" s="1037"/>
      <c r="O55" s="1035"/>
      <c r="P55" s="1035"/>
      <c r="Q55" s="1035" t="s">
        <v>4694</v>
      </c>
      <c r="R55" s="1036">
        <v>162</v>
      </c>
      <c r="S55" s="1001">
        <v>73</v>
      </c>
      <c r="T55" s="1001">
        <v>165</v>
      </c>
      <c r="U55" s="1001">
        <v>0</v>
      </c>
      <c r="V55" s="1001">
        <v>25</v>
      </c>
      <c r="W55" s="1001">
        <v>5</v>
      </c>
      <c r="X55" s="1038">
        <f t="shared" si="2"/>
        <v>6.78391959798995E-2</v>
      </c>
      <c r="Y55" s="1039">
        <f t="shared" si="1"/>
        <v>0</v>
      </c>
      <c r="Z55" s="1040"/>
      <c r="AA55" s="1056" t="s">
        <v>4695</v>
      </c>
      <c r="AB55" s="1035" t="s">
        <v>3867</v>
      </c>
      <c r="AC55" s="1042"/>
      <c r="AD55" s="1043">
        <v>1</v>
      </c>
      <c r="AE55" s="1001">
        <v>2</v>
      </c>
      <c r="AF55" s="1012"/>
      <c r="AG55" s="1057"/>
      <c r="AH55" s="1057"/>
      <c r="AI55" s="1012"/>
      <c r="AJ55" s="1012"/>
      <c r="AK55" s="1001">
        <v>1</v>
      </c>
      <c r="AL55" s="1001">
        <v>15</v>
      </c>
      <c r="AM55" s="1012"/>
      <c r="AN55" s="1012"/>
      <c r="AO55" s="1001">
        <v>1</v>
      </c>
      <c r="AP55" s="1001">
        <v>15</v>
      </c>
      <c r="AQ55" s="1001">
        <v>0</v>
      </c>
      <c r="AR55" s="1012"/>
      <c r="AS55" s="1012">
        <v>1</v>
      </c>
      <c r="AT55" s="1012"/>
      <c r="AU55" s="1001">
        <v>0</v>
      </c>
      <c r="AV55" s="1001">
        <v>0</v>
      </c>
      <c r="AW55" s="1012"/>
      <c r="AX55" s="1012"/>
      <c r="AY55" s="1001">
        <v>0</v>
      </c>
      <c r="AZ55" s="1001">
        <v>0</v>
      </c>
      <c r="BA55" s="1012"/>
      <c r="BB55" s="1012"/>
      <c r="BC55" s="1001">
        <v>0</v>
      </c>
      <c r="BD55" s="1001">
        <v>0</v>
      </c>
      <c r="BE55" s="1012"/>
      <c r="BF55" s="1012"/>
      <c r="BG55" s="1034">
        <f>_xlfn.XLOOKUP('Pasport1 NetAcad zdroj4'!$A55,'[5]Pasport1 Akademie'!$B$2:$B$62,'[5]Pasport1 Akademie'!AY$2:AY$62,"zle")</f>
        <v>4</v>
      </c>
      <c r="BH55" s="1034">
        <f>_xlfn.XLOOKUP('Pasport1 NetAcad zdroj4'!$A55,'[5]Pasport1 Akademie'!$B$2:$B$62,'[5]Pasport1 Akademie'!AZ$2:AZ$62,"zle")</f>
        <v>2</v>
      </c>
      <c r="BI55" s="1034">
        <f>_xlfn.XLOOKUP('Pasport1 NetAcad zdroj4'!$A55,'[5]Pasport1 Akademie'!$B$2:$B$62,'[5]Pasport1 Akademie'!BA$2:BA$62,"zle")</f>
        <v>1</v>
      </c>
      <c r="BJ55" s="1034">
        <f>_xlfn.XLOOKUP('Pasport1 NetAcad zdroj4'!$A55,'[5]Pasport1 Akademie'!$B$2:$B$62,'[5]Pasport1 Akademie'!BB$2:BB$62,"zle")</f>
        <v>2</v>
      </c>
      <c r="BK55" s="1034">
        <f>_xlfn.XLOOKUP('Pasport1 NetAcad zdroj4'!$A55,'[5]Pasport1 Akademie'!$B$2:$B$62,'[5]Pasport1 Akademie'!AZ$2:AZ$62,"zle")</f>
        <v>2</v>
      </c>
      <c r="BL55" s="1034">
        <f>_xlfn.XLOOKUP('Pasport1 NetAcad zdroj4'!$A55,'[5]Pasport1 Akademie'!$B$2:$B$62,'[5]Pasport1 Akademie'!BD$2:BD$62,"zle")</f>
        <v>2</v>
      </c>
      <c r="BM55" s="1034">
        <f>_xlfn.XLOOKUP('Pasport1 NetAcad zdroj4'!$A55,'[5]Pasport1 Akademie'!$B$2:$B$62,'[5]Pasport1 Akademie'!BC$2:BC$62,"zle")</f>
        <v>2</v>
      </c>
      <c r="BN55" s="1044" t="s">
        <v>4945</v>
      </c>
      <c r="BO55" s="1046" t="s">
        <v>4946</v>
      </c>
      <c r="BP55" s="1046"/>
      <c r="BQ55" s="1110"/>
      <c r="BR55" s="1046"/>
      <c r="BS55" s="1110"/>
      <c r="BT55" s="1047"/>
      <c r="BU55" s="1093">
        <v>66</v>
      </c>
      <c r="BW55" s="1049" t="str">
        <f>_xlfn.XLOOKUP(A55,'[4]Sub-analyza3 - zadania kvality'!A:A,'[4]Sub-analyza3 - zadania kvality'!F:F,"Nenašlo sa")</f>
        <v>B3</v>
      </c>
    </row>
    <row r="56" spans="1:75" ht="32" customHeight="1" x14ac:dyDescent="0.2">
      <c r="A56" s="916" t="s">
        <v>4030</v>
      </c>
      <c r="B56" s="987">
        <v>100012925</v>
      </c>
      <c r="C56" s="987">
        <v>161829</v>
      </c>
      <c r="D56" s="988" t="s">
        <v>4661</v>
      </c>
      <c r="E56" s="988" t="s">
        <v>4947</v>
      </c>
      <c r="F56" s="988" t="s">
        <v>4638</v>
      </c>
      <c r="G56" s="972" t="s">
        <v>4560</v>
      </c>
      <c r="H56" s="972" t="s">
        <v>4586</v>
      </c>
      <c r="I56" s="920" t="s">
        <v>4562</v>
      </c>
      <c r="J56" s="920">
        <v>1</v>
      </c>
      <c r="K56" s="918" t="s">
        <v>4562</v>
      </c>
      <c r="L56" s="1013" t="s">
        <v>4626</v>
      </c>
      <c r="M56" s="974" t="s">
        <v>4586</v>
      </c>
      <c r="N56" s="1101">
        <v>8.3000000000000007</v>
      </c>
      <c r="O56" s="1071" t="s">
        <v>4573</v>
      </c>
      <c r="P56" s="1071" t="s">
        <v>4605</v>
      </c>
      <c r="Q56" s="999"/>
      <c r="R56" s="1017">
        <v>660</v>
      </c>
      <c r="S56" s="977">
        <v>34</v>
      </c>
      <c r="T56" s="977">
        <v>700</v>
      </c>
      <c r="U56" s="977">
        <v>350</v>
      </c>
      <c r="V56" s="977">
        <v>350</v>
      </c>
      <c r="W56" s="977">
        <v>40</v>
      </c>
      <c r="X56" s="1102">
        <f t="shared" si="2"/>
        <v>0.27638190954773867</v>
      </c>
      <c r="Y56" s="992">
        <f t="shared" si="1"/>
        <v>0.55118110236220474</v>
      </c>
      <c r="Z56" s="994" t="s">
        <v>4628</v>
      </c>
      <c r="AA56" s="1111">
        <f>_xlfn.XLOOKUP(A56,'[4]Sub-analyza3 - zadania kvality'!$A:$A,'[4]Sub-analyza3 - zadania kvality'!$K:$K,"Nenašlo sa")</f>
        <v>4.22</v>
      </c>
      <c r="AB56" s="991" t="s">
        <v>3876</v>
      </c>
      <c r="AC56" s="1009" t="s">
        <v>4948</v>
      </c>
      <c r="AD56" s="982">
        <v>1</v>
      </c>
      <c r="AE56" s="977">
        <v>5</v>
      </c>
      <c r="AF56" s="983"/>
      <c r="AG56" s="977">
        <v>1</v>
      </c>
      <c r="AH56" s="977">
        <v>15</v>
      </c>
      <c r="AI56" s="983">
        <v>1</v>
      </c>
      <c r="AJ56" s="983">
        <v>15</v>
      </c>
      <c r="AK56" s="977">
        <v>1</v>
      </c>
      <c r="AL56" s="977">
        <v>8</v>
      </c>
      <c r="AM56" s="983">
        <v>1</v>
      </c>
      <c r="AN56" s="983">
        <v>8</v>
      </c>
      <c r="AO56" s="977"/>
      <c r="AP56" s="977">
        <v>8</v>
      </c>
      <c r="AQ56" s="977">
        <v>1</v>
      </c>
      <c r="AR56" s="983"/>
      <c r="AS56" s="983">
        <v>4</v>
      </c>
      <c r="AT56" s="983">
        <v>1</v>
      </c>
      <c r="AU56" s="977">
        <v>0</v>
      </c>
      <c r="AV56" s="977">
        <v>0</v>
      </c>
      <c r="AW56" s="983"/>
      <c r="AX56" s="983"/>
      <c r="AY56" s="977">
        <v>1</v>
      </c>
      <c r="AZ56" s="977">
        <v>8</v>
      </c>
      <c r="BA56" s="983"/>
      <c r="BB56" s="983"/>
      <c r="BC56" s="977">
        <v>1</v>
      </c>
      <c r="BD56" s="977">
        <v>8</v>
      </c>
      <c r="BE56" s="983"/>
      <c r="BF56" s="983"/>
      <c r="BG56" s="972">
        <f>_xlfn.XLOOKUP('Pasport1 NetAcad zdroj4'!$A56,'[5]Pasport1 Akademie'!$B$2:$B$62,'[5]Pasport1 Akademie'!AY$2:AY$62,"zle")</f>
        <v>10</v>
      </c>
      <c r="BH56" s="972">
        <f>_xlfn.XLOOKUP('Pasport1 NetAcad zdroj4'!$A56,'[5]Pasport1 Akademie'!$B$2:$B$62,'[5]Pasport1 Akademie'!AZ$2:AZ$62,"zle")</f>
        <v>6</v>
      </c>
      <c r="BI56" s="972">
        <f>_xlfn.XLOOKUP('Pasport1 NetAcad zdroj4'!$A56,'[5]Pasport1 Akademie'!$B$2:$B$62,'[5]Pasport1 Akademie'!BA$2:BA$62,"zle")</f>
        <v>10</v>
      </c>
      <c r="BJ56" s="972">
        <f>_xlfn.XLOOKUP('Pasport1 NetAcad zdroj4'!$A56,'[5]Pasport1 Akademie'!$B$2:$B$62,'[5]Pasport1 Akademie'!BB$2:BB$62,"zle")</f>
        <v>20</v>
      </c>
      <c r="BK56" s="972">
        <f>_xlfn.XLOOKUP('Pasport1 NetAcad zdroj4'!$A56,'[5]Pasport1 Akademie'!$B$2:$B$62,'[5]Pasport1 Akademie'!AZ$2:AZ$62,"zle")</f>
        <v>6</v>
      </c>
      <c r="BL56" s="972">
        <f>_xlfn.XLOOKUP('Pasport1 NetAcad zdroj4'!$A56,'[5]Pasport1 Akademie'!$B$2:$B$62,'[5]Pasport1 Akademie'!BD$2:BD$62,"zle")</f>
        <v>10</v>
      </c>
      <c r="BM56" s="972">
        <f>_xlfn.XLOOKUP('Pasport1 NetAcad zdroj4'!$A56,'[5]Pasport1 Akademie'!$B$2:$B$62,'[5]Pasport1 Akademie'!BC$2:BC$62,"zle")</f>
        <v>6</v>
      </c>
      <c r="BN56" s="996" t="s">
        <v>4949</v>
      </c>
      <c r="BO56" s="1069" t="s">
        <v>4950</v>
      </c>
      <c r="BP56" s="1029" t="s">
        <v>4951</v>
      </c>
      <c r="BQ56" s="917"/>
      <c r="BR56" s="1029"/>
      <c r="BS56" s="1104" t="s">
        <v>4952</v>
      </c>
      <c r="BT56" s="1106" t="s">
        <v>4953</v>
      </c>
      <c r="BU56" s="1031">
        <v>70</v>
      </c>
      <c r="BW56" s="773" t="str">
        <f>_xlfn.XLOOKUP(A56,'[4]Sub-analyza3 - zadania kvality'!A:A,'[4]Sub-analyza3 - zadania kvality'!F:F,"Nenašlo sa")</f>
        <v>Stredná priemyselná škola elektrotechnická</v>
      </c>
    </row>
    <row r="57" spans="1:75" s="1049" customFormat="1" ht="15.75" customHeight="1" x14ac:dyDescent="0.2">
      <c r="A57" s="1050">
        <v>36082058</v>
      </c>
      <c r="B57" s="1050">
        <v>100002964</v>
      </c>
      <c r="C57" s="1050">
        <v>36082058</v>
      </c>
      <c r="D57" s="1051" t="s">
        <v>4304</v>
      </c>
      <c r="E57" s="1051" t="s">
        <v>4305</v>
      </c>
      <c r="F57" s="1051" t="s">
        <v>4570</v>
      </c>
      <c r="G57" s="1034" t="s">
        <v>4560</v>
      </c>
      <c r="H57" s="1034" t="s">
        <v>4571</v>
      </c>
      <c r="I57" s="1035" t="s">
        <v>4562</v>
      </c>
      <c r="J57" s="1035">
        <v>1</v>
      </c>
      <c r="K57" s="1013" t="s">
        <v>4954</v>
      </c>
      <c r="L57" s="1013" t="s">
        <v>4563</v>
      </c>
      <c r="M57" s="1013"/>
      <c r="N57" s="1037">
        <v>6.7</v>
      </c>
      <c r="O57" s="1035"/>
      <c r="P57" s="1035"/>
      <c r="Q57" s="1035"/>
      <c r="R57" s="1036">
        <v>529</v>
      </c>
      <c r="S57" s="1001">
        <v>26</v>
      </c>
      <c r="T57" s="1001">
        <v>530</v>
      </c>
      <c r="U57" s="1097">
        <v>0</v>
      </c>
      <c r="V57" s="1097">
        <v>0</v>
      </c>
      <c r="W57" s="1097">
        <v>0</v>
      </c>
      <c r="X57" s="1038">
        <f t="shared" si="2"/>
        <v>0.22152428810720268</v>
      </c>
      <c r="Y57" s="1039">
        <f t="shared" si="1"/>
        <v>0</v>
      </c>
      <c r="Z57" s="1040"/>
      <c r="AA57" s="1056" t="s">
        <v>4695</v>
      </c>
      <c r="AB57" s="1035" t="s">
        <v>3860</v>
      </c>
      <c r="AC57" s="1042" t="s">
        <v>4955</v>
      </c>
      <c r="AD57" s="1043">
        <v>1</v>
      </c>
      <c r="AE57" s="1097">
        <v>1</v>
      </c>
      <c r="AF57" s="1012"/>
      <c r="AG57" s="1112">
        <v>1</v>
      </c>
      <c r="AH57" s="1112">
        <v>12</v>
      </c>
      <c r="AI57" s="1012">
        <v>1</v>
      </c>
      <c r="AJ57" s="1012">
        <v>12</v>
      </c>
      <c r="AK57" s="1097">
        <v>1</v>
      </c>
      <c r="AL57" s="1097">
        <v>12</v>
      </c>
      <c r="AM57" s="1012"/>
      <c r="AN57" s="1012"/>
      <c r="AO57" s="1097"/>
      <c r="AP57" s="1097"/>
      <c r="AQ57" s="1097"/>
      <c r="AR57" s="1012"/>
      <c r="AS57" s="1012"/>
      <c r="AT57" s="1012"/>
      <c r="AU57" s="1097">
        <v>0</v>
      </c>
      <c r="AV57" s="1097">
        <v>0</v>
      </c>
      <c r="AW57" s="1012"/>
      <c r="AX57" s="1012"/>
      <c r="AY57" s="1097">
        <v>0</v>
      </c>
      <c r="AZ57" s="1097">
        <v>0</v>
      </c>
      <c r="BA57" s="1012"/>
      <c r="BB57" s="1012"/>
      <c r="BC57" s="1097">
        <v>0</v>
      </c>
      <c r="BD57" s="1097">
        <v>0</v>
      </c>
      <c r="BE57" s="1012"/>
      <c r="BF57" s="1012"/>
      <c r="BG57" s="1034">
        <f>_xlfn.XLOOKUP('Pasport1 NetAcad zdroj4'!$A57,'[5]Pasport1 Akademie'!$B$2:$B$62,'[5]Pasport1 Akademie'!AY$2:AY$62,"zle")</f>
        <v>4</v>
      </c>
      <c r="BH57" s="1034">
        <f>_xlfn.XLOOKUP('Pasport1 NetAcad zdroj4'!$A57,'[5]Pasport1 Akademie'!$B$2:$B$62,'[5]Pasport1 Akademie'!AZ$2:AZ$62,"zle")</f>
        <v>2</v>
      </c>
      <c r="BI57" s="1034">
        <f>_xlfn.XLOOKUP('Pasport1 NetAcad zdroj4'!$A57,'[5]Pasport1 Akademie'!$B$2:$B$62,'[5]Pasport1 Akademie'!BA$2:BA$62,"zle")</f>
        <v>2</v>
      </c>
      <c r="BJ57" s="1034">
        <f>_xlfn.XLOOKUP('Pasport1 NetAcad zdroj4'!$A57,'[5]Pasport1 Akademie'!$B$2:$B$62,'[5]Pasport1 Akademie'!BB$2:BB$62,"zle")</f>
        <v>2</v>
      </c>
      <c r="BK57" s="1034">
        <f>_xlfn.XLOOKUP('Pasport1 NetAcad zdroj4'!$A57,'[5]Pasport1 Akademie'!$B$2:$B$62,'[5]Pasport1 Akademie'!AZ$2:AZ$62,"zle")</f>
        <v>2</v>
      </c>
      <c r="BL57" s="1034">
        <f>_xlfn.XLOOKUP('Pasport1 NetAcad zdroj4'!$A57,'[5]Pasport1 Akademie'!$B$2:$B$62,'[5]Pasport1 Akademie'!BD$2:BD$62,"zle")</f>
        <v>0</v>
      </c>
      <c r="BM57" s="1034"/>
      <c r="BN57" s="1044" t="s">
        <v>4956</v>
      </c>
      <c r="BO57" s="1045" t="s">
        <v>4957</v>
      </c>
      <c r="BP57" s="1046"/>
      <c r="BQ57" s="1033"/>
      <c r="BR57" s="1046"/>
      <c r="BS57" s="1033" t="s">
        <v>4958</v>
      </c>
      <c r="BT57" s="1047" t="s">
        <v>4959</v>
      </c>
      <c r="BU57" s="1093">
        <v>72</v>
      </c>
      <c r="BW57" s="1049" t="str">
        <f>_xlfn.XLOOKUP(A57,'[4]Sub-analyza3 - zadania kvality'!A:A,'[4]Sub-analyza3 - zadania kvality'!F:F,"Nenašlo sa")</f>
        <v>A3</v>
      </c>
    </row>
    <row r="58" spans="1:75" s="1049" customFormat="1" ht="15.75" customHeight="1" x14ac:dyDescent="0.2">
      <c r="A58" s="1050" t="s">
        <v>4306</v>
      </c>
      <c r="B58" s="1050">
        <v>100019124</v>
      </c>
      <c r="C58" s="1098">
        <v>53638549</v>
      </c>
      <c r="D58" s="1051" t="s">
        <v>4307</v>
      </c>
      <c r="E58" s="1051" t="s">
        <v>4308</v>
      </c>
      <c r="F58" s="1051" t="s">
        <v>4960</v>
      </c>
      <c r="G58" s="1034" t="s">
        <v>4560</v>
      </c>
      <c r="H58" s="1034" t="s">
        <v>4571</v>
      </c>
      <c r="I58" s="1035" t="s">
        <v>4562</v>
      </c>
      <c r="J58" s="1035">
        <v>1</v>
      </c>
      <c r="K58" s="1013" t="s">
        <v>4562</v>
      </c>
      <c r="L58" s="1013" t="s">
        <v>4563</v>
      </c>
      <c r="M58" s="1013"/>
      <c r="N58" s="1037">
        <v>4.2</v>
      </c>
      <c r="O58" s="1035"/>
      <c r="P58" s="1035"/>
      <c r="Q58" s="1035"/>
      <c r="R58" s="1036">
        <v>466</v>
      </c>
      <c r="S58" s="1001">
        <v>151</v>
      </c>
      <c r="T58" s="1001">
        <v>340</v>
      </c>
      <c r="U58" s="1001">
        <v>120</v>
      </c>
      <c r="V58" s="1001">
        <v>120</v>
      </c>
      <c r="W58" s="1001">
        <v>6</v>
      </c>
      <c r="X58" s="1038">
        <f t="shared" si="2"/>
        <v>0.19514237855946398</v>
      </c>
      <c r="Y58" s="1039">
        <f t="shared" si="1"/>
        <v>0.1889763779527559</v>
      </c>
      <c r="Z58" s="1040"/>
      <c r="AA58" s="1056" t="s">
        <v>4695</v>
      </c>
      <c r="AB58" s="1035" t="s">
        <v>3924</v>
      </c>
      <c r="AC58" s="1042"/>
      <c r="AD58" s="1043">
        <v>1</v>
      </c>
      <c r="AE58" s="1001">
        <v>1</v>
      </c>
      <c r="AF58" s="1012"/>
      <c r="AG58" s="1001">
        <v>1</v>
      </c>
      <c r="AH58" s="1001">
        <v>12</v>
      </c>
      <c r="AI58" s="1012">
        <v>1</v>
      </c>
      <c r="AJ58" s="1012">
        <v>12</v>
      </c>
      <c r="AK58" s="1001"/>
      <c r="AL58" s="1001"/>
      <c r="AM58" s="1012"/>
      <c r="AN58" s="1012"/>
      <c r="AO58" s="1001"/>
      <c r="AP58" s="1001"/>
      <c r="AQ58" s="1001"/>
      <c r="AR58" s="1012"/>
      <c r="AS58" s="1012"/>
      <c r="AT58" s="1012"/>
      <c r="AU58" s="1001">
        <v>0</v>
      </c>
      <c r="AV58" s="1001">
        <v>0</v>
      </c>
      <c r="AW58" s="1012">
        <v>1</v>
      </c>
      <c r="AX58" s="1012"/>
      <c r="AY58" s="1001">
        <v>0</v>
      </c>
      <c r="AZ58" s="1001">
        <v>0</v>
      </c>
      <c r="BA58" s="1012">
        <v>1</v>
      </c>
      <c r="BB58" s="1012"/>
      <c r="BC58" s="1001">
        <v>0</v>
      </c>
      <c r="BD58" s="1001">
        <v>0</v>
      </c>
      <c r="BE58" s="1012">
        <v>1</v>
      </c>
      <c r="BF58" s="1012"/>
      <c r="BG58" s="1034">
        <f>_xlfn.XLOOKUP('Pasport1 NetAcad zdroj4'!$A58,'[5]Pasport1 Akademie'!$B$2:$B$62,'[5]Pasport1 Akademie'!AY$2:AY$62,"zle")</f>
        <v>7</v>
      </c>
      <c r="BH58" s="1034">
        <f>_xlfn.XLOOKUP('Pasport1 NetAcad zdroj4'!$A58,'[5]Pasport1 Akademie'!$B$2:$B$62,'[5]Pasport1 Akademie'!AZ$2:AZ$62,"zle")</f>
        <v>3</v>
      </c>
      <c r="BI58" s="1034">
        <f>_xlfn.XLOOKUP('Pasport1 NetAcad zdroj4'!$A58,'[5]Pasport1 Akademie'!$B$2:$B$62,'[5]Pasport1 Akademie'!BA$2:BA$62,"zle")</f>
        <v>3</v>
      </c>
      <c r="BJ58" s="1034">
        <f>_xlfn.XLOOKUP('Pasport1 NetAcad zdroj4'!$A58,'[5]Pasport1 Akademie'!$B$2:$B$62,'[5]Pasport1 Akademie'!BB$2:BB$62,"zle")</f>
        <v>6</v>
      </c>
      <c r="BK58" s="1034">
        <f>_xlfn.XLOOKUP('Pasport1 NetAcad zdroj4'!$A58,'[5]Pasport1 Akademie'!$B$2:$B$62,'[5]Pasport1 Akademie'!AZ$2:AZ$62,"zle")</f>
        <v>3</v>
      </c>
      <c r="BL58" s="1034">
        <f>_xlfn.XLOOKUP('Pasport1 NetAcad zdroj4'!$A58,'[5]Pasport1 Akademie'!$B$2:$B$62,'[5]Pasport1 Akademie'!BD$2:BD$62,"zle")</f>
        <v>6</v>
      </c>
      <c r="BM58" s="1034">
        <f>_xlfn.XLOOKUP('Pasport1 NetAcad zdroj4'!$A58,'[5]Pasport1 Akademie'!$B$2:$B$62,'[5]Pasport1 Akademie'!BC$2:BC$62,"zle")</f>
        <v>3</v>
      </c>
      <c r="BN58" s="1044" t="s">
        <v>4961</v>
      </c>
      <c r="BO58" s="1113" t="s">
        <v>4962</v>
      </c>
      <c r="BP58" s="1113" t="s">
        <v>4962</v>
      </c>
      <c r="BQ58" s="1033" t="s">
        <v>4963</v>
      </c>
      <c r="BR58" s="1114" t="s">
        <v>4964</v>
      </c>
      <c r="BS58" s="1033"/>
      <c r="BT58" s="1115"/>
      <c r="BU58" s="1116">
        <v>73</v>
      </c>
      <c r="BW58" s="1049" t="str">
        <f>_xlfn.XLOOKUP(A58,'[4]Sub-analyza3 - zadania kvality'!A:A,'[4]Sub-analyza3 - zadania kvality'!F:F,"Nenašlo sa")</f>
        <v>A2</v>
      </c>
    </row>
    <row r="59" spans="1:75" s="1049" customFormat="1" ht="15.75" customHeight="1" x14ac:dyDescent="0.2">
      <c r="A59" s="1032" t="s">
        <v>4310</v>
      </c>
      <c r="B59" s="1050">
        <v>100005514</v>
      </c>
      <c r="C59" s="1050">
        <v>893315</v>
      </c>
      <c r="D59" s="1051" t="s">
        <v>4311</v>
      </c>
      <c r="E59" s="1051" t="s">
        <v>4312</v>
      </c>
      <c r="F59" s="1051" t="s">
        <v>4965</v>
      </c>
      <c r="G59" s="1034" t="s">
        <v>4560</v>
      </c>
      <c r="H59" s="1034" t="s">
        <v>4734</v>
      </c>
      <c r="I59" s="1035" t="s">
        <v>4562</v>
      </c>
      <c r="J59" s="1035">
        <v>1</v>
      </c>
      <c r="K59" s="1013" t="s">
        <v>4593</v>
      </c>
      <c r="L59" s="1013" t="s">
        <v>4563</v>
      </c>
      <c r="M59" s="1013"/>
      <c r="N59" s="1037"/>
      <c r="O59" s="1035"/>
      <c r="P59" s="1035"/>
      <c r="Q59" s="1035" t="s">
        <v>4694</v>
      </c>
      <c r="R59" s="1036">
        <v>248</v>
      </c>
      <c r="S59" s="1001">
        <v>60</v>
      </c>
      <c r="T59" s="1001">
        <v>80</v>
      </c>
      <c r="U59" s="1001">
        <v>60</v>
      </c>
      <c r="V59" s="1001">
        <v>25</v>
      </c>
      <c r="W59" s="1001">
        <v>20</v>
      </c>
      <c r="X59" s="1038">
        <f t="shared" si="2"/>
        <v>0.10385259631490787</v>
      </c>
      <c r="Y59" s="1039">
        <f t="shared" si="1"/>
        <v>9.4488188976377951E-2</v>
      </c>
      <c r="Z59" s="1040"/>
      <c r="AA59" s="1056" t="s">
        <v>4695</v>
      </c>
      <c r="AB59" s="1035" t="s">
        <v>3966</v>
      </c>
      <c r="AC59" s="1042"/>
      <c r="AD59" s="1043">
        <v>1</v>
      </c>
      <c r="AE59" s="1001">
        <v>4</v>
      </c>
      <c r="AF59" s="1012"/>
      <c r="AG59" s="1001">
        <v>2</v>
      </c>
      <c r="AH59" s="1001">
        <v>24</v>
      </c>
      <c r="AI59" s="1012">
        <v>1</v>
      </c>
      <c r="AJ59" s="1012">
        <v>12</v>
      </c>
      <c r="AK59" s="1001"/>
      <c r="AL59" s="1001"/>
      <c r="AM59" s="1012"/>
      <c r="AN59" s="1012"/>
      <c r="AO59" s="1001"/>
      <c r="AP59" s="1001"/>
      <c r="AQ59" s="1001"/>
      <c r="AR59" s="1012"/>
      <c r="AS59" s="1012"/>
      <c r="AT59" s="1012"/>
      <c r="AU59" s="1001">
        <v>0</v>
      </c>
      <c r="AV59" s="1001">
        <v>0</v>
      </c>
      <c r="AW59" s="1012"/>
      <c r="AX59" s="1012"/>
      <c r="AY59" s="1001">
        <v>0</v>
      </c>
      <c r="AZ59" s="1001">
        <v>0</v>
      </c>
      <c r="BA59" s="1012"/>
      <c r="BB59" s="1012"/>
      <c r="BC59" s="1001">
        <v>0</v>
      </c>
      <c r="BD59" s="1001">
        <v>0</v>
      </c>
      <c r="BE59" s="1012"/>
      <c r="BF59" s="1012"/>
      <c r="BG59" s="1034">
        <f>_xlfn.XLOOKUP('Pasport1 NetAcad zdroj4'!$A59,'[5]Pasport1 Akademie'!$B$2:$B$62,'[5]Pasport1 Akademie'!AY$2:AY$62,"zle")</f>
        <v>2</v>
      </c>
      <c r="BH59" s="1034">
        <f>_xlfn.XLOOKUP('Pasport1 NetAcad zdroj4'!$A59,'[5]Pasport1 Akademie'!$B$2:$B$62,'[5]Pasport1 Akademie'!AZ$2:AZ$62,"zle")</f>
        <v>2</v>
      </c>
      <c r="BI59" s="1034">
        <f>_xlfn.XLOOKUP('Pasport1 NetAcad zdroj4'!$A59,'[5]Pasport1 Akademie'!$B$2:$B$62,'[5]Pasport1 Akademie'!BA$2:BA$62,"zle")</f>
        <v>2</v>
      </c>
      <c r="BJ59" s="1034">
        <f>_xlfn.XLOOKUP('Pasport1 NetAcad zdroj4'!$A59,'[5]Pasport1 Akademie'!$B$2:$B$62,'[5]Pasport1 Akademie'!BB$2:BB$62,"zle")</f>
        <v>2</v>
      </c>
      <c r="BK59" s="1034">
        <f>_xlfn.XLOOKUP('Pasport1 NetAcad zdroj4'!$A59,'[5]Pasport1 Akademie'!$B$2:$B$62,'[5]Pasport1 Akademie'!AZ$2:AZ$62,"zle")</f>
        <v>2</v>
      </c>
      <c r="BL59" s="1034">
        <f>_xlfn.XLOOKUP('Pasport1 NetAcad zdroj4'!$A59,'[5]Pasport1 Akademie'!$B$2:$B$62,'[5]Pasport1 Akademie'!BD$2:BD$62,"zle")</f>
        <v>2</v>
      </c>
      <c r="BM59" s="1034">
        <f>_xlfn.XLOOKUP('Pasport1 NetAcad zdroj4'!$A59,'[5]Pasport1 Akademie'!$B$2:$B$62,'[5]Pasport1 Akademie'!BC$2:BC$62,"zle")</f>
        <v>2</v>
      </c>
      <c r="BN59" s="1044" t="s">
        <v>4966</v>
      </c>
      <c r="BO59" s="1046" t="s">
        <v>4967</v>
      </c>
      <c r="BP59" s="1046" t="s">
        <v>4967</v>
      </c>
      <c r="BQ59" s="1033" t="s">
        <v>4968</v>
      </c>
      <c r="BR59" s="1046" t="s">
        <v>4969</v>
      </c>
      <c r="BS59" s="1033" t="s">
        <v>4970</v>
      </c>
      <c r="BT59" s="1047" t="s">
        <v>4971</v>
      </c>
      <c r="BU59" s="1093">
        <v>75</v>
      </c>
      <c r="BW59" s="1049" t="str">
        <f>_xlfn.XLOOKUP(A59,'[4]Sub-analyza3 - zadania kvality'!A:A,'[4]Sub-analyza3 - zadania kvality'!F:F,"Nenašlo sa")</f>
        <v>B1</v>
      </c>
    </row>
    <row r="60" spans="1:75" s="1049" customFormat="1" ht="15.75" customHeight="1" x14ac:dyDescent="0.2">
      <c r="A60" s="1032" t="s">
        <v>4313</v>
      </c>
      <c r="B60" s="1050">
        <v>100003752</v>
      </c>
      <c r="C60" s="1050">
        <v>893188</v>
      </c>
      <c r="D60" s="1051" t="s">
        <v>4314</v>
      </c>
      <c r="E60" s="1051" t="s">
        <v>4315</v>
      </c>
      <c r="F60" s="1051" t="s">
        <v>4972</v>
      </c>
      <c r="G60" s="1034" t="s">
        <v>4560</v>
      </c>
      <c r="H60" s="1034" t="s">
        <v>4613</v>
      </c>
      <c r="I60" s="1052" t="s">
        <v>4562</v>
      </c>
      <c r="J60" s="1052">
        <v>1</v>
      </c>
      <c r="K60" s="1013" t="s">
        <v>4562</v>
      </c>
      <c r="L60" s="1013" t="s">
        <v>4626</v>
      </c>
      <c r="M60" s="1013" t="s">
        <v>4613</v>
      </c>
      <c r="N60" s="1053">
        <v>6.6</v>
      </c>
      <c r="O60" s="1052"/>
      <c r="P60" s="1052" t="s">
        <v>4605</v>
      </c>
      <c r="Q60" s="1052"/>
      <c r="R60" s="1054">
        <v>250</v>
      </c>
      <c r="S60" s="1001">
        <v>26</v>
      </c>
      <c r="T60" s="1001">
        <v>270</v>
      </c>
      <c r="U60" s="1001">
        <v>128</v>
      </c>
      <c r="V60" s="1001">
        <v>92</v>
      </c>
      <c r="W60" s="1001">
        <v>10</v>
      </c>
      <c r="X60" s="1055">
        <f t="shared" si="2"/>
        <v>0.10469011725293133</v>
      </c>
      <c r="Y60" s="1039">
        <f t="shared" si="1"/>
        <v>0.2015748031496063</v>
      </c>
      <c r="Z60" s="1040" t="s">
        <v>4628</v>
      </c>
      <c r="AA60" s="1117" t="s">
        <v>4695</v>
      </c>
      <c r="AB60" s="1052" t="s">
        <v>3876</v>
      </c>
      <c r="AC60" s="1042" t="s">
        <v>4735</v>
      </c>
      <c r="AD60" s="1043">
        <v>1</v>
      </c>
      <c r="AE60" s="1001">
        <v>2</v>
      </c>
      <c r="AF60" s="1012"/>
      <c r="AG60" s="1001">
        <v>1</v>
      </c>
      <c r="AH60" s="1001">
        <v>4</v>
      </c>
      <c r="AI60" s="1012">
        <v>1</v>
      </c>
      <c r="AJ60" s="1012">
        <v>10</v>
      </c>
      <c r="AK60" s="1001"/>
      <c r="AL60" s="1001"/>
      <c r="AM60" s="1012"/>
      <c r="AN60" s="1012"/>
      <c r="AO60" s="1001">
        <v>1</v>
      </c>
      <c r="AP60" s="1001">
        <v>4</v>
      </c>
      <c r="AQ60" s="1001">
        <v>0</v>
      </c>
      <c r="AR60" s="1012"/>
      <c r="AS60" s="1012">
        <v>1</v>
      </c>
      <c r="AT60" s="1012"/>
      <c r="AU60" s="1001">
        <v>0</v>
      </c>
      <c r="AV60" s="1001">
        <v>0</v>
      </c>
      <c r="AW60" s="1012"/>
      <c r="AX60" s="1012"/>
      <c r="AY60" s="1001">
        <v>0</v>
      </c>
      <c r="AZ60" s="1001">
        <v>0</v>
      </c>
      <c r="BA60" s="1012"/>
      <c r="BB60" s="1012"/>
      <c r="BC60" s="1001">
        <v>0</v>
      </c>
      <c r="BD60" s="1001">
        <v>0</v>
      </c>
      <c r="BE60" s="1012"/>
      <c r="BF60" s="1012"/>
      <c r="BG60" s="1034">
        <f>_xlfn.XLOOKUP('Pasport1 NetAcad zdroj4'!$A60,'[5]Pasport1 Akademie'!$B$2:$B$62,'[5]Pasport1 Akademie'!AY$2:AY$62,"zle")</f>
        <v>5</v>
      </c>
      <c r="BH60" s="1034">
        <f>_xlfn.XLOOKUP('Pasport1 NetAcad zdroj4'!$A60,'[5]Pasport1 Akademie'!$B$2:$B$62,'[5]Pasport1 Akademie'!AZ$2:AZ$62,"zle")</f>
        <v>3</v>
      </c>
      <c r="BI60" s="1034">
        <f>_xlfn.XLOOKUP('Pasport1 NetAcad zdroj4'!$A60,'[5]Pasport1 Akademie'!$B$2:$B$62,'[5]Pasport1 Akademie'!BA$2:BA$62,"zle")</f>
        <v>0</v>
      </c>
      <c r="BJ60" s="1034">
        <f>_xlfn.XLOOKUP('Pasport1 NetAcad zdroj4'!$A60,'[5]Pasport1 Akademie'!$B$2:$B$62,'[5]Pasport1 Akademie'!BB$2:BB$62,"zle")</f>
        <v>2</v>
      </c>
      <c r="BK60" s="1034">
        <f>_xlfn.XLOOKUP('Pasport1 NetAcad zdroj4'!$A60,'[5]Pasport1 Akademie'!$B$2:$B$62,'[5]Pasport1 Akademie'!AZ$2:AZ$62,"zle")</f>
        <v>3</v>
      </c>
      <c r="BL60" s="1034">
        <f>_xlfn.XLOOKUP('Pasport1 NetAcad zdroj4'!$A60,'[5]Pasport1 Akademie'!$B$2:$B$62,'[5]Pasport1 Akademie'!BD$2:BD$62,"zle")</f>
        <v>1</v>
      </c>
      <c r="BM60" s="1034">
        <f>_xlfn.XLOOKUP('Pasport1 NetAcad zdroj4'!$A60,'[5]Pasport1 Akademie'!$B$2:$B$62,'[5]Pasport1 Akademie'!BC$2:BC$62,"zle")</f>
        <v>2</v>
      </c>
      <c r="BN60" s="1044" t="s">
        <v>4973</v>
      </c>
      <c r="BO60" s="1118" t="s">
        <v>4974</v>
      </c>
      <c r="BP60" s="1118" t="s">
        <v>4975</v>
      </c>
      <c r="BQ60" s="1051"/>
      <c r="BR60" s="1118"/>
      <c r="BS60" s="1051"/>
      <c r="BT60" s="1119"/>
      <c r="BU60" s="1120">
        <v>76</v>
      </c>
      <c r="BW60" s="1049" t="str">
        <f>_xlfn.XLOOKUP(A60,'[4]Sub-analyza3 - zadania kvality'!A:A,'[4]Sub-analyza3 - zadania kvality'!F:F,"Nenašlo sa")</f>
        <v>A1</v>
      </c>
    </row>
    <row r="61" spans="1:75" s="1049" customFormat="1" ht="15.75" customHeight="1" x14ac:dyDescent="0.2">
      <c r="A61" s="1032" t="s">
        <v>4317</v>
      </c>
      <c r="B61" s="1032">
        <v>100020375</v>
      </c>
      <c r="C61" s="1032">
        <v>710289995</v>
      </c>
      <c r="D61" s="1033" t="s">
        <v>4318</v>
      </c>
      <c r="E61" s="1033" t="s">
        <v>4319</v>
      </c>
      <c r="F61" s="1033" t="s">
        <v>4976</v>
      </c>
      <c r="G61" s="1034" t="s">
        <v>4560</v>
      </c>
      <c r="H61" s="1034" t="s">
        <v>4734</v>
      </c>
      <c r="I61" s="1035" t="s">
        <v>4977</v>
      </c>
      <c r="J61" s="1035">
        <v>1</v>
      </c>
      <c r="K61" s="1013" t="s">
        <v>4562</v>
      </c>
      <c r="L61" s="1013" t="s">
        <v>4650</v>
      </c>
      <c r="M61" s="1013"/>
      <c r="N61" s="1037"/>
      <c r="O61" s="1035"/>
      <c r="P61" s="1035"/>
      <c r="Q61" s="1035"/>
      <c r="R61" s="1036">
        <v>0</v>
      </c>
      <c r="S61" s="1001">
        <v>0</v>
      </c>
      <c r="T61" s="1001">
        <v>500</v>
      </c>
      <c r="U61" s="1001">
        <v>20</v>
      </c>
      <c r="V61" s="1001">
        <v>480</v>
      </c>
      <c r="W61" s="1001">
        <v>50</v>
      </c>
      <c r="X61" s="1038">
        <f t="shared" si="2"/>
        <v>0</v>
      </c>
      <c r="Y61" s="1039">
        <f t="shared" si="1"/>
        <v>3.1496062992125984E-2</v>
      </c>
      <c r="Z61" s="1040"/>
      <c r="AA61" s="1056" t="s">
        <v>4695</v>
      </c>
      <c r="AB61" s="1035" t="s">
        <v>3860</v>
      </c>
      <c r="AC61" s="1042"/>
      <c r="AD61" s="1043">
        <v>1</v>
      </c>
      <c r="AE61" s="1001">
        <v>1</v>
      </c>
      <c r="AF61" s="1012"/>
      <c r="AG61" s="1001">
        <v>1</v>
      </c>
      <c r="AH61" s="1001">
        <v>15</v>
      </c>
      <c r="AI61" s="1012">
        <v>1</v>
      </c>
      <c r="AJ61" s="1012">
        <v>15</v>
      </c>
      <c r="AK61" s="1001"/>
      <c r="AL61" s="1001"/>
      <c r="AM61" s="1012"/>
      <c r="AN61" s="1012"/>
      <c r="AO61" s="1001"/>
      <c r="AP61" s="1001"/>
      <c r="AQ61" s="1001"/>
      <c r="AR61" s="1012"/>
      <c r="AS61" s="1012"/>
      <c r="AT61" s="1012"/>
      <c r="AU61" s="1001">
        <v>0</v>
      </c>
      <c r="AV61" s="1001">
        <v>0</v>
      </c>
      <c r="AW61" s="1012"/>
      <c r="AX61" s="1012"/>
      <c r="AY61" s="1001">
        <v>0</v>
      </c>
      <c r="AZ61" s="1001">
        <v>0</v>
      </c>
      <c r="BA61" s="1012"/>
      <c r="BB61" s="1012"/>
      <c r="BC61" s="1001">
        <v>0</v>
      </c>
      <c r="BD61" s="1001">
        <v>0</v>
      </c>
      <c r="BE61" s="1012"/>
      <c r="BF61" s="1012"/>
      <c r="BG61" s="1034">
        <f>_xlfn.XLOOKUP('Pasport1 NetAcad zdroj4'!$A61,'[5]Pasport1 Akademie'!$B$2:$B$62,'[5]Pasport1 Akademie'!AY$2:AY$62,"zle")</f>
        <v>7</v>
      </c>
      <c r="BH61" s="1034">
        <f>_xlfn.XLOOKUP('Pasport1 NetAcad zdroj4'!$A61,'[5]Pasport1 Akademie'!$B$2:$B$62,'[5]Pasport1 Akademie'!AZ$2:AZ$62,"zle")</f>
        <v>3</v>
      </c>
      <c r="BI61" s="1034">
        <f>_xlfn.XLOOKUP('Pasport1 NetAcad zdroj4'!$A61,'[5]Pasport1 Akademie'!$B$2:$B$62,'[5]Pasport1 Akademie'!BA$2:BA$62,"zle")</f>
        <v>3</v>
      </c>
      <c r="BJ61" s="1034">
        <f>_xlfn.XLOOKUP('Pasport1 NetAcad zdroj4'!$A61,'[5]Pasport1 Akademie'!$B$2:$B$62,'[5]Pasport1 Akademie'!BB$2:BB$62,"zle")</f>
        <v>3</v>
      </c>
      <c r="BK61" s="1034">
        <f>_xlfn.XLOOKUP('Pasport1 NetAcad zdroj4'!$A61,'[5]Pasport1 Akademie'!$B$2:$B$62,'[5]Pasport1 Akademie'!AZ$2:AZ$62,"zle")</f>
        <v>3</v>
      </c>
      <c r="BL61" s="1034">
        <f>_xlfn.XLOOKUP('Pasport1 NetAcad zdroj4'!$A61,'[5]Pasport1 Akademie'!$B$2:$B$62,'[5]Pasport1 Akademie'!BD$2:BD$62,"zle")</f>
        <v>3</v>
      </c>
      <c r="BM61" s="1034">
        <f>_xlfn.XLOOKUP('Pasport1 NetAcad zdroj4'!$A61,'[5]Pasport1 Akademie'!$B$2:$B$62,'[5]Pasport1 Akademie'!BC$2:BC$62,"zle")</f>
        <v>3</v>
      </c>
      <c r="BN61" s="1044" t="s">
        <v>4978</v>
      </c>
      <c r="BO61" s="1045" t="s">
        <v>4979</v>
      </c>
      <c r="BP61" s="1045" t="s">
        <v>4979</v>
      </c>
      <c r="BQ61" s="1033"/>
      <c r="BR61" s="1045"/>
      <c r="BS61" s="1033"/>
      <c r="BT61" s="1058"/>
      <c r="BU61" s="1059">
        <v>80</v>
      </c>
      <c r="BW61" s="1049" t="str">
        <f>_xlfn.XLOOKUP(A61,'[4]Sub-analyza3 - zadania kvality'!A:A,'[4]Sub-analyza3 - zadania kvality'!F:F,"Nenašlo sa")</f>
        <v>A3</v>
      </c>
    </row>
    <row r="62" spans="1:75" s="1049" customFormat="1" ht="15.75" customHeight="1" x14ac:dyDescent="0.2">
      <c r="A62" s="1032">
        <v>42152411</v>
      </c>
      <c r="B62" s="1032">
        <v>100004649</v>
      </c>
      <c r="C62" s="1032">
        <v>42152411</v>
      </c>
      <c r="D62" s="1033" t="s">
        <v>4321</v>
      </c>
      <c r="E62" s="1033" t="s">
        <v>4322</v>
      </c>
      <c r="F62" s="1033" t="s">
        <v>4980</v>
      </c>
      <c r="G62" s="1034" t="s">
        <v>4560</v>
      </c>
      <c r="H62" s="1034" t="s">
        <v>4613</v>
      </c>
      <c r="I62" s="1035" t="s">
        <v>4562</v>
      </c>
      <c r="J62" s="1035">
        <v>1</v>
      </c>
      <c r="K62" s="1013" t="s">
        <v>4593</v>
      </c>
      <c r="L62" s="1013" t="s">
        <v>4650</v>
      </c>
      <c r="M62" s="1013"/>
      <c r="N62" s="1037"/>
      <c r="O62" s="1035"/>
      <c r="P62" s="1035"/>
      <c r="Q62" s="1035"/>
      <c r="R62" s="1036">
        <v>219</v>
      </c>
      <c r="S62" s="1001">
        <v>121</v>
      </c>
      <c r="T62" s="1001">
        <v>210</v>
      </c>
      <c r="U62" s="1001">
        <v>0</v>
      </c>
      <c r="V62" s="1001">
        <v>150</v>
      </c>
      <c r="W62" s="1001">
        <v>15</v>
      </c>
      <c r="X62" s="1038">
        <f t="shared" si="2"/>
        <v>9.1708542713567834E-2</v>
      </c>
      <c r="Y62" s="1039">
        <f t="shared" si="1"/>
        <v>0</v>
      </c>
      <c r="Z62" s="1040"/>
      <c r="AA62" s="1056" t="s">
        <v>4695</v>
      </c>
      <c r="AB62" s="1035" t="s">
        <v>3867</v>
      </c>
      <c r="AC62" s="1042"/>
      <c r="AD62" s="1043">
        <v>1</v>
      </c>
      <c r="AE62" s="1001">
        <v>5</v>
      </c>
      <c r="AF62" s="1012"/>
      <c r="AG62" s="1057">
        <v>1</v>
      </c>
      <c r="AH62" s="1057">
        <v>20</v>
      </c>
      <c r="AI62" s="1012"/>
      <c r="AJ62" s="1012"/>
      <c r="AK62" s="1001">
        <v>1</v>
      </c>
      <c r="AL62" s="1001">
        <v>20</v>
      </c>
      <c r="AM62" s="1012"/>
      <c r="AN62" s="1012"/>
      <c r="AO62" s="1001">
        <v>1</v>
      </c>
      <c r="AP62" s="1001">
        <v>10</v>
      </c>
      <c r="AQ62" s="1001">
        <v>2</v>
      </c>
      <c r="AR62" s="1012"/>
      <c r="AS62" s="1012"/>
      <c r="AT62" s="1012"/>
      <c r="AU62" s="1001">
        <v>1</v>
      </c>
      <c r="AV62" s="1001">
        <v>10</v>
      </c>
      <c r="AW62" s="1012"/>
      <c r="AX62" s="1012"/>
      <c r="AY62" s="1001">
        <v>0</v>
      </c>
      <c r="AZ62" s="1001">
        <v>0</v>
      </c>
      <c r="BA62" s="1012"/>
      <c r="BB62" s="1012"/>
      <c r="BC62" s="1001">
        <v>1</v>
      </c>
      <c r="BD62" s="1001">
        <v>10</v>
      </c>
      <c r="BE62" s="1012"/>
      <c r="BF62" s="1012"/>
      <c r="BG62" s="1034">
        <f>_xlfn.XLOOKUP('Pasport1 NetAcad zdroj4'!$A62,'[5]Pasport1 Akademie'!$B$2:$B$62,'[5]Pasport1 Akademie'!AY$2:AY$62,"zle")</f>
        <v>4</v>
      </c>
      <c r="BH62" s="1034">
        <f>_xlfn.XLOOKUP('Pasport1 NetAcad zdroj4'!$A62,'[5]Pasport1 Akademie'!$B$2:$B$62,'[5]Pasport1 Akademie'!AZ$2:AZ$62,"zle")</f>
        <v>2</v>
      </c>
      <c r="BI62" s="1034">
        <f>_xlfn.XLOOKUP('Pasport1 NetAcad zdroj4'!$A62,'[5]Pasport1 Akademie'!$B$2:$B$62,'[5]Pasport1 Akademie'!BA$2:BA$62,"zle")</f>
        <v>0</v>
      </c>
      <c r="BJ62" s="1034">
        <f>_xlfn.XLOOKUP('Pasport1 NetAcad zdroj4'!$A62,'[5]Pasport1 Akademie'!$B$2:$B$62,'[5]Pasport1 Akademie'!BB$2:BB$62,"zle")</f>
        <v>2</v>
      </c>
      <c r="BK62" s="1034">
        <f>_xlfn.XLOOKUP('Pasport1 NetAcad zdroj4'!$A62,'[5]Pasport1 Akademie'!$B$2:$B$62,'[5]Pasport1 Akademie'!AZ$2:AZ$62,"zle")</f>
        <v>2</v>
      </c>
      <c r="BL62" s="1034">
        <f>_xlfn.XLOOKUP('Pasport1 NetAcad zdroj4'!$A62,'[5]Pasport1 Akademie'!$B$2:$B$62,'[5]Pasport1 Akademie'!BD$2:BD$62,"zle")</f>
        <v>2</v>
      </c>
      <c r="BM62" s="1034">
        <f>_xlfn.XLOOKUP('Pasport1 NetAcad zdroj4'!$A62,'[5]Pasport1 Akademie'!$B$2:$B$62,'[5]Pasport1 Akademie'!BC$2:BC$62,"zle")</f>
        <v>2</v>
      </c>
      <c r="BN62" s="1044" t="s">
        <v>4981</v>
      </c>
      <c r="BO62" s="1045" t="s">
        <v>4982</v>
      </c>
      <c r="BP62" s="1046" t="s">
        <v>4983</v>
      </c>
      <c r="BQ62" s="1033"/>
      <c r="BR62" s="1046"/>
      <c r="BS62" s="1099" t="s">
        <v>4984</v>
      </c>
      <c r="BT62" s="1058" t="s">
        <v>4985</v>
      </c>
      <c r="BU62" s="1093">
        <v>81</v>
      </c>
      <c r="BW62" s="1049" t="str">
        <f>_xlfn.XLOOKUP(A62,'[4]Sub-analyza3 - zadania kvality'!A:A,'[4]Sub-analyza3 - zadania kvality'!F:F,"Nenašlo sa")</f>
        <v>B3</v>
      </c>
    </row>
    <row r="63" spans="1:75" s="1049" customFormat="1" ht="15.75" customHeight="1" x14ac:dyDescent="0.2">
      <c r="A63" s="1032" t="s">
        <v>4323</v>
      </c>
      <c r="B63" s="1050">
        <v>100009129</v>
      </c>
      <c r="C63" s="1050">
        <v>160903</v>
      </c>
      <c r="D63" s="1051" t="s">
        <v>4324</v>
      </c>
      <c r="E63" s="1051" t="s">
        <v>4325</v>
      </c>
      <c r="F63" s="1051" t="s">
        <v>4559</v>
      </c>
      <c r="G63" s="1034" t="s">
        <v>4560</v>
      </c>
      <c r="H63" s="1034" t="s">
        <v>4561</v>
      </c>
      <c r="I63" s="1035" t="s">
        <v>4562</v>
      </c>
      <c r="J63" s="1035">
        <v>1</v>
      </c>
      <c r="K63" s="1013" t="s">
        <v>4593</v>
      </c>
      <c r="L63" s="1013" t="s">
        <v>4563</v>
      </c>
      <c r="M63" s="1013"/>
      <c r="N63" s="1037">
        <v>6.5</v>
      </c>
      <c r="O63" s="1035"/>
      <c r="P63" s="1035"/>
      <c r="Q63" s="1035"/>
      <c r="R63" s="1036">
        <v>374</v>
      </c>
      <c r="S63" s="1001">
        <v>238</v>
      </c>
      <c r="T63" s="1001">
        <v>381</v>
      </c>
      <c r="U63" s="1001">
        <v>0</v>
      </c>
      <c r="V63" s="1001">
        <v>381</v>
      </c>
      <c r="W63" s="1001">
        <v>5</v>
      </c>
      <c r="X63" s="1038">
        <f t="shared" si="2"/>
        <v>0.15661641541038526</v>
      </c>
      <c r="Y63" s="1039">
        <f t="shared" si="1"/>
        <v>0</v>
      </c>
      <c r="Z63" s="1040"/>
      <c r="AA63" s="1056" t="s">
        <v>4695</v>
      </c>
      <c r="AB63" s="1035" t="s">
        <v>3867</v>
      </c>
      <c r="AC63" s="1042"/>
      <c r="AD63" s="1043">
        <v>1</v>
      </c>
      <c r="AE63" s="1001">
        <v>3</v>
      </c>
      <c r="AF63" s="1012"/>
      <c r="AG63" s="1057">
        <v>1</v>
      </c>
      <c r="AH63" s="1057">
        <v>18</v>
      </c>
      <c r="AI63" s="1012"/>
      <c r="AJ63" s="1012"/>
      <c r="AK63" s="1001"/>
      <c r="AL63" s="1001"/>
      <c r="AM63" s="1012"/>
      <c r="AN63" s="1012"/>
      <c r="AO63" s="1001">
        <v>2</v>
      </c>
      <c r="AP63" s="1001">
        <v>28</v>
      </c>
      <c r="AQ63" s="1001">
        <v>3</v>
      </c>
      <c r="AR63" s="1012"/>
      <c r="AS63" s="1012"/>
      <c r="AT63" s="1012"/>
      <c r="AU63" s="1001">
        <v>0</v>
      </c>
      <c r="AV63" s="1001">
        <v>0</v>
      </c>
      <c r="AW63" s="1012"/>
      <c r="AX63" s="1012"/>
      <c r="AY63" s="1001">
        <v>0</v>
      </c>
      <c r="AZ63" s="1001">
        <v>0</v>
      </c>
      <c r="BA63" s="1012"/>
      <c r="BB63" s="1012"/>
      <c r="BC63" s="1001">
        <v>0</v>
      </c>
      <c r="BD63" s="1001">
        <v>0</v>
      </c>
      <c r="BE63" s="1012"/>
      <c r="BF63" s="1012"/>
      <c r="BG63" s="1034">
        <f>_xlfn.XLOOKUP('Pasport1 NetAcad zdroj4'!$A63,'[5]Pasport1 Akademie'!$B$2:$B$62,'[5]Pasport1 Akademie'!AY$2:AY$62,"zle")</f>
        <v>3</v>
      </c>
      <c r="BH63" s="1034">
        <f>_xlfn.XLOOKUP('Pasport1 NetAcad zdroj4'!$A63,'[5]Pasport1 Akademie'!$B$2:$B$62,'[5]Pasport1 Akademie'!AZ$2:AZ$62,"zle")</f>
        <v>3</v>
      </c>
      <c r="BI63" s="1034">
        <f>_xlfn.XLOOKUP('Pasport1 NetAcad zdroj4'!$A63,'[5]Pasport1 Akademie'!$B$2:$B$62,'[5]Pasport1 Akademie'!BA$2:BA$62,"zle")</f>
        <v>3</v>
      </c>
      <c r="BJ63" s="1034">
        <f>_xlfn.XLOOKUP('Pasport1 NetAcad zdroj4'!$A63,'[5]Pasport1 Akademie'!$B$2:$B$62,'[5]Pasport1 Akademie'!BB$2:BB$62,"zle")</f>
        <v>3</v>
      </c>
      <c r="BK63" s="1034">
        <f>_xlfn.XLOOKUP('Pasport1 NetAcad zdroj4'!$A63,'[5]Pasport1 Akademie'!$B$2:$B$62,'[5]Pasport1 Akademie'!AZ$2:AZ$62,"zle")</f>
        <v>3</v>
      </c>
      <c r="BL63" s="1034">
        <f>_xlfn.XLOOKUP('Pasport1 NetAcad zdroj4'!$A63,'[5]Pasport1 Akademie'!$B$2:$B$62,'[5]Pasport1 Akademie'!BD$2:BD$62,"zle")</f>
        <v>3</v>
      </c>
      <c r="BM63" s="1034">
        <f>_xlfn.XLOOKUP('Pasport1 NetAcad zdroj4'!$A63,'[5]Pasport1 Akademie'!$B$2:$B$62,'[5]Pasport1 Akademie'!BC$2:BC$62,"zle")</f>
        <v>3</v>
      </c>
      <c r="BN63" s="1044" t="s">
        <v>4986</v>
      </c>
      <c r="BO63" s="1046" t="s">
        <v>4987</v>
      </c>
      <c r="BP63" s="1046" t="s">
        <v>4988</v>
      </c>
      <c r="BQ63" s="1033"/>
      <c r="BR63" s="1046"/>
      <c r="BS63" s="1033"/>
      <c r="BT63" s="1047"/>
      <c r="BU63" s="1093">
        <v>82</v>
      </c>
      <c r="BW63" s="1049" t="str">
        <f>_xlfn.XLOOKUP(A63,'[4]Sub-analyza3 - zadania kvality'!A:A,'[4]Sub-analyza3 - zadania kvality'!F:F,"Nenašlo sa")</f>
        <v>B3</v>
      </c>
    </row>
    <row r="64" spans="1:75" s="1140" customFormat="1" ht="15.75" customHeight="1" x14ac:dyDescent="0.2">
      <c r="A64" s="1121"/>
      <c r="B64" s="1122"/>
      <c r="C64" s="1122"/>
      <c r="D64" s="1123" t="s">
        <v>4989</v>
      </c>
      <c r="E64" s="1123" t="s">
        <v>4990</v>
      </c>
      <c r="F64" s="1123" t="s">
        <v>4663</v>
      </c>
      <c r="G64" s="1124" t="s">
        <v>4991</v>
      </c>
      <c r="H64" s="1124" t="s">
        <v>4571</v>
      </c>
      <c r="I64" s="1125" t="s">
        <v>4593</v>
      </c>
      <c r="J64" s="1125">
        <v>1</v>
      </c>
      <c r="K64" s="1126" t="s">
        <v>4593</v>
      </c>
      <c r="L64" s="1126" t="s">
        <v>4992</v>
      </c>
      <c r="M64" s="1126"/>
      <c r="N64" s="1127"/>
      <c r="O64" s="1125"/>
      <c r="P64" s="1125" t="s">
        <v>4627</v>
      </c>
      <c r="Q64" s="1125"/>
      <c r="R64" s="1128"/>
      <c r="S64" s="1129"/>
      <c r="T64" s="1129"/>
      <c r="U64" s="1129"/>
      <c r="V64" s="1129"/>
      <c r="W64" s="1129"/>
      <c r="X64" s="1130"/>
      <c r="Y64" s="1131"/>
      <c r="Z64" s="1125"/>
      <c r="AA64" s="1132"/>
      <c r="AB64" s="1125" t="s">
        <v>4993</v>
      </c>
      <c r="AC64" s="1133"/>
      <c r="AD64" s="1134">
        <v>1</v>
      </c>
      <c r="AE64" s="1129"/>
      <c r="AF64" s="1135"/>
      <c r="AG64" s="1129"/>
      <c r="AH64" s="1129"/>
      <c r="AI64" s="1135"/>
      <c r="AJ64" s="1135"/>
      <c r="AK64" s="1129"/>
      <c r="AL64" s="1129"/>
      <c r="AM64" s="1135"/>
      <c r="AN64" s="1135"/>
      <c r="AO64" s="1129"/>
      <c r="AP64" s="1129"/>
      <c r="AQ64" s="1129"/>
      <c r="AR64" s="1135"/>
      <c r="AS64" s="1135"/>
      <c r="AT64" s="1135"/>
      <c r="AU64" s="1129"/>
      <c r="AV64" s="1129"/>
      <c r="AW64" s="1135"/>
      <c r="AX64" s="1135"/>
      <c r="AY64" s="1129"/>
      <c r="AZ64" s="1129"/>
      <c r="BA64" s="1135"/>
      <c r="BB64" s="1135"/>
      <c r="BC64" s="1129"/>
      <c r="BD64" s="1129"/>
      <c r="BE64" s="1135"/>
      <c r="BF64" s="1135"/>
      <c r="BG64" s="1136"/>
      <c r="BH64" s="1136"/>
      <c r="BI64" s="1136"/>
      <c r="BJ64" s="1136"/>
      <c r="BK64" s="1136"/>
      <c r="BL64" s="1136"/>
      <c r="BM64" s="1136"/>
      <c r="BN64" s="1136"/>
      <c r="BO64" s="1137"/>
      <c r="BP64" s="1137"/>
      <c r="BQ64" s="1136"/>
      <c r="BR64" s="1137"/>
      <c r="BS64" s="1136"/>
      <c r="BT64" s="1138"/>
      <c r="BU64" s="1139"/>
      <c r="BW64" s="773"/>
    </row>
    <row r="65" spans="1:75" s="1140" customFormat="1" ht="15.75" customHeight="1" x14ac:dyDescent="0.2">
      <c r="A65" s="1121"/>
      <c r="B65" s="1122"/>
      <c r="C65" s="1122"/>
      <c r="D65" s="1123" t="s">
        <v>4994</v>
      </c>
      <c r="E65" s="1123" t="s">
        <v>4995</v>
      </c>
      <c r="F65" s="1123" t="s">
        <v>4976</v>
      </c>
      <c r="G65" s="1124" t="s">
        <v>4991</v>
      </c>
      <c r="H65" s="1124" t="s">
        <v>4734</v>
      </c>
      <c r="I65" s="1125" t="s">
        <v>4593</v>
      </c>
      <c r="J65" s="1125">
        <v>1</v>
      </c>
      <c r="K65" s="1126" t="s">
        <v>4593</v>
      </c>
      <c r="L65" s="1126" t="s">
        <v>4992</v>
      </c>
      <c r="M65" s="1126"/>
      <c r="N65" s="1127"/>
      <c r="O65" s="1125"/>
      <c r="P65" s="1125" t="s">
        <v>4627</v>
      </c>
      <c r="Q65" s="1125"/>
      <c r="R65" s="1128"/>
      <c r="S65" s="1129"/>
      <c r="T65" s="1129"/>
      <c r="U65" s="1129"/>
      <c r="V65" s="1129"/>
      <c r="W65" s="1129"/>
      <c r="X65" s="1130"/>
      <c r="Y65" s="1131"/>
      <c r="Z65" s="1125"/>
      <c r="AA65" s="1132"/>
      <c r="AB65" s="1125" t="s">
        <v>4993</v>
      </c>
      <c r="AC65" s="1133"/>
      <c r="AD65" s="1134">
        <v>1</v>
      </c>
      <c r="AE65" s="1129"/>
      <c r="AF65" s="1135"/>
      <c r="AG65" s="1129"/>
      <c r="AH65" s="1129"/>
      <c r="AI65" s="1135"/>
      <c r="AJ65" s="1135"/>
      <c r="AK65" s="1129"/>
      <c r="AL65" s="1129"/>
      <c r="AM65" s="1135"/>
      <c r="AN65" s="1135"/>
      <c r="AO65" s="1129"/>
      <c r="AP65" s="1129"/>
      <c r="AQ65" s="1129"/>
      <c r="AR65" s="1135"/>
      <c r="AS65" s="1135"/>
      <c r="AT65" s="1135"/>
      <c r="AU65" s="1129"/>
      <c r="AV65" s="1129"/>
      <c r="AW65" s="1135"/>
      <c r="AX65" s="1135"/>
      <c r="AY65" s="1129"/>
      <c r="AZ65" s="1129"/>
      <c r="BA65" s="1135"/>
      <c r="BB65" s="1135"/>
      <c r="BC65" s="1129"/>
      <c r="BD65" s="1129"/>
      <c r="BE65" s="1135"/>
      <c r="BF65" s="1135"/>
      <c r="BG65" s="1136"/>
      <c r="BH65" s="1136"/>
      <c r="BI65" s="1136"/>
      <c r="BJ65" s="1136"/>
      <c r="BK65" s="1136"/>
      <c r="BL65" s="1136"/>
      <c r="BM65" s="1136"/>
      <c r="BN65" s="1136"/>
      <c r="BO65" s="1137"/>
      <c r="BP65" s="1137"/>
      <c r="BQ65" s="1136"/>
      <c r="BR65" s="1137"/>
      <c r="BS65" s="1136"/>
      <c r="BT65" s="1138"/>
      <c r="BU65" s="1139"/>
      <c r="BW65" s="773"/>
    </row>
    <row r="66" spans="1:75" s="1140" customFormat="1" ht="15.75" customHeight="1" x14ac:dyDescent="0.2">
      <c r="A66" s="1121"/>
      <c r="B66" s="1122"/>
      <c r="C66" s="1122"/>
      <c r="D66" s="1123" t="s">
        <v>4296</v>
      </c>
      <c r="E66" s="1123" t="s">
        <v>4996</v>
      </c>
      <c r="F66" s="1123" t="s">
        <v>4570</v>
      </c>
      <c r="G66" s="1124" t="s">
        <v>4991</v>
      </c>
      <c r="H66" s="1124" t="s">
        <v>4571</v>
      </c>
      <c r="I66" s="1125" t="s">
        <v>4593</v>
      </c>
      <c r="J66" s="1125">
        <v>1</v>
      </c>
      <c r="K66" s="1126" t="s">
        <v>4593</v>
      </c>
      <c r="L66" s="1126" t="s">
        <v>4992</v>
      </c>
      <c r="M66" s="1126"/>
      <c r="N66" s="1127"/>
      <c r="O66" s="1125"/>
      <c r="P66" s="1125" t="s">
        <v>4627</v>
      </c>
      <c r="Q66" s="1125"/>
      <c r="R66" s="1128"/>
      <c r="S66" s="1129"/>
      <c r="T66" s="1129"/>
      <c r="U66" s="1129"/>
      <c r="V66" s="1129"/>
      <c r="W66" s="1129"/>
      <c r="X66" s="1130"/>
      <c r="Y66" s="1131"/>
      <c r="Z66" s="1125"/>
      <c r="AA66" s="1132"/>
      <c r="AB66" s="1125" t="s">
        <v>4993</v>
      </c>
      <c r="AC66" s="1133"/>
      <c r="AD66" s="1134">
        <v>1</v>
      </c>
      <c r="AE66" s="1129"/>
      <c r="AF66" s="1135"/>
      <c r="AG66" s="1129"/>
      <c r="AH66" s="1129"/>
      <c r="AI66" s="1135"/>
      <c r="AJ66" s="1135"/>
      <c r="AK66" s="1129"/>
      <c r="AL66" s="1129"/>
      <c r="AM66" s="1135"/>
      <c r="AN66" s="1135"/>
      <c r="AO66" s="1129"/>
      <c r="AP66" s="1129"/>
      <c r="AQ66" s="1129"/>
      <c r="AR66" s="1135"/>
      <c r="AS66" s="1135"/>
      <c r="AT66" s="1135"/>
      <c r="AU66" s="1129"/>
      <c r="AV66" s="1129"/>
      <c r="AW66" s="1135"/>
      <c r="AX66" s="1135"/>
      <c r="AY66" s="1129"/>
      <c r="AZ66" s="1129"/>
      <c r="BA66" s="1135"/>
      <c r="BB66" s="1135"/>
      <c r="BC66" s="1129"/>
      <c r="BD66" s="1129"/>
      <c r="BE66" s="1135"/>
      <c r="BF66" s="1135"/>
      <c r="BG66" s="1136"/>
      <c r="BH66" s="1136"/>
      <c r="BI66" s="1136"/>
      <c r="BJ66" s="1136"/>
      <c r="BK66" s="1136"/>
      <c r="BL66" s="1136"/>
      <c r="BM66" s="1136"/>
      <c r="BN66" s="1136"/>
      <c r="BO66" s="1137"/>
      <c r="BP66" s="1137"/>
      <c r="BQ66" s="1136"/>
      <c r="BR66" s="1137"/>
      <c r="BS66" s="1136"/>
      <c r="BT66" s="1138"/>
      <c r="BU66" s="1139"/>
      <c r="BW66" s="773"/>
    </row>
    <row r="67" spans="1:75" s="1140" customFormat="1" ht="15.75" customHeight="1" x14ac:dyDescent="0.2">
      <c r="A67" s="1121"/>
      <c r="B67" s="1122"/>
      <c r="C67" s="1122"/>
      <c r="D67" s="1123" t="s">
        <v>4820</v>
      </c>
      <c r="E67" s="1123" t="s">
        <v>4997</v>
      </c>
      <c r="F67" s="1123" t="s">
        <v>4920</v>
      </c>
      <c r="G67" s="1124" t="s">
        <v>4991</v>
      </c>
      <c r="H67" s="1124" t="s">
        <v>4561</v>
      </c>
      <c r="I67" s="1125" t="s">
        <v>4593</v>
      </c>
      <c r="J67" s="1125">
        <v>1</v>
      </c>
      <c r="K67" s="1126" t="s">
        <v>4593</v>
      </c>
      <c r="L67" s="1126" t="s">
        <v>4992</v>
      </c>
      <c r="M67" s="1126"/>
      <c r="N67" s="1127"/>
      <c r="O67" s="1125"/>
      <c r="P67" s="1125" t="s">
        <v>4627</v>
      </c>
      <c r="Q67" s="1125"/>
      <c r="R67" s="1128"/>
      <c r="S67" s="1129"/>
      <c r="T67" s="1129"/>
      <c r="U67" s="1129"/>
      <c r="V67" s="1129"/>
      <c r="W67" s="1129"/>
      <c r="X67" s="1130"/>
      <c r="Y67" s="1131"/>
      <c r="Z67" s="1125"/>
      <c r="AA67" s="1132"/>
      <c r="AB67" s="1125" t="s">
        <v>4993</v>
      </c>
      <c r="AC67" s="1133"/>
      <c r="AD67" s="1134">
        <v>1</v>
      </c>
      <c r="AE67" s="1129"/>
      <c r="AF67" s="1135"/>
      <c r="AG67" s="1129"/>
      <c r="AH67" s="1129"/>
      <c r="AI67" s="1135"/>
      <c r="AJ67" s="1135"/>
      <c r="AK67" s="1129"/>
      <c r="AL67" s="1129"/>
      <c r="AM67" s="1135"/>
      <c r="AN67" s="1135"/>
      <c r="AO67" s="1129"/>
      <c r="AP67" s="1129"/>
      <c r="AQ67" s="1129"/>
      <c r="AR67" s="1135"/>
      <c r="AS67" s="1135"/>
      <c r="AT67" s="1135"/>
      <c r="AU67" s="1129"/>
      <c r="AV67" s="1129"/>
      <c r="AW67" s="1135"/>
      <c r="AX67" s="1135"/>
      <c r="AY67" s="1129"/>
      <c r="AZ67" s="1129"/>
      <c r="BA67" s="1135"/>
      <c r="BB67" s="1135"/>
      <c r="BC67" s="1129"/>
      <c r="BD67" s="1129"/>
      <c r="BE67" s="1135"/>
      <c r="BF67" s="1135"/>
      <c r="BG67" s="1136"/>
      <c r="BH67" s="1136"/>
      <c r="BI67" s="1136"/>
      <c r="BJ67" s="1136"/>
      <c r="BK67" s="1136"/>
      <c r="BL67" s="1136"/>
      <c r="BM67" s="1136"/>
      <c r="BN67" s="1136"/>
      <c r="BO67" s="1137"/>
      <c r="BP67" s="1137"/>
      <c r="BQ67" s="1136"/>
      <c r="BR67" s="1137"/>
      <c r="BS67" s="1136"/>
      <c r="BT67" s="1138"/>
      <c r="BU67" s="1139"/>
      <c r="BW67" s="773"/>
    </row>
    <row r="68" spans="1:75" s="1140" customFormat="1" ht="15.75" customHeight="1" x14ac:dyDescent="0.2">
      <c r="A68" s="1121"/>
      <c r="B68" s="1122"/>
      <c r="C68" s="1122"/>
      <c r="D68" s="1123" t="s">
        <v>4820</v>
      </c>
      <c r="E68" s="1123" t="s">
        <v>4998</v>
      </c>
      <c r="F68" s="1123" t="s">
        <v>4612</v>
      </c>
      <c r="G68" s="1124" t="s">
        <v>4991</v>
      </c>
      <c r="H68" s="1124" t="s">
        <v>4613</v>
      </c>
      <c r="I68" s="1125" t="s">
        <v>4593</v>
      </c>
      <c r="J68" s="1125">
        <v>1</v>
      </c>
      <c r="K68" s="1126" t="s">
        <v>4593</v>
      </c>
      <c r="L68" s="1126" t="s">
        <v>4992</v>
      </c>
      <c r="M68" s="1126"/>
      <c r="N68" s="1127"/>
      <c r="O68" s="1125"/>
      <c r="P68" s="1125" t="s">
        <v>4627</v>
      </c>
      <c r="Q68" s="1125"/>
      <c r="R68" s="1128"/>
      <c r="S68" s="1129"/>
      <c r="T68" s="1129"/>
      <c r="U68" s="1129"/>
      <c r="V68" s="1129"/>
      <c r="W68" s="1129"/>
      <c r="X68" s="1130"/>
      <c r="Y68" s="1131"/>
      <c r="Z68" s="1125"/>
      <c r="AA68" s="1132"/>
      <c r="AB68" s="1125" t="s">
        <v>4993</v>
      </c>
      <c r="AC68" s="1133"/>
      <c r="AD68" s="1134">
        <v>1</v>
      </c>
      <c r="AE68" s="1129"/>
      <c r="AF68" s="1135"/>
      <c r="AG68" s="1129"/>
      <c r="AH68" s="1129"/>
      <c r="AI68" s="1135"/>
      <c r="AJ68" s="1135"/>
      <c r="AK68" s="1129"/>
      <c r="AL68" s="1129"/>
      <c r="AM68" s="1135"/>
      <c r="AN68" s="1135"/>
      <c r="AO68" s="1129"/>
      <c r="AP68" s="1129"/>
      <c r="AQ68" s="1129"/>
      <c r="AR68" s="1135"/>
      <c r="AS68" s="1135"/>
      <c r="AT68" s="1135"/>
      <c r="AU68" s="1129"/>
      <c r="AV68" s="1129"/>
      <c r="AW68" s="1135"/>
      <c r="AX68" s="1135"/>
      <c r="AY68" s="1129"/>
      <c r="AZ68" s="1129"/>
      <c r="BA68" s="1135"/>
      <c r="BB68" s="1135"/>
      <c r="BC68" s="1129"/>
      <c r="BD68" s="1129"/>
      <c r="BE68" s="1135"/>
      <c r="BF68" s="1135"/>
      <c r="BG68" s="1136"/>
      <c r="BH68" s="1136"/>
      <c r="BI68" s="1136"/>
      <c r="BJ68" s="1136"/>
      <c r="BK68" s="1136"/>
      <c r="BL68" s="1136"/>
      <c r="BM68" s="1136"/>
      <c r="BN68" s="1136"/>
      <c r="BO68" s="1137"/>
      <c r="BP68" s="1137"/>
      <c r="BQ68" s="1136"/>
      <c r="BR68" s="1137"/>
      <c r="BS68" s="1136"/>
      <c r="BT68" s="1138"/>
      <c r="BU68" s="1139"/>
      <c r="BW68" s="773"/>
    </row>
    <row r="69" spans="1:75" s="1140" customFormat="1" ht="15.75" customHeight="1" x14ac:dyDescent="0.2">
      <c r="A69" s="1121"/>
      <c r="B69" s="1122"/>
      <c r="C69" s="1122"/>
      <c r="D69" s="1123" t="s">
        <v>4999</v>
      </c>
      <c r="E69" s="1123" t="s">
        <v>5000</v>
      </c>
      <c r="F69" s="1123" t="s">
        <v>4980</v>
      </c>
      <c r="G69" s="1124" t="s">
        <v>4991</v>
      </c>
      <c r="H69" s="1124" t="s">
        <v>4613</v>
      </c>
      <c r="I69" s="1125" t="s">
        <v>4593</v>
      </c>
      <c r="J69" s="1125">
        <v>1</v>
      </c>
      <c r="K69" s="1126" t="s">
        <v>4593</v>
      </c>
      <c r="L69" s="1126" t="s">
        <v>4992</v>
      </c>
      <c r="M69" s="1126"/>
      <c r="N69" s="1127"/>
      <c r="O69" s="1125"/>
      <c r="P69" s="1125" t="s">
        <v>4627</v>
      </c>
      <c r="Q69" s="1125"/>
      <c r="R69" s="1128"/>
      <c r="S69" s="1129"/>
      <c r="T69" s="1129"/>
      <c r="U69" s="1129"/>
      <c r="V69" s="1129"/>
      <c r="W69" s="1129"/>
      <c r="X69" s="1130"/>
      <c r="Y69" s="1131"/>
      <c r="Z69" s="1125"/>
      <c r="AA69" s="1132"/>
      <c r="AB69" s="1125" t="s">
        <v>4993</v>
      </c>
      <c r="AC69" s="1133"/>
      <c r="AD69" s="1134">
        <v>1</v>
      </c>
      <c r="AE69" s="1129"/>
      <c r="AF69" s="1135"/>
      <c r="AG69" s="1129"/>
      <c r="AH69" s="1129"/>
      <c r="AI69" s="1135"/>
      <c r="AJ69" s="1135"/>
      <c r="AK69" s="1129"/>
      <c r="AL69" s="1129"/>
      <c r="AM69" s="1135"/>
      <c r="AN69" s="1135"/>
      <c r="AO69" s="1129"/>
      <c r="AP69" s="1129"/>
      <c r="AQ69" s="1129"/>
      <c r="AR69" s="1135"/>
      <c r="AS69" s="1135"/>
      <c r="AT69" s="1135"/>
      <c r="AU69" s="1129"/>
      <c r="AV69" s="1129"/>
      <c r="AW69" s="1135"/>
      <c r="AX69" s="1135"/>
      <c r="AY69" s="1129"/>
      <c r="AZ69" s="1129"/>
      <c r="BA69" s="1135"/>
      <c r="BB69" s="1135"/>
      <c r="BC69" s="1129"/>
      <c r="BD69" s="1129"/>
      <c r="BE69" s="1135"/>
      <c r="BF69" s="1135" t="s">
        <v>5001</v>
      </c>
      <c r="BG69" s="1136"/>
      <c r="BH69" s="1136"/>
      <c r="BI69" s="1136"/>
      <c r="BJ69" s="1136"/>
      <c r="BK69" s="1136"/>
      <c r="BL69" s="1136"/>
      <c r="BM69" s="1136"/>
      <c r="BN69" s="1136"/>
      <c r="BO69" s="1137"/>
      <c r="BP69" s="1137"/>
      <c r="BQ69" s="1136"/>
      <c r="BR69" s="1137"/>
      <c r="BS69" s="1136"/>
      <c r="BT69" s="1138"/>
      <c r="BU69" s="1139"/>
      <c r="BW69" s="773"/>
    </row>
    <row r="70" spans="1:75" s="1140" customFormat="1" ht="15.75" customHeight="1" x14ac:dyDescent="0.2">
      <c r="A70" s="1121"/>
      <c r="B70" s="1122"/>
      <c r="C70" s="1122"/>
      <c r="D70" s="1123" t="s">
        <v>5002</v>
      </c>
      <c r="E70" s="1123" t="s">
        <v>5003</v>
      </c>
      <c r="F70" s="1123" t="s">
        <v>4570</v>
      </c>
      <c r="G70" s="1124" t="s">
        <v>4991</v>
      </c>
      <c r="H70" s="1124" t="s">
        <v>4571</v>
      </c>
      <c r="I70" s="1125" t="s">
        <v>4593</v>
      </c>
      <c r="J70" s="1125">
        <v>1</v>
      </c>
      <c r="K70" s="1126" t="s">
        <v>4593</v>
      </c>
      <c r="L70" s="1126" t="s">
        <v>4992</v>
      </c>
      <c r="M70" s="1126"/>
      <c r="N70" s="1127"/>
      <c r="O70" s="1125"/>
      <c r="P70" s="1125" t="s">
        <v>4627</v>
      </c>
      <c r="Q70" s="1125"/>
      <c r="R70" s="1128"/>
      <c r="S70" s="1129"/>
      <c r="T70" s="1129"/>
      <c r="U70" s="1129"/>
      <c r="V70" s="1129"/>
      <c r="W70" s="1129"/>
      <c r="X70" s="1130"/>
      <c r="Y70" s="1131"/>
      <c r="Z70" s="1125"/>
      <c r="AA70" s="1132"/>
      <c r="AB70" s="1125" t="s">
        <v>4993</v>
      </c>
      <c r="AC70" s="1133"/>
      <c r="AD70" s="1134">
        <v>1</v>
      </c>
      <c r="AE70" s="1129"/>
      <c r="AF70" s="1135"/>
      <c r="AG70" s="1129"/>
      <c r="AH70" s="1129"/>
      <c r="AI70" s="1135"/>
      <c r="AJ70" s="1135"/>
      <c r="AK70" s="1129"/>
      <c r="AL70" s="1129"/>
      <c r="AM70" s="1135"/>
      <c r="AN70" s="1135"/>
      <c r="AO70" s="1129"/>
      <c r="AP70" s="1129"/>
      <c r="AQ70" s="1129"/>
      <c r="AR70" s="1135"/>
      <c r="AS70" s="1135"/>
      <c r="AT70" s="1135"/>
      <c r="AU70" s="1129"/>
      <c r="AV70" s="1129"/>
      <c r="AW70" s="1135"/>
      <c r="AX70" s="1135"/>
      <c r="AY70" s="1129"/>
      <c r="AZ70" s="1129"/>
      <c r="BA70" s="1135"/>
      <c r="BB70" s="1135"/>
      <c r="BC70" s="1129"/>
      <c r="BD70" s="1129"/>
      <c r="BE70" s="1135"/>
      <c r="BF70" s="1135"/>
      <c r="BG70" s="1136"/>
      <c r="BH70" s="1136"/>
      <c r="BI70" s="1136"/>
      <c r="BJ70" s="1136"/>
      <c r="BK70" s="1136"/>
      <c r="BL70" s="1136"/>
      <c r="BM70" s="1136"/>
      <c r="BN70" s="1136"/>
      <c r="BO70" s="1137"/>
      <c r="BP70" s="1137"/>
      <c r="BQ70" s="1136"/>
      <c r="BR70" s="1137"/>
      <c r="BS70" s="1136"/>
      <c r="BT70" s="1138"/>
      <c r="BU70" s="1139"/>
      <c r="BW70" s="773"/>
    </row>
    <row r="71" spans="1:75" s="1140" customFormat="1" ht="15.75" customHeight="1" x14ac:dyDescent="0.2">
      <c r="A71" s="1121"/>
      <c r="B71" s="1122"/>
      <c r="C71" s="1122"/>
      <c r="D71" s="1123" t="s">
        <v>5004</v>
      </c>
      <c r="E71" s="1123" t="s">
        <v>5005</v>
      </c>
      <c r="F71" s="1123" t="s">
        <v>4976</v>
      </c>
      <c r="G71" s="1124" t="s">
        <v>4991</v>
      </c>
      <c r="H71" s="1124" t="s">
        <v>4734</v>
      </c>
      <c r="I71" s="1125" t="s">
        <v>4593</v>
      </c>
      <c r="J71" s="1125">
        <v>1</v>
      </c>
      <c r="K71" s="1126" t="s">
        <v>4593</v>
      </c>
      <c r="L71" s="1126" t="s">
        <v>4992</v>
      </c>
      <c r="M71" s="1126"/>
      <c r="N71" s="1127"/>
      <c r="O71" s="1125"/>
      <c r="P71" s="1125" t="s">
        <v>4627</v>
      </c>
      <c r="Q71" s="1125"/>
      <c r="R71" s="1128"/>
      <c r="S71" s="1129"/>
      <c r="T71" s="1129"/>
      <c r="U71" s="1129"/>
      <c r="V71" s="1129"/>
      <c r="W71" s="1129"/>
      <c r="X71" s="1130"/>
      <c r="Y71" s="1131"/>
      <c r="Z71" s="1125"/>
      <c r="AA71" s="1132"/>
      <c r="AB71" s="1125" t="s">
        <v>4993</v>
      </c>
      <c r="AC71" s="1133"/>
      <c r="AD71" s="1134">
        <v>1</v>
      </c>
      <c r="AE71" s="1129"/>
      <c r="AF71" s="1135"/>
      <c r="AG71" s="1129"/>
      <c r="AH71" s="1129"/>
      <c r="AI71" s="1135"/>
      <c r="AJ71" s="1135"/>
      <c r="AK71" s="1129"/>
      <c r="AL71" s="1129"/>
      <c r="AM71" s="1135"/>
      <c r="AN71" s="1135"/>
      <c r="AO71" s="1129"/>
      <c r="AP71" s="1129"/>
      <c r="AQ71" s="1129"/>
      <c r="AR71" s="1135"/>
      <c r="AS71" s="1135"/>
      <c r="AT71" s="1135"/>
      <c r="AU71" s="1129"/>
      <c r="AV71" s="1129"/>
      <c r="AW71" s="1135"/>
      <c r="AX71" s="1135"/>
      <c r="AY71" s="1129"/>
      <c r="AZ71" s="1129"/>
      <c r="BA71" s="1135"/>
      <c r="BB71" s="1135"/>
      <c r="BC71" s="1129"/>
      <c r="BD71" s="1129"/>
      <c r="BE71" s="1135"/>
      <c r="BF71" s="1135"/>
      <c r="BG71" s="1136"/>
      <c r="BH71" s="1136"/>
      <c r="BI71" s="1136"/>
      <c r="BJ71" s="1136"/>
      <c r="BK71" s="1136"/>
      <c r="BL71" s="1136"/>
      <c r="BM71" s="1136"/>
      <c r="BN71" s="1136"/>
      <c r="BO71" s="1137"/>
      <c r="BP71" s="1137"/>
      <c r="BQ71" s="1136"/>
      <c r="BR71" s="1137"/>
      <c r="BS71" s="1136"/>
      <c r="BT71" s="1138"/>
      <c r="BU71" s="1139"/>
      <c r="BW71" s="773"/>
    </row>
    <row r="72" spans="1:75" s="1140" customFormat="1" ht="15.75" customHeight="1" x14ac:dyDescent="0.2">
      <c r="A72" s="1121"/>
      <c r="B72" s="1122"/>
      <c r="C72" s="1122"/>
      <c r="D72" s="1123" t="s">
        <v>4291</v>
      </c>
      <c r="E72" s="1123" t="s">
        <v>5006</v>
      </c>
      <c r="F72" s="1123" t="s">
        <v>4624</v>
      </c>
      <c r="G72" s="1124" t="s">
        <v>4991</v>
      </c>
      <c r="H72" s="1124" t="s">
        <v>4625</v>
      </c>
      <c r="I72" s="1125" t="s">
        <v>4593</v>
      </c>
      <c r="J72" s="1125">
        <v>1</v>
      </c>
      <c r="K72" s="1126" t="s">
        <v>4593</v>
      </c>
      <c r="L72" s="1126" t="s">
        <v>4992</v>
      </c>
      <c r="M72" s="1126"/>
      <c r="N72" s="1127"/>
      <c r="O72" s="1125"/>
      <c r="P72" s="1125" t="s">
        <v>4627</v>
      </c>
      <c r="Q72" s="1125"/>
      <c r="R72" s="1128" t="s">
        <v>4694</v>
      </c>
      <c r="S72" s="1129"/>
      <c r="T72" s="1129"/>
      <c r="U72" s="1129"/>
      <c r="V72" s="1129"/>
      <c r="W72" s="1129"/>
      <c r="X72" s="1130"/>
      <c r="Y72" s="1131"/>
      <c r="Z72" s="1125"/>
      <c r="AA72" s="1132"/>
      <c r="AB72" s="1125" t="s">
        <v>4993</v>
      </c>
      <c r="AC72" s="1133"/>
      <c r="AD72" s="1134">
        <v>1</v>
      </c>
      <c r="AE72" s="1129"/>
      <c r="AF72" s="1135"/>
      <c r="AG72" s="1129"/>
      <c r="AH72" s="1129"/>
      <c r="AI72" s="1135"/>
      <c r="AJ72" s="1135"/>
      <c r="AK72" s="1129"/>
      <c r="AL72" s="1129"/>
      <c r="AM72" s="1135"/>
      <c r="AN72" s="1135"/>
      <c r="AO72" s="1129"/>
      <c r="AP72" s="1129"/>
      <c r="AQ72" s="1129"/>
      <c r="AR72" s="1135"/>
      <c r="AS72" s="1135"/>
      <c r="AT72" s="1135"/>
      <c r="AU72" s="1129"/>
      <c r="AV72" s="1129"/>
      <c r="AW72" s="1135"/>
      <c r="AX72" s="1135"/>
      <c r="AY72" s="1129"/>
      <c r="AZ72" s="1129"/>
      <c r="BA72" s="1135"/>
      <c r="BB72" s="1135"/>
      <c r="BC72" s="1129"/>
      <c r="BD72" s="1129"/>
      <c r="BE72" s="1135"/>
      <c r="BF72" s="1135"/>
      <c r="BG72" s="1136"/>
      <c r="BH72" s="1136"/>
      <c r="BI72" s="1136"/>
      <c r="BJ72" s="1136"/>
      <c r="BK72" s="1136"/>
      <c r="BL72" s="1136"/>
      <c r="BM72" s="1136"/>
      <c r="BN72" s="1136"/>
      <c r="BO72" s="1137"/>
      <c r="BP72" s="1137"/>
      <c r="BQ72" s="1136"/>
      <c r="BR72" s="1137"/>
      <c r="BS72" s="1136"/>
      <c r="BT72" s="1138"/>
      <c r="BU72" s="1139"/>
      <c r="BW72" s="773"/>
    </row>
    <row r="73" spans="1:75" s="1140" customFormat="1" ht="15.75" customHeight="1" x14ac:dyDescent="0.2">
      <c r="A73" s="1121"/>
      <c r="B73" s="1122"/>
      <c r="C73" s="1122"/>
      <c r="D73" s="1123" t="s">
        <v>5007</v>
      </c>
      <c r="E73" s="1123" t="s">
        <v>5008</v>
      </c>
      <c r="F73" s="1123" t="s">
        <v>5009</v>
      </c>
      <c r="G73" s="1124" t="s">
        <v>4991</v>
      </c>
      <c r="H73" s="1124" t="s">
        <v>4625</v>
      </c>
      <c r="I73" s="1125" t="s">
        <v>4593</v>
      </c>
      <c r="J73" s="1125">
        <v>1</v>
      </c>
      <c r="K73" s="1126" t="s">
        <v>4593</v>
      </c>
      <c r="L73" s="1126" t="s">
        <v>4992</v>
      </c>
      <c r="M73" s="1126"/>
      <c r="N73" s="1127"/>
      <c r="O73" s="1125"/>
      <c r="P73" s="1125" t="s">
        <v>4627</v>
      </c>
      <c r="Q73" s="1125" t="s">
        <v>4694</v>
      </c>
      <c r="R73" s="1128"/>
      <c r="S73" s="1129"/>
      <c r="T73" s="1129"/>
      <c r="U73" s="1129"/>
      <c r="V73" s="1129"/>
      <c r="W73" s="1129"/>
      <c r="X73" s="1130"/>
      <c r="Y73" s="1131"/>
      <c r="Z73" s="1125"/>
      <c r="AA73" s="1132"/>
      <c r="AB73" s="1125" t="s">
        <v>4993</v>
      </c>
      <c r="AC73" s="1133"/>
      <c r="AD73" s="1134">
        <v>1</v>
      </c>
      <c r="AE73" s="1129"/>
      <c r="AF73" s="1135"/>
      <c r="AG73" s="1129"/>
      <c r="AH73" s="1129"/>
      <c r="AI73" s="1135"/>
      <c r="AJ73" s="1135"/>
      <c r="AK73" s="1129"/>
      <c r="AL73" s="1129"/>
      <c r="AM73" s="1135"/>
      <c r="AN73" s="1135"/>
      <c r="AO73" s="1129"/>
      <c r="AP73" s="1129"/>
      <c r="AQ73" s="1129"/>
      <c r="AR73" s="1135"/>
      <c r="AS73" s="1135"/>
      <c r="AT73" s="1135"/>
      <c r="AU73" s="1129"/>
      <c r="AV73" s="1129"/>
      <c r="AW73" s="1135"/>
      <c r="AX73" s="1135"/>
      <c r="AY73" s="1129"/>
      <c r="AZ73" s="1129"/>
      <c r="BA73" s="1135"/>
      <c r="BB73" s="1135"/>
      <c r="BC73" s="1129"/>
      <c r="BD73" s="1129"/>
      <c r="BE73" s="1135"/>
      <c r="BF73" s="1135"/>
      <c r="BG73" s="1136"/>
      <c r="BH73" s="1136"/>
      <c r="BI73" s="1136"/>
      <c r="BJ73" s="1136"/>
      <c r="BK73" s="1136"/>
      <c r="BL73" s="1136"/>
      <c r="BM73" s="1136"/>
      <c r="BN73" s="1136"/>
      <c r="BO73" s="1137"/>
      <c r="BP73" s="1137"/>
      <c r="BQ73" s="1136"/>
      <c r="BR73" s="1137"/>
      <c r="BS73" s="1136"/>
      <c r="BT73" s="1138"/>
      <c r="BU73" s="1139"/>
      <c r="BW73" s="773"/>
    </row>
    <row r="74" spans="1:75" s="1161" customFormat="1" ht="14.5" customHeight="1" x14ac:dyDescent="0.2">
      <c r="A74" s="1141"/>
      <c r="B74" s="1142"/>
      <c r="C74" s="1142"/>
      <c r="D74" s="1143" t="s">
        <v>4324</v>
      </c>
      <c r="E74" s="1144" t="s">
        <v>5010</v>
      </c>
      <c r="F74" s="1143" t="s">
        <v>4724</v>
      </c>
      <c r="G74" s="1145" t="s">
        <v>5011</v>
      </c>
      <c r="H74" s="1145" t="s">
        <v>4649</v>
      </c>
      <c r="I74" s="1146" t="s">
        <v>4593</v>
      </c>
      <c r="J74" s="1146">
        <v>1</v>
      </c>
      <c r="K74" s="1147" t="s">
        <v>4593</v>
      </c>
      <c r="L74" s="1147" t="s">
        <v>4992</v>
      </c>
      <c r="M74" s="1147"/>
      <c r="N74" s="1148">
        <v>9.5</v>
      </c>
      <c r="O74" s="1146"/>
      <c r="P74" s="1146"/>
      <c r="Q74" s="1146"/>
      <c r="R74" s="1149"/>
      <c r="S74" s="1150"/>
      <c r="T74" s="1150"/>
      <c r="U74" s="1150"/>
      <c r="V74" s="1150"/>
      <c r="W74" s="1150"/>
      <c r="X74" s="1151"/>
      <c r="Y74" s="1152"/>
      <c r="Z74" s="1146"/>
      <c r="AA74" s="1153"/>
      <c r="AB74" s="1146" t="s">
        <v>5012</v>
      </c>
      <c r="AC74" s="1154"/>
      <c r="AD74" s="1155">
        <v>1</v>
      </c>
      <c r="AE74" s="1150"/>
      <c r="AF74" s="1156"/>
      <c r="AG74" s="1150"/>
      <c r="AH74" s="1150"/>
      <c r="AI74" s="1156"/>
      <c r="AJ74" s="1156"/>
      <c r="AK74" s="1150"/>
      <c r="AL74" s="1150"/>
      <c r="AM74" s="1156"/>
      <c r="AN74" s="1156"/>
      <c r="AO74" s="1150"/>
      <c r="AP74" s="1150"/>
      <c r="AQ74" s="1150"/>
      <c r="AR74" s="1156"/>
      <c r="AS74" s="1156"/>
      <c r="AT74" s="1156"/>
      <c r="AU74" s="1150"/>
      <c r="AV74" s="1150"/>
      <c r="AW74" s="1156"/>
      <c r="AX74" s="1156"/>
      <c r="AY74" s="1150"/>
      <c r="AZ74" s="1150"/>
      <c r="BA74" s="1156"/>
      <c r="BB74" s="1156"/>
      <c r="BC74" s="1150"/>
      <c r="BD74" s="1150"/>
      <c r="BE74" s="1156"/>
      <c r="BF74" s="1156"/>
      <c r="BG74" s="1157"/>
      <c r="BH74" s="1157"/>
      <c r="BI74" s="1157"/>
      <c r="BJ74" s="1157"/>
      <c r="BK74" s="1157"/>
      <c r="BL74" s="1157"/>
      <c r="BM74" s="1157"/>
      <c r="BN74" s="1157"/>
      <c r="BO74" s="1158"/>
      <c r="BP74" s="1158"/>
      <c r="BQ74" s="1157"/>
      <c r="BR74" s="1158"/>
      <c r="BS74" s="1157"/>
      <c r="BT74" s="1159"/>
      <c r="BU74" s="1160"/>
      <c r="BW74" s="773"/>
    </row>
    <row r="75" spans="1:75" s="1161" customFormat="1" ht="14.5" customHeight="1" x14ac:dyDescent="0.2">
      <c r="A75" s="1141"/>
      <c r="B75" s="1142"/>
      <c r="C75" s="1142"/>
      <c r="D75" s="1143" t="s">
        <v>5013</v>
      </c>
      <c r="E75" s="1143" t="s">
        <v>5014</v>
      </c>
      <c r="F75" s="1143" t="s">
        <v>3861</v>
      </c>
      <c r="G75" s="1145" t="s">
        <v>5011</v>
      </c>
      <c r="H75" s="1145" t="s">
        <v>5015</v>
      </c>
      <c r="I75" s="1146" t="s">
        <v>4593</v>
      </c>
      <c r="J75" s="1146">
        <v>1</v>
      </c>
      <c r="K75" s="1147" t="s">
        <v>4593</v>
      </c>
      <c r="L75" s="1147" t="s">
        <v>4992</v>
      </c>
      <c r="M75" s="1147"/>
      <c r="N75" s="1148">
        <v>8.6999999999999993</v>
      </c>
      <c r="O75" s="1146"/>
      <c r="P75" s="1146"/>
      <c r="Q75" s="1146"/>
      <c r="R75" s="1149"/>
      <c r="S75" s="1150"/>
      <c r="T75" s="1150"/>
      <c r="U75" s="1150"/>
      <c r="V75" s="1150"/>
      <c r="W75" s="1150"/>
      <c r="X75" s="1151"/>
      <c r="Y75" s="1152"/>
      <c r="Z75" s="1146"/>
      <c r="AA75" s="1153"/>
      <c r="AB75" s="1146" t="s">
        <v>5012</v>
      </c>
      <c r="AC75" s="1154"/>
      <c r="AD75" s="1155">
        <v>1</v>
      </c>
      <c r="AE75" s="1150"/>
      <c r="AF75" s="1156"/>
      <c r="AG75" s="1150"/>
      <c r="AH75" s="1150"/>
      <c r="AI75" s="1156"/>
      <c r="AJ75" s="1156"/>
      <c r="AK75" s="1150"/>
      <c r="AL75" s="1150"/>
      <c r="AM75" s="1156"/>
      <c r="AN75" s="1156"/>
      <c r="AO75" s="1150"/>
      <c r="AP75" s="1150"/>
      <c r="AQ75" s="1150"/>
      <c r="AR75" s="1156"/>
      <c r="AS75" s="1156"/>
      <c r="AT75" s="1156"/>
      <c r="AU75" s="1150"/>
      <c r="AV75" s="1150"/>
      <c r="AW75" s="1156"/>
      <c r="AX75" s="1156"/>
      <c r="AY75" s="1150"/>
      <c r="AZ75" s="1150"/>
      <c r="BA75" s="1156"/>
      <c r="BB75" s="1156"/>
      <c r="BC75" s="1150"/>
      <c r="BD75" s="1150"/>
      <c r="BE75" s="1156"/>
      <c r="BF75" s="1156"/>
      <c r="BG75" s="1157"/>
      <c r="BH75" s="1157"/>
      <c r="BI75" s="1157"/>
      <c r="BJ75" s="1157"/>
      <c r="BK75" s="1157"/>
      <c r="BL75" s="1157"/>
      <c r="BM75" s="1157"/>
      <c r="BN75" s="1157"/>
      <c r="BO75" s="1158"/>
      <c r="BP75" s="1158"/>
      <c r="BQ75" s="1157"/>
      <c r="BR75" s="1158"/>
      <c r="BS75" s="1157"/>
      <c r="BT75" s="1159"/>
      <c r="BU75" s="1160"/>
      <c r="BW75" s="773"/>
    </row>
    <row r="76" spans="1:75" s="1161" customFormat="1" ht="14.5" customHeight="1" x14ac:dyDescent="0.2">
      <c r="A76" s="1141"/>
      <c r="B76" s="1142"/>
      <c r="C76" s="1142"/>
      <c r="D76" s="1143" t="s">
        <v>5016</v>
      </c>
      <c r="E76" s="1144" t="s">
        <v>5017</v>
      </c>
      <c r="F76" s="1143" t="s">
        <v>4624</v>
      </c>
      <c r="G76" s="1145" t="s">
        <v>5011</v>
      </c>
      <c r="H76" s="1145" t="s">
        <v>4625</v>
      </c>
      <c r="I76" s="1146" t="s">
        <v>4593</v>
      </c>
      <c r="J76" s="1146">
        <v>1</v>
      </c>
      <c r="K76" s="1147" t="s">
        <v>4593</v>
      </c>
      <c r="L76" s="1147" t="s">
        <v>4992</v>
      </c>
      <c r="M76" s="1147"/>
      <c r="N76" s="1148">
        <v>8.6999999999999993</v>
      </c>
      <c r="O76" s="1146"/>
      <c r="P76" s="1146"/>
      <c r="Q76" s="1146"/>
      <c r="R76" s="1149"/>
      <c r="S76" s="1150"/>
      <c r="T76" s="1150"/>
      <c r="U76" s="1150"/>
      <c r="V76" s="1150"/>
      <c r="W76" s="1150"/>
      <c r="X76" s="1151"/>
      <c r="Y76" s="1152"/>
      <c r="Z76" s="1146"/>
      <c r="AA76" s="1153"/>
      <c r="AB76" s="1146" t="s">
        <v>5012</v>
      </c>
      <c r="AC76" s="1154"/>
      <c r="AD76" s="1155">
        <v>1</v>
      </c>
      <c r="AE76" s="1150"/>
      <c r="AF76" s="1156"/>
      <c r="AG76" s="1150"/>
      <c r="AH76" s="1150"/>
      <c r="AI76" s="1156"/>
      <c r="AJ76" s="1156"/>
      <c r="AK76" s="1150"/>
      <c r="AL76" s="1150"/>
      <c r="AM76" s="1156"/>
      <c r="AN76" s="1156"/>
      <c r="AO76" s="1150"/>
      <c r="AP76" s="1150"/>
      <c r="AQ76" s="1150"/>
      <c r="AR76" s="1156"/>
      <c r="AS76" s="1156"/>
      <c r="AT76" s="1156"/>
      <c r="AU76" s="1150"/>
      <c r="AV76" s="1150"/>
      <c r="AW76" s="1156"/>
      <c r="AX76" s="1156"/>
      <c r="AY76" s="1150"/>
      <c r="AZ76" s="1150"/>
      <c r="BA76" s="1156"/>
      <c r="BB76" s="1156"/>
      <c r="BC76" s="1150"/>
      <c r="BD76" s="1150"/>
      <c r="BE76" s="1156"/>
      <c r="BF76" s="1156"/>
      <c r="BG76" s="1157"/>
      <c r="BH76" s="1157"/>
      <c r="BI76" s="1157"/>
      <c r="BJ76" s="1157"/>
      <c r="BK76" s="1157"/>
      <c r="BL76" s="1157"/>
      <c r="BM76" s="1157"/>
      <c r="BN76" s="1157"/>
      <c r="BO76" s="1158"/>
      <c r="BP76" s="1158"/>
      <c r="BQ76" s="1157"/>
      <c r="BR76" s="1158"/>
      <c r="BS76" s="1157"/>
      <c r="BT76" s="1159"/>
      <c r="BU76" s="1160"/>
      <c r="BW76" s="773"/>
    </row>
    <row r="77" spans="1:75" s="1161" customFormat="1" ht="14.5" customHeight="1" x14ac:dyDescent="0.2">
      <c r="A77" s="1141"/>
      <c r="B77" s="1142"/>
      <c r="C77" s="1142"/>
      <c r="D77" s="1144" t="s">
        <v>5018</v>
      </c>
      <c r="E77" s="1143" t="s">
        <v>5019</v>
      </c>
      <c r="F77" s="1143" t="s">
        <v>4724</v>
      </c>
      <c r="G77" s="1145" t="s">
        <v>5011</v>
      </c>
      <c r="H77" s="1145" t="s">
        <v>4649</v>
      </c>
      <c r="I77" s="1146" t="s">
        <v>4593</v>
      </c>
      <c r="J77" s="1146">
        <v>1</v>
      </c>
      <c r="K77" s="1147" t="s">
        <v>4593</v>
      </c>
      <c r="L77" s="1147" t="s">
        <v>4992</v>
      </c>
      <c r="M77" s="1147"/>
      <c r="N77" s="1148">
        <v>8.5</v>
      </c>
      <c r="O77" s="1146"/>
      <c r="P77" s="1146"/>
      <c r="Q77" s="1146"/>
      <c r="R77" s="1149"/>
      <c r="S77" s="1150"/>
      <c r="T77" s="1150"/>
      <c r="U77" s="1150"/>
      <c r="V77" s="1150"/>
      <c r="W77" s="1150"/>
      <c r="X77" s="1151"/>
      <c r="Y77" s="1152"/>
      <c r="Z77" s="1146"/>
      <c r="AA77" s="1153"/>
      <c r="AB77" s="1146" t="s">
        <v>5012</v>
      </c>
      <c r="AC77" s="1154"/>
      <c r="AD77" s="1155">
        <v>1</v>
      </c>
      <c r="AE77" s="1150"/>
      <c r="AF77" s="1156"/>
      <c r="AG77" s="1150"/>
      <c r="AH77" s="1150"/>
      <c r="AI77" s="1156"/>
      <c r="AJ77" s="1156"/>
      <c r="AK77" s="1150"/>
      <c r="AL77" s="1150"/>
      <c r="AM77" s="1156"/>
      <c r="AN77" s="1156"/>
      <c r="AO77" s="1150"/>
      <c r="AP77" s="1150"/>
      <c r="AQ77" s="1150"/>
      <c r="AR77" s="1156"/>
      <c r="AS77" s="1156"/>
      <c r="AT77" s="1156"/>
      <c r="AU77" s="1150"/>
      <c r="AV77" s="1150"/>
      <c r="AW77" s="1156"/>
      <c r="AX77" s="1156"/>
      <c r="AY77" s="1150"/>
      <c r="AZ77" s="1150"/>
      <c r="BA77" s="1156"/>
      <c r="BB77" s="1156"/>
      <c r="BC77" s="1150"/>
      <c r="BD77" s="1150"/>
      <c r="BE77" s="1156"/>
      <c r="BF77" s="1156"/>
      <c r="BG77" s="1157"/>
      <c r="BH77" s="1157"/>
      <c r="BI77" s="1157"/>
      <c r="BJ77" s="1157"/>
      <c r="BK77" s="1157"/>
      <c r="BL77" s="1157"/>
      <c r="BM77" s="1157"/>
      <c r="BN77" s="1157"/>
      <c r="BO77" s="1158"/>
      <c r="BP77" s="1158"/>
      <c r="BQ77" s="1157"/>
      <c r="BR77" s="1158"/>
      <c r="BS77" s="1157"/>
      <c r="BT77" s="1159"/>
      <c r="BU77" s="1160"/>
      <c r="BW77" s="773"/>
    </row>
    <row r="78" spans="1:75" s="1161" customFormat="1" ht="14.5" customHeight="1" x14ac:dyDescent="0.2">
      <c r="A78" s="1141"/>
      <c r="B78" s="1142"/>
      <c r="C78" s="1142"/>
      <c r="D78" s="1144" t="s">
        <v>4324</v>
      </c>
      <c r="E78" s="1144" t="s">
        <v>5020</v>
      </c>
      <c r="F78" s="1143" t="s">
        <v>4559</v>
      </c>
      <c r="G78" s="1145" t="s">
        <v>5011</v>
      </c>
      <c r="H78" s="1145" t="s">
        <v>5015</v>
      </c>
      <c r="I78" s="1146" t="s">
        <v>4593</v>
      </c>
      <c r="J78" s="1146">
        <v>1</v>
      </c>
      <c r="K78" s="1147" t="s">
        <v>4593</v>
      </c>
      <c r="L78" s="1147" t="s">
        <v>4992</v>
      </c>
      <c r="M78" s="1147"/>
      <c r="N78" s="1148">
        <v>8.4</v>
      </c>
      <c r="O78" s="1146"/>
      <c r="P78" s="1146"/>
      <c r="Q78" s="1146"/>
      <c r="R78" s="1149"/>
      <c r="S78" s="1150"/>
      <c r="T78" s="1150"/>
      <c r="U78" s="1150"/>
      <c r="V78" s="1150"/>
      <c r="W78" s="1150"/>
      <c r="X78" s="1151"/>
      <c r="Y78" s="1152"/>
      <c r="Z78" s="1146"/>
      <c r="AA78" s="1153"/>
      <c r="AB78" s="1146" t="s">
        <v>5012</v>
      </c>
      <c r="AC78" s="1154"/>
      <c r="AD78" s="1155">
        <v>1</v>
      </c>
      <c r="AE78" s="1150"/>
      <c r="AF78" s="1156"/>
      <c r="AG78" s="1150"/>
      <c r="AH78" s="1150"/>
      <c r="AI78" s="1156"/>
      <c r="AJ78" s="1156"/>
      <c r="AK78" s="1150"/>
      <c r="AL78" s="1150"/>
      <c r="AM78" s="1156"/>
      <c r="AN78" s="1156"/>
      <c r="AO78" s="1150"/>
      <c r="AP78" s="1150"/>
      <c r="AQ78" s="1150"/>
      <c r="AR78" s="1156"/>
      <c r="AS78" s="1156"/>
      <c r="AT78" s="1156"/>
      <c r="AU78" s="1150"/>
      <c r="AV78" s="1150"/>
      <c r="AW78" s="1156"/>
      <c r="AX78" s="1156"/>
      <c r="AY78" s="1150"/>
      <c r="AZ78" s="1150"/>
      <c r="BA78" s="1156"/>
      <c r="BB78" s="1156"/>
      <c r="BC78" s="1150"/>
      <c r="BD78" s="1150"/>
      <c r="BE78" s="1156"/>
      <c r="BF78" s="1156"/>
      <c r="BG78" s="1157"/>
      <c r="BH78" s="1157"/>
      <c r="BI78" s="1157"/>
      <c r="BJ78" s="1157"/>
      <c r="BK78" s="1157"/>
      <c r="BL78" s="1157"/>
      <c r="BM78" s="1157"/>
      <c r="BN78" s="1157"/>
      <c r="BO78" s="1158"/>
      <c r="BP78" s="1158"/>
      <c r="BQ78" s="1157"/>
      <c r="BR78" s="1158"/>
      <c r="BS78" s="1157"/>
      <c r="BT78" s="1159"/>
      <c r="BU78" s="1160"/>
      <c r="BW78" s="773"/>
    </row>
    <row r="79" spans="1:75" s="1161" customFormat="1" ht="14.5" customHeight="1" x14ac:dyDescent="0.2">
      <c r="A79" s="1141"/>
      <c r="B79" s="1142"/>
      <c r="C79" s="1142"/>
      <c r="D79" s="1143" t="s">
        <v>4324</v>
      </c>
      <c r="E79" s="1143" t="s">
        <v>5021</v>
      </c>
      <c r="F79" s="1143" t="s">
        <v>4976</v>
      </c>
      <c r="G79" s="1145" t="s">
        <v>5011</v>
      </c>
      <c r="H79" s="1145" t="s">
        <v>4734</v>
      </c>
      <c r="I79" s="1146" t="s">
        <v>4593</v>
      </c>
      <c r="J79" s="1146">
        <v>1</v>
      </c>
      <c r="K79" s="1147" t="s">
        <v>4593</v>
      </c>
      <c r="L79" s="1147" t="s">
        <v>4992</v>
      </c>
      <c r="M79" s="1147"/>
      <c r="N79" s="1148">
        <v>8.3000000000000007</v>
      </c>
      <c r="O79" s="1146"/>
      <c r="P79" s="1146"/>
      <c r="Q79" s="1146"/>
      <c r="R79" s="1149"/>
      <c r="S79" s="1150"/>
      <c r="T79" s="1150"/>
      <c r="U79" s="1150"/>
      <c r="V79" s="1150"/>
      <c r="W79" s="1150"/>
      <c r="X79" s="1151"/>
      <c r="Y79" s="1152"/>
      <c r="Z79" s="1146"/>
      <c r="AA79" s="1153"/>
      <c r="AB79" s="1146" t="s">
        <v>5012</v>
      </c>
      <c r="AC79" s="1154"/>
      <c r="AD79" s="1155">
        <v>1</v>
      </c>
      <c r="AE79" s="1150"/>
      <c r="AF79" s="1156"/>
      <c r="AG79" s="1150"/>
      <c r="AH79" s="1150"/>
      <c r="AI79" s="1156"/>
      <c r="AJ79" s="1156"/>
      <c r="AK79" s="1150"/>
      <c r="AL79" s="1150"/>
      <c r="AM79" s="1156"/>
      <c r="AN79" s="1156"/>
      <c r="AO79" s="1150"/>
      <c r="AP79" s="1150"/>
      <c r="AQ79" s="1150"/>
      <c r="AR79" s="1156"/>
      <c r="AS79" s="1156"/>
      <c r="AT79" s="1156"/>
      <c r="AU79" s="1150"/>
      <c r="AV79" s="1150"/>
      <c r="AW79" s="1156"/>
      <c r="AX79" s="1156"/>
      <c r="AY79" s="1150"/>
      <c r="AZ79" s="1150"/>
      <c r="BA79" s="1156"/>
      <c r="BB79" s="1156"/>
      <c r="BC79" s="1150"/>
      <c r="BD79" s="1150"/>
      <c r="BE79" s="1156"/>
      <c r="BF79" s="1156"/>
      <c r="BG79" s="1157"/>
      <c r="BH79" s="1157"/>
      <c r="BI79" s="1157"/>
      <c r="BJ79" s="1157"/>
      <c r="BK79" s="1157"/>
      <c r="BL79" s="1157"/>
      <c r="BM79" s="1157"/>
      <c r="BN79" s="1157"/>
      <c r="BO79" s="1158"/>
      <c r="BP79" s="1158"/>
      <c r="BQ79" s="1157"/>
      <c r="BR79" s="1158"/>
      <c r="BS79" s="1157"/>
      <c r="BT79" s="1159"/>
      <c r="BU79" s="1160"/>
      <c r="BW79" s="773"/>
    </row>
    <row r="80" spans="1:75" s="1161" customFormat="1" ht="14.5" customHeight="1" x14ac:dyDescent="0.2">
      <c r="A80" s="1141"/>
      <c r="B80" s="1142"/>
      <c r="C80" s="1142"/>
      <c r="D80" s="1143" t="s">
        <v>5022</v>
      </c>
      <c r="E80" s="1143" t="s">
        <v>5023</v>
      </c>
      <c r="F80" s="1143" t="s">
        <v>4570</v>
      </c>
      <c r="G80" s="1145" t="s">
        <v>5011</v>
      </c>
      <c r="H80" s="1145" t="s">
        <v>4571</v>
      </c>
      <c r="I80" s="1146" t="s">
        <v>4593</v>
      </c>
      <c r="J80" s="1146">
        <v>1</v>
      </c>
      <c r="K80" s="1147" t="s">
        <v>4593</v>
      </c>
      <c r="L80" s="1147" t="s">
        <v>4992</v>
      </c>
      <c r="M80" s="1147"/>
      <c r="N80" s="1148">
        <v>8.3000000000000007</v>
      </c>
      <c r="O80" s="1146"/>
      <c r="P80" s="1146"/>
      <c r="Q80" s="1146"/>
      <c r="R80" s="1149"/>
      <c r="S80" s="1150"/>
      <c r="T80" s="1150"/>
      <c r="U80" s="1150"/>
      <c r="V80" s="1150"/>
      <c r="W80" s="1150"/>
      <c r="X80" s="1151"/>
      <c r="Y80" s="1152"/>
      <c r="Z80" s="1146"/>
      <c r="AA80" s="1153"/>
      <c r="AB80" s="1146" t="s">
        <v>5012</v>
      </c>
      <c r="AC80" s="1154"/>
      <c r="AD80" s="1155">
        <v>1</v>
      </c>
      <c r="AE80" s="1150"/>
      <c r="AF80" s="1156"/>
      <c r="AG80" s="1150"/>
      <c r="AH80" s="1150"/>
      <c r="AI80" s="1156"/>
      <c r="AJ80" s="1156"/>
      <c r="AK80" s="1150"/>
      <c r="AL80" s="1150"/>
      <c r="AM80" s="1156"/>
      <c r="AN80" s="1156"/>
      <c r="AO80" s="1150"/>
      <c r="AP80" s="1150"/>
      <c r="AQ80" s="1150"/>
      <c r="AR80" s="1156"/>
      <c r="AS80" s="1156"/>
      <c r="AT80" s="1156"/>
      <c r="AU80" s="1150"/>
      <c r="AV80" s="1150"/>
      <c r="AW80" s="1156"/>
      <c r="AX80" s="1156"/>
      <c r="AY80" s="1150"/>
      <c r="AZ80" s="1150"/>
      <c r="BA80" s="1156"/>
      <c r="BB80" s="1156"/>
      <c r="BC80" s="1150"/>
      <c r="BD80" s="1150"/>
      <c r="BE80" s="1156"/>
      <c r="BF80" s="1156"/>
      <c r="BG80" s="1157"/>
      <c r="BH80" s="1157"/>
      <c r="BI80" s="1157"/>
      <c r="BJ80" s="1157"/>
      <c r="BK80" s="1157"/>
      <c r="BL80" s="1157"/>
      <c r="BM80" s="1157"/>
      <c r="BN80" s="1157"/>
      <c r="BO80" s="1158"/>
      <c r="BP80" s="1158"/>
      <c r="BQ80" s="1157"/>
      <c r="BR80" s="1158"/>
      <c r="BS80" s="1157"/>
      <c r="BT80" s="1159"/>
      <c r="BU80" s="1160"/>
      <c r="BW80" s="773"/>
    </row>
    <row r="81" spans="1:75" s="1179" customFormat="1" x14ac:dyDescent="0.2">
      <c r="A81" s="1162">
        <v>17327661</v>
      </c>
      <c r="B81" s="1162">
        <v>100000870</v>
      </c>
      <c r="C81" s="1162">
        <v>17327661</v>
      </c>
      <c r="D81" s="1163" t="s">
        <v>5024</v>
      </c>
      <c r="E81" s="1163" t="s">
        <v>5025</v>
      </c>
      <c r="F81" s="1163" t="s">
        <v>5026</v>
      </c>
      <c r="G81" s="1164" t="s">
        <v>5027</v>
      </c>
      <c r="H81" s="1164" t="s">
        <v>5028</v>
      </c>
      <c r="I81" s="1165" t="s">
        <v>4562</v>
      </c>
      <c r="J81" s="1165">
        <v>1</v>
      </c>
      <c r="K81" s="1166" t="s">
        <v>4562</v>
      </c>
      <c r="L81" s="1167" t="s">
        <v>4563</v>
      </c>
      <c r="M81" s="1167" t="s">
        <v>5028</v>
      </c>
      <c r="N81" s="1168">
        <v>5.4</v>
      </c>
      <c r="O81" s="1169" t="s">
        <v>4573</v>
      </c>
      <c r="P81" s="1169" t="s">
        <v>4627</v>
      </c>
      <c r="Q81" s="1165"/>
      <c r="R81" s="1170">
        <v>527</v>
      </c>
      <c r="S81" s="1166">
        <v>33</v>
      </c>
      <c r="T81" s="1166">
        <v>540</v>
      </c>
      <c r="U81" s="1166">
        <v>210</v>
      </c>
      <c r="V81" s="1166">
        <v>60</v>
      </c>
      <c r="W81" s="1166">
        <v>10</v>
      </c>
      <c r="X81" s="1171">
        <f t="shared" ref="X81:X89" si="3">$R81/$R$94</f>
        <v>0.22068676716917923</v>
      </c>
      <c r="Y81" s="1172">
        <f t="shared" ref="Y81:Y88" si="4">$U81/$U$94</f>
        <v>0.33070866141732286</v>
      </c>
      <c r="Z81" s="1165"/>
      <c r="AA81" s="1173"/>
      <c r="AB81" s="1169" t="s">
        <v>5029</v>
      </c>
      <c r="AC81" s="1174" t="s">
        <v>5030</v>
      </c>
      <c r="AD81" s="1166">
        <v>1</v>
      </c>
      <c r="AE81" s="1175">
        <v>2</v>
      </c>
      <c r="AF81" s="1166"/>
      <c r="AG81" s="1175"/>
      <c r="AH81" s="1175"/>
      <c r="AI81" s="1166"/>
      <c r="AJ81" s="1166"/>
      <c r="AK81" s="1175">
        <v>1</v>
      </c>
      <c r="AL81" s="1175">
        <v>15</v>
      </c>
      <c r="AM81" s="1166" t="s">
        <v>5031</v>
      </c>
      <c r="AN81" s="1166" t="s">
        <v>5032</v>
      </c>
      <c r="AO81" s="1175"/>
      <c r="AP81" s="1175"/>
      <c r="AQ81" s="1175"/>
      <c r="AR81" s="1166"/>
      <c r="AS81" s="1166"/>
      <c r="AT81" s="1166"/>
      <c r="AU81" s="1166"/>
      <c r="AV81" s="1166"/>
      <c r="AW81" s="1166"/>
      <c r="AX81" s="1166"/>
      <c r="AY81" s="1175"/>
      <c r="AZ81" s="1175"/>
      <c r="BA81" s="1166"/>
      <c r="BB81" s="1166"/>
      <c r="BC81" s="1175">
        <v>1</v>
      </c>
      <c r="BD81" s="1175">
        <v>15</v>
      </c>
      <c r="BE81" s="1166" t="s">
        <v>5031</v>
      </c>
      <c r="BF81" s="1166" t="s">
        <v>5032</v>
      </c>
      <c r="BG81" s="1163" t="s">
        <v>5033</v>
      </c>
      <c r="BH81" s="1163" t="s">
        <v>5033</v>
      </c>
      <c r="BI81" s="1163" t="s">
        <v>5033</v>
      </c>
      <c r="BJ81" s="1163" t="s">
        <v>5033</v>
      </c>
      <c r="BK81" s="1163" t="s">
        <v>5033</v>
      </c>
      <c r="BL81" s="1163" t="s">
        <v>5033</v>
      </c>
      <c r="BM81" s="1163" t="s">
        <v>5033</v>
      </c>
      <c r="BN81" s="1163" t="s">
        <v>5034</v>
      </c>
      <c r="BO81" s="1176" t="s">
        <v>5035</v>
      </c>
      <c r="BP81" s="1176"/>
      <c r="BQ81" s="1163"/>
      <c r="BR81" s="1176"/>
      <c r="BS81" s="1163" t="s">
        <v>5036</v>
      </c>
      <c r="BT81" s="1177" t="s">
        <v>5037</v>
      </c>
      <c r="BU81" s="1178">
        <v>7</v>
      </c>
      <c r="BW81" s="773" t="str">
        <f>_xlfn.XLOOKUP(A81,'[4]Sub-analyza3 - zadania kvality'!A:A,'[4]Sub-analyza3 - zadania kvality'!F:F,"Nenašlo sa")</f>
        <v xml:space="preserve">Stredná priemyselná škola elektrotechnická Hálova </v>
      </c>
    </row>
    <row r="82" spans="1:75" s="1179" customFormat="1" x14ac:dyDescent="0.2">
      <c r="A82" s="1162">
        <v>30815339</v>
      </c>
      <c r="B82" s="1162">
        <v>100000148</v>
      </c>
      <c r="C82" s="1162">
        <v>30815339</v>
      </c>
      <c r="D82" s="1163" t="s">
        <v>5038</v>
      </c>
      <c r="E82" s="1163" t="s">
        <v>5039</v>
      </c>
      <c r="F82" s="1163" t="s">
        <v>5026</v>
      </c>
      <c r="G82" s="1164" t="s">
        <v>5027</v>
      </c>
      <c r="H82" s="1164" t="s">
        <v>5028</v>
      </c>
      <c r="I82" s="1165" t="s">
        <v>4562</v>
      </c>
      <c r="J82" s="1165">
        <v>1</v>
      </c>
      <c r="K82" s="1166" t="s">
        <v>4562</v>
      </c>
      <c r="L82" s="1166" t="s">
        <v>4650</v>
      </c>
      <c r="M82" s="1166"/>
      <c r="N82" s="1168"/>
      <c r="O82" s="1165"/>
      <c r="P82" s="1165"/>
      <c r="Q82" s="1165"/>
      <c r="R82" s="1170">
        <v>231</v>
      </c>
      <c r="S82" s="1166">
        <v>15</v>
      </c>
      <c r="T82" s="1166">
        <v>240</v>
      </c>
      <c r="U82" s="1166">
        <v>60</v>
      </c>
      <c r="V82" s="1166">
        <v>10</v>
      </c>
      <c r="W82" s="1166">
        <v>2</v>
      </c>
      <c r="X82" s="1180">
        <f t="shared" si="3"/>
        <v>9.6733668341708545E-2</v>
      </c>
      <c r="Y82" s="1172">
        <f t="shared" si="4"/>
        <v>9.4488188976377951E-2</v>
      </c>
      <c r="Z82" s="1165"/>
      <c r="AA82" s="1173"/>
      <c r="AB82" s="1165" t="s">
        <v>5040</v>
      </c>
      <c r="AC82" s="1174" t="s">
        <v>5041</v>
      </c>
      <c r="AD82" s="1011">
        <v>1</v>
      </c>
      <c r="AE82" s="1175">
        <v>1</v>
      </c>
      <c r="AF82" s="1166"/>
      <c r="AG82" s="1175">
        <v>1</v>
      </c>
      <c r="AH82" s="1175">
        <v>10</v>
      </c>
      <c r="AI82" s="1166"/>
      <c r="AJ82" s="1166"/>
      <c r="AK82" s="1175"/>
      <c r="AL82" s="1175"/>
      <c r="AM82" s="1166"/>
      <c r="AN82" s="1166"/>
      <c r="AO82" s="1175"/>
      <c r="AP82" s="1175"/>
      <c r="AQ82" s="1175"/>
      <c r="AR82" s="1166"/>
      <c r="AS82" s="1166"/>
      <c r="AT82" s="1166"/>
      <c r="AU82" s="1166"/>
      <c r="AV82" s="1166"/>
      <c r="AW82" s="1166"/>
      <c r="AX82" s="1166"/>
      <c r="AY82" s="1175"/>
      <c r="AZ82" s="1175"/>
      <c r="BA82" s="1166"/>
      <c r="BB82" s="1166"/>
      <c r="BC82" s="1175"/>
      <c r="BD82" s="1175"/>
      <c r="BE82" s="1166"/>
      <c r="BF82" s="1166"/>
      <c r="BG82" s="1163" t="s">
        <v>5042</v>
      </c>
      <c r="BH82" s="1163" t="s">
        <v>5043</v>
      </c>
      <c r="BI82" s="1163" t="s">
        <v>5031</v>
      </c>
      <c r="BJ82" s="1163" t="s">
        <v>5043</v>
      </c>
      <c r="BK82" s="1163" t="s">
        <v>5043</v>
      </c>
      <c r="BL82" s="1163" t="s">
        <v>5043</v>
      </c>
      <c r="BM82" s="1163" t="s">
        <v>5042</v>
      </c>
      <c r="BN82" s="1163" t="s">
        <v>5044</v>
      </c>
      <c r="BO82" s="1176" t="s">
        <v>5045</v>
      </c>
      <c r="BP82" s="1176" t="s">
        <v>5046</v>
      </c>
      <c r="BQ82" s="1163"/>
      <c r="BR82" s="1176"/>
      <c r="BS82" s="1163" t="s">
        <v>5047</v>
      </c>
      <c r="BT82" s="1177" t="s">
        <v>5048</v>
      </c>
      <c r="BU82" s="1178">
        <v>18</v>
      </c>
      <c r="BW82" s="773" t="str">
        <f>_xlfn.XLOOKUP(A82,'[4]Sub-analyza3 - zadania kvality'!A:A,'[4]Sub-analyza3 - zadania kvality'!F:F,"Nenašlo sa")</f>
        <v>Cirkevná stredná odborná škola elektrotechnická P.G.Frassatiho Bratislava</v>
      </c>
    </row>
    <row r="83" spans="1:75" s="1179" customFormat="1" ht="15.75" customHeight="1" x14ac:dyDescent="0.2">
      <c r="A83" s="1162">
        <v>17055415</v>
      </c>
      <c r="B83" s="1162">
        <v>100000544</v>
      </c>
      <c r="C83" s="1162">
        <v>17055415</v>
      </c>
      <c r="D83" s="1163" t="s">
        <v>4722</v>
      </c>
      <c r="E83" s="1163" t="s">
        <v>5049</v>
      </c>
      <c r="F83" s="1163" t="s">
        <v>5026</v>
      </c>
      <c r="G83" s="1164" t="s">
        <v>5027</v>
      </c>
      <c r="H83" s="1164" t="s">
        <v>5028</v>
      </c>
      <c r="I83" s="1165" t="s">
        <v>4562</v>
      </c>
      <c r="J83" s="1165">
        <v>1</v>
      </c>
      <c r="K83" s="1166" t="s">
        <v>5050</v>
      </c>
      <c r="L83" s="1166" t="s">
        <v>4650</v>
      </c>
      <c r="M83" s="1166"/>
      <c r="N83" s="1168"/>
      <c r="O83" s="1165"/>
      <c r="P83" s="1165"/>
      <c r="Q83" s="1165"/>
      <c r="R83" s="1170">
        <v>349</v>
      </c>
      <c r="S83" s="1166">
        <v>8</v>
      </c>
      <c r="T83" s="1166">
        <v>350</v>
      </c>
      <c r="U83" s="1166">
        <v>210</v>
      </c>
      <c r="V83" s="1166">
        <v>210</v>
      </c>
      <c r="W83" s="1166">
        <v>14</v>
      </c>
      <c r="X83" s="1180">
        <f t="shared" si="3"/>
        <v>0.14614740368509213</v>
      </c>
      <c r="Y83" s="1172">
        <f t="shared" si="4"/>
        <v>0.33070866141732286</v>
      </c>
      <c r="Z83" s="1165"/>
      <c r="AA83" s="1173"/>
      <c r="AB83" s="1169" t="s">
        <v>5051</v>
      </c>
      <c r="AC83" s="1174" t="s">
        <v>5052</v>
      </c>
      <c r="AD83" s="1011">
        <v>1</v>
      </c>
      <c r="AE83" s="1175">
        <v>3</v>
      </c>
      <c r="AF83" s="1166"/>
      <c r="AG83" s="1175">
        <v>1</v>
      </c>
      <c r="AH83" s="1175">
        <v>12</v>
      </c>
      <c r="AI83" s="1166" t="s">
        <v>5031</v>
      </c>
      <c r="AJ83" s="1166" t="s">
        <v>5053</v>
      </c>
      <c r="AK83" s="1175">
        <v>1</v>
      </c>
      <c r="AL83" s="1175">
        <v>12</v>
      </c>
      <c r="AM83" s="1166"/>
      <c r="AN83" s="1166"/>
      <c r="AO83" s="1175"/>
      <c r="AP83" s="1175"/>
      <c r="AQ83" s="1175"/>
      <c r="AR83" s="1166"/>
      <c r="AS83" s="1166"/>
      <c r="AT83" s="1166"/>
      <c r="AU83" s="1166"/>
      <c r="AV83" s="1166"/>
      <c r="AW83" s="1166"/>
      <c r="AX83" s="1166"/>
      <c r="AY83" s="1112">
        <v>1</v>
      </c>
      <c r="AZ83" s="1112">
        <v>12</v>
      </c>
      <c r="BA83" s="1166" t="s">
        <v>5031</v>
      </c>
      <c r="BB83" s="1166" t="s">
        <v>5053</v>
      </c>
      <c r="BC83" s="1175"/>
      <c r="BD83" s="1175"/>
      <c r="BE83" s="1166"/>
      <c r="BF83" s="1166"/>
      <c r="BG83" s="1163" t="s">
        <v>5042</v>
      </c>
      <c r="BH83" s="1163" t="s">
        <v>5042</v>
      </c>
      <c r="BI83" s="1163" t="s">
        <v>5054</v>
      </c>
      <c r="BJ83" s="1163" t="s">
        <v>5055</v>
      </c>
      <c r="BK83" s="1163" t="s">
        <v>5042</v>
      </c>
      <c r="BL83" s="1163" t="s">
        <v>5033</v>
      </c>
      <c r="BM83" s="1163" t="s">
        <v>5033</v>
      </c>
      <c r="BN83" s="1163" t="s">
        <v>5056</v>
      </c>
      <c r="BO83" s="1176" t="s">
        <v>5057</v>
      </c>
      <c r="BP83" s="1176"/>
      <c r="BQ83" s="1163"/>
      <c r="BR83" s="1176"/>
      <c r="BS83" s="1163" t="s">
        <v>5058</v>
      </c>
      <c r="BT83" s="1181" t="s">
        <v>5059</v>
      </c>
      <c r="BU83" s="1178">
        <v>48</v>
      </c>
      <c r="BW83" s="773" t="str">
        <f>_xlfn.XLOOKUP(A83,'[4]Sub-analyza3 - zadania kvality'!A:A,'[4]Sub-analyza3 - zadania kvality'!F:F,"Nenašlo sa")</f>
        <v>Stredná odborná škola informačných technológií</v>
      </c>
    </row>
    <row r="84" spans="1:75" s="1179" customFormat="1" ht="15.75" customHeight="1" x14ac:dyDescent="0.2">
      <c r="A84" s="1162">
        <v>30775353</v>
      </c>
      <c r="B84" s="1162">
        <v>100000160</v>
      </c>
      <c r="C84" s="1162">
        <v>30775353</v>
      </c>
      <c r="D84" s="1163" t="s">
        <v>5060</v>
      </c>
      <c r="E84" s="1163" t="s">
        <v>5061</v>
      </c>
      <c r="F84" s="1163" t="s">
        <v>5026</v>
      </c>
      <c r="G84" s="1164" t="s">
        <v>5027</v>
      </c>
      <c r="H84" s="1164" t="s">
        <v>5028</v>
      </c>
      <c r="I84" s="1165" t="s">
        <v>4562</v>
      </c>
      <c r="J84" s="1165">
        <v>1</v>
      </c>
      <c r="K84" s="1166" t="s">
        <v>4562</v>
      </c>
      <c r="L84" s="1166" t="s">
        <v>4650</v>
      </c>
      <c r="M84" s="1167" t="s">
        <v>5028</v>
      </c>
      <c r="N84" s="1168">
        <v>5.5</v>
      </c>
      <c r="O84" s="1165"/>
      <c r="P84" s="1165"/>
      <c r="Q84" s="1165"/>
      <c r="R84" s="1170">
        <v>547</v>
      </c>
      <c r="S84" s="1166">
        <v>31</v>
      </c>
      <c r="T84" s="1166">
        <v>550</v>
      </c>
      <c r="U84" s="1166">
        <v>450</v>
      </c>
      <c r="V84" s="1166">
        <v>100</v>
      </c>
      <c r="W84" s="1166">
        <v>20</v>
      </c>
      <c r="X84" s="1171">
        <f t="shared" si="3"/>
        <v>0.22906197654941374</v>
      </c>
      <c r="Y84" s="1182">
        <f t="shared" si="4"/>
        <v>0.70866141732283461</v>
      </c>
      <c r="Z84" s="1165"/>
      <c r="AA84" s="1173"/>
      <c r="AB84" s="1169" t="s">
        <v>5051</v>
      </c>
      <c r="AC84" s="1174" t="s">
        <v>5062</v>
      </c>
      <c r="AD84" s="1011">
        <v>1</v>
      </c>
      <c r="AE84" s="1175"/>
      <c r="AF84" s="1166"/>
      <c r="AG84" s="1175"/>
      <c r="AH84" s="1175"/>
      <c r="AI84" s="1166" t="s">
        <v>5031</v>
      </c>
      <c r="AJ84" s="1166" t="s">
        <v>5053</v>
      </c>
      <c r="AK84" s="1175"/>
      <c r="AL84" s="1175"/>
      <c r="AM84" s="1166"/>
      <c r="AN84" s="1166"/>
      <c r="AO84" s="1175"/>
      <c r="AP84" s="1175"/>
      <c r="AQ84" s="1175"/>
      <c r="AR84" s="1166"/>
      <c r="AS84" s="1166"/>
      <c r="AT84" s="1166"/>
      <c r="AU84" s="1166"/>
      <c r="AV84" s="1166"/>
      <c r="AW84" s="1166"/>
      <c r="AX84" s="1166"/>
      <c r="AY84" s="1175"/>
      <c r="AZ84" s="1175"/>
      <c r="BA84" s="1166"/>
      <c r="BB84" s="1166"/>
      <c r="BC84" s="1175"/>
      <c r="BD84" s="1175"/>
      <c r="BE84" s="1166"/>
      <c r="BF84" s="1166"/>
      <c r="BG84" s="1163" t="s">
        <v>5042</v>
      </c>
      <c r="BH84" s="1163" t="s">
        <v>5042</v>
      </c>
      <c r="BI84" s="1163" t="s">
        <v>5043</v>
      </c>
      <c r="BJ84" s="1163" t="s">
        <v>5063</v>
      </c>
      <c r="BK84" s="1163" t="s">
        <v>5042</v>
      </c>
      <c r="BL84" s="1163" t="s">
        <v>5064</v>
      </c>
      <c r="BM84" s="1163" t="s">
        <v>5065</v>
      </c>
      <c r="BN84" s="1163" t="s">
        <v>5066</v>
      </c>
      <c r="BO84" s="1176" t="s">
        <v>5067</v>
      </c>
      <c r="BP84" s="1176"/>
      <c r="BQ84" s="1163" t="s">
        <v>5068</v>
      </c>
      <c r="BR84" s="1176" t="s">
        <v>5069</v>
      </c>
      <c r="BS84" s="1163" t="s">
        <v>5070</v>
      </c>
      <c r="BT84" s="1177" t="s">
        <v>5071</v>
      </c>
      <c r="BU84" s="1178">
        <v>49</v>
      </c>
      <c r="BW84" s="773" t="str">
        <f>_xlfn.XLOOKUP(A84,'[4]Sub-analyza3 - zadania kvality'!A:A,'[4]Sub-analyza3 - zadania kvality'!F:F,"Nenašlo sa")</f>
        <v>Stredná priemyselná škola elektrotechnická Zochova</v>
      </c>
    </row>
    <row r="85" spans="1:75" s="1179" customFormat="1" ht="15.75" customHeight="1" x14ac:dyDescent="0.2">
      <c r="A85" s="1162">
        <v>17319161</v>
      </c>
      <c r="B85" s="1162">
        <v>100000669</v>
      </c>
      <c r="C85" s="1162">
        <v>17319161</v>
      </c>
      <c r="D85" s="1163" t="s">
        <v>5072</v>
      </c>
      <c r="E85" s="1163" t="s">
        <v>5073</v>
      </c>
      <c r="F85" s="1163" t="s">
        <v>5026</v>
      </c>
      <c r="G85" s="1164" t="s">
        <v>5027</v>
      </c>
      <c r="H85" s="1164" t="s">
        <v>5028</v>
      </c>
      <c r="I85" s="1165" t="s">
        <v>4562</v>
      </c>
      <c r="J85" s="1165">
        <v>1</v>
      </c>
      <c r="K85" s="1166" t="s">
        <v>4562</v>
      </c>
      <c r="L85" s="1167" t="s">
        <v>4563</v>
      </c>
      <c r="M85" s="1167" t="s">
        <v>5028</v>
      </c>
      <c r="N85" s="1183">
        <v>6.6</v>
      </c>
      <c r="O85" s="1165"/>
      <c r="P85" s="1165"/>
      <c r="Q85" s="1165"/>
      <c r="R85" s="1170">
        <v>541</v>
      </c>
      <c r="S85" s="1166">
        <v>33</v>
      </c>
      <c r="T85" s="1166">
        <v>570</v>
      </c>
      <c r="U85" s="1166">
        <v>150</v>
      </c>
      <c r="V85" s="1166">
        <v>30</v>
      </c>
      <c r="W85" s="1166">
        <v>20</v>
      </c>
      <c r="X85" s="1171">
        <f t="shared" si="3"/>
        <v>0.22654941373534337</v>
      </c>
      <c r="Y85" s="1172">
        <f t="shared" si="4"/>
        <v>0.23622047244094488</v>
      </c>
      <c r="Z85" s="1165"/>
      <c r="AA85" s="1173"/>
      <c r="AB85" s="1169" t="s">
        <v>5074</v>
      </c>
      <c r="AC85" s="1174" t="s">
        <v>5075</v>
      </c>
      <c r="AD85" s="1011">
        <v>1</v>
      </c>
      <c r="AE85" s="1175">
        <v>4</v>
      </c>
      <c r="AF85" s="1166"/>
      <c r="AG85" s="1175">
        <v>1</v>
      </c>
      <c r="AH85" s="1175">
        <v>15</v>
      </c>
      <c r="AI85" s="1166" t="s">
        <v>5031</v>
      </c>
      <c r="AJ85" s="1166" t="s">
        <v>5032</v>
      </c>
      <c r="AK85" s="1175">
        <v>1</v>
      </c>
      <c r="AL85" s="1175">
        <v>16</v>
      </c>
      <c r="AM85" s="1166"/>
      <c r="AN85" s="1166"/>
      <c r="AO85" s="1175"/>
      <c r="AP85" s="1175"/>
      <c r="AQ85" s="1175"/>
      <c r="AR85" s="1166"/>
      <c r="AS85" s="1166"/>
      <c r="AT85" s="1166"/>
      <c r="AU85" s="1166"/>
      <c r="AV85" s="1166"/>
      <c r="AW85" s="1166"/>
      <c r="AX85" s="1166"/>
      <c r="AY85" s="1112">
        <v>1</v>
      </c>
      <c r="AZ85" s="1112">
        <v>15</v>
      </c>
      <c r="BA85" s="1166" t="s">
        <v>5031</v>
      </c>
      <c r="BB85" s="1166" t="s">
        <v>5032</v>
      </c>
      <c r="BC85" s="1112">
        <v>1</v>
      </c>
      <c r="BD85" s="1112">
        <v>12</v>
      </c>
      <c r="BE85" s="1166" t="s">
        <v>5031</v>
      </c>
      <c r="BF85" s="1166" t="s">
        <v>5053</v>
      </c>
      <c r="BG85" s="1163" t="s">
        <v>5076</v>
      </c>
      <c r="BH85" s="1163" t="s">
        <v>5065</v>
      </c>
      <c r="BI85" s="1163" t="s">
        <v>5033</v>
      </c>
      <c r="BJ85" s="1163" t="s">
        <v>5065</v>
      </c>
      <c r="BK85" s="1163" t="s">
        <v>5065</v>
      </c>
      <c r="BL85" s="1163" t="s">
        <v>5033</v>
      </c>
      <c r="BM85" s="1163" t="s">
        <v>5043</v>
      </c>
      <c r="BN85" s="1163" t="s">
        <v>5077</v>
      </c>
      <c r="BO85" s="1176" t="s">
        <v>5078</v>
      </c>
      <c r="BP85" s="1176"/>
      <c r="BQ85" s="1163"/>
      <c r="BR85" s="1176"/>
      <c r="BS85" s="1163"/>
      <c r="BT85" s="1177"/>
      <c r="BU85" s="1178">
        <v>69</v>
      </c>
      <c r="BW85" s="773" t="str">
        <f>_xlfn.XLOOKUP(A85,'[4]Sub-analyza3 - zadania kvality'!A:A,'[4]Sub-analyza3 - zadania kvality'!F:F,"Nenašlo sa")</f>
        <v>Stredná priemyselná škola elektrotechnická Karola Adlera</v>
      </c>
    </row>
    <row r="86" spans="1:75" s="1179" customFormat="1" ht="15.75" customHeight="1" x14ac:dyDescent="0.2">
      <c r="A86" s="1162">
        <v>891657</v>
      </c>
      <c r="B86" s="1162">
        <v>100000613</v>
      </c>
      <c r="C86" s="1162">
        <v>891657</v>
      </c>
      <c r="D86" s="1163" t="s">
        <v>5079</v>
      </c>
      <c r="E86" s="1163" t="s">
        <v>5080</v>
      </c>
      <c r="F86" s="1163" t="s">
        <v>5026</v>
      </c>
      <c r="G86" s="1164" t="s">
        <v>5081</v>
      </c>
      <c r="H86" s="1164" t="s">
        <v>5028</v>
      </c>
      <c r="I86" s="1165" t="s">
        <v>4562</v>
      </c>
      <c r="J86" s="1165">
        <v>1</v>
      </c>
      <c r="K86" s="1166" t="s">
        <v>5050</v>
      </c>
      <c r="L86" s="1166" t="s">
        <v>5082</v>
      </c>
      <c r="M86" s="1166"/>
      <c r="N86" s="1183">
        <v>6.3</v>
      </c>
      <c r="O86" s="1165"/>
      <c r="P86" s="1169" t="s">
        <v>4627</v>
      </c>
      <c r="Q86" s="1165"/>
      <c r="R86" s="1170">
        <v>416</v>
      </c>
      <c r="S86" s="1166">
        <v>11</v>
      </c>
      <c r="T86" s="1166"/>
      <c r="U86" s="1166"/>
      <c r="V86" s="1166"/>
      <c r="W86" s="1166"/>
      <c r="X86" s="1180">
        <f t="shared" si="3"/>
        <v>0.17420435510887772</v>
      </c>
      <c r="Y86" s="1172">
        <f t="shared" si="4"/>
        <v>0</v>
      </c>
      <c r="Z86" s="1165"/>
      <c r="AA86" s="1173"/>
      <c r="AB86" s="1165" t="s">
        <v>5083</v>
      </c>
      <c r="AC86" s="1174" t="s">
        <v>5084</v>
      </c>
      <c r="AD86" s="1011">
        <v>1</v>
      </c>
      <c r="AE86" s="1175">
        <v>1</v>
      </c>
      <c r="AF86" s="1166"/>
      <c r="AG86" s="1175">
        <v>1</v>
      </c>
      <c r="AH86" s="1175">
        <v>15</v>
      </c>
      <c r="AI86" s="1166" t="s">
        <v>5031</v>
      </c>
      <c r="AJ86" s="1166" t="s">
        <v>5032</v>
      </c>
      <c r="AK86" s="1175"/>
      <c r="AL86" s="1175"/>
      <c r="AM86" s="1166"/>
      <c r="AN86" s="1166"/>
      <c r="AO86" s="1175"/>
      <c r="AP86" s="1175"/>
      <c r="AQ86" s="1175"/>
      <c r="AR86" s="1166"/>
      <c r="AS86" s="1166"/>
      <c r="AT86" s="1166"/>
      <c r="AU86" s="1166"/>
      <c r="AV86" s="1166"/>
      <c r="AW86" s="1166"/>
      <c r="AX86" s="1166"/>
      <c r="AY86" s="1175"/>
      <c r="AZ86" s="1175"/>
      <c r="BA86" s="1166"/>
      <c r="BB86" s="1166"/>
      <c r="BC86" s="1175"/>
      <c r="BD86" s="1175"/>
      <c r="BE86" s="1166"/>
      <c r="BF86" s="1166"/>
      <c r="BG86" s="1163"/>
      <c r="BH86" s="1163"/>
      <c r="BI86" s="1163" t="s">
        <v>5031</v>
      </c>
      <c r="BJ86" s="1163" t="s">
        <v>5033</v>
      </c>
      <c r="BK86" s="1163" t="s">
        <v>5033</v>
      </c>
      <c r="BL86" s="1163"/>
      <c r="BM86" s="1163" t="s">
        <v>5033</v>
      </c>
      <c r="BN86" s="1163" t="s">
        <v>5085</v>
      </c>
      <c r="BO86" s="1176" t="s">
        <v>5086</v>
      </c>
      <c r="BP86" s="1176"/>
      <c r="BQ86" s="1163"/>
      <c r="BR86" s="1176"/>
      <c r="BS86" s="1163"/>
      <c r="BT86" s="1177"/>
      <c r="BU86" s="1178" t="s">
        <v>5087</v>
      </c>
      <c r="BW86" s="773" t="str">
        <f>_xlfn.XLOOKUP(A86,'[4]Sub-analyza3 - zadania kvality'!A:A,'[4]Sub-analyza3 - zadania kvality'!F:F,"Nenašlo sa")</f>
        <v>Nenašlo sa</v>
      </c>
    </row>
    <row r="87" spans="1:75" s="1179" customFormat="1" ht="15.75" customHeight="1" x14ac:dyDescent="0.2">
      <c r="A87" s="1162" t="s">
        <v>4054</v>
      </c>
      <c r="B87" s="1162" t="s">
        <v>5088</v>
      </c>
      <c r="C87" s="1162" t="s">
        <v>4054</v>
      </c>
      <c r="D87" s="1163" t="s">
        <v>5089</v>
      </c>
      <c r="E87" s="1163" t="s">
        <v>5090</v>
      </c>
      <c r="F87" s="1163" t="s">
        <v>5026</v>
      </c>
      <c r="G87" s="1164" t="s">
        <v>5028</v>
      </c>
      <c r="H87" s="1164" t="s">
        <v>5028</v>
      </c>
      <c r="I87" s="1165" t="s">
        <v>4562</v>
      </c>
      <c r="J87" s="1165">
        <v>1</v>
      </c>
      <c r="K87" s="1166" t="s">
        <v>4593</v>
      </c>
      <c r="L87" s="1166" t="s">
        <v>4650</v>
      </c>
      <c r="M87" s="1166"/>
      <c r="N87" s="1183">
        <v>9.5</v>
      </c>
      <c r="O87" s="1165"/>
      <c r="P87" s="1165"/>
      <c r="Q87" s="1165"/>
      <c r="R87" s="1170">
        <v>710</v>
      </c>
      <c r="S87" s="1166">
        <v>277</v>
      </c>
      <c r="T87" s="1166">
        <v>500</v>
      </c>
      <c r="U87" s="1166">
        <v>0</v>
      </c>
      <c r="V87" s="1166">
        <v>10</v>
      </c>
      <c r="W87" s="1166">
        <v>2</v>
      </c>
      <c r="X87" s="1171">
        <f t="shared" si="3"/>
        <v>0.29731993299832493</v>
      </c>
      <c r="Y87" s="1172">
        <f t="shared" si="4"/>
        <v>0</v>
      </c>
      <c r="Z87" s="1165"/>
      <c r="AA87" s="1173"/>
      <c r="AB87" s="1165" t="s">
        <v>5091</v>
      </c>
      <c r="AC87" s="1174" t="s">
        <v>5092</v>
      </c>
      <c r="AD87" s="1166">
        <v>1</v>
      </c>
      <c r="AE87" s="1175">
        <v>3</v>
      </c>
      <c r="AF87" s="1166"/>
      <c r="AG87" s="1175"/>
      <c r="AH87" s="1175"/>
      <c r="AI87" s="1166"/>
      <c r="AJ87" s="1166"/>
      <c r="AK87" s="1175"/>
      <c r="AL87" s="1175"/>
      <c r="AM87" s="1166"/>
      <c r="AN87" s="1166"/>
      <c r="AO87" s="1175">
        <v>1</v>
      </c>
      <c r="AP87" s="1175">
        <v>1</v>
      </c>
      <c r="AQ87" s="1175">
        <v>1</v>
      </c>
      <c r="AR87" s="1166"/>
      <c r="AS87" s="1166" t="s">
        <v>5031</v>
      </c>
      <c r="AT87" s="1166"/>
      <c r="AU87" s="1166"/>
      <c r="AV87" s="1166"/>
      <c r="AW87" s="1166"/>
      <c r="AX87" s="1166"/>
      <c r="AY87" s="1175">
        <v>1</v>
      </c>
      <c r="AZ87" s="1175">
        <v>15</v>
      </c>
      <c r="BA87" s="1166"/>
      <c r="BB87" s="1166"/>
      <c r="BC87" s="1175">
        <v>1</v>
      </c>
      <c r="BD87" s="1175">
        <v>15</v>
      </c>
      <c r="BE87" s="1166"/>
      <c r="BF87" s="1166"/>
      <c r="BG87" s="1163" t="s">
        <v>5043</v>
      </c>
      <c r="BH87" s="1163" t="s">
        <v>5031</v>
      </c>
      <c r="BI87" s="1163" t="s">
        <v>5031</v>
      </c>
      <c r="BJ87" s="1163" t="s">
        <v>5033</v>
      </c>
      <c r="BK87" s="1163" t="s">
        <v>5031</v>
      </c>
      <c r="BL87" s="1163" t="s">
        <v>5033</v>
      </c>
      <c r="BM87" s="1163" t="s">
        <v>5043</v>
      </c>
      <c r="BN87" s="1163" t="s">
        <v>5093</v>
      </c>
      <c r="BO87" s="1176" t="s">
        <v>5094</v>
      </c>
      <c r="BP87" s="1176" t="s">
        <v>5095</v>
      </c>
      <c r="BQ87" s="1163"/>
      <c r="BR87" s="1176"/>
      <c r="BS87" s="1163" t="s">
        <v>5096</v>
      </c>
      <c r="BT87" s="1177" t="s">
        <v>5097</v>
      </c>
      <c r="BU87" s="1178">
        <v>71</v>
      </c>
      <c r="BW87" s="773" t="str">
        <f>_xlfn.XLOOKUP(A87,'[4]Sub-analyza3 - zadania kvality'!A:A,'[4]Sub-analyza3 - zadania kvality'!F:F,"Nenašlo sa")</f>
        <v>Gymnázium Grösslingová</v>
      </c>
    </row>
    <row r="88" spans="1:75" s="1179" customFormat="1" ht="15.75" customHeight="1" x14ac:dyDescent="0.2">
      <c r="A88" s="1162" t="s">
        <v>4139</v>
      </c>
      <c r="B88" s="1162" t="s">
        <v>5098</v>
      </c>
      <c r="C88" s="1162" t="s">
        <v>5099</v>
      </c>
      <c r="D88" s="1163" t="s">
        <v>5100</v>
      </c>
      <c r="E88" s="1163" t="s">
        <v>5101</v>
      </c>
      <c r="F88" s="1163" t="s">
        <v>5026</v>
      </c>
      <c r="G88" s="1164" t="s">
        <v>5028</v>
      </c>
      <c r="H88" s="1164" t="s">
        <v>5028</v>
      </c>
      <c r="I88" s="1165" t="s">
        <v>4562</v>
      </c>
      <c r="J88" s="1165">
        <v>1</v>
      </c>
      <c r="K88" s="1166" t="s">
        <v>4593</v>
      </c>
      <c r="L88" s="1166" t="s">
        <v>4650</v>
      </c>
      <c r="M88" s="1166"/>
      <c r="N88" s="1183">
        <v>6.5</v>
      </c>
      <c r="O88" s="1165"/>
      <c r="P88" s="1165"/>
      <c r="Q88" s="1165"/>
      <c r="R88" s="1170">
        <v>300</v>
      </c>
      <c r="S88" s="1166">
        <v>164</v>
      </c>
      <c r="T88" s="1166">
        <v>70</v>
      </c>
      <c r="U88" s="1166">
        <v>0</v>
      </c>
      <c r="V88" s="1166">
        <v>0</v>
      </c>
      <c r="W88" s="1166">
        <v>5</v>
      </c>
      <c r="X88" s="1180">
        <f t="shared" si="3"/>
        <v>0.12562814070351758</v>
      </c>
      <c r="Y88" s="1172">
        <f t="shared" si="4"/>
        <v>0</v>
      </c>
      <c r="Z88" s="1165"/>
      <c r="AA88" s="1173"/>
      <c r="AB88" s="1165" t="s">
        <v>5091</v>
      </c>
      <c r="AC88" s="1174" t="s">
        <v>5102</v>
      </c>
      <c r="AD88" s="1166">
        <v>1</v>
      </c>
      <c r="AE88" s="1175">
        <v>1</v>
      </c>
      <c r="AF88" s="1166"/>
      <c r="AG88" s="1175"/>
      <c r="AH88" s="1175"/>
      <c r="AI88" s="1166"/>
      <c r="AJ88" s="1166"/>
      <c r="AK88" s="1175"/>
      <c r="AL88" s="1175"/>
      <c r="AM88" s="1166"/>
      <c r="AN88" s="1166"/>
      <c r="AO88" s="1175"/>
      <c r="AP88" s="1175"/>
      <c r="AQ88" s="1175"/>
      <c r="AR88" s="1166"/>
      <c r="AS88" s="1166"/>
      <c r="AT88" s="1166"/>
      <c r="AU88" s="1166"/>
      <c r="AV88" s="1166"/>
      <c r="AW88" s="1166"/>
      <c r="AX88" s="1166"/>
      <c r="AY88" s="1175"/>
      <c r="AZ88" s="1175"/>
      <c r="BA88" s="1166"/>
      <c r="BB88" s="1166"/>
      <c r="BC88" s="1175">
        <v>1</v>
      </c>
      <c r="BD88" s="1175">
        <v>16</v>
      </c>
      <c r="BE88" s="1166"/>
      <c r="BF88" s="1166"/>
      <c r="BG88" s="1163" t="s">
        <v>5042</v>
      </c>
      <c r="BH88" s="1163" t="s">
        <v>5043</v>
      </c>
      <c r="BI88" s="1163" t="s">
        <v>5043</v>
      </c>
      <c r="BJ88" s="1163" t="s">
        <v>5053</v>
      </c>
      <c r="BK88" s="1163" t="s">
        <v>5043</v>
      </c>
      <c r="BL88" s="1163" t="s">
        <v>5053</v>
      </c>
      <c r="BM88" s="1163" t="s">
        <v>5043</v>
      </c>
      <c r="BN88" s="1163" t="s">
        <v>5103</v>
      </c>
      <c r="BO88" s="1176" t="s">
        <v>5104</v>
      </c>
      <c r="BP88" s="1176" t="s">
        <v>5105</v>
      </c>
      <c r="BQ88" s="1163"/>
      <c r="BR88" s="1176"/>
      <c r="BS88" s="1163" t="s">
        <v>5106</v>
      </c>
      <c r="BT88" s="1177" t="s">
        <v>5107</v>
      </c>
      <c r="BU88" s="1178">
        <v>78</v>
      </c>
      <c r="BW88" s="773" t="str">
        <f>_xlfn.XLOOKUP(A88,'[4]Sub-analyza3 - zadania kvality'!A:A,'[4]Sub-analyza3 - zadania kvality'!F:F,"Nenašlo sa")</f>
        <v>Spojená škola Svätej Rodiny - Gymnázium</v>
      </c>
    </row>
    <row r="89" spans="1:75" ht="15.75" customHeight="1" x14ac:dyDescent="0.2">
      <c r="A89" s="916" t="s">
        <v>4210</v>
      </c>
      <c r="B89" s="987"/>
      <c r="C89" s="987"/>
      <c r="D89" s="988" t="s">
        <v>5108</v>
      </c>
      <c r="E89" s="988"/>
      <c r="F89" s="988" t="s">
        <v>4724</v>
      </c>
      <c r="G89" s="972" t="s">
        <v>4560</v>
      </c>
      <c r="H89" s="972" t="s">
        <v>4649</v>
      </c>
      <c r="I89" s="920" t="s">
        <v>1605</v>
      </c>
      <c r="J89" s="920">
        <v>1</v>
      </c>
      <c r="K89" s="918" t="s">
        <v>4562</v>
      </c>
      <c r="L89" s="918" t="s">
        <v>5109</v>
      </c>
      <c r="M89" s="918" t="s">
        <v>4649</v>
      </c>
      <c r="N89" s="1026"/>
      <c r="O89" s="1071" t="s">
        <v>4573</v>
      </c>
      <c r="P89" s="920"/>
      <c r="Q89" s="920"/>
      <c r="R89" s="1017">
        <v>2388</v>
      </c>
      <c r="S89" s="977"/>
      <c r="T89" s="977"/>
      <c r="U89" s="977"/>
      <c r="V89" s="977"/>
      <c r="W89" s="977"/>
      <c r="X89" s="1061">
        <f t="shared" si="3"/>
        <v>1</v>
      </c>
      <c r="Y89" s="978"/>
      <c r="Z89" s="920"/>
      <c r="AA89" s="1184"/>
      <c r="AB89" s="920" t="s">
        <v>4001</v>
      </c>
      <c r="AC89" s="1009"/>
      <c r="AD89" s="982">
        <v>1</v>
      </c>
      <c r="AE89" s="1185">
        <v>2</v>
      </c>
      <c r="AF89" s="983"/>
      <c r="AG89" s="1185">
        <v>1</v>
      </c>
      <c r="AH89" s="1185">
        <v>18</v>
      </c>
      <c r="AI89" s="983">
        <v>1</v>
      </c>
      <c r="AJ89" s="983">
        <v>18</v>
      </c>
      <c r="AK89" s="1185">
        <v>1</v>
      </c>
      <c r="AL89" s="1185">
        <v>18</v>
      </c>
      <c r="AM89" s="983">
        <v>1</v>
      </c>
      <c r="AN89" s="983">
        <v>18</v>
      </c>
      <c r="AO89" s="1185"/>
      <c r="AP89" s="1185"/>
      <c r="AQ89" s="1185"/>
      <c r="AR89" s="983"/>
      <c r="AS89" s="983"/>
      <c r="AT89" s="983"/>
      <c r="AU89" s="977"/>
      <c r="AV89" s="977"/>
      <c r="AW89" s="983"/>
      <c r="AX89" s="983"/>
      <c r="AY89" s="1185"/>
      <c r="AZ89" s="1185"/>
      <c r="BA89" s="983"/>
      <c r="BB89" s="983"/>
      <c r="BC89" s="1185"/>
      <c r="BD89" s="1185"/>
      <c r="BE89" s="983"/>
      <c r="BF89" s="983"/>
      <c r="BG89" s="917">
        <v>6</v>
      </c>
      <c r="BH89" s="917"/>
      <c r="BI89" s="917">
        <v>6</v>
      </c>
      <c r="BJ89" s="917">
        <v>10</v>
      </c>
      <c r="BK89" s="917">
        <f>3*3</f>
        <v>9</v>
      </c>
      <c r="BL89" s="917" t="str">
        <f>_xlfn.XLOOKUP('Pasport1 NetAcad zdroj4'!$A89,'[5]Pasport1 Akademie'!$B$2:$B$62,'[5]Pasport1 Akademie'!BD$2:BD$62,"zle")</f>
        <v>zle</v>
      </c>
      <c r="BM89" s="917" t="str">
        <f>_xlfn.XLOOKUP('Pasport1 NetAcad zdroj4'!$A89,'[5]Pasport1 Akademie'!$B$2:$B$62,'[5]Pasport1 Akademie'!BC$2:BC$62,"zle")</f>
        <v>zle</v>
      </c>
      <c r="BN89" s="917"/>
      <c r="BO89" s="1186" t="s">
        <v>5110</v>
      </c>
      <c r="BP89" s="1029"/>
      <c r="BQ89" s="917"/>
      <c r="BR89" s="1029"/>
      <c r="BS89" s="917" t="s">
        <v>5111</v>
      </c>
      <c r="BT89" s="1187" t="s">
        <v>5112</v>
      </c>
      <c r="BU89" s="1031"/>
      <c r="BW89" s="773" t="str">
        <f>_xlfn.XLOOKUP(A89,'[4]Sub-analyza3 - zadania kvality'!A:A,'[4]Sub-analyza3 - zadania kvality'!F:F,"Nenašlo sa")</f>
        <v>FEI TUKE  - centrum školenia inštruktorov / podporné centrum</v>
      </c>
    </row>
    <row r="90" spans="1:75" ht="15.75" customHeight="1" x14ac:dyDescent="0.2">
      <c r="A90" s="916"/>
      <c r="B90" s="987"/>
      <c r="C90" s="987"/>
      <c r="D90" s="988" t="s">
        <v>5113</v>
      </c>
      <c r="E90" s="988"/>
      <c r="F90" s="988" t="s">
        <v>4724</v>
      </c>
      <c r="G90" s="972" t="s">
        <v>4560</v>
      </c>
      <c r="H90" s="972" t="s">
        <v>4649</v>
      </c>
      <c r="I90" s="920" t="s">
        <v>5114</v>
      </c>
      <c r="J90" s="920">
        <v>1</v>
      </c>
      <c r="K90" s="918" t="s">
        <v>4562</v>
      </c>
      <c r="L90" s="918" t="s">
        <v>5109</v>
      </c>
      <c r="M90" s="918" t="s">
        <v>4649</v>
      </c>
      <c r="N90" s="1026"/>
      <c r="O90" s="920"/>
      <c r="P90" s="920"/>
      <c r="Q90" s="920"/>
      <c r="R90" s="1017">
        <v>160</v>
      </c>
      <c r="S90" s="977"/>
      <c r="T90" s="977">
        <v>1000</v>
      </c>
      <c r="U90" s="977">
        <v>600</v>
      </c>
      <c r="V90" s="977"/>
      <c r="W90" s="977"/>
      <c r="X90" s="1061"/>
      <c r="Y90" s="978"/>
      <c r="Z90" s="920"/>
      <c r="AA90" s="1184"/>
      <c r="AB90" s="920" t="s">
        <v>4001</v>
      </c>
      <c r="AC90" s="1009"/>
      <c r="AD90" s="982">
        <v>1</v>
      </c>
      <c r="AE90" s="1185">
        <v>1</v>
      </c>
      <c r="AF90" s="983"/>
      <c r="AG90" s="1185"/>
      <c r="AH90" s="1185"/>
      <c r="AI90" s="983"/>
      <c r="AJ90" s="983"/>
      <c r="AK90" s="1185"/>
      <c r="AL90" s="1185"/>
      <c r="AM90" s="983"/>
      <c r="AN90" s="983"/>
      <c r="AO90" s="1185"/>
      <c r="AP90" s="1185"/>
      <c r="AQ90" s="1185"/>
      <c r="AR90" s="983"/>
      <c r="AS90" s="983">
        <v>4</v>
      </c>
      <c r="AT90" s="983">
        <v>1</v>
      </c>
      <c r="AU90" s="977"/>
      <c r="AV90" s="977"/>
      <c r="AW90" s="983"/>
      <c r="AX90" s="983"/>
      <c r="AY90" s="1185"/>
      <c r="AZ90" s="1185"/>
      <c r="BA90" s="983"/>
      <c r="BB90" s="983"/>
      <c r="BC90" s="1185"/>
      <c r="BD90" s="1185"/>
      <c r="BE90" s="983"/>
      <c r="BF90" s="983"/>
      <c r="BG90" s="917" t="str">
        <f>_xlfn.XLOOKUP('Pasport1 NetAcad zdroj4'!$A97,'[5]Pasport1 Akademie'!$B$2:$B$67,'[5]Pasport1 Akademie'!AY$2:AY$67,"zle")</f>
        <v>zle</v>
      </c>
      <c r="BH90" s="917"/>
      <c r="BI90" s="917" t="str">
        <f>_xlfn.XLOOKUP('Pasport1 NetAcad zdroj4'!$A90,'[5]Pasport1 Akademie'!$B$2:$B$62,'[5]Pasport1 Akademie'!BA$2:BA$62,"zle")</f>
        <v>zle</v>
      </c>
      <c r="BJ90" s="917" t="str">
        <f>_xlfn.XLOOKUP('Pasport1 NetAcad zdroj4'!$A90,'[5]Pasport1 Akademie'!$B$2:$B$62,'[5]Pasport1 Akademie'!BB$2:BB$62,"zle")</f>
        <v>zle</v>
      </c>
      <c r="BK90" s="917" t="str">
        <f>_xlfn.XLOOKUP('Pasport1 NetAcad zdroj4'!$A90,'[5]Pasport1 Akademie'!$B$2:$B$62,'[5]Pasport1 Akademie'!AZ$2:AZ$62,"zle")</f>
        <v>zle</v>
      </c>
      <c r="BL90" s="917" t="str">
        <f>_xlfn.XLOOKUP('Pasport1 NetAcad zdroj4'!$A90,'[5]Pasport1 Akademie'!$B$2:$B$62,'[5]Pasport1 Akademie'!BD$2:BD$62,"zle")</f>
        <v>zle</v>
      </c>
      <c r="BM90" s="917" t="str">
        <f>_xlfn.XLOOKUP('Pasport1 NetAcad zdroj4'!$A90,'[5]Pasport1 Akademie'!$B$2:$B$62,'[5]Pasport1 Akademie'!BC$2:BC$62,"zle")</f>
        <v>zle</v>
      </c>
      <c r="BN90" s="917"/>
      <c r="BO90" s="1029"/>
      <c r="BP90" s="1029"/>
      <c r="BQ90" s="917"/>
      <c r="BR90" s="1029"/>
      <c r="BS90" s="917"/>
      <c r="BT90" s="1070"/>
      <c r="BU90" s="1031"/>
      <c r="BW90" s="773">
        <f>_xlfn.XLOOKUP(A90,'[4]Sub-analyza3 - zadania kvality'!A:A,'[4]Sub-analyza3 - zadania kvality'!F:F,"Nenašlo sa")</f>
        <v>0</v>
      </c>
    </row>
    <row r="91" spans="1:75" s="1179" customFormat="1" ht="15.75" customHeight="1" x14ac:dyDescent="0.2">
      <c r="A91" s="1162" t="s">
        <v>4110</v>
      </c>
      <c r="B91" s="1188"/>
      <c r="C91" s="1188"/>
      <c r="D91" s="1189" t="s">
        <v>5115</v>
      </c>
      <c r="E91" s="1189"/>
      <c r="F91" s="1189" t="s">
        <v>5026</v>
      </c>
      <c r="G91" s="1190" t="s">
        <v>5116</v>
      </c>
      <c r="H91" s="1190" t="s">
        <v>5028</v>
      </c>
      <c r="I91" s="1165" t="s">
        <v>1605</v>
      </c>
      <c r="J91" s="1165">
        <v>1</v>
      </c>
      <c r="K91" s="1166" t="s">
        <v>4562</v>
      </c>
      <c r="L91" s="1166" t="s">
        <v>5109</v>
      </c>
      <c r="M91" s="1166" t="s">
        <v>5028</v>
      </c>
      <c r="N91" s="1168"/>
      <c r="O91" s="1165" t="s">
        <v>4573</v>
      </c>
      <c r="P91" s="1165"/>
      <c r="Q91" s="1165"/>
      <c r="R91" s="1170">
        <v>886</v>
      </c>
      <c r="S91" s="1011"/>
      <c r="T91" s="1011"/>
      <c r="U91" s="1011"/>
      <c r="V91" s="1011"/>
      <c r="W91" s="1011"/>
      <c r="X91" s="1180"/>
      <c r="Y91" s="1191"/>
      <c r="Z91" s="1165"/>
      <c r="AA91" s="1173"/>
      <c r="AB91" s="1165" t="s">
        <v>5117</v>
      </c>
      <c r="AC91" s="1174" t="s">
        <v>5118</v>
      </c>
      <c r="AD91" s="1011">
        <v>1</v>
      </c>
      <c r="AE91" s="1010">
        <v>2</v>
      </c>
      <c r="AF91" s="1011"/>
      <c r="AG91" s="1010">
        <v>1</v>
      </c>
      <c r="AH91" s="1010">
        <v>26</v>
      </c>
      <c r="AI91" s="1011" t="s">
        <v>5031</v>
      </c>
      <c r="AJ91" s="1011" t="s">
        <v>5032</v>
      </c>
      <c r="AK91" s="1010">
        <v>1</v>
      </c>
      <c r="AL91" s="1010">
        <v>12</v>
      </c>
      <c r="AM91" s="1011" t="s">
        <v>5031</v>
      </c>
      <c r="AN91" s="1011" t="s">
        <v>5032</v>
      </c>
      <c r="AO91" s="1010"/>
      <c r="AP91" s="1010"/>
      <c r="AQ91" s="1010"/>
      <c r="AR91" s="1011"/>
      <c r="AS91" s="1011" t="s">
        <v>5042</v>
      </c>
      <c r="AT91" s="1011" t="s">
        <v>5031</v>
      </c>
      <c r="AU91" s="1011"/>
      <c r="AV91" s="1011"/>
      <c r="AW91" s="1011"/>
      <c r="AX91" s="1011"/>
      <c r="AY91" s="1010"/>
      <c r="AZ91" s="1010"/>
      <c r="BA91" s="1011"/>
      <c r="BB91" s="1011"/>
      <c r="BC91" s="1010"/>
      <c r="BD91" s="1010"/>
      <c r="BE91" s="1011"/>
      <c r="BF91" s="1011"/>
      <c r="BG91" s="1163" t="str">
        <f>_xlfn.XLOOKUP('Pasport1 NetAcad zdroj4'!$A98,'[5]Pasport1 Akademie'!$B$2:$B$67,'[5]Pasport1 Akademie'!AY$2:AY$67,"zle")</f>
        <v>zle</v>
      </c>
      <c r="BH91" s="1163"/>
      <c r="BI91" s="1163" t="str">
        <f>_xlfn.XLOOKUP('Pasport1 NetAcad zdroj4'!$A91,'[5]Pasport1 Akademie'!$B$2:$B$62,'[5]Pasport1 Akademie'!BA$2:BA$62,"zle")</f>
        <v>zle</v>
      </c>
      <c r="BJ91" s="1163" t="str">
        <f>_xlfn.XLOOKUP('Pasport1 NetAcad zdroj4'!$A91,'[5]Pasport1 Akademie'!$B$2:$B$62,'[5]Pasport1 Akademie'!BB$2:BB$62,"zle")</f>
        <v>zle</v>
      </c>
      <c r="BK91" s="1163" t="str">
        <f>_xlfn.XLOOKUP('Pasport1 NetAcad zdroj4'!$A91,'[5]Pasport1 Akademie'!$B$2:$B$62,'[5]Pasport1 Akademie'!AZ$2:AZ$62,"zle")</f>
        <v>zle</v>
      </c>
      <c r="BL91" s="1163" t="str">
        <f>_xlfn.XLOOKUP('Pasport1 NetAcad zdroj4'!$A91,'[5]Pasport1 Akademie'!$B$2:$B$62,'[5]Pasport1 Akademie'!BD$2:BD$62,"zle")</f>
        <v>zle</v>
      </c>
      <c r="BM91" s="1163" t="str">
        <f>_xlfn.XLOOKUP('Pasport1 NetAcad zdroj4'!$A91,'[5]Pasport1 Akademie'!$B$2:$B$62,'[5]Pasport1 Akademie'!BC$2:BC$62,"zle")</f>
        <v>zle</v>
      </c>
      <c r="BN91" s="1163"/>
      <c r="BO91" s="1176"/>
      <c r="BP91" s="1176"/>
      <c r="BQ91" s="1163"/>
      <c r="BR91" s="1176"/>
      <c r="BS91" s="1163"/>
      <c r="BT91" s="1177"/>
      <c r="BU91" s="1178"/>
      <c r="BW91" s="773" t="str">
        <f>_xlfn.XLOOKUP(A91,'[4]Sub-analyza3 - zadania kvality'!A:A,'[4]Sub-analyza3 - zadania kvality'!F:F,"Nenašlo sa")</f>
        <v>FIIT STU  - centrum školenia inštruktorov</v>
      </c>
    </row>
    <row r="92" spans="1:75" ht="15.75" customHeight="1" x14ac:dyDescent="0.2">
      <c r="A92" s="916" t="s">
        <v>4000</v>
      </c>
      <c r="B92" s="987"/>
      <c r="C92" s="987"/>
      <c r="D92" s="988" t="s">
        <v>5119</v>
      </c>
      <c r="E92" s="988"/>
      <c r="F92" s="988" t="s">
        <v>4559</v>
      </c>
      <c r="G92" s="972" t="s">
        <v>4560</v>
      </c>
      <c r="H92" s="972" t="s">
        <v>4561</v>
      </c>
      <c r="I92" s="920" t="s">
        <v>1605</v>
      </c>
      <c r="J92" s="920">
        <v>1</v>
      </c>
      <c r="K92" s="918" t="s">
        <v>4562</v>
      </c>
      <c r="L92" s="918" t="s">
        <v>5109</v>
      </c>
      <c r="M92" s="918" t="s">
        <v>4561</v>
      </c>
      <c r="N92" s="1026"/>
      <c r="O92" s="1071" t="s">
        <v>4573</v>
      </c>
      <c r="P92" s="920"/>
      <c r="Q92" s="920"/>
      <c r="R92" s="1017">
        <v>1549</v>
      </c>
      <c r="S92" s="977"/>
      <c r="T92" s="977">
        <v>1646</v>
      </c>
      <c r="U92" s="977">
        <v>1646</v>
      </c>
      <c r="V92" s="977"/>
      <c r="W92" s="977"/>
      <c r="X92" s="1061"/>
      <c r="Y92" s="978"/>
      <c r="Z92" s="920"/>
      <c r="AA92" s="1184"/>
      <c r="AB92" s="920" t="s">
        <v>4001</v>
      </c>
      <c r="AC92" s="1009"/>
      <c r="AD92" s="982">
        <v>1</v>
      </c>
      <c r="AE92" s="1185">
        <v>5</v>
      </c>
      <c r="AF92" s="983"/>
      <c r="AG92" s="1185">
        <v>2</v>
      </c>
      <c r="AH92" s="1185">
        <v>45</v>
      </c>
      <c r="AI92" s="983">
        <v>2</v>
      </c>
      <c r="AJ92" s="983">
        <v>45</v>
      </c>
      <c r="AK92" s="1185">
        <v>1</v>
      </c>
      <c r="AL92" s="1185">
        <v>20</v>
      </c>
      <c r="AM92" s="983">
        <v>1</v>
      </c>
      <c r="AN92" s="983">
        <v>20</v>
      </c>
      <c r="AO92" s="1185"/>
      <c r="AP92" s="1185"/>
      <c r="AQ92" s="1185"/>
      <c r="AR92" s="983"/>
      <c r="AS92" s="983">
        <v>4</v>
      </c>
      <c r="AT92" s="983">
        <v>1</v>
      </c>
      <c r="AU92" s="977"/>
      <c r="AV92" s="977"/>
      <c r="AW92" s="983"/>
      <c r="AX92" s="983"/>
      <c r="AY92" s="1185"/>
      <c r="AZ92" s="1185"/>
      <c r="BA92" s="983"/>
      <c r="BB92" s="983"/>
      <c r="BC92" s="1185"/>
      <c r="BD92" s="1185"/>
      <c r="BE92" s="983"/>
      <c r="BF92" s="983"/>
      <c r="BG92" s="917">
        <v>6</v>
      </c>
      <c r="BH92" s="917"/>
      <c r="BI92" s="917">
        <v>7</v>
      </c>
      <c r="BJ92" s="917">
        <v>20</v>
      </c>
      <c r="BK92" s="917">
        <f>4*3</f>
        <v>12</v>
      </c>
      <c r="BL92" s="917" t="str">
        <f>_xlfn.XLOOKUP('Pasport1 NetAcad zdroj4'!$A92,'[5]Pasport1 Akademie'!$B$2:$B$62,'[5]Pasport1 Akademie'!BD$2:BD$62,"zle")</f>
        <v>zle</v>
      </c>
      <c r="BM92" s="917" t="str">
        <f>_xlfn.XLOOKUP('Pasport1 NetAcad zdroj4'!$A92,'[5]Pasport1 Akademie'!$B$2:$B$62,'[5]Pasport1 Akademie'!BC$2:BC$62,"zle")</f>
        <v>zle</v>
      </c>
      <c r="BN92" s="917"/>
      <c r="BO92" s="1186" t="s">
        <v>5120</v>
      </c>
      <c r="BP92" s="1029"/>
      <c r="BQ92" s="917"/>
      <c r="BR92" s="1029"/>
      <c r="BS92" s="917"/>
      <c r="BT92" s="1070"/>
      <c r="BU92" s="1031"/>
      <c r="BW92" s="773" t="str">
        <f>_xlfn.XLOOKUP(A92,'[4]Sub-analyza3 - zadania kvality'!A:A,'[4]Sub-analyza3 - zadania kvality'!F:F,"Nenašlo sa")</f>
        <v>FRI UNIZA  - centrum školenia inštruktorov</v>
      </c>
    </row>
    <row r="93" spans="1:75" ht="15.75" customHeight="1" x14ac:dyDescent="0.2">
      <c r="A93" s="946" t="s">
        <v>5121</v>
      </c>
      <c r="B93" s="947"/>
      <c r="C93" s="1192" t="s">
        <v>5122</v>
      </c>
      <c r="D93" s="948" t="s">
        <v>5123</v>
      </c>
      <c r="E93" s="948"/>
      <c r="F93" s="1193" t="s">
        <v>5124</v>
      </c>
      <c r="G93" s="948"/>
      <c r="H93" s="948"/>
      <c r="I93" s="948"/>
      <c r="J93" s="1194">
        <f>SUM(J3:J92)</f>
        <v>90</v>
      </c>
      <c r="K93" s="949"/>
      <c r="L93" s="949"/>
      <c r="M93" s="949" t="s">
        <v>5125</v>
      </c>
      <c r="N93" s="950" t="s">
        <v>5126</v>
      </c>
      <c r="O93" s="948"/>
      <c r="P93" s="948" t="s">
        <v>5127</v>
      </c>
      <c r="Q93" s="948" t="s">
        <v>5127</v>
      </c>
      <c r="R93" s="949">
        <f t="shared" ref="R93:W93" si="5">SUM(R3:R92)</f>
        <v>31896</v>
      </c>
      <c r="S93" s="949">
        <f t="shared" si="5"/>
        <v>5732</v>
      </c>
      <c r="T93" s="949">
        <f t="shared" si="5"/>
        <v>27936</v>
      </c>
      <c r="U93" s="949">
        <f t="shared" si="5"/>
        <v>10918</v>
      </c>
      <c r="V93" s="949">
        <f t="shared" si="5"/>
        <v>6673</v>
      </c>
      <c r="W93" s="949">
        <f t="shared" si="5"/>
        <v>914</v>
      </c>
      <c r="X93" s="1195" t="s">
        <v>5128</v>
      </c>
      <c r="Y93" s="1195" t="s">
        <v>5129</v>
      </c>
      <c r="Z93" s="952"/>
      <c r="AA93" s="953"/>
      <c r="AB93" s="948"/>
      <c r="AC93" s="948"/>
      <c r="AD93" s="1196">
        <f>SUBTOTAL(2,AD3:AD92)</f>
        <v>90</v>
      </c>
      <c r="AE93" s="949">
        <f t="shared" ref="AE93:BM93" si="6">SUM(AE3:AE92)</f>
        <v>205</v>
      </c>
      <c r="AF93" s="949">
        <f t="shared" si="6"/>
        <v>0</v>
      </c>
      <c r="AG93" s="949">
        <f t="shared" si="6"/>
        <v>76</v>
      </c>
      <c r="AH93" s="949">
        <f t="shared" si="6"/>
        <v>1051</v>
      </c>
      <c r="AI93" s="1197">
        <f t="shared" si="6"/>
        <v>58</v>
      </c>
      <c r="AJ93" s="1197">
        <f t="shared" si="6"/>
        <v>868</v>
      </c>
      <c r="AK93" s="949">
        <f t="shared" si="6"/>
        <v>31</v>
      </c>
      <c r="AL93" s="949">
        <f t="shared" si="6"/>
        <v>438</v>
      </c>
      <c r="AM93" s="1197">
        <f t="shared" si="6"/>
        <v>11</v>
      </c>
      <c r="AN93" s="1197">
        <f t="shared" si="6"/>
        <v>169</v>
      </c>
      <c r="AO93" s="949">
        <f t="shared" si="6"/>
        <v>17</v>
      </c>
      <c r="AP93" s="949">
        <f t="shared" si="6"/>
        <v>216</v>
      </c>
      <c r="AQ93" s="949">
        <f t="shared" si="6"/>
        <v>11</v>
      </c>
      <c r="AR93" s="949">
        <f t="shared" si="6"/>
        <v>0</v>
      </c>
      <c r="AS93" s="1198">
        <f t="shared" si="6"/>
        <v>23</v>
      </c>
      <c r="AT93" s="1198">
        <f t="shared" si="6"/>
        <v>3</v>
      </c>
      <c r="AU93" s="949">
        <f t="shared" si="6"/>
        <v>19</v>
      </c>
      <c r="AV93" s="949">
        <f t="shared" si="6"/>
        <v>207</v>
      </c>
      <c r="AW93" s="1196">
        <f t="shared" si="6"/>
        <v>9</v>
      </c>
      <c r="AX93" s="949">
        <f t="shared" si="6"/>
        <v>0</v>
      </c>
      <c r="AY93" s="949">
        <f t="shared" si="6"/>
        <v>33</v>
      </c>
      <c r="AZ93" s="949">
        <f t="shared" si="6"/>
        <v>439</v>
      </c>
      <c r="BA93" s="1196">
        <f t="shared" si="6"/>
        <v>11</v>
      </c>
      <c r="BB93" s="949">
        <f t="shared" si="6"/>
        <v>0</v>
      </c>
      <c r="BC93" s="949">
        <f t="shared" si="6"/>
        <v>26</v>
      </c>
      <c r="BD93" s="949">
        <f t="shared" si="6"/>
        <v>326</v>
      </c>
      <c r="BE93" s="1196">
        <f t="shared" si="6"/>
        <v>7</v>
      </c>
      <c r="BF93" s="949">
        <f t="shared" si="6"/>
        <v>0</v>
      </c>
      <c r="BG93" s="948">
        <f t="shared" si="6"/>
        <v>393</v>
      </c>
      <c r="BH93" s="948">
        <f t="shared" si="6"/>
        <v>242</v>
      </c>
      <c r="BI93" s="1193">
        <f t="shared" si="6"/>
        <v>181</v>
      </c>
      <c r="BJ93" s="1193">
        <f t="shared" si="6"/>
        <v>437</v>
      </c>
      <c r="BK93" s="1193">
        <f t="shared" si="6"/>
        <v>263</v>
      </c>
      <c r="BL93" s="1193">
        <f t="shared" si="6"/>
        <v>326</v>
      </c>
      <c r="BM93" s="1193">
        <f t="shared" si="6"/>
        <v>229</v>
      </c>
      <c r="BN93" s="948"/>
      <c r="BO93" s="948"/>
      <c r="BP93" s="948"/>
      <c r="BQ93" s="948"/>
      <c r="BR93" s="948"/>
      <c r="BS93" s="948"/>
      <c r="BT93" s="948"/>
      <c r="BU93" s="1199">
        <f>COUNT(BU3:BU92)</f>
        <v>68</v>
      </c>
    </row>
    <row r="94" spans="1:75" ht="15.75" customHeight="1" x14ac:dyDescent="0.2">
      <c r="A94" s="947"/>
      <c r="B94" s="947"/>
      <c r="C94" s="947"/>
      <c r="D94" s="948"/>
      <c r="E94" s="948"/>
      <c r="F94" s="948"/>
      <c r="G94" s="948"/>
      <c r="H94" s="948"/>
      <c r="I94" s="948"/>
      <c r="J94" s="948"/>
      <c r="K94" s="949"/>
      <c r="L94" s="949"/>
      <c r="M94" s="949"/>
      <c r="N94" s="950"/>
      <c r="O94" s="948"/>
      <c r="P94" s="948" t="s">
        <v>5130</v>
      </c>
      <c r="Q94" s="948" t="s">
        <v>5130</v>
      </c>
      <c r="R94" s="949">
        <f>MAX(R3:R92)</f>
        <v>2388</v>
      </c>
      <c r="S94" s="949"/>
      <c r="T94" s="948" t="s">
        <v>5130</v>
      </c>
      <c r="U94" s="949">
        <f>MAX(U3:U80)</f>
        <v>635</v>
      </c>
      <c r="V94" s="949"/>
      <c r="W94" s="949"/>
      <c r="X94" s="951" t="s">
        <v>5131</v>
      </c>
      <c r="Y94" s="948" t="s">
        <v>5132</v>
      </c>
      <c r="Z94" s="952"/>
      <c r="AA94" s="953"/>
      <c r="AB94" s="948"/>
      <c r="AC94" s="948"/>
      <c r="AD94" s="949"/>
      <c r="AE94" s="949"/>
      <c r="AF94" s="949"/>
      <c r="AG94" s="949"/>
      <c r="AH94" s="949"/>
      <c r="AI94" s="1200" t="s">
        <v>5125</v>
      </c>
      <c r="AJ94" s="1200" t="s">
        <v>5125</v>
      </c>
      <c r="AK94" s="949"/>
      <c r="AL94" s="949"/>
      <c r="AM94" s="1200" t="s">
        <v>5125</v>
      </c>
      <c r="AN94" s="1200" t="s">
        <v>5125</v>
      </c>
      <c r="AO94" s="949"/>
      <c r="AP94" s="949"/>
      <c r="AQ94" s="949"/>
      <c r="AR94" s="949"/>
      <c r="AS94" s="949"/>
      <c r="AT94" s="949"/>
      <c r="AU94" s="949"/>
      <c r="AV94" s="949"/>
      <c r="AW94" s="949"/>
      <c r="AX94" s="949"/>
      <c r="AY94" s="949"/>
      <c r="AZ94" s="949"/>
      <c r="BA94" s="949"/>
      <c r="BB94" s="949"/>
      <c r="BC94" s="949"/>
      <c r="BD94" s="949"/>
      <c r="BE94" s="949"/>
      <c r="BF94" s="949"/>
      <c r="BG94" s="948"/>
      <c r="BH94" s="948"/>
      <c r="BI94" s="948"/>
      <c r="BJ94" s="948"/>
      <c r="BK94" s="948"/>
      <c r="BL94" s="948"/>
      <c r="BM94" s="948"/>
      <c r="BN94" s="948"/>
      <c r="BO94" s="948"/>
      <c r="BP94" s="948"/>
      <c r="BQ94" s="948"/>
      <c r="BR94" s="948"/>
      <c r="BS94" s="948"/>
      <c r="BT94" s="948"/>
      <c r="BU94" s="954"/>
    </row>
    <row r="95" spans="1:75" ht="15.75" customHeight="1" x14ac:dyDescent="0.2">
      <c r="A95" s="947"/>
      <c r="B95" s="947"/>
      <c r="C95" s="947"/>
      <c r="D95" s="948"/>
      <c r="E95" s="948"/>
      <c r="F95" s="948"/>
      <c r="G95" s="948"/>
      <c r="H95" s="948"/>
      <c r="I95" s="948"/>
      <c r="J95" s="948"/>
      <c r="K95" s="949"/>
      <c r="L95" s="949"/>
      <c r="M95" s="949"/>
      <c r="N95" s="950"/>
      <c r="O95" s="948"/>
      <c r="P95" s="948"/>
      <c r="Q95" s="948"/>
      <c r="R95" s="949"/>
      <c r="S95" s="949"/>
      <c r="T95" s="949"/>
      <c r="U95" s="949"/>
      <c r="V95" s="949"/>
      <c r="W95" s="949"/>
      <c r="X95" s="951"/>
      <c r="Y95" s="951"/>
      <c r="Z95" s="952"/>
      <c r="AA95" s="953"/>
      <c r="AB95" s="948"/>
      <c r="AC95" s="948"/>
      <c r="AD95" s="949"/>
      <c r="AE95" s="949"/>
      <c r="AF95" s="949"/>
      <c r="AG95" s="949"/>
      <c r="AH95" s="949"/>
      <c r="AI95" s="1200">
        <v>55</v>
      </c>
      <c r="AJ95" s="1200">
        <v>550</v>
      </c>
      <c r="AK95" s="949"/>
      <c r="AL95" s="949"/>
      <c r="AM95" s="1200">
        <v>15</v>
      </c>
      <c r="AN95" s="1200">
        <v>150</v>
      </c>
      <c r="AO95" s="949"/>
      <c r="AP95" s="949"/>
      <c r="AQ95" s="949"/>
      <c r="AR95" s="949"/>
      <c r="AS95" s="949"/>
      <c r="AT95" s="949"/>
      <c r="AU95" s="949"/>
      <c r="AV95" s="949"/>
      <c r="AW95" s="949"/>
      <c r="AX95" s="949"/>
      <c r="AY95" s="949"/>
      <c r="AZ95" s="949"/>
      <c r="BA95" s="949"/>
      <c r="BB95" s="949"/>
      <c r="BC95" s="949"/>
      <c r="BD95" s="949"/>
      <c r="BE95" s="949"/>
      <c r="BF95" s="949"/>
      <c r="BG95" s="1201" t="s">
        <v>5133</v>
      </c>
      <c r="BH95" s="1201"/>
      <c r="BI95" s="1201"/>
      <c r="BJ95" s="1201"/>
      <c r="BK95" s="948"/>
      <c r="BL95" s="948"/>
      <c r="BM95" s="948"/>
      <c r="BN95" s="948"/>
      <c r="BO95" s="948"/>
      <c r="BP95" s="948"/>
      <c r="BQ95" s="948"/>
      <c r="BR95" s="948"/>
      <c r="BS95" s="948"/>
      <c r="BT95" s="948"/>
      <c r="BU95" s="954"/>
    </row>
    <row r="96" spans="1:75" ht="15.75" customHeight="1" x14ac:dyDescent="0.2">
      <c r="A96" s="1202" t="s">
        <v>5134</v>
      </c>
      <c r="B96" s="947"/>
      <c r="C96" s="947"/>
      <c r="D96" s="1203" t="s">
        <v>5135</v>
      </c>
      <c r="E96" s="1204">
        <f>B97+B110+B120</f>
        <v>63</v>
      </c>
      <c r="F96" s="952" t="s">
        <v>5136</v>
      </c>
      <c r="G96" s="1205">
        <f>B116</f>
        <v>18</v>
      </c>
      <c r="H96" s="1206"/>
      <c r="I96" s="1207" t="s">
        <v>5137</v>
      </c>
      <c r="J96" s="1204">
        <f>E96+G96</f>
        <v>81</v>
      </c>
      <c r="K96" s="949"/>
      <c r="L96" s="949"/>
      <c r="M96" s="949"/>
      <c r="N96" s="950"/>
      <c r="O96" s="948"/>
      <c r="P96" s="948"/>
      <c r="Q96" s="948"/>
      <c r="R96" s="949"/>
      <c r="S96" s="949"/>
      <c r="T96" s="949"/>
      <c r="U96" s="949"/>
      <c r="V96" s="949"/>
      <c r="W96" s="949"/>
      <c r="X96" s="951"/>
      <c r="Y96" s="951"/>
      <c r="Z96" s="952"/>
      <c r="AA96" s="953"/>
      <c r="AB96" s="948"/>
      <c r="AC96" s="948"/>
      <c r="AD96" s="949"/>
      <c r="AE96" s="949"/>
      <c r="AF96" s="949"/>
      <c r="AG96" s="949"/>
      <c r="AH96" s="949"/>
      <c r="AI96" s="1208">
        <f>AI93/AI95</f>
        <v>1.0545454545454545</v>
      </c>
      <c r="AJ96" s="1208">
        <f>AJ93/AJ95</f>
        <v>1.5781818181818181</v>
      </c>
      <c r="AK96" s="949"/>
      <c r="AL96" s="949"/>
      <c r="AM96" s="1208">
        <f>AM93/AM95</f>
        <v>0.73333333333333328</v>
      </c>
      <c r="AN96" s="1208">
        <f>AN93/AN95</f>
        <v>1.1266666666666667</v>
      </c>
      <c r="AO96" s="949"/>
      <c r="AP96" s="949"/>
      <c r="AQ96" s="949"/>
      <c r="AR96" s="949"/>
      <c r="AS96" s="949"/>
      <c r="AT96" s="949"/>
      <c r="AU96" s="949"/>
      <c r="AV96" s="949"/>
      <c r="AW96" s="949"/>
      <c r="AX96" s="949"/>
      <c r="AY96" s="949"/>
      <c r="AZ96" s="949"/>
      <c r="BA96" s="949"/>
      <c r="BB96" s="949"/>
      <c r="BC96" s="949"/>
      <c r="BD96" s="949"/>
      <c r="BE96" s="949"/>
      <c r="BF96" s="949"/>
      <c r="BG96" s="948">
        <v>30</v>
      </c>
      <c r="BH96" s="948">
        <v>21</v>
      </c>
      <c r="BI96" s="1209">
        <v>13</v>
      </c>
      <c r="BJ96" s="1209">
        <v>42</v>
      </c>
      <c r="BK96" s="1209">
        <v>24</v>
      </c>
      <c r="BL96" s="1209">
        <v>36</v>
      </c>
      <c r="BM96" s="1209">
        <v>24</v>
      </c>
      <c r="BN96" s="948"/>
      <c r="BO96" s="948"/>
      <c r="BP96" s="948"/>
      <c r="BQ96" s="948"/>
      <c r="BR96" s="948"/>
      <c r="BS96" s="948"/>
      <c r="BT96" s="948"/>
      <c r="BU96" s="954"/>
    </row>
    <row r="97" spans="1:73" ht="15.75" customHeight="1" x14ac:dyDescent="0.2">
      <c r="A97" s="1210" t="s">
        <v>5138</v>
      </c>
      <c r="B97" s="1211">
        <f>B100+B103+B107</f>
        <v>39</v>
      </c>
      <c r="C97" s="1212" t="s">
        <v>5139</v>
      </c>
      <c r="D97" s="948"/>
      <c r="E97" s="948"/>
      <c r="F97" s="948"/>
      <c r="G97" s="948"/>
      <c r="H97" s="948"/>
      <c r="I97" s="948"/>
      <c r="J97" s="948"/>
      <c r="K97" s="949"/>
      <c r="L97" s="949"/>
      <c r="M97" s="949"/>
      <c r="N97" s="950"/>
      <c r="O97" s="948"/>
      <c r="P97" s="948"/>
      <c r="Q97" s="948"/>
      <c r="R97" s="949"/>
      <c r="S97" s="949"/>
      <c r="T97" s="949"/>
      <c r="U97" s="949"/>
      <c r="V97" s="949"/>
      <c r="W97" s="949"/>
      <c r="X97" s="951"/>
      <c r="Y97" s="951"/>
      <c r="Z97" s="952"/>
      <c r="AA97" s="953"/>
      <c r="AB97" s="948"/>
      <c r="AC97" s="948"/>
      <c r="AD97" s="949"/>
      <c r="AE97" s="949"/>
      <c r="AF97" s="949"/>
      <c r="AG97" s="949"/>
      <c r="AH97" s="949"/>
      <c r="AI97" s="949"/>
      <c r="AJ97" s="949"/>
      <c r="AK97" s="949"/>
      <c r="AL97" s="949"/>
      <c r="AM97" s="949"/>
      <c r="AN97" s="949"/>
      <c r="AO97" s="949"/>
      <c r="AP97" s="949"/>
      <c r="AQ97" s="949"/>
      <c r="AR97" s="949"/>
      <c r="AS97" s="949"/>
      <c r="AT97" s="949"/>
      <c r="AU97" s="949"/>
      <c r="AV97" s="949"/>
      <c r="AW97" s="949"/>
      <c r="AX97" s="949"/>
      <c r="AY97" s="949"/>
      <c r="AZ97" s="949"/>
      <c r="BA97" s="949"/>
      <c r="BB97" s="949"/>
      <c r="BC97" s="949"/>
      <c r="BD97" s="949"/>
      <c r="BE97" s="949"/>
      <c r="BF97" s="949"/>
      <c r="BG97" s="948"/>
      <c r="BH97" s="948"/>
      <c r="BI97" s="948"/>
      <c r="BJ97" s="948"/>
      <c r="BK97" s="948"/>
      <c r="BL97" s="948"/>
      <c r="BM97" s="948"/>
      <c r="BN97" s="948"/>
      <c r="BO97" s="948"/>
      <c r="BP97" s="948"/>
      <c r="BQ97" s="948"/>
      <c r="BR97" s="948"/>
      <c r="BS97" s="948"/>
      <c r="BT97" s="948"/>
      <c r="BU97" s="954"/>
    </row>
    <row r="98" spans="1:73" ht="15.75" customHeight="1" x14ac:dyDescent="0.2">
      <c r="A98" s="1212" t="s">
        <v>5140</v>
      </c>
      <c r="B98" s="947"/>
      <c r="C98" s="947"/>
      <c r="D98" s="948"/>
      <c r="E98" s="948"/>
      <c r="F98" s="948"/>
      <c r="G98" s="948"/>
      <c r="H98" s="948"/>
      <c r="I98" s="948"/>
      <c r="J98" s="948"/>
      <c r="K98" s="949"/>
      <c r="L98" s="949"/>
      <c r="M98" s="949"/>
      <c r="N98" s="950"/>
      <c r="O98" s="948"/>
      <c r="P98" s="948"/>
      <c r="Q98" s="948"/>
      <c r="R98" s="949"/>
      <c r="S98" s="949"/>
      <c r="T98" s="949"/>
      <c r="U98" s="949"/>
      <c r="V98" s="949"/>
      <c r="W98" s="949"/>
      <c r="X98" s="951"/>
      <c r="Y98" s="951"/>
      <c r="Z98" s="952"/>
      <c r="AA98" s="953"/>
      <c r="AB98" s="948"/>
      <c r="AC98" s="948"/>
      <c r="AD98" s="949"/>
      <c r="AE98" s="949"/>
      <c r="AF98" s="949"/>
      <c r="AG98" s="949"/>
      <c r="AH98" s="949"/>
      <c r="AI98" s="949"/>
      <c r="AJ98" s="949"/>
      <c r="AK98" s="949"/>
      <c r="AL98" s="949"/>
      <c r="AM98" s="949"/>
      <c r="AN98" s="949"/>
      <c r="AO98" s="949"/>
      <c r="AP98" s="949"/>
      <c r="AQ98" s="949"/>
      <c r="AR98" s="949"/>
      <c r="AS98" s="949"/>
      <c r="AT98" s="949"/>
      <c r="AU98" s="949"/>
      <c r="AV98" s="949"/>
      <c r="AW98" s="949"/>
      <c r="AX98" s="949"/>
      <c r="AY98" s="949"/>
      <c r="AZ98" s="949"/>
      <c r="BA98" s="949"/>
      <c r="BB98" s="949"/>
      <c r="BC98" s="949"/>
      <c r="BD98" s="949"/>
      <c r="BE98" s="949"/>
      <c r="BF98" s="949"/>
      <c r="BG98" s="948"/>
      <c r="BH98" s="948"/>
      <c r="BI98" s="948"/>
      <c r="BJ98" s="948"/>
      <c r="BK98" s="948"/>
      <c r="BL98" s="948"/>
      <c r="BM98" s="948"/>
      <c r="BN98" s="948"/>
      <c r="BO98" s="948"/>
      <c r="BP98" s="948"/>
      <c r="BQ98" s="948"/>
      <c r="BR98" s="948"/>
      <c r="BS98" s="948"/>
      <c r="BT98" s="948"/>
      <c r="BU98" s="954"/>
    </row>
    <row r="99" spans="1:73" x14ac:dyDescent="0.2">
      <c r="A99" s="773" t="s">
        <v>5141</v>
      </c>
      <c r="B99" s="773"/>
      <c r="C99" s="947"/>
      <c r="D99" s="948"/>
      <c r="E99" s="948"/>
      <c r="F99" s="948"/>
      <c r="G99" s="948"/>
      <c r="H99" s="948"/>
      <c r="I99" s="948"/>
      <c r="J99" s="948"/>
      <c r="K99" s="949"/>
      <c r="L99" s="949"/>
      <c r="M99" s="949"/>
      <c r="N99" s="950"/>
      <c r="O99" s="948"/>
      <c r="P99" s="948"/>
      <c r="Q99" s="948"/>
      <c r="R99" s="949"/>
      <c r="S99" s="949"/>
      <c r="T99" s="949"/>
      <c r="U99" s="949"/>
      <c r="V99" s="949"/>
      <c r="W99" s="949"/>
      <c r="X99" s="951"/>
      <c r="Y99" s="951"/>
      <c r="Z99" s="952"/>
      <c r="AA99" s="953"/>
      <c r="AB99" s="948"/>
      <c r="AC99" s="948"/>
      <c r="AD99" s="949"/>
      <c r="AE99" s="949"/>
      <c r="AF99" s="949"/>
      <c r="AG99" s="949"/>
      <c r="AH99" s="949"/>
      <c r="AI99" s="949"/>
      <c r="AJ99" s="949"/>
      <c r="AK99" s="949"/>
      <c r="AL99" s="949"/>
      <c r="AM99" s="949"/>
      <c r="AN99" s="949"/>
      <c r="AO99" s="949"/>
      <c r="AP99" s="949"/>
      <c r="AQ99" s="949"/>
      <c r="AR99" s="949"/>
      <c r="AS99" s="949"/>
      <c r="AT99" s="949"/>
      <c r="AU99" s="949"/>
      <c r="AV99" s="949"/>
      <c r="AW99" s="949"/>
      <c r="AX99" s="949"/>
      <c r="AY99" s="949"/>
      <c r="AZ99" s="949"/>
      <c r="BA99" s="949"/>
      <c r="BB99" s="949"/>
      <c r="BC99" s="949"/>
      <c r="BD99" s="949"/>
      <c r="BE99" s="949"/>
      <c r="BF99" s="949"/>
      <c r="BG99" s="948"/>
      <c r="BH99" s="948"/>
      <c r="BI99" s="948"/>
      <c r="BJ99" s="948"/>
      <c r="BK99" s="948"/>
      <c r="BL99" s="948"/>
      <c r="BM99" s="948"/>
      <c r="BN99" s="948"/>
      <c r="BO99" s="948"/>
      <c r="BP99" s="948"/>
      <c r="BQ99" s="948"/>
      <c r="BR99" s="948"/>
      <c r="BS99" s="948"/>
      <c r="BT99" s="948"/>
      <c r="BU99" s="954"/>
    </row>
    <row r="100" spans="1:73" ht="15.75" customHeight="1" x14ac:dyDescent="0.2">
      <c r="A100" s="1213" t="s">
        <v>5142</v>
      </c>
      <c r="B100" s="1214">
        <f>GETPIVOTDATA("Súčet z Záujem?",$A$124,"KATEGÓRIA","A1")</f>
        <v>9</v>
      </c>
      <c r="C100" s="1212" t="s">
        <v>5143</v>
      </c>
      <c r="D100" s="948"/>
      <c r="E100" s="948"/>
      <c r="F100" s="948"/>
      <c r="G100" s="948"/>
      <c r="H100" s="948"/>
      <c r="I100" s="948"/>
      <c r="J100" s="948"/>
      <c r="K100" s="949"/>
      <c r="L100" s="949"/>
      <c r="M100" s="949"/>
      <c r="N100" s="950"/>
      <c r="O100" s="948"/>
      <c r="P100" s="948"/>
      <c r="Q100" s="948"/>
      <c r="R100" s="949"/>
      <c r="S100" s="949"/>
      <c r="T100" s="949"/>
      <c r="U100" s="949"/>
      <c r="V100" s="949"/>
      <c r="W100" s="949"/>
      <c r="X100" s="951"/>
      <c r="Y100" s="951"/>
      <c r="Z100" s="952"/>
      <c r="AA100" s="953"/>
      <c r="AB100" s="948"/>
      <c r="AC100" s="948"/>
      <c r="AD100" s="949"/>
      <c r="AE100" s="949"/>
      <c r="AF100" s="949"/>
      <c r="AG100" s="949"/>
      <c r="AH100" s="949"/>
      <c r="AI100" s="949"/>
      <c r="AJ100" s="949"/>
      <c r="AK100" s="949"/>
      <c r="AL100" s="949"/>
      <c r="AM100" s="949"/>
      <c r="AN100" s="949"/>
      <c r="AO100" s="949"/>
      <c r="AP100" s="949"/>
      <c r="AQ100" s="949"/>
      <c r="AR100" s="949"/>
      <c r="AS100" s="949"/>
      <c r="AT100" s="949"/>
      <c r="AU100" s="949"/>
      <c r="AV100" s="949"/>
      <c r="AW100" s="949"/>
      <c r="AX100" s="949"/>
      <c r="AY100" s="949"/>
      <c r="AZ100" s="949"/>
      <c r="BA100" s="949"/>
      <c r="BB100" s="949"/>
      <c r="BC100" s="949"/>
      <c r="BD100" s="949"/>
      <c r="BE100" s="949"/>
      <c r="BF100" s="949"/>
      <c r="BG100" s="948"/>
      <c r="BH100" s="948"/>
      <c r="BI100" s="948"/>
      <c r="BJ100" s="948"/>
      <c r="BK100" s="948"/>
      <c r="BL100" s="948"/>
      <c r="BM100" s="948"/>
      <c r="BN100" s="948"/>
      <c r="BO100" s="948"/>
      <c r="BP100" s="948"/>
      <c r="BQ100" s="948"/>
      <c r="BR100" s="948"/>
      <c r="BS100" s="948"/>
      <c r="BT100" s="948"/>
      <c r="BU100" s="954"/>
    </row>
    <row r="101" spans="1:73" ht="15.75" customHeight="1" x14ac:dyDescent="0.2">
      <c r="A101" s="1212" t="s">
        <v>5144</v>
      </c>
      <c r="B101" s="1212"/>
      <c r="C101" s="947"/>
      <c r="D101" s="948"/>
      <c r="E101" s="948"/>
      <c r="F101" s="948"/>
      <c r="G101" s="948"/>
      <c r="H101" s="948"/>
      <c r="I101" s="948"/>
      <c r="J101" s="948"/>
      <c r="K101" s="949"/>
      <c r="L101" s="949"/>
      <c r="M101" s="949"/>
      <c r="N101" s="950"/>
      <c r="O101" s="948"/>
      <c r="P101" s="948"/>
      <c r="Q101" s="948"/>
      <c r="R101" s="949"/>
      <c r="S101" s="949"/>
      <c r="T101" s="949"/>
      <c r="U101" s="949"/>
      <c r="V101" s="949"/>
      <c r="W101" s="949"/>
      <c r="X101" s="951"/>
      <c r="Y101" s="951"/>
      <c r="Z101" s="952"/>
      <c r="AA101" s="953"/>
      <c r="AB101" s="948"/>
      <c r="AC101" s="948"/>
      <c r="AD101" s="949"/>
      <c r="AE101" s="949"/>
      <c r="AF101" s="949"/>
      <c r="AG101" s="949"/>
      <c r="AH101" s="949"/>
      <c r="AI101" s="949"/>
      <c r="AJ101" s="949"/>
      <c r="AK101" s="949"/>
      <c r="AL101" s="949"/>
      <c r="AM101" s="949"/>
      <c r="AN101" s="949"/>
      <c r="AO101" s="949"/>
      <c r="AP101" s="949"/>
      <c r="AQ101" s="949"/>
      <c r="AR101" s="949"/>
      <c r="AS101" s="949"/>
      <c r="AT101" s="949"/>
      <c r="AU101" s="949"/>
      <c r="AV101" s="949"/>
      <c r="AW101" s="949"/>
      <c r="AX101" s="949"/>
      <c r="AY101" s="949"/>
      <c r="AZ101" s="949"/>
      <c r="BA101" s="949"/>
      <c r="BB101" s="949"/>
      <c r="BC101" s="949"/>
      <c r="BD101" s="949"/>
      <c r="BE101" s="949"/>
      <c r="BF101" s="949"/>
      <c r="BG101" s="948"/>
      <c r="BH101" s="948"/>
      <c r="BI101" s="948"/>
      <c r="BJ101" s="948"/>
      <c r="BK101" s="948"/>
      <c r="BL101" s="948"/>
      <c r="BM101" s="948"/>
      <c r="BN101" s="948"/>
      <c r="BO101" s="948"/>
      <c r="BP101" s="948"/>
      <c r="BQ101" s="948"/>
      <c r="BR101" s="948"/>
      <c r="BS101" s="948"/>
      <c r="BT101" s="948"/>
      <c r="BU101" s="954"/>
    </row>
    <row r="102" spans="1:73" ht="15.75" customHeight="1" x14ac:dyDescent="0.2">
      <c r="A102" s="1212" t="s">
        <v>5145</v>
      </c>
      <c r="B102" s="1212"/>
      <c r="C102" s="947"/>
      <c r="D102" s="948"/>
      <c r="E102" s="948"/>
      <c r="F102" s="948"/>
      <c r="G102" s="948"/>
      <c r="H102" s="948"/>
      <c r="I102" s="948"/>
      <c r="J102" s="948"/>
      <c r="K102" s="949"/>
      <c r="L102" s="949"/>
      <c r="M102" s="949"/>
      <c r="N102" s="950"/>
      <c r="O102" s="948"/>
      <c r="P102" s="948"/>
      <c r="Q102" s="948"/>
      <c r="R102" s="949"/>
      <c r="S102" s="949"/>
      <c r="T102" s="949"/>
      <c r="U102" s="949"/>
      <c r="V102" s="949"/>
      <c r="W102" s="949"/>
      <c r="X102" s="951"/>
      <c r="Y102" s="951"/>
      <c r="Z102" s="952"/>
      <c r="AA102" s="953"/>
      <c r="AB102" s="948"/>
      <c r="AC102" s="948"/>
      <c r="AD102" s="949"/>
      <c r="AE102" s="949"/>
      <c r="AF102" s="949"/>
      <c r="AG102" s="949"/>
      <c r="AH102" s="949"/>
      <c r="AI102" s="949"/>
      <c r="AJ102" s="949"/>
      <c r="AK102" s="949"/>
      <c r="AL102" s="949"/>
      <c r="AM102" s="949"/>
      <c r="AN102" s="949"/>
      <c r="AO102" s="949"/>
      <c r="AP102" s="949"/>
      <c r="AQ102" s="949"/>
      <c r="AR102" s="949"/>
      <c r="AS102" s="949"/>
      <c r="AT102" s="949"/>
      <c r="AU102" s="949"/>
      <c r="AV102" s="949"/>
      <c r="AW102" s="949"/>
      <c r="AX102" s="949"/>
      <c r="AY102" s="949"/>
      <c r="AZ102" s="949"/>
      <c r="BA102" s="949"/>
      <c r="BB102" s="949"/>
      <c r="BC102" s="949"/>
      <c r="BD102" s="949"/>
      <c r="BE102" s="949"/>
      <c r="BF102" s="949"/>
      <c r="BG102" s="948"/>
      <c r="BH102" s="948"/>
      <c r="BI102" s="948"/>
      <c r="BJ102" s="948"/>
      <c r="BK102" s="948"/>
      <c r="BL102" s="948"/>
      <c r="BM102" s="948"/>
      <c r="BN102" s="948"/>
      <c r="BO102" s="948"/>
      <c r="BP102" s="948"/>
      <c r="BQ102" s="948"/>
      <c r="BR102" s="948"/>
      <c r="BS102" s="948"/>
      <c r="BT102" s="948"/>
      <c r="BU102" s="954"/>
    </row>
    <row r="103" spans="1:73" ht="15.75" customHeight="1" x14ac:dyDescent="0.2">
      <c r="A103" s="1213" t="s">
        <v>5146</v>
      </c>
      <c r="B103" s="1214">
        <f>GETPIVOTDATA("Súčet z Záujem?",$A$124,"KATEGÓRIA","A2")</f>
        <v>4</v>
      </c>
      <c r="C103" s="1212" t="s">
        <v>5147</v>
      </c>
      <c r="D103" s="948"/>
      <c r="E103" s="948"/>
      <c r="F103" s="948"/>
      <c r="G103" s="948"/>
      <c r="H103" s="948"/>
      <c r="I103" s="948"/>
      <c r="J103" s="948"/>
      <c r="K103" s="949"/>
      <c r="L103" s="949"/>
      <c r="M103" s="949"/>
      <c r="N103" s="950"/>
      <c r="O103" s="948"/>
      <c r="P103" s="948"/>
      <c r="Q103" s="948"/>
      <c r="R103" s="949"/>
      <c r="S103" s="949"/>
      <c r="T103" s="949"/>
      <c r="U103" s="949"/>
      <c r="V103" s="949"/>
      <c r="W103" s="949"/>
      <c r="X103" s="951"/>
      <c r="Y103" s="951"/>
      <c r="Z103" s="952"/>
      <c r="AA103" s="953"/>
      <c r="AB103" s="948"/>
      <c r="AC103" s="948"/>
      <c r="AD103" s="949"/>
      <c r="AE103" s="949"/>
      <c r="AF103" s="949"/>
      <c r="AG103" s="949"/>
      <c r="AH103" s="949"/>
      <c r="AI103" s="949"/>
      <c r="AJ103" s="949"/>
      <c r="AK103" s="949"/>
      <c r="AL103" s="949"/>
      <c r="AM103" s="949"/>
      <c r="AN103" s="949"/>
      <c r="AO103" s="949"/>
      <c r="AP103" s="949"/>
      <c r="AQ103" s="949"/>
      <c r="AR103" s="949"/>
      <c r="AS103" s="949"/>
      <c r="AT103" s="949"/>
      <c r="AU103" s="949"/>
      <c r="AV103" s="949"/>
      <c r="AW103" s="949"/>
      <c r="AX103" s="949"/>
      <c r="AY103" s="949"/>
      <c r="AZ103" s="949"/>
      <c r="BA103" s="949"/>
      <c r="BB103" s="949"/>
      <c r="BC103" s="949"/>
      <c r="BD103" s="949"/>
      <c r="BE103" s="949"/>
      <c r="BF103" s="949"/>
      <c r="BG103" s="948"/>
      <c r="BH103" s="948"/>
      <c r="BI103" s="948"/>
      <c r="BJ103" s="948"/>
      <c r="BK103" s="948"/>
      <c r="BL103" s="948"/>
      <c r="BM103" s="948"/>
      <c r="BN103" s="948"/>
      <c r="BO103" s="948"/>
      <c r="BP103" s="948"/>
      <c r="BQ103" s="948"/>
      <c r="BR103" s="948"/>
      <c r="BS103" s="948"/>
      <c r="BT103" s="948"/>
      <c r="BU103" s="954"/>
    </row>
    <row r="104" spans="1:73" ht="15.75" customHeight="1" x14ac:dyDescent="0.2">
      <c r="A104" s="1212" t="s">
        <v>5148</v>
      </c>
      <c r="B104" s="1212"/>
      <c r="C104" s="947"/>
      <c r="D104" s="948"/>
      <c r="E104" s="948"/>
      <c r="F104" s="948"/>
      <c r="G104" s="948"/>
      <c r="H104" s="948"/>
      <c r="I104" s="948"/>
      <c r="J104" s="948"/>
      <c r="K104" s="949"/>
      <c r="L104" s="949"/>
      <c r="M104" s="949"/>
      <c r="N104" s="950"/>
      <c r="O104" s="948"/>
      <c r="P104" s="948"/>
      <c r="Q104" s="948"/>
      <c r="R104" s="949"/>
      <c r="S104" s="949"/>
      <c r="T104" s="949"/>
      <c r="U104" s="949"/>
      <c r="V104" s="949"/>
      <c r="W104" s="949"/>
      <c r="X104" s="951"/>
      <c r="Y104" s="951"/>
      <c r="Z104" s="952"/>
      <c r="AA104" s="953"/>
      <c r="AB104" s="948"/>
      <c r="AC104" s="948"/>
      <c r="AD104" s="949"/>
      <c r="AE104" s="949"/>
      <c r="AF104" s="949"/>
      <c r="AG104" s="949"/>
      <c r="AH104" s="949"/>
      <c r="AI104" s="949"/>
      <c r="AJ104" s="949"/>
      <c r="AK104" s="949"/>
      <c r="AL104" s="949"/>
      <c r="AM104" s="949"/>
      <c r="AN104" s="949"/>
      <c r="AO104" s="949"/>
      <c r="AP104" s="949"/>
      <c r="AQ104" s="949"/>
      <c r="AR104" s="949"/>
      <c r="AS104" s="949"/>
      <c r="AT104" s="949"/>
      <c r="AU104" s="949"/>
      <c r="AV104" s="949"/>
      <c r="AW104" s="949"/>
      <c r="AX104" s="949"/>
      <c r="AY104" s="949"/>
      <c r="AZ104" s="949"/>
      <c r="BA104" s="949"/>
      <c r="BB104" s="949"/>
      <c r="BC104" s="949"/>
      <c r="BD104" s="949"/>
      <c r="BE104" s="949"/>
      <c r="BF104" s="949"/>
      <c r="BG104" s="948"/>
      <c r="BH104" s="948"/>
      <c r="BI104" s="948"/>
      <c r="BJ104" s="948"/>
      <c r="BK104" s="948"/>
      <c r="BL104" s="948"/>
      <c r="BM104" s="948"/>
      <c r="BN104" s="948"/>
      <c r="BO104" s="948"/>
      <c r="BP104" s="948"/>
      <c r="BQ104" s="948"/>
      <c r="BR104" s="948"/>
      <c r="BS104" s="948"/>
      <c r="BT104" s="948"/>
      <c r="BU104" s="954"/>
    </row>
    <row r="105" spans="1:73" ht="15.75" customHeight="1" x14ac:dyDescent="0.2">
      <c r="A105" s="1212" t="s">
        <v>5149</v>
      </c>
      <c r="B105" s="1212"/>
      <c r="C105" s="947"/>
      <c r="D105" s="948"/>
      <c r="E105" s="948"/>
      <c r="F105" s="948"/>
      <c r="G105" s="948"/>
      <c r="H105" s="948"/>
      <c r="I105" s="948"/>
      <c r="J105" s="948"/>
      <c r="K105" s="949"/>
      <c r="L105" s="949"/>
      <c r="M105" s="949"/>
      <c r="N105" s="950"/>
      <c r="O105" s="948"/>
      <c r="P105" s="948"/>
      <c r="Q105" s="948"/>
      <c r="R105" s="949"/>
      <c r="S105" s="949"/>
      <c r="T105" s="949"/>
      <c r="U105" s="949"/>
      <c r="V105" s="949"/>
      <c r="W105" s="949"/>
      <c r="X105" s="951"/>
      <c r="Y105" s="951"/>
      <c r="Z105" s="952"/>
      <c r="AA105" s="953"/>
      <c r="AB105" s="948"/>
      <c r="AC105" s="948"/>
      <c r="AD105" s="949"/>
      <c r="AE105" s="949"/>
      <c r="AF105" s="949"/>
      <c r="AG105" s="949"/>
      <c r="AH105" s="949"/>
      <c r="AI105" s="949"/>
      <c r="AJ105" s="949"/>
      <c r="AK105" s="949"/>
      <c r="AL105" s="949"/>
      <c r="AM105" s="949"/>
      <c r="AN105" s="949"/>
      <c r="AO105" s="949"/>
      <c r="AP105" s="949"/>
      <c r="AQ105" s="949"/>
      <c r="AR105" s="949"/>
      <c r="AS105" s="949"/>
      <c r="AT105" s="949"/>
      <c r="AU105" s="949"/>
      <c r="AV105" s="949"/>
      <c r="AW105" s="949"/>
      <c r="AX105" s="949"/>
      <c r="AY105" s="949"/>
      <c r="AZ105" s="949"/>
      <c r="BA105" s="949"/>
      <c r="BB105" s="949"/>
      <c r="BC105" s="949"/>
      <c r="BD105" s="949"/>
      <c r="BE105" s="949"/>
      <c r="BF105" s="949"/>
      <c r="BG105" s="948"/>
      <c r="BH105" s="948"/>
      <c r="BI105" s="948"/>
      <c r="BJ105" s="948"/>
      <c r="BK105" s="948"/>
      <c r="BL105" s="948"/>
      <c r="BM105" s="948"/>
      <c r="BN105" s="948"/>
      <c r="BO105" s="948"/>
      <c r="BP105" s="948"/>
      <c r="BQ105" s="948"/>
      <c r="BR105" s="948"/>
      <c r="BS105" s="948"/>
      <c r="BT105" s="948"/>
      <c r="BU105" s="954"/>
    </row>
    <row r="106" spans="1:73" ht="15.75" customHeight="1" x14ac:dyDescent="0.2">
      <c r="A106" s="1212" t="s">
        <v>5150</v>
      </c>
      <c r="B106" s="1212"/>
      <c r="C106" s="947"/>
      <c r="D106" s="948"/>
      <c r="E106" s="948"/>
      <c r="F106" s="948"/>
      <c r="G106" s="948"/>
      <c r="H106" s="948"/>
      <c r="I106" s="948"/>
      <c r="J106" s="948"/>
      <c r="K106" s="949"/>
      <c r="L106" s="949"/>
      <c r="M106" s="949"/>
      <c r="N106" s="950"/>
      <c r="O106" s="948"/>
      <c r="P106" s="948"/>
      <c r="Q106" s="948"/>
      <c r="R106" s="949"/>
      <c r="S106" s="949"/>
      <c r="T106" s="949"/>
      <c r="U106" s="949"/>
      <c r="V106" s="949"/>
      <c r="W106" s="949"/>
      <c r="X106" s="951"/>
      <c r="Y106" s="951"/>
      <c r="Z106" s="952"/>
      <c r="AA106" s="953"/>
      <c r="AB106" s="948"/>
      <c r="AC106" s="948"/>
      <c r="AD106" s="949"/>
      <c r="AE106" s="949"/>
      <c r="AF106" s="949"/>
      <c r="AG106" s="949"/>
      <c r="AH106" s="949"/>
      <c r="AI106" s="949"/>
      <c r="AJ106" s="949"/>
      <c r="AK106" s="949"/>
      <c r="AL106" s="949"/>
      <c r="AM106" s="949"/>
      <c r="AN106" s="949"/>
      <c r="AO106" s="949"/>
      <c r="AP106" s="949"/>
      <c r="AQ106" s="949"/>
      <c r="AR106" s="949"/>
      <c r="AS106" s="949"/>
      <c r="AT106" s="949"/>
      <c r="AU106" s="949"/>
      <c r="AV106" s="949"/>
      <c r="AW106" s="949"/>
      <c r="AX106" s="949"/>
      <c r="AY106" s="949"/>
      <c r="AZ106" s="949"/>
      <c r="BA106" s="949"/>
      <c r="BB106" s="949"/>
      <c r="BC106" s="949"/>
      <c r="BD106" s="949"/>
      <c r="BE106" s="949"/>
      <c r="BF106" s="949"/>
      <c r="BG106" s="948"/>
      <c r="BH106" s="948"/>
      <c r="BI106" s="948"/>
      <c r="BJ106" s="948"/>
      <c r="BK106" s="948"/>
      <c r="BL106" s="948"/>
      <c r="BM106" s="948"/>
      <c r="BN106" s="948"/>
      <c r="BO106" s="948"/>
      <c r="BP106" s="948"/>
      <c r="BQ106" s="948"/>
      <c r="BR106" s="948"/>
      <c r="BS106" s="948"/>
      <c r="BT106" s="948"/>
      <c r="BU106" s="954"/>
    </row>
    <row r="107" spans="1:73" ht="15.75" customHeight="1" x14ac:dyDescent="0.2">
      <c r="A107" s="1215" t="s">
        <v>5151</v>
      </c>
      <c r="B107" s="1214">
        <f>GETPIVOTDATA("Súčet z Záujem?",$A$124,"KATEGÓRIA","A3")</f>
        <v>26</v>
      </c>
      <c r="C107" s="1212" t="s">
        <v>5152</v>
      </c>
      <c r="D107" s="948"/>
      <c r="E107" s="948"/>
      <c r="F107" s="948"/>
      <c r="G107" s="948"/>
      <c r="H107" s="948"/>
      <c r="I107" s="948"/>
      <c r="J107" s="948"/>
      <c r="K107" s="949"/>
      <c r="L107" s="949"/>
      <c r="M107" s="949"/>
      <c r="N107" s="950"/>
      <c r="O107" s="948"/>
      <c r="P107" s="948"/>
      <c r="Q107" s="948"/>
      <c r="R107" s="949"/>
      <c r="S107" s="949"/>
      <c r="T107" s="949"/>
      <c r="U107" s="949"/>
      <c r="V107" s="949"/>
      <c r="W107" s="949"/>
      <c r="X107" s="951"/>
      <c r="Y107" s="951"/>
      <c r="Z107" s="952"/>
      <c r="AA107" s="953"/>
      <c r="AB107" s="948"/>
      <c r="AC107" s="948"/>
      <c r="AD107" s="949"/>
      <c r="AE107" s="949"/>
      <c r="AF107" s="949"/>
      <c r="AG107" s="949"/>
      <c r="AH107" s="949"/>
      <c r="AI107" s="949"/>
      <c r="AJ107" s="949"/>
      <c r="AK107" s="949"/>
      <c r="AL107" s="949"/>
      <c r="AM107" s="949"/>
      <c r="AN107" s="949"/>
      <c r="AO107" s="949"/>
      <c r="AP107" s="949"/>
      <c r="AQ107" s="949"/>
      <c r="AR107" s="949"/>
      <c r="AS107" s="949"/>
      <c r="AT107" s="949"/>
      <c r="AU107" s="949"/>
      <c r="AV107" s="949"/>
      <c r="AW107" s="949"/>
      <c r="AX107" s="949"/>
      <c r="AY107" s="949"/>
      <c r="AZ107" s="949"/>
      <c r="BA107" s="949"/>
      <c r="BB107" s="949"/>
      <c r="BC107" s="949"/>
      <c r="BD107" s="949"/>
      <c r="BE107" s="949"/>
      <c r="BF107" s="949"/>
      <c r="BG107" s="948"/>
      <c r="BH107" s="948"/>
      <c r="BI107" s="948"/>
      <c r="BJ107" s="948"/>
      <c r="BK107" s="948"/>
      <c r="BL107" s="948"/>
      <c r="BM107" s="948"/>
      <c r="BN107" s="948"/>
      <c r="BO107" s="948"/>
      <c r="BP107" s="948"/>
      <c r="BQ107" s="948"/>
      <c r="BR107" s="948"/>
      <c r="BS107" s="948"/>
      <c r="BT107" s="948"/>
      <c r="BU107" s="954"/>
    </row>
    <row r="108" spans="1:73" x14ac:dyDescent="0.2">
      <c r="A108" s="773"/>
      <c r="B108" s="773" t="s">
        <v>5153</v>
      </c>
      <c r="C108" s="947"/>
      <c r="D108" s="948"/>
      <c r="E108" s="948"/>
      <c r="F108" s="948"/>
      <c r="G108" s="948"/>
      <c r="H108" s="948"/>
      <c r="I108" s="948"/>
      <c r="J108" s="948"/>
      <c r="K108" s="949"/>
      <c r="L108" s="949"/>
      <c r="M108" s="949"/>
      <c r="N108" s="950"/>
      <c r="O108" s="948"/>
      <c r="P108" s="948"/>
      <c r="Q108" s="948"/>
      <c r="R108" s="949"/>
      <c r="S108" s="949"/>
      <c r="T108" s="949"/>
      <c r="U108" s="949"/>
      <c r="V108" s="949"/>
      <c r="W108" s="949"/>
      <c r="X108" s="951"/>
      <c r="Y108" s="951"/>
      <c r="Z108" s="952"/>
      <c r="AA108" s="953"/>
      <c r="AB108" s="948"/>
      <c r="AC108" s="948"/>
      <c r="AD108" s="949"/>
      <c r="AE108" s="949"/>
      <c r="AF108" s="949"/>
      <c r="AG108" s="949"/>
      <c r="AH108" s="949"/>
      <c r="AI108" s="949"/>
      <c r="AJ108" s="949"/>
      <c r="AK108" s="949"/>
      <c r="AL108" s="949"/>
      <c r="AM108" s="949"/>
      <c r="AN108" s="949"/>
      <c r="AO108" s="949"/>
      <c r="AP108" s="949"/>
      <c r="AQ108" s="949"/>
      <c r="AR108" s="949"/>
      <c r="AS108" s="949"/>
      <c r="AT108" s="949"/>
      <c r="AU108" s="949"/>
      <c r="AV108" s="949"/>
      <c r="AW108" s="949"/>
      <c r="AX108" s="949"/>
      <c r="AY108" s="949"/>
      <c r="AZ108" s="949"/>
      <c r="BA108" s="949"/>
      <c r="BB108" s="949"/>
      <c r="BC108" s="949"/>
      <c r="BD108" s="949"/>
      <c r="BE108" s="949"/>
      <c r="BF108" s="949"/>
      <c r="BG108" s="948"/>
      <c r="BH108" s="948"/>
      <c r="BI108" s="948"/>
      <c r="BJ108" s="948"/>
      <c r="BK108" s="948"/>
      <c r="BL108" s="948"/>
      <c r="BM108" s="948"/>
      <c r="BN108" s="948"/>
      <c r="BO108" s="948"/>
      <c r="BP108" s="948"/>
      <c r="BQ108" s="948"/>
      <c r="BR108" s="948"/>
      <c r="BS108" s="948"/>
      <c r="BT108" s="948"/>
      <c r="BU108" s="954"/>
    </row>
    <row r="109" spans="1:73" x14ac:dyDescent="0.2">
      <c r="A109" s="773"/>
      <c r="B109" s="773"/>
      <c r="C109" s="947"/>
      <c r="D109" s="948"/>
      <c r="E109" s="948"/>
      <c r="F109" s="948"/>
      <c r="G109" s="948"/>
      <c r="H109" s="948"/>
      <c r="I109" s="948"/>
      <c r="J109" s="948"/>
      <c r="K109" s="949"/>
      <c r="L109" s="949"/>
      <c r="M109" s="949"/>
      <c r="N109" s="950"/>
      <c r="O109" s="948"/>
      <c r="P109" s="948"/>
      <c r="Q109" s="948"/>
      <c r="R109" s="949"/>
      <c r="S109" s="949"/>
      <c r="T109" s="949"/>
      <c r="U109" s="949"/>
      <c r="V109" s="949"/>
      <c r="W109" s="949"/>
      <c r="X109" s="951"/>
      <c r="Y109" s="951"/>
      <c r="Z109" s="952"/>
      <c r="AA109" s="953"/>
      <c r="AB109" s="948"/>
      <c r="AC109" s="948"/>
      <c r="AD109" s="949"/>
      <c r="AE109" s="949"/>
      <c r="AF109" s="949"/>
      <c r="AG109" s="949"/>
      <c r="AH109" s="949"/>
      <c r="AI109" s="949"/>
      <c r="AJ109" s="949"/>
      <c r="AK109" s="949"/>
      <c r="AL109" s="949"/>
      <c r="AM109" s="949"/>
      <c r="AN109" s="949"/>
      <c r="AO109" s="949"/>
      <c r="AP109" s="949"/>
      <c r="AQ109" s="949"/>
      <c r="AR109" s="949"/>
      <c r="AS109" s="949"/>
      <c r="AT109" s="949"/>
      <c r="AU109" s="949"/>
      <c r="AV109" s="949"/>
      <c r="AW109" s="949"/>
      <c r="AX109" s="949"/>
      <c r="AY109" s="949"/>
      <c r="AZ109" s="949"/>
      <c r="BA109" s="949"/>
      <c r="BB109" s="949"/>
      <c r="BC109" s="949"/>
      <c r="BD109" s="949"/>
      <c r="BE109" s="949"/>
      <c r="BF109" s="949"/>
      <c r="BG109" s="948"/>
      <c r="BH109" s="948"/>
      <c r="BI109" s="948"/>
      <c r="BJ109" s="948"/>
      <c r="BK109" s="948"/>
      <c r="BL109" s="948"/>
      <c r="BM109" s="948"/>
      <c r="BN109" s="948"/>
      <c r="BO109" s="948"/>
      <c r="BP109" s="948"/>
      <c r="BQ109" s="948"/>
      <c r="BR109" s="948"/>
      <c r="BS109" s="948"/>
      <c r="BT109" s="948"/>
      <c r="BU109" s="954"/>
    </row>
    <row r="110" spans="1:73" ht="15.75" customHeight="1" x14ac:dyDescent="0.2">
      <c r="A110" s="1216" t="s">
        <v>5154</v>
      </c>
      <c r="B110" s="1217">
        <f>B111+B113+B114</f>
        <v>21</v>
      </c>
      <c r="C110" s="1212" t="s">
        <v>5155</v>
      </c>
      <c r="D110" s="948"/>
      <c r="E110" s="948"/>
      <c r="F110" s="948"/>
      <c r="G110" s="948"/>
      <c r="H110" s="948"/>
      <c r="I110" s="948"/>
      <c r="J110" s="948"/>
      <c r="K110" s="949"/>
      <c r="L110" s="949"/>
      <c r="M110" s="949"/>
      <c r="N110" s="950"/>
      <c r="O110" s="948"/>
      <c r="P110" s="948"/>
      <c r="Q110" s="948"/>
      <c r="R110" s="949"/>
      <c r="S110" s="949"/>
      <c r="T110" s="949"/>
      <c r="U110" s="949"/>
      <c r="V110" s="949"/>
      <c r="W110" s="949"/>
      <c r="X110" s="951"/>
      <c r="Y110" s="951"/>
      <c r="Z110" s="952"/>
      <c r="AA110" s="953"/>
      <c r="AB110" s="948"/>
      <c r="AC110" s="948"/>
      <c r="AD110" s="949"/>
      <c r="AE110" s="949"/>
      <c r="AF110" s="949"/>
      <c r="AG110" s="949"/>
      <c r="AH110" s="949"/>
      <c r="AI110" s="949"/>
      <c r="AJ110" s="949"/>
      <c r="AK110" s="949"/>
      <c r="AL110" s="949"/>
      <c r="AM110" s="949"/>
      <c r="AN110" s="949"/>
      <c r="AO110" s="949"/>
      <c r="AP110" s="949"/>
      <c r="AQ110" s="949"/>
      <c r="AR110" s="949"/>
      <c r="AS110" s="949"/>
      <c r="AT110" s="949"/>
      <c r="AU110" s="949"/>
      <c r="AV110" s="949"/>
      <c r="AW110" s="949"/>
      <c r="AX110" s="949"/>
      <c r="AY110" s="949"/>
      <c r="AZ110" s="949"/>
      <c r="BA110" s="949"/>
      <c r="BB110" s="949"/>
      <c r="BC110" s="949"/>
      <c r="BD110" s="949"/>
      <c r="BE110" s="949"/>
      <c r="BF110" s="949"/>
      <c r="BG110" s="948"/>
      <c r="BH110" s="948"/>
      <c r="BI110" s="948"/>
      <c r="BJ110" s="948"/>
      <c r="BK110" s="948"/>
      <c r="BL110" s="948"/>
      <c r="BM110" s="948"/>
      <c r="BN110" s="948"/>
      <c r="BO110" s="948"/>
      <c r="BP110" s="948"/>
      <c r="BQ110" s="948"/>
      <c r="BR110" s="948"/>
      <c r="BS110" s="948"/>
      <c r="BT110" s="948"/>
      <c r="BU110" s="954"/>
    </row>
    <row r="111" spans="1:73" ht="15.75" customHeight="1" x14ac:dyDescent="0.2">
      <c r="A111" s="1218" t="s">
        <v>5156</v>
      </c>
      <c r="B111" s="1214">
        <f>GETPIVOTDATA("Súčet z Záujem?",$A$124,"KATEGÓRIA","B1")+GETPIVOTDATA("Súčet z Záujem?",$A$124,"KATEGÓRIA","B1 (vš)")</f>
        <v>6</v>
      </c>
      <c r="C111" s="1212" t="s">
        <v>5157</v>
      </c>
      <c r="D111" s="948"/>
      <c r="E111" s="948"/>
      <c r="F111" s="948"/>
      <c r="G111" s="948"/>
      <c r="H111" s="948"/>
      <c r="I111" s="948"/>
      <c r="J111" s="948"/>
      <c r="K111" s="949"/>
      <c r="L111" s="949"/>
      <c r="M111" s="949"/>
      <c r="N111" s="950"/>
      <c r="O111" s="948"/>
      <c r="P111" s="948"/>
      <c r="Q111" s="948"/>
      <c r="R111" s="949"/>
      <c r="S111" s="949"/>
      <c r="T111" s="949"/>
      <c r="U111" s="949"/>
      <c r="V111" s="949"/>
      <c r="W111" s="949"/>
      <c r="X111" s="951"/>
      <c r="Y111" s="951"/>
      <c r="Z111" s="952"/>
      <c r="AA111" s="953"/>
      <c r="AB111" s="948"/>
      <c r="AC111" s="948"/>
      <c r="AD111" s="949"/>
      <c r="AE111" s="949"/>
      <c r="AF111" s="949"/>
      <c r="AG111" s="949"/>
      <c r="AH111" s="949"/>
      <c r="AI111" s="949"/>
      <c r="AJ111" s="949"/>
      <c r="AK111" s="949"/>
      <c r="AL111" s="949"/>
      <c r="AM111" s="949"/>
      <c r="AN111" s="949"/>
      <c r="AO111" s="949"/>
      <c r="AP111" s="949"/>
      <c r="AQ111" s="949"/>
      <c r="AR111" s="949"/>
      <c r="AS111" s="949"/>
      <c r="AT111" s="949"/>
      <c r="AU111" s="949"/>
      <c r="AV111" s="949"/>
      <c r="AW111" s="949"/>
      <c r="AX111" s="949"/>
      <c r="AY111" s="949"/>
      <c r="AZ111" s="949"/>
      <c r="BA111" s="949"/>
      <c r="BB111" s="949"/>
      <c r="BC111" s="949"/>
      <c r="BD111" s="949"/>
      <c r="BE111" s="949"/>
      <c r="BF111" s="949"/>
      <c r="BG111" s="948"/>
      <c r="BH111" s="948"/>
      <c r="BI111" s="948"/>
      <c r="BJ111" s="948"/>
      <c r="BK111" s="948"/>
      <c r="BL111" s="948"/>
      <c r="BM111" s="948"/>
      <c r="BN111" s="948"/>
      <c r="BO111" s="948"/>
      <c r="BP111" s="948"/>
      <c r="BQ111" s="948"/>
      <c r="BR111" s="948"/>
      <c r="BS111" s="948"/>
      <c r="BT111" s="948"/>
      <c r="BU111" s="954"/>
    </row>
    <row r="112" spans="1:73" ht="15.75" customHeight="1" x14ac:dyDescent="0.2">
      <c r="A112" s="1212" t="s">
        <v>5158</v>
      </c>
      <c r="B112" s="1212"/>
      <c r="C112" s="947"/>
      <c r="D112" s="948"/>
      <c r="E112" s="948"/>
      <c r="F112" s="948"/>
      <c r="G112" s="948"/>
      <c r="H112" s="948"/>
      <c r="I112" s="948"/>
      <c r="J112" s="948"/>
      <c r="K112" s="949"/>
      <c r="L112" s="949"/>
      <c r="M112" s="949"/>
      <c r="N112" s="950"/>
      <c r="O112" s="948"/>
      <c r="P112" s="948"/>
      <c r="Q112" s="948"/>
      <c r="R112" s="949"/>
      <c r="S112" s="949"/>
      <c r="T112" s="949"/>
      <c r="U112" s="949"/>
      <c r="V112" s="949"/>
      <c r="W112" s="949"/>
      <c r="X112" s="951"/>
      <c r="Y112" s="951"/>
      <c r="Z112" s="952"/>
      <c r="AA112" s="953"/>
      <c r="AB112" s="948"/>
      <c r="AC112" s="948"/>
      <c r="AD112" s="949"/>
      <c r="AE112" s="949"/>
      <c r="AF112" s="949"/>
      <c r="AG112" s="949"/>
      <c r="AH112" s="949"/>
      <c r="AI112" s="949"/>
      <c r="AJ112" s="949"/>
      <c r="AK112" s="949"/>
      <c r="AL112" s="949"/>
      <c r="AM112" s="949"/>
      <c r="AN112" s="949"/>
      <c r="AO112" s="949"/>
      <c r="AP112" s="949"/>
      <c r="AQ112" s="949"/>
      <c r="AR112" s="949"/>
      <c r="AS112" s="949"/>
      <c r="AT112" s="949"/>
      <c r="AU112" s="949"/>
      <c r="AV112" s="949"/>
      <c r="AW112" s="949"/>
      <c r="AX112" s="949"/>
      <c r="AY112" s="949"/>
      <c r="AZ112" s="949"/>
      <c r="BA112" s="949"/>
      <c r="BB112" s="949"/>
      <c r="BC112" s="949"/>
      <c r="BD112" s="949"/>
      <c r="BE112" s="949"/>
      <c r="BF112" s="949"/>
      <c r="BG112" s="948"/>
      <c r="BH112" s="948"/>
      <c r="BI112" s="948"/>
      <c r="BJ112" s="948"/>
      <c r="BK112" s="948"/>
      <c r="BL112" s="948"/>
      <c r="BM112" s="948"/>
      <c r="BN112" s="948"/>
      <c r="BO112" s="948"/>
      <c r="BP112" s="948"/>
      <c r="BQ112" s="948"/>
      <c r="BR112" s="948"/>
      <c r="BS112" s="948"/>
      <c r="BT112" s="948"/>
      <c r="BU112" s="954"/>
    </row>
    <row r="113" spans="1:73" ht="15.75" customHeight="1" x14ac:dyDescent="0.2">
      <c r="A113" s="1219" t="s">
        <v>5159</v>
      </c>
      <c r="B113" s="1214">
        <f>GETPIVOTDATA("Súčet z Záujem?",$A$124,"KATEGÓRIA","B2")</f>
        <v>4</v>
      </c>
      <c r="C113" s="1212" t="s">
        <v>5160</v>
      </c>
      <c r="D113" s="948"/>
      <c r="E113" s="948"/>
      <c r="F113" s="948"/>
      <c r="G113" s="948"/>
      <c r="H113" s="948"/>
      <c r="I113" s="948"/>
      <c r="J113" s="948"/>
      <c r="K113" s="949"/>
      <c r="L113" s="949"/>
      <c r="M113" s="949"/>
      <c r="N113" s="950"/>
      <c r="O113" s="948"/>
      <c r="P113" s="948"/>
      <c r="Q113" s="948"/>
      <c r="R113" s="949"/>
      <c r="S113" s="949"/>
      <c r="T113" s="949"/>
      <c r="U113" s="949"/>
      <c r="V113" s="949"/>
      <c r="W113" s="949"/>
      <c r="X113" s="951"/>
      <c r="Y113" s="951"/>
      <c r="Z113" s="952"/>
      <c r="AA113" s="953"/>
      <c r="AB113" s="948"/>
      <c r="AC113" s="948"/>
      <c r="AD113" s="949"/>
      <c r="AE113" s="949"/>
      <c r="AF113" s="949"/>
      <c r="AG113" s="949"/>
      <c r="AH113" s="949"/>
      <c r="AI113" s="949"/>
      <c r="AJ113" s="949"/>
      <c r="AK113" s="949"/>
      <c r="AL113" s="949"/>
      <c r="AM113" s="949"/>
      <c r="AN113" s="949"/>
      <c r="AO113" s="949"/>
      <c r="AP113" s="949"/>
      <c r="AQ113" s="949"/>
      <c r="AR113" s="949"/>
      <c r="AS113" s="949"/>
      <c r="AT113" s="949"/>
      <c r="AU113" s="949"/>
      <c r="AV113" s="949"/>
      <c r="AW113" s="949"/>
      <c r="AX113" s="949"/>
      <c r="AY113" s="949"/>
      <c r="AZ113" s="949"/>
      <c r="BA113" s="949"/>
      <c r="BB113" s="949"/>
      <c r="BC113" s="949"/>
      <c r="BD113" s="949"/>
      <c r="BE113" s="949"/>
      <c r="BF113" s="949"/>
      <c r="BG113" s="948"/>
      <c r="BH113" s="948"/>
      <c r="BI113" s="948"/>
      <c r="BJ113" s="948"/>
      <c r="BK113" s="948"/>
      <c r="BL113" s="948"/>
      <c r="BM113" s="948"/>
      <c r="BN113" s="948"/>
      <c r="BO113" s="948"/>
      <c r="BP113" s="948"/>
      <c r="BQ113" s="948"/>
      <c r="BR113" s="948"/>
      <c r="BS113" s="948"/>
      <c r="BT113" s="948"/>
      <c r="BU113" s="954"/>
    </row>
    <row r="114" spans="1:73" ht="15.75" customHeight="1" x14ac:dyDescent="0.2">
      <c r="A114" s="1219" t="s">
        <v>5161</v>
      </c>
      <c r="B114" s="1214">
        <f>GETPIVOTDATA("Súčet z Záujem?",$A$124,"KATEGÓRIA","B3")</f>
        <v>11</v>
      </c>
      <c r="C114" s="1212" t="s">
        <v>5162</v>
      </c>
      <c r="D114" s="948"/>
      <c r="E114" s="948"/>
      <c r="F114" s="948"/>
      <c r="G114" s="948"/>
      <c r="H114" s="948"/>
      <c r="I114" s="948"/>
      <c r="J114" s="948"/>
      <c r="K114" s="949"/>
      <c r="L114" s="949"/>
      <c r="M114" s="949"/>
      <c r="N114" s="950"/>
      <c r="O114" s="948"/>
      <c r="P114" s="948"/>
      <c r="Q114" s="948"/>
      <c r="R114" s="949"/>
      <c r="S114" s="949"/>
      <c r="T114" s="949"/>
      <c r="U114" s="949"/>
      <c r="V114" s="949"/>
      <c r="W114" s="949"/>
      <c r="X114" s="951"/>
      <c r="Y114" s="951"/>
      <c r="Z114" s="952"/>
      <c r="AA114" s="953"/>
      <c r="AB114" s="948"/>
      <c r="AC114" s="948"/>
      <c r="AD114" s="949"/>
      <c r="AE114" s="949"/>
      <c r="AF114" s="949"/>
      <c r="AG114" s="949"/>
      <c r="AH114" s="949"/>
      <c r="AI114" s="949"/>
      <c r="AJ114" s="949"/>
      <c r="AK114" s="949"/>
      <c r="AL114" s="949"/>
      <c r="AM114" s="949"/>
      <c r="AN114" s="949"/>
      <c r="AO114" s="949"/>
      <c r="AP114" s="949"/>
      <c r="AQ114" s="949"/>
      <c r="AR114" s="949"/>
      <c r="AS114" s="949"/>
      <c r="AT114" s="949"/>
      <c r="AU114" s="949"/>
      <c r="AV114" s="949"/>
      <c r="AW114" s="949"/>
      <c r="AX114" s="949"/>
      <c r="AY114" s="949"/>
      <c r="AZ114" s="949"/>
      <c r="BA114" s="949"/>
      <c r="BB114" s="949"/>
      <c r="BC114" s="949"/>
      <c r="BD114" s="949"/>
      <c r="BE114" s="949"/>
      <c r="BF114" s="949"/>
      <c r="BG114" s="948"/>
      <c r="BH114" s="948"/>
      <c r="BI114" s="948"/>
      <c r="BJ114" s="948"/>
      <c r="BK114" s="948"/>
      <c r="BL114" s="948"/>
      <c r="BM114" s="948"/>
      <c r="BN114" s="948"/>
      <c r="BO114" s="948"/>
      <c r="BP114" s="948"/>
      <c r="BQ114" s="948"/>
      <c r="BR114" s="948"/>
      <c r="BS114" s="948"/>
      <c r="BT114" s="948"/>
      <c r="BU114" s="954"/>
    </row>
    <row r="115" spans="1:73" x14ac:dyDescent="0.2">
      <c r="A115" s="773"/>
      <c r="B115" s="773"/>
      <c r="C115" s="947"/>
      <c r="D115" s="948"/>
      <c r="E115" s="948"/>
      <c r="F115" s="948"/>
      <c r="G115" s="948"/>
      <c r="H115" s="948"/>
      <c r="I115" s="948"/>
      <c r="J115" s="948"/>
      <c r="K115" s="949"/>
      <c r="L115" s="949"/>
      <c r="M115" s="949"/>
      <c r="N115" s="950"/>
      <c r="O115" s="948"/>
      <c r="P115" s="948"/>
      <c r="Q115" s="948"/>
      <c r="R115" s="949"/>
      <c r="S115" s="949"/>
      <c r="T115" s="949"/>
      <c r="U115" s="949"/>
      <c r="V115" s="949"/>
      <c r="W115" s="949"/>
      <c r="X115" s="951"/>
      <c r="Y115" s="951"/>
      <c r="Z115" s="952"/>
      <c r="AA115" s="953"/>
      <c r="AB115" s="948"/>
      <c r="AC115" s="948"/>
      <c r="AD115" s="949"/>
      <c r="AE115" s="949"/>
      <c r="AF115" s="949"/>
      <c r="AG115" s="949"/>
      <c r="AH115" s="949"/>
      <c r="AI115" s="949"/>
      <c r="AJ115" s="949"/>
      <c r="AK115" s="949"/>
      <c r="AL115" s="949"/>
      <c r="AM115" s="949"/>
      <c r="AN115" s="949"/>
      <c r="AO115" s="949"/>
      <c r="AP115" s="949"/>
      <c r="AQ115" s="949"/>
      <c r="AR115" s="949"/>
      <c r="AS115" s="949"/>
      <c r="AT115" s="949"/>
      <c r="AU115" s="949"/>
      <c r="AV115" s="949"/>
      <c r="AW115" s="949"/>
      <c r="AX115" s="949"/>
      <c r="AY115" s="949"/>
      <c r="AZ115" s="949"/>
      <c r="BA115" s="949"/>
      <c r="BB115" s="949"/>
      <c r="BC115" s="949"/>
      <c r="BD115" s="949"/>
      <c r="BE115" s="949"/>
      <c r="BF115" s="949"/>
      <c r="BG115" s="948"/>
      <c r="BH115" s="948"/>
      <c r="BI115" s="948"/>
      <c r="BJ115" s="948"/>
      <c r="BK115" s="948"/>
      <c r="BL115" s="948"/>
      <c r="BM115" s="948"/>
      <c r="BN115" s="948"/>
      <c r="BO115" s="948"/>
      <c r="BP115" s="948"/>
      <c r="BQ115" s="948"/>
      <c r="BR115" s="948"/>
      <c r="BS115" s="948"/>
      <c r="BT115" s="948"/>
      <c r="BU115" s="954"/>
    </row>
    <row r="116" spans="1:73" ht="15.75" customHeight="1" x14ac:dyDescent="0.2">
      <c r="A116" s="1212" t="s">
        <v>5163</v>
      </c>
      <c r="B116" s="1220">
        <f>B117+B118</f>
        <v>18</v>
      </c>
      <c r="C116" s="1212" t="s">
        <v>5164</v>
      </c>
      <c r="D116" s="948"/>
      <c r="E116" s="948"/>
      <c r="F116" s="948"/>
      <c r="G116" s="948"/>
      <c r="H116" s="948"/>
      <c r="I116" s="948"/>
      <c r="J116" s="948"/>
      <c r="K116" s="949"/>
      <c r="L116" s="949"/>
      <c r="M116" s="949"/>
      <c r="N116" s="950"/>
      <c r="O116" s="948"/>
      <c r="P116" s="948"/>
      <c r="Q116" s="948"/>
      <c r="R116" s="949"/>
      <c r="S116" s="949"/>
      <c r="T116" s="949"/>
      <c r="U116" s="949"/>
      <c r="V116" s="949"/>
      <c r="W116" s="949"/>
      <c r="X116" s="951"/>
      <c r="Y116" s="951"/>
      <c r="Z116" s="952"/>
      <c r="AA116" s="953"/>
      <c r="AB116" s="948"/>
      <c r="AC116" s="948"/>
      <c r="AD116" s="949"/>
      <c r="AE116" s="949"/>
      <c r="AF116" s="949"/>
      <c r="AG116" s="949"/>
      <c r="AH116" s="949"/>
      <c r="AI116" s="949"/>
      <c r="AJ116" s="949"/>
      <c r="AK116" s="949"/>
      <c r="AL116" s="949"/>
      <c r="AM116" s="949"/>
      <c r="AN116" s="949"/>
      <c r="AO116" s="949"/>
      <c r="AP116" s="949"/>
      <c r="AQ116" s="949"/>
      <c r="AR116" s="949"/>
      <c r="AS116" s="949"/>
      <c r="AT116" s="949"/>
      <c r="AU116" s="949"/>
      <c r="AV116" s="949"/>
      <c r="AW116" s="949"/>
      <c r="AX116" s="949"/>
      <c r="AY116" s="949"/>
      <c r="AZ116" s="949"/>
      <c r="BA116" s="949"/>
      <c r="BB116" s="949"/>
      <c r="BC116" s="949"/>
      <c r="BD116" s="949"/>
      <c r="BE116" s="949"/>
      <c r="BF116" s="949"/>
      <c r="BG116" s="948"/>
      <c r="BH116" s="948"/>
      <c r="BI116" s="948"/>
      <c r="BJ116" s="948"/>
      <c r="BK116" s="948"/>
      <c r="BL116" s="948"/>
      <c r="BM116" s="948"/>
      <c r="BN116" s="948"/>
      <c r="BO116" s="948"/>
      <c r="BP116" s="948"/>
      <c r="BQ116" s="948"/>
      <c r="BR116" s="948"/>
      <c r="BS116" s="948"/>
      <c r="BT116" s="948"/>
      <c r="BU116" s="954"/>
    </row>
    <row r="117" spans="1:73" ht="15.75" customHeight="1" x14ac:dyDescent="0.2">
      <c r="A117" s="1221" t="s">
        <v>5165</v>
      </c>
      <c r="B117" s="1214">
        <f>GETPIVOTDATA("Súčet z Záujem?",$A$124,"KATEGÓRIA","C1")</f>
        <v>11</v>
      </c>
      <c r="C117" s="1212" t="s">
        <v>5166</v>
      </c>
      <c r="D117" s="948"/>
      <c r="E117" s="948"/>
      <c r="F117" s="948"/>
      <c r="G117" s="948"/>
      <c r="H117" s="948"/>
      <c r="I117" s="948"/>
      <c r="J117" s="948"/>
      <c r="K117" s="949"/>
      <c r="L117" s="949"/>
      <c r="M117" s="949"/>
      <c r="N117" s="950"/>
      <c r="O117" s="948"/>
      <c r="P117" s="948"/>
      <c r="Q117" s="948"/>
      <c r="R117" s="949"/>
      <c r="S117" s="949"/>
      <c r="T117" s="949"/>
      <c r="U117" s="949"/>
      <c r="V117" s="949"/>
      <c r="W117" s="949"/>
      <c r="X117" s="951"/>
      <c r="Y117" s="951"/>
      <c r="Z117" s="952"/>
      <c r="AA117" s="953"/>
      <c r="AB117" s="948"/>
      <c r="AC117" s="948"/>
      <c r="AD117" s="949"/>
      <c r="AE117" s="949"/>
      <c r="AF117" s="949"/>
      <c r="AG117" s="949"/>
      <c r="AH117" s="949"/>
      <c r="AI117" s="949"/>
      <c r="AJ117" s="949"/>
      <c r="AK117" s="949"/>
      <c r="AL117" s="949"/>
      <c r="AM117" s="949"/>
      <c r="AN117" s="949"/>
      <c r="AO117" s="949"/>
      <c r="AP117" s="949"/>
      <c r="AQ117" s="949"/>
      <c r="AR117" s="949"/>
      <c r="AS117" s="949"/>
      <c r="AT117" s="949"/>
      <c r="AU117" s="949"/>
      <c r="AV117" s="949"/>
      <c r="AW117" s="949"/>
      <c r="AX117" s="949"/>
      <c r="AY117" s="949"/>
      <c r="AZ117" s="949"/>
      <c r="BA117" s="949"/>
      <c r="BB117" s="949"/>
      <c r="BC117" s="949"/>
      <c r="BD117" s="949"/>
      <c r="BE117" s="949"/>
      <c r="BF117" s="949"/>
      <c r="BG117" s="948"/>
      <c r="BH117" s="948"/>
      <c r="BI117" s="948"/>
      <c r="BJ117" s="948"/>
      <c r="BK117" s="948"/>
      <c r="BL117" s="948"/>
      <c r="BM117" s="948"/>
      <c r="BN117" s="948"/>
      <c r="BO117" s="948"/>
      <c r="BP117" s="948"/>
      <c r="BQ117" s="948"/>
      <c r="BR117" s="948"/>
      <c r="BS117" s="948"/>
      <c r="BT117" s="948"/>
      <c r="BU117" s="954"/>
    </row>
    <row r="118" spans="1:73" ht="15.75" customHeight="1" x14ac:dyDescent="0.2">
      <c r="A118" s="1221" t="s">
        <v>5167</v>
      </c>
      <c r="B118" s="1214">
        <f>GETPIVOTDATA("Súčet z Záujem?",$A$124,"KATEGÓRIA","C2")</f>
        <v>7</v>
      </c>
      <c r="C118" s="1212" t="s">
        <v>5168</v>
      </c>
      <c r="D118" s="948"/>
      <c r="E118" s="948"/>
      <c r="F118" s="948"/>
      <c r="G118" s="948"/>
      <c r="H118" s="948"/>
      <c r="I118" s="948"/>
      <c r="J118" s="948"/>
      <c r="K118" s="949"/>
      <c r="L118" s="949"/>
      <c r="M118" s="949"/>
      <c r="N118" s="950"/>
      <c r="O118" s="948"/>
      <c r="P118" s="948"/>
      <c r="Q118" s="948"/>
      <c r="R118" s="949"/>
      <c r="S118" s="949"/>
      <c r="T118" s="949"/>
      <c r="U118" s="949"/>
      <c r="V118" s="949"/>
      <c r="W118" s="949"/>
      <c r="X118" s="951"/>
      <c r="Y118" s="951"/>
      <c r="Z118" s="952"/>
      <c r="AA118" s="953"/>
      <c r="AB118" s="948"/>
      <c r="AC118" s="948"/>
      <c r="AD118" s="949"/>
      <c r="AE118" s="949"/>
      <c r="AF118" s="949"/>
      <c r="AG118" s="949"/>
      <c r="AH118" s="949"/>
      <c r="AI118" s="949"/>
      <c r="AJ118" s="949"/>
      <c r="AK118" s="949"/>
      <c r="AL118" s="949"/>
      <c r="AM118" s="949"/>
      <c r="AN118" s="949"/>
      <c r="AO118" s="949"/>
      <c r="AP118" s="949"/>
      <c r="AQ118" s="949"/>
      <c r="AR118" s="949"/>
      <c r="AS118" s="949"/>
      <c r="AT118" s="949"/>
      <c r="AU118" s="949"/>
      <c r="AV118" s="949"/>
      <c r="AW118" s="949"/>
      <c r="AX118" s="949"/>
      <c r="AY118" s="949"/>
      <c r="AZ118" s="949"/>
      <c r="BA118" s="949"/>
      <c r="BB118" s="949"/>
      <c r="BC118" s="949"/>
      <c r="BD118" s="949"/>
      <c r="BE118" s="949"/>
      <c r="BF118" s="949"/>
      <c r="BG118" s="948"/>
      <c r="BH118" s="948"/>
      <c r="BI118" s="948"/>
      <c r="BJ118" s="948"/>
      <c r="BK118" s="948"/>
      <c r="BL118" s="948"/>
      <c r="BM118" s="948"/>
      <c r="BN118" s="948"/>
      <c r="BO118" s="948"/>
      <c r="BP118" s="948"/>
      <c r="BQ118" s="948"/>
      <c r="BR118" s="948"/>
      <c r="BS118" s="948"/>
      <c r="BT118" s="948"/>
      <c r="BU118" s="954"/>
    </row>
    <row r="119" spans="1:73" x14ac:dyDescent="0.2">
      <c r="A119" s="773"/>
      <c r="B119" s="773"/>
      <c r="C119" s="947"/>
      <c r="D119" s="948"/>
      <c r="E119" s="948"/>
      <c r="F119" s="948"/>
      <c r="G119" s="948"/>
      <c r="H119" s="948"/>
      <c r="I119" s="948"/>
      <c r="J119" s="948"/>
      <c r="K119" s="949"/>
      <c r="L119" s="949"/>
      <c r="M119" s="949"/>
      <c r="N119" s="950"/>
      <c r="O119" s="948"/>
      <c r="P119" s="948"/>
      <c r="Q119" s="948"/>
      <c r="R119" s="949"/>
      <c r="S119" s="949"/>
      <c r="T119" s="949"/>
      <c r="U119" s="949"/>
      <c r="V119" s="949"/>
      <c r="W119" s="949"/>
      <c r="X119" s="951"/>
      <c r="Y119" s="951"/>
      <c r="Z119" s="952"/>
      <c r="AA119" s="953"/>
      <c r="AB119" s="948"/>
      <c r="AC119" s="948"/>
      <c r="AD119" s="949"/>
      <c r="AE119" s="949"/>
      <c r="AF119" s="949"/>
      <c r="AG119" s="949"/>
      <c r="AH119" s="949"/>
      <c r="AI119" s="949"/>
      <c r="AJ119" s="949"/>
      <c r="AK119" s="949"/>
      <c r="AL119" s="949"/>
      <c r="AM119" s="949"/>
      <c r="AN119" s="949"/>
      <c r="AO119" s="949"/>
      <c r="AP119" s="949"/>
      <c r="AQ119" s="949"/>
      <c r="AR119" s="949"/>
      <c r="AS119" s="949"/>
      <c r="AT119" s="949"/>
      <c r="AU119" s="949"/>
      <c r="AV119" s="949"/>
      <c r="AW119" s="949"/>
      <c r="AX119" s="949"/>
      <c r="AY119" s="949"/>
      <c r="AZ119" s="949"/>
      <c r="BA119" s="949"/>
      <c r="BB119" s="949"/>
      <c r="BC119" s="949"/>
      <c r="BD119" s="949"/>
      <c r="BE119" s="949"/>
      <c r="BF119" s="949"/>
      <c r="BG119" s="948"/>
      <c r="BH119" s="948"/>
      <c r="BI119" s="948"/>
      <c r="BJ119" s="948"/>
      <c r="BK119" s="948"/>
      <c r="BL119" s="948"/>
      <c r="BM119" s="948"/>
      <c r="BN119" s="948"/>
      <c r="BO119" s="948"/>
      <c r="BP119" s="948"/>
      <c r="BQ119" s="948"/>
      <c r="BR119" s="948"/>
      <c r="BS119" s="948"/>
      <c r="BT119" s="948"/>
      <c r="BU119" s="954"/>
    </row>
    <row r="120" spans="1:73" x14ac:dyDescent="0.2">
      <c r="A120" s="1222" t="s">
        <v>5169</v>
      </c>
      <c r="B120" s="1223">
        <f>GETPIVOTDATA("Súčet z Záujem?",$A$124,"KATEGÓRIA","D")</f>
        <v>3</v>
      </c>
      <c r="C120" s="773" t="s">
        <v>5170</v>
      </c>
      <c r="D120" s="948"/>
      <c r="E120" s="948"/>
      <c r="F120" s="948"/>
      <c r="G120" s="948"/>
      <c r="H120" s="948"/>
      <c r="I120" s="948"/>
      <c r="J120" s="948"/>
      <c r="K120" s="949"/>
      <c r="L120" s="949"/>
      <c r="M120" s="949"/>
      <c r="N120" s="950"/>
      <c r="O120" s="948"/>
      <c r="P120" s="948"/>
      <c r="Q120" s="948"/>
      <c r="R120" s="949"/>
      <c r="S120" s="949"/>
      <c r="T120" s="949"/>
      <c r="U120" s="949"/>
      <c r="V120" s="949"/>
      <c r="W120" s="949"/>
      <c r="X120" s="951"/>
      <c r="Y120" s="951"/>
      <c r="Z120" s="952"/>
      <c r="AA120" s="953"/>
      <c r="AB120" s="948"/>
      <c r="AC120" s="948"/>
      <c r="AD120" s="949"/>
      <c r="AE120" s="949"/>
      <c r="AF120" s="949"/>
      <c r="AG120" s="949"/>
      <c r="AH120" s="949"/>
      <c r="AI120" s="949"/>
      <c r="AJ120" s="949"/>
      <c r="AK120" s="949"/>
      <c r="AL120" s="949"/>
      <c r="AM120" s="949"/>
      <c r="AN120" s="949"/>
      <c r="AO120" s="949"/>
      <c r="AP120" s="949"/>
      <c r="AQ120" s="949"/>
      <c r="AR120" s="949"/>
      <c r="AS120" s="949"/>
      <c r="AT120" s="949"/>
      <c r="AU120" s="949"/>
      <c r="AV120" s="949"/>
      <c r="AW120" s="949"/>
      <c r="AX120" s="949"/>
      <c r="AY120" s="949"/>
      <c r="AZ120" s="949"/>
      <c r="BA120" s="949"/>
      <c r="BB120" s="949"/>
      <c r="BC120" s="949"/>
      <c r="BD120" s="949"/>
      <c r="BE120" s="949"/>
      <c r="BF120" s="949"/>
      <c r="BG120" s="948"/>
      <c r="BH120" s="948"/>
      <c r="BI120" s="948"/>
      <c r="BJ120" s="948"/>
      <c r="BK120" s="948"/>
      <c r="BL120" s="948"/>
      <c r="BM120" s="948"/>
      <c r="BN120" s="948"/>
      <c r="BO120" s="948"/>
      <c r="BP120" s="948"/>
      <c r="BQ120" s="948"/>
      <c r="BR120" s="948"/>
      <c r="BS120" s="948"/>
      <c r="BT120" s="948"/>
      <c r="BU120" s="954"/>
    </row>
    <row r="121" spans="1:73" x14ac:dyDescent="0.2">
      <c r="A121" s="773"/>
      <c r="B121" s="773"/>
      <c r="C121" s="947"/>
      <c r="D121" s="948"/>
      <c r="E121" s="948"/>
      <c r="F121" s="948"/>
      <c r="G121" s="948"/>
      <c r="H121" s="948"/>
      <c r="I121" s="948"/>
      <c r="J121" s="948"/>
      <c r="K121" s="949"/>
      <c r="L121" s="949"/>
      <c r="M121" s="949"/>
      <c r="N121" s="950"/>
      <c r="O121" s="948"/>
      <c r="P121" s="948"/>
      <c r="Q121" s="948"/>
      <c r="R121" s="949"/>
      <c r="S121" s="949"/>
      <c r="T121" s="949"/>
      <c r="U121" s="949"/>
      <c r="V121" s="949"/>
      <c r="W121" s="949"/>
      <c r="X121" s="951"/>
      <c r="Y121" s="951"/>
      <c r="Z121" s="952"/>
      <c r="AA121" s="953"/>
      <c r="AB121" s="948"/>
      <c r="AC121" s="948"/>
      <c r="AD121" s="949"/>
      <c r="AE121" s="949"/>
      <c r="AF121" s="949"/>
      <c r="AG121" s="949"/>
      <c r="AH121" s="949"/>
      <c r="AI121" s="949"/>
      <c r="AJ121" s="949"/>
      <c r="AK121" s="949"/>
      <c r="AL121" s="949"/>
      <c r="AM121" s="949"/>
      <c r="AN121" s="949"/>
      <c r="AO121" s="949"/>
      <c r="AP121" s="949"/>
      <c r="AQ121" s="949"/>
      <c r="AR121" s="949"/>
      <c r="AS121" s="949"/>
      <c r="AT121" s="949"/>
      <c r="AU121" s="949"/>
      <c r="AV121" s="949"/>
      <c r="AW121" s="949"/>
      <c r="AX121" s="949"/>
      <c r="AY121" s="949"/>
      <c r="AZ121" s="949"/>
      <c r="BA121" s="949"/>
      <c r="BB121" s="949"/>
      <c r="BC121" s="949"/>
      <c r="BD121" s="949"/>
      <c r="BE121" s="949"/>
      <c r="BF121" s="949"/>
      <c r="BG121" s="948"/>
      <c r="BH121" s="948"/>
      <c r="BI121" s="948"/>
      <c r="BJ121" s="948"/>
      <c r="BK121" s="948"/>
      <c r="BL121" s="948"/>
      <c r="BM121" s="948"/>
      <c r="BN121" s="948"/>
      <c r="BO121" s="948"/>
      <c r="BP121" s="948"/>
      <c r="BQ121" s="948"/>
      <c r="BR121" s="948"/>
      <c r="BS121" s="948"/>
      <c r="BT121" s="948"/>
      <c r="BU121" s="954"/>
    </row>
    <row r="122" spans="1:73" x14ac:dyDescent="0.2">
      <c r="A122" s="1224"/>
      <c r="B122" s="1224"/>
      <c r="C122" s="947"/>
      <c r="D122" s="948"/>
      <c r="E122" s="948"/>
      <c r="F122" s="948"/>
      <c r="G122" s="948"/>
      <c r="H122" s="948"/>
      <c r="I122" s="948"/>
      <c r="J122" s="948"/>
      <c r="K122" s="949"/>
      <c r="L122" s="949"/>
      <c r="M122" s="949"/>
      <c r="N122" s="950"/>
      <c r="O122" s="948"/>
      <c r="P122" s="948"/>
      <c r="Q122" s="948"/>
      <c r="R122" s="949"/>
      <c r="S122" s="949"/>
      <c r="T122" s="949"/>
      <c r="U122" s="949"/>
      <c r="V122" s="949"/>
      <c r="W122" s="949"/>
      <c r="X122" s="951"/>
      <c r="Y122" s="951"/>
      <c r="Z122" s="952"/>
      <c r="AA122" s="953"/>
      <c r="AB122" s="948"/>
      <c r="AC122" s="948"/>
      <c r="AD122" s="949"/>
      <c r="AE122" s="949"/>
      <c r="AF122" s="949"/>
      <c r="AG122" s="949"/>
      <c r="AH122" s="949"/>
      <c r="AI122" s="949"/>
      <c r="AJ122" s="949"/>
      <c r="AK122" s="949"/>
      <c r="AL122" s="949"/>
      <c r="AM122" s="949"/>
      <c r="AN122" s="949"/>
      <c r="AO122" s="949"/>
      <c r="AP122" s="949"/>
      <c r="AQ122" s="949"/>
      <c r="AR122" s="949"/>
      <c r="AS122" s="949"/>
      <c r="AT122" s="949"/>
      <c r="AU122" s="949"/>
      <c r="AV122" s="949"/>
      <c r="AW122" s="949"/>
      <c r="AX122" s="949"/>
      <c r="AY122" s="949"/>
      <c r="AZ122" s="949"/>
      <c r="BA122" s="949"/>
      <c r="BB122" s="949"/>
      <c r="BC122" s="949"/>
      <c r="BD122" s="949"/>
      <c r="BE122" s="949"/>
      <c r="BF122" s="949"/>
      <c r="BG122" s="948"/>
      <c r="BH122" s="948"/>
      <c r="BI122" s="948"/>
      <c r="BJ122" s="948"/>
      <c r="BK122" s="948"/>
      <c r="BL122" s="948"/>
      <c r="BM122" s="948"/>
      <c r="BN122" s="948"/>
      <c r="BO122" s="948"/>
      <c r="BP122" s="948"/>
      <c r="BQ122" s="948"/>
      <c r="BR122" s="948"/>
      <c r="BS122" s="948"/>
      <c r="BT122" s="948"/>
      <c r="BU122" s="954"/>
    </row>
    <row r="123" spans="1:73" ht="15.75" customHeight="1" x14ac:dyDescent="0.2">
      <c r="A123" s="1225" t="s">
        <v>5171</v>
      </c>
      <c r="B123" s="947"/>
      <c r="C123" s="947"/>
      <c r="D123" s="948"/>
      <c r="E123" s="948"/>
      <c r="F123" s="948"/>
      <c r="G123" s="948"/>
      <c r="H123" s="948"/>
      <c r="I123" s="948"/>
      <c r="J123" s="948"/>
      <c r="K123" s="949"/>
      <c r="L123" s="949"/>
      <c r="M123" s="949"/>
      <c r="N123" s="950"/>
      <c r="O123" s="948"/>
      <c r="P123" s="948"/>
      <c r="Q123" s="948"/>
      <c r="R123" s="949"/>
      <c r="S123" s="949"/>
      <c r="T123" s="949"/>
      <c r="U123" s="949"/>
      <c r="V123" s="949"/>
      <c r="W123" s="949"/>
      <c r="X123" s="951"/>
      <c r="Y123" s="951"/>
      <c r="Z123" s="952"/>
      <c r="AA123" s="953"/>
      <c r="AB123" s="948"/>
      <c r="AC123" s="948"/>
      <c r="AD123" s="949"/>
      <c r="AE123" s="949"/>
      <c r="AF123" s="949"/>
      <c r="AG123" s="949"/>
      <c r="AH123" s="949"/>
      <c r="AI123" s="949"/>
      <c r="AJ123" s="949"/>
      <c r="AK123" s="949"/>
      <c r="AL123" s="949"/>
      <c r="AM123" s="949"/>
      <c r="AN123" s="949"/>
      <c r="AO123" s="949"/>
      <c r="AP123" s="949"/>
      <c r="AQ123" s="949"/>
      <c r="AR123" s="949"/>
      <c r="AS123" s="949"/>
      <c r="AT123" s="949"/>
      <c r="AU123" s="949"/>
      <c r="AV123" s="949"/>
      <c r="AW123" s="949"/>
      <c r="AX123" s="949"/>
      <c r="AY123" s="949"/>
      <c r="AZ123" s="949"/>
      <c r="BA123" s="949"/>
      <c r="BB123" s="949"/>
      <c r="BC123" s="949"/>
      <c r="BD123" s="949"/>
      <c r="BE123" s="949"/>
      <c r="BF123" s="949"/>
      <c r="BG123" s="948"/>
      <c r="BH123" s="948"/>
      <c r="BI123" s="948"/>
      <c r="BJ123" s="948"/>
      <c r="BK123" s="948"/>
      <c r="BL123" s="948"/>
      <c r="BM123" s="948"/>
      <c r="BN123" s="948"/>
      <c r="BO123" s="948"/>
      <c r="BP123" s="948"/>
      <c r="BQ123" s="948"/>
      <c r="BR123" s="948"/>
      <c r="BS123" s="948"/>
      <c r="BT123" s="948"/>
      <c r="BU123" s="954"/>
    </row>
    <row r="124" spans="1:73" x14ac:dyDescent="0.2">
      <c r="A124" s="1224" t="s">
        <v>3508</v>
      </c>
      <c r="B124" s="1224" t="s">
        <v>5172</v>
      </c>
      <c r="C124" s="1224" t="s">
        <v>5173</v>
      </c>
      <c r="D124" s="1224" t="s">
        <v>5174</v>
      </c>
      <c r="E124" s="1224" t="s">
        <v>5175</v>
      </c>
      <c r="F124" s="1224" t="s">
        <v>5176</v>
      </c>
      <c r="G124" s="1224"/>
      <c r="H124" s="1224"/>
      <c r="I124" s="1224"/>
      <c r="J124" s="1224"/>
      <c r="K124" s="1224"/>
      <c r="L124" s="1224"/>
      <c r="M124" s="1224"/>
      <c r="N124" s="1224"/>
      <c r="O124" s="1224"/>
      <c r="P124" s="1224"/>
      <c r="Q124" s="1224"/>
      <c r="R124" s="1224"/>
      <c r="S124" s="1224"/>
      <c r="T124" s="1224"/>
      <c r="U124" s="1224"/>
      <c r="V124" s="1224"/>
      <c r="W124" s="1224"/>
      <c r="X124" s="1224"/>
      <c r="Y124" s="1224"/>
      <c r="Z124" s="1224"/>
      <c r="AA124" s="1226"/>
      <c r="AB124" s="1224"/>
      <c r="AC124" s="1224"/>
      <c r="AD124" s="1224"/>
      <c r="AE124" s="1224"/>
      <c r="AF124" s="1224"/>
      <c r="AG124" s="1224"/>
      <c r="AH124" s="1224"/>
      <c r="AI124" s="1224"/>
      <c r="AJ124" s="1224"/>
      <c r="AK124" s="1224"/>
      <c r="AL124" s="1224"/>
      <c r="AM124" s="1224"/>
      <c r="AN124" s="1224"/>
      <c r="AO124" s="1224"/>
      <c r="AP124" s="1224"/>
      <c r="AQ124" s="1224"/>
      <c r="AR124" s="1224"/>
      <c r="AS124" s="1224"/>
      <c r="AT124" s="1224"/>
      <c r="AU124" s="1224"/>
      <c r="AV124" s="1224"/>
      <c r="AW124" s="1224"/>
      <c r="AX124" s="1224"/>
      <c r="AY124" s="1224"/>
      <c r="AZ124" s="1224"/>
      <c r="BA124" s="1224"/>
      <c r="BB124" s="1224"/>
      <c r="BC124" s="1224"/>
      <c r="BD124" s="1224"/>
      <c r="BE124" s="1224"/>
      <c r="BF124" s="1224"/>
      <c r="BG124" s="1224"/>
      <c r="BH124" s="1224"/>
      <c r="BI124" s="1224"/>
      <c r="BJ124" s="1224"/>
      <c r="BK124" s="1224"/>
      <c r="BL124" s="1224"/>
      <c r="BM124" s="1224"/>
      <c r="BN124" s="1224"/>
      <c r="BO124" s="1224"/>
      <c r="BP124" s="1224"/>
      <c r="BQ124" s="1224"/>
      <c r="BR124" s="1224"/>
      <c r="BS124" s="1224"/>
      <c r="BT124" s="1224"/>
      <c r="BU124" s="1224"/>
    </row>
    <row r="125" spans="1:73" x14ac:dyDescent="0.2">
      <c r="A125" s="1227" t="s">
        <v>3876</v>
      </c>
      <c r="B125" s="1224">
        <v>9</v>
      </c>
      <c r="C125" s="1228">
        <v>5405</v>
      </c>
      <c r="D125" s="1228">
        <v>2972</v>
      </c>
      <c r="E125" s="1228">
        <v>1366</v>
      </c>
      <c r="F125" s="1224">
        <v>190</v>
      </c>
      <c r="G125" s="1224"/>
      <c r="H125" s="1224"/>
      <c r="I125" s="1224">
        <f>SUM(D125:D128)/4</f>
        <v>1815.5</v>
      </c>
      <c r="J125" s="1224"/>
      <c r="K125" s="1224"/>
      <c r="L125" s="1224"/>
      <c r="M125" s="1224"/>
      <c r="N125" s="1224"/>
      <c r="O125" s="1224"/>
      <c r="P125" s="1224"/>
      <c r="Q125" s="1224"/>
      <c r="R125" s="1224"/>
      <c r="S125" s="1224"/>
      <c r="T125" s="1224"/>
      <c r="U125" s="1224"/>
      <c r="V125" s="1224"/>
      <c r="W125" s="1224"/>
      <c r="X125" s="1224"/>
      <c r="Y125" s="1224"/>
      <c r="Z125" s="1224"/>
      <c r="AA125" s="1226"/>
      <c r="AB125" s="1224"/>
      <c r="AC125" s="1224"/>
      <c r="AD125" s="1224"/>
      <c r="AE125" s="1224"/>
      <c r="AF125" s="1224"/>
      <c r="AG125" s="1224"/>
      <c r="AH125" s="1224"/>
      <c r="AI125" s="1224"/>
      <c r="AJ125" s="1224"/>
      <c r="AK125" s="1224"/>
      <c r="AL125" s="1224"/>
      <c r="AM125" s="1224"/>
      <c r="AN125" s="1224"/>
      <c r="AO125" s="1224"/>
      <c r="AP125" s="1224"/>
      <c r="AQ125" s="1224"/>
      <c r="AR125" s="1224"/>
      <c r="AS125" s="1224"/>
      <c r="AT125" s="1224"/>
      <c r="AU125" s="1224"/>
      <c r="AV125" s="1224"/>
      <c r="AW125" s="1224"/>
      <c r="AX125" s="1224"/>
      <c r="AY125" s="1224"/>
      <c r="AZ125" s="1224"/>
      <c r="BA125" s="1224"/>
      <c r="BB125" s="1224"/>
      <c r="BC125" s="1224"/>
      <c r="BD125" s="1224"/>
      <c r="BE125" s="1224"/>
      <c r="BF125" s="1224"/>
      <c r="BG125" s="1224"/>
      <c r="BH125" s="1224"/>
      <c r="BI125" s="1224"/>
      <c r="BJ125" s="1224"/>
      <c r="BK125" s="1224"/>
      <c r="BL125" s="1224"/>
      <c r="BM125" s="1224"/>
      <c r="BN125" s="1224"/>
      <c r="BO125" s="1224"/>
      <c r="BP125" s="1224"/>
      <c r="BQ125" s="1224"/>
      <c r="BR125" s="1224"/>
      <c r="BS125" s="1224"/>
      <c r="BT125" s="1224"/>
      <c r="BU125" s="1224"/>
    </row>
    <row r="126" spans="1:73" x14ac:dyDescent="0.2">
      <c r="A126" s="1227" t="s">
        <v>3924</v>
      </c>
      <c r="B126" s="1224">
        <v>4</v>
      </c>
      <c r="C126" s="1228">
        <v>1839</v>
      </c>
      <c r="D126" s="1228">
        <v>939</v>
      </c>
      <c r="E126" s="1228">
        <v>470</v>
      </c>
      <c r="F126" s="1224">
        <v>57</v>
      </c>
      <c r="G126" s="1224"/>
      <c r="H126" s="1224"/>
      <c r="I126" s="1224"/>
      <c r="J126" s="1224"/>
      <c r="K126" s="1224"/>
      <c r="L126" s="1224"/>
      <c r="M126" s="1224"/>
      <c r="N126" s="1224"/>
      <c r="O126" s="1224"/>
      <c r="P126" s="1224"/>
      <c r="Q126" s="1224"/>
      <c r="R126" s="1224"/>
      <c r="S126" s="1224"/>
      <c r="T126" s="1224"/>
      <c r="U126" s="1224"/>
      <c r="V126" s="1224"/>
      <c r="W126" s="1224"/>
      <c r="X126" s="1224"/>
      <c r="Y126" s="1224"/>
      <c r="Z126" s="1224"/>
      <c r="AA126" s="1226"/>
      <c r="AB126" s="1224"/>
      <c r="AC126" s="1224"/>
      <c r="AD126" s="1224"/>
      <c r="AE126" s="1224"/>
      <c r="AF126" s="1224"/>
      <c r="AG126" s="1224"/>
      <c r="AH126" s="1224"/>
      <c r="AI126" s="1224"/>
      <c r="AJ126" s="1224"/>
      <c r="AK126" s="1224"/>
      <c r="AL126" s="1224"/>
      <c r="AM126" s="1224"/>
      <c r="AN126" s="1224"/>
      <c r="AO126" s="1224"/>
      <c r="AP126" s="1224"/>
      <c r="AQ126" s="1224"/>
      <c r="AR126" s="1224"/>
      <c r="AS126" s="1224"/>
      <c r="AT126" s="1224"/>
      <c r="AU126" s="1224"/>
      <c r="AV126" s="1224"/>
      <c r="AW126" s="1224"/>
      <c r="AX126" s="1224"/>
      <c r="AY126" s="1224"/>
      <c r="AZ126" s="1224"/>
      <c r="BA126" s="1224"/>
      <c r="BB126" s="1224"/>
      <c r="BC126" s="1224"/>
      <c r="BD126" s="1224"/>
      <c r="BE126" s="1224"/>
      <c r="BF126" s="1224"/>
      <c r="BG126" s="1224"/>
      <c r="BH126" s="1224"/>
      <c r="BI126" s="1224"/>
      <c r="BJ126" s="1224"/>
      <c r="BK126" s="1224"/>
      <c r="BL126" s="1224"/>
      <c r="BM126" s="1224"/>
      <c r="BN126" s="1224"/>
      <c r="BO126" s="1224"/>
      <c r="BP126" s="1224"/>
      <c r="BQ126" s="1224"/>
      <c r="BR126" s="1224"/>
      <c r="BS126" s="1224"/>
      <c r="BT126" s="1224"/>
      <c r="BU126" s="1224"/>
    </row>
    <row r="127" spans="1:73" x14ac:dyDescent="0.2">
      <c r="A127" s="1227" t="s">
        <v>3860</v>
      </c>
      <c r="B127" s="1224">
        <v>26</v>
      </c>
      <c r="C127" s="1228">
        <v>8112</v>
      </c>
      <c r="D127" s="1228">
        <v>3091</v>
      </c>
      <c r="E127" s="1228">
        <v>2378</v>
      </c>
      <c r="F127" s="1224">
        <v>376</v>
      </c>
      <c r="G127" s="1224"/>
      <c r="H127" s="1224"/>
      <c r="I127" s="1224"/>
      <c r="J127" s="1224"/>
      <c r="K127" s="1224"/>
      <c r="L127" s="1224"/>
      <c r="M127" s="1224"/>
      <c r="N127" s="1224"/>
      <c r="O127" s="1224"/>
      <c r="P127" s="1224"/>
      <c r="Q127" s="1224"/>
      <c r="R127" s="1224"/>
      <c r="S127" s="1224"/>
      <c r="T127" s="1224"/>
      <c r="U127" s="1224"/>
      <c r="V127" s="1224"/>
      <c r="W127" s="1224"/>
      <c r="X127" s="1224"/>
      <c r="Y127" s="1224"/>
      <c r="Z127" s="1224"/>
      <c r="AA127" s="1226"/>
      <c r="AB127" s="1224"/>
      <c r="AC127" s="1224"/>
      <c r="AD127" s="1224"/>
      <c r="AE127" s="1224"/>
      <c r="AF127" s="1224"/>
      <c r="AG127" s="1224"/>
      <c r="AH127" s="1224"/>
      <c r="AI127" s="1224"/>
      <c r="AJ127" s="1224"/>
      <c r="AK127" s="1224"/>
      <c r="AL127" s="1224"/>
      <c r="AM127" s="1224"/>
      <c r="AN127" s="1224"/>
      <c r="AO127" s="1224"/>
      <c r="AP127" s="1224"/>
      <c r="AQ127" s="1224"/>
      <c r="AR127" s="1224"/>
      <c r="AS127" s="1224"/>
      <c r="AT127" s="1224"/>
      <c r="AU127" s="1224"/>
      <c r="AV127" s="1224"/>
      <c r="AW127" s="1224"/>
      <c r="AX127" s="1224"/>
      <c r="AY127" s="1224"/>
      <c r="AZ127" s="1224"/>
      <c r="BA127" s="1224"/>
      <c r="BB127" s="1224"/>
      <c r="BC127" s="1224"/>
      <c r="BD127" s="1224"/>
      <c r="BE127" s="1224"/>
      <c r="BF127" s="1224"/>
      <c r="BG127" s="1224"/>
      <c r="BH127" s="1224"/>
      <c r="BI127" s="1224"/>
      <c r="BJ127" s="1224"/>
      <c r="BK127" s="1224"/>
      <c r="BL127" s="1224"/>
      <c r="BM127" s="1224"/>
      <c r="BN127" s="1224"/>
      <c r="BO127" s="1224"/>
      <c r="BP127" s="1224"/>
      <c r="BQ127" s="1224"/>
      <c r="BR127" s="1224"/>
      <c r="BS127" s="1224"/>
      <c r="BT127" s="1224"/>
      <c r="BU127" s="1224"/>
    </row>
    <row r="128" spans="1:73" x14ac:dyDescent="0.2">
      <c r="A128" s="1227" t="s">
        <v>3966</v>
      </c>
      <c r="B128" s="1224">
        <v>5</v>
      </c>
      <c r="C128" s="1228">
        <v>1415</v>
      </c>
      <c r="D128" s="1228">
        <v>260</v>
      </c>
      <c r="E128" s="1228">
        <v>583</v>
      </c>
      <c r="F128" s="1224">
        <v>49</v>
      </c>
      <c r="G128" s="1224"/>
      <c r="H128" s="1224"/>
      <c r="I128" s="1224"/>
      <c r="J128" s="1224"/>
      <c r="K128" s="1224"/>
      <c r="L128" s="1224"/>
      <c r="M128" s="1224"/>
      <c r="N128" s="1224"/>
      <c r="O128" s="1224"/>
      <c r="P128" s="1224"/>
      <c r="Q128" s="1224"/>
      <c r="R128" s="1224"/>
      <c r="S128" s="1224"/>
      <c r="T128" s="1224"/>
      <c r="U128" s="1224"/>
      <c r="V128" s="1224"/>
      <c r="W128" s="1224"/>
      <c r="X128" s="1224"/>
      <c r="Y128" s="1224"/>
      <c r="Z128" s="1224"/>
      <c r="AA128" s="1226"/>
      <c r="AB128" s="1224"/>
      <c r="AC128" s="1224"/>
      <c r="AD128" s="1224"/>
      <c r="AE128" s="1224"/>
      <c r="AF128" s="1224"/>
      <c r="AG128" s="1224"/>
      <c r="AH128" s="1224"/>
      <c r="AI128" s="1224"/>
      <c r="AJ128" s="1224"/>
      <c r="AK128" s="1224"/>
      <c r="AL128" s="1224"/>
      <c r="AM128" s="1224"/>
      <c r="AN128" s="1224"/>
      <c r="AO128" s="1224"/>
      <c r="AP128" s="1224"/>
      <c r="AQ128" s="1224"/>
      <c r="AR128" s="1224"/>
      <c r="AS128" s="1224"/>
      <c r="AT128" s="1224"/>
      <c r="AU128" s="1224"/>
      <c r="AV128" s="1224"/>
      <c r="AW128" s="1224"/>
      <c r="AX128" s="1224"/>
      <c r="AY128" s="1224"/>
      <c r="AZ128" s="1224"/>
      <c r="BA128" s="1224"/>
      <c r="BB128" s="1224"/>
      <c r="BC128" s="1224"/>
      <c r="BD128" s="1224"/>
      <c r="BE128" s="1224"/>
      <c r="BF128" s="1224"/>
      <c r="BG128" s="1224"/>
      <c r="BH128" s="1224"/>
      <c r="BI128" s="1224"/>
      <c r="BJ128" s="1224"/>
      <c r="BK128" s="1224"/>
      <c r="BL128" s="1224"/>
      <c r="BM128" s="1224"/>
      <c r="BN128" s="1224"/>
      <c r="BO128" s="1224"/>
      <c r="BP128" s="1224"/>
      <c r="BQ128" s="1224"/>
      <c r="BR128" s="1224"/>
      <c r="BS128" s="1224"/>
      <c r="BT128" s="1224"/>
      <c r="BU128" s="1224"/>
    </row>
    <row r="129" spans="1:73" x14ac:dyDescent="0.2">
      <c r="A129" s="1227" t="s">
        <v>5177</v>
      </c>
      <c r="B129" s="1229">
        <v>1</v>
      </c>
      <c r="C129" s="1228">
        <v>500</v>
      </c>
      <c r="D129" s="1228">
        <v>100</v>
      </c>
      <c r="E129" s="1228">
        <v>100</v>
      </c>
      <c r="F129" s="1224">
        <v>10</v>
      </c>
      <c r="G129" s="1224"/>
      <c r="H129" s="1224"/>
      <c r="I129" s="1224"/>
      <c r="J129" s="1224"/>
      <c r="K129" s="1224"/>
      <c r="L129" s="1224"/>
      <c r="M129" s="1224"/>
      <c r="N129" s="1224"/>
      <c r="O129" s="1224"/>
      <c r="P129" s="1224"/>
      <c r="Q129" s="1224"/>
      <c r="R129" s="1224"/>
      <c r="S129" s="1224"/>
      <c r="T129" s="1224"/>
      <c r="U129" s="1224"/>
      <c r="V129" s="1224"/>
      <c r="W129" s="1224"/>
      <c r="X129" s="1224"/>
      <c r="Y129" s="1224"/>
      <c r="Z129" s="1224"/>
      <c r="AA129" s="1226"/>
      <c r="AB129" s="1224"/>
      <c r="AC129" s="1224"/>
      <c r="AD129" s="1224"/>
      <c r="AE129" s="1224"/>
      <c r="AF129" s="1224"/>
      <c r="AG129" s="1224"/>
      <c r="AH129" s="1224"/>
      <c r="AI129" s="1224"/>
      <c r="AJ129" s="1224"/>
      <c r="AK129" s="1224"/>
      <c r="AL129" s="1224"/>
      <c r="AM129" s="1224"/>
      <c r="AN129" s="1224"/>
      <c r="AO129" s="1224"/>
      <c r="AP129" s="1224"/>
      <c r="AQ129" s="1224"/>
      <c r="AR129" s="1224"/>
      <c r="AS129" s="1224"/>
      <c r="AT129" s="1224"/>
      <c r="AU129" s="1224"/>
      <c r="AV129" s="1224"/>
      <c r="AW129" s="1224"/>
      <c r="AX129" s="1224"/>
      <c r="AY129" s="1224"/>
      <c r="AZ129" s="1224"/>
      <c r="BA129" s="1224"/>
      <c r="BB129" s="1224"/>
      <c r="BC129" s="1224"/>
      <c r="BD129" s="1224"/>
      <c r="BE129" s="1224"/>
      <c r="BF129" s="1224"/>
      <c r="BG129" s="1224"/>
      <c r="BH129" s="1224"/>
      <c r="BI129" s="1224"/>
      <c r="BJ129" s="1224"/>
      <c r="BK129" s="1224"/>
      <c r="BL129" s="1224"/>
      <c r="BM129" s="1224"/>
      <c r="BN129" s="1224"/>
      <c r="BO129" s="1224"/>
      <c r="BP129" s="1224"/>
      <c r="BQ129" s="1224"/>
      <c r="BR129" s="1224"/>
      <c r="BS129" s="1224"/>
      <c r="BT129" s="1224"/>
      <c r="BU129" s="1224"/>
    </row>
    <row r="130" spans="1:73" x14ac:dyDescent="0.2">
      <c r="A130" s="1227" t="s">
        <v>4122</v>
      </c>
      <c r="B130" s="1224">
        <v>4</v>
      </c>
      <c r="C130" s="1228">
        <v>1040</v>
      </c>
      <c r="D130" s="1228">
        <v>140</v>
      </c>
      <c r="E130" s="1228">
        <v>45</v>
      </c>
      <c r="F130" s="1224">
        <v>20</v>
      </c>
      <c r="G130" s="1224"/>
      <c r="H130" s="1224"/>
      <c r="I130" s="1224"/>
      <c r="J130" s="1224"/>
      <c r="K130" s="1224"/>
      <c r="L130" s="1224"/>
      <c r="M130" s="1224"/>
      <c r="N130" s="1224"/>
      <c r="O130" s="1224"/>
      <c r="P130" s="1224"/>
      <c r="Q130" s="1224"/>
      <c r="R130" s="1224"/>
      <c r="S130" s="1224"/>
      <c r="T130" s="1224"/>
      <c r="U130" s="1224"/>
      <c r="V130" s="1224"/>
      <c r="W130" s="1224"/>
      <c r="X130" s="1224"/>
      <c r="Y130" s="1224"/>
      <c r="Z130" s="1224"/>
      <c r="AA130" s="1226"/>
      <c r="AB130" s="1224"/>
      <c r="AC130" s="1224"/>
      <c r="AD130" s="1224"/>
      <c r="AE130" s="1224"/>
      <c r="AF130" s="1224"/>
      <c r="AG130" s="1224"/>
      <c r="AH130" s="1224"/>
      <c r="AI130" s="1224"/>
      <c r="AJ130" s="1224"/>
      <c r="AK130" s="1224"/>
      <c r="AL130" s="1224"/>
      <c r="AM130" s="1224"/>
      <c r="AN130" s="1224"/>
      <c r="AO130" s="1224"/>
      <c r="AP130" s="1224"/>
      <c r="AQ130" s="1224"/>
      <c r="AR130" s="1224"/>
      <c r="AS130" s="1224"/>
      <c r="AT130" s="1224"/>
      <c r="AU130" s="1224"/>
      <c r="AV130" s="1224"/>
      <c r="AW130" s="1224"/>
      <c r="AX130" s="1224"/>
      <c r="AY130" s="1224"/>
      <c r="AZ130" s="1224"/>
      <c r="BA130" s="1224"/>
      <c r="BB130" s="1224"/>
      <c r="BC130" s="1224"/>
      <c r="BD130" s="1224"/>
      <c r="BE130" s="1224"/>
      <c r="BF130" s="1224"/>
      <c r="BG130" s="1224"/>
      <c r="BH130" s="1224"/>
      <c r="BI130" s="1224"/>
      <c r="BJ130" s="1224"/>
      <c r="BK130" s="1224"/>
      <c r="BL130" s="1224"/>
      <c r="BM130" s="1224"/>
      <c r="BN130" s="1224"/>
      <c r="BO130" s="1224"/>
      <c r="BP130" s="1224"/>
      <c r="BQ130" s="1224"/>
      <c r="BR130" s="1224"/>
      <c r="BS130" s="1224"/>
      <c r="BT130" s="1224"/>
      <c r="BU130" s="1224"/>
    </row>
    <row r="131" spans="1:73" x14ac:dyDescent="0.2">
      <c r="A131" s="1227" t="s">
        <v>3867</v>
      </c>
      <c r="B131" s="1224">
        <v>11</v>
      </c>
      <c r="C131" s="1228">
        <v>4129</v>
      </c>
      <c r="D131" s="1228">
        <v>60</v>
      </c>
      <c r="E131" s="1228">
        <v>1221</v>
      </c>
      <c r="F131" s="1224">
        <v>129</v>
      </c>
      <c r="G131" s="1224"/>
      <c r="H131" s="1224"/>
      <c r="I131" s="1224"/>
      <c r="J131" s="1224"/>
      <c r="K131" s="1224"/>
      <c r="L131" s="1224"/>
      <c r="M131" s="1224"/>
      <c r="N131" s="1224"/>
      <c r="O131" s="1224"/>
      <c r="P131" s="1224"/>
      <c r="Q131" s="1224"/>
      <c r="R131" s="1224"/>
      <c r="S131" s="1224"/>
      <c r="T131" s="1224"/>
      <c r="U131" s="1224"/>
      <c r="V131" s="1224"/>
      <c r="W131" s="1224"/>
      <c r="X131" s="1224"/>
      <c r="Y131" s="1224"/>
      <c r="Z131" s="1224"/>
      <c r="AA131" s="1226"/>
      <c r="AB131" s="1224"/>
      <c r="AC131" s="1224"/>
      <c r="AD131" s="1224"/>
      <c r="AE131" s="1224"/>
      <c r="AF131" s="1224"/>
      <c r="AG131" s="1224"/>
      <c r="AH131" s="1224"/>
      <c r="AI131" s="1224"/>
      <c r="AJ131" s="1224"/>
      <c r="AK131" s="1224"/>
      <c r="AL131" s="1224"/>
      <c r="AM131" s="1224"/>
      <c r="AN131" s="1224"/>
      <c r="AO131" s="1224"/>
      <c r="AP131" s="1224"/>
      <c r="AQ131" s="1224"/>
      <c r="AR131" s="1224"/>
      <c r="AS131" s="1224"/>
      <c r="AT131" s="1224"/>
      <c r="AU131" s="1224"/>
      <c r="AV131" s="1224"/>
      <c r="AW131" s="1224"/>
      <c r="AX131" s="1224"/>
      <c r="AY131" s="1224"/>
      <c r="AZ131" s="1224"/>
      <c r="BA131" s="1224"/>
      <c r="BB131" s="1224"/>
      <c r="BC131" s="1224"/>
      <c r="BD131" s="1224"/>
      <c r="BE131" s="1224"/>
      <c r="BF131" s="1224"/>
      <c r="BG131" s="1224"/>
      <c r="BH131" s="1224"/>
      <c r="BI131" s="1224"/>
      <c r="BJ131" s="1224"/>
      <c r="BK131" s="1224"/>
      <c r="BL131" s="1224"/>
      <c r="BM131" s="1224"/>
      <c r="BN131" s="1224"/>
      <c r="BO131" s="1224"/>
      <c r="BP131" s="1224"/>
      <c r="BQ131" s="1224"/>
      <c r="BR131" s="1224"/>
      <c r="BS131" s="1224"/>
      <c r="BT131" s="1224"/>
      <c r="BU131" s="1224"/>
    </row>
    <row r="132" spans="1:73" x14ac:dyDescent="0.2">
      <c r="A132" s="1227" t="s">
        <v>4993</v>
      </c>
      <c r="B132" s="1224">
        <v>11</v>
      </c>
      <c r="C132" s="1228">
        <v>30</v>
      </c>
      <c r="D132" s="1228">
        <v>30</v>
      </c>
      <c r="E132" s="1228">
        <v>90</v>
      </c>
      <c r="F132" s="1224">
        <v>10</v>
      </c>
      <c r="G132" s="1224"/>
      <c r="H132" s="1224"/>
      <c r="I132" s="1224"/>
      <c r="J132" s="1224"/>
      <c r="K132" s="1224"/>
      <c r="L132" s="1224"/>
      <c r="M132" s="1224"/>
      <c r="N132" s="1224"/>
      <c r="O132" s="1224"/>
      <c r="P132" s="1224"/>
      <c r="Q132" s="1224"/>
      <c r="R132" s="1224"/>
      <c r="S132" s="1224"/>
      <c r="T132" s="1224"/>
      <c r="U132" s="1224"/>
      <c r="V132" s="1224"/>
      <c r="W132" s="1224"/>
      <c r="X132" s="1224"/>
      <c r="Y132" s="1224"/>
      <c r="Z132" s="1224"/>
      <c r="AA132" s="1226"/>
      <c r="AB132" s="1224"/>
      <c r="AC132" s="1224"/>
      <c r="AD132" s="1224"/>
      <c r="AE132" s="1224"/>
      <c r="AF132" s="1224"/>
      <c r="AG132" s="1224"/>
      <c r="AH132" s="1224"/>
      <c r="AI132" s="1224"/>
      <c r="AJ132" s="1224"/>
      <c r="AK132" s="1224"/>
      <c r="AL132" s="1224"/>
      <c r="AM132" s="1224"/>
      <c r="AN132" s="1224"/>
      <c r="AO132" s="1224"/>
      <c r="AP132" s="1224"/>
      <c r="AQ132" s="1224"/>
      <c r="AR132" s="1224"/>
      <c r="AS132" s="1224"/>
      <c r="AT132" s="1224"/>
      <c r="AU132" s="1224"/>
      <c r="AV132" s="1224"/>
      <c r="AW132" s="1224"/>
      <c r="AX132" s="1224"/>
      <c r="AY132" s="1224"/>
      <c r="AZ132" s="1224"/>
      <c r="BA132" s="1224"/>
      <c r="BB132" s="1224"/>
      <c r="BC132" s="1224"/>
      <c r="BD132" s="1224"/>
      <c r="BE132" s="1224"/>
      <c r="BF132" s="1224"/>
      <c r="BG132" s="1224"/>
      <c r="BH132" s="1224"/>
      <c r="BI132" s="1224"/>
      <c r="BJ132" s="1224"/>
      <c r="BK132" s="1224"/>
      <c r="BL132" s="1224"/>
      <c r="BM132" s="1224"/>
      <c r="BN132" s="1224"/>
      <c r="BO132" s="1224"/>
      <c r="BP132" s="1224"/>
      <c r="BQ132" s="1224"/>
      <c r="BR132" s="1224"/>
      <c r="BS132" s="1224"/>
      <c r="BT132" s="1224"/>
      <c r="BU132" s="1224"/>
    </row>
    <row r="133" spans="1:73" x14ac:dyDescent="0.2">
      <c r="A133" s="1227" t="s">
        <v>5012</v>
      </c>
      <c r="B133" s="1224">
        <v>7</v>
      </c>
      <c r="C133" s="1228"/>
      <c r="D133" s="1228"/>
      <c r="E133" s="1228"/>
      <c r="F133" s="1224"/>
      <c r="G133" s="1224"/>
      <c r="H133" s="1224"/>
      <c r="I133" s="1224"/>
      <c r="J133" s="1224"/>
      <c r="K133" s="1224"/>
      <c r="L133" s="1224"/>
      <c r="M133" s="1224"/>
      <c r="N133" s="1224"/>
      <c r="O133" s="1224"/>
      <c r="P133" s="1224"/>
      <c r="Q133" s="1224"/>
      <c r="R133" s="1224"/>
      <c r="S133" s="1224"/>
      <c r="T133" s="1224"/>
      <c r="U133" s="1224"/>
      <c r="V133" s="1224"/>
      <c r="W133" s="1224"/>
      <c r="X133" s="1224"/>
      <c r="Y133" s="1224"/>
      <c r="Z133" s="1224"/>
      <c r="AA133" s="1226"/>
      <c r="AB133" s="1224"/>
      <c r="AC133" s="1224"/>
      <c r="AD133" s="1224"/>
      <c r="AE133" s="1224"/>
      <c r="AF133" s="1224"/>
      <c r="AG133" s="1224"/>
      <c r="AH133" s="1224"/>
      <c r="AI133" s="1224"/>
      <c r="AJ133" s="1224"/>
      <c r="AK133" s="1224"/>
      <c r="AL133" s="1224"/>
      <c r="AM133" s="1224"/>
      <c r="AN133" s="1224"/>
      <c r="AO133" s="1224"/>
      <c r="AP133" s="1224"/>
      <c r="AQ133" s="1224"/>
      <c r="AR133" s="1224"/>
      <c r="AS133" s="1224"/>
      <c r="AT133" s="1224"/>
      <c r="AU133" s="1224"/>
      <c r="AV133" s="1224"/>
      <c r="AW133" s="1224"/>
      <c r="AX133" s="1224"/>
      <c r="AY133" s="1224"/>
      <c r="AZ133" s="1224"/>
      <c r="BA133" s="1224"/>
      <c r="BB133" s="1224"/>
      <c r="BC133" s="1224"/>
      <c r="BD133" s="1224"/>
      <c r="BE133" s="1224"/>
      <c r="BF133" s="1224"/>
      <c r="BG133" s="1224"/>
      <c r="BH133" s="1224"/>
      <c r="BI133" s="1224"/>
      <c r="BJ133" s="1224"/>
      <c r="BK133" s="1224"/>
      <c r="BL133" s="1224"/>
      <c r="BM133" s="1224"/>
      <c r="BN133" s="1224"/>
      <c r="BO133" s="1224"/>
      <c r="BP133" s="1224"/>
      <c r="BQ133" s="1224"/>
      <c r="BR133" s="1224"/>
      <c r="BS133" s="1224"/>
      <c r="BT133" s="1224"/>
      <c r="BU133" s="1224"/>
    </row>
    <row r="134" spans="1:73" x14ac:dyDescent="0.2">
      <c r="A134" s="1227" t="s">
        <v>4001</v>
      </c>
      <c r="B134" s="1224">
        <v>3</v>
      </c>
      <c r="C134" s="1228">
        <v>2646</v>
      </c>
      <c r="D134" s="1228">
        <v>2246</v>
      </c>
      <c r="E134" s="1228"/>
      <c r="F134" s="1224"/>
      <c r="G134" s="1224"/>
      <c r="H134" s="1224"/>
      <c r="I134" s="1224"/>
      <c r="J134" s="1224"/>
      <c r="K134" s="1224"/>
      <c r="L134" s="1224"/>
      <c r="M134" s="1224"/>
      <c r="N134" s="1224"/>
      <c r="O134" s="1224"/>
      <c r="P134" s="1224"/>
      <c r="Q134" s="1224"/>
      <c r="R134" s="1224"/>
      <c r="S134" s="1224"/>
      <c r="T134" s="1224"/>
      <c r="U134" s="1224"/>
      <c r="V134" s="1224"/>
      <c r="W134" s="1224"/>
      <c r="X134" s="1224"/>
      <c r="Y134" s="1224"/>
      <c r="Z134" s="1224"/>
      <c r="AA134" s="1226"/>
      <c r="AB134" s="1224"/>
      <c r="AC134" s="1224"/>
      <c r="AD134" s="1224"/>
      <c r="AE134" s="1224"/>
      <c r="AF134" s="1224"/>
      <c r="AG134" s="1224"/>
      <c r="AH134" s="1224"/>
      <c r="AI134" s="1224"/>
      <c r="AJ134" s="1224"/>
      <c r="AK134" s="1224"/>
      <c r="AL134" s="1224"/>
      <c r="AM134" s="1224"/>
      <c r="AN134" s="1224"/>
      <c r="AO134" s="1224"/>
      <c r="AP134" s="1224"/>
      <c r="AQ134" s="1224"/>
      <c r="AR134" s="1224"/>
      <c r="AS134" s="1224"/>
      <c r="AT134" s="1224"/>
      <c r="AU134" s="1224"/>
      <c r="AV134" s="1224"/>
      <c r="AW134" s="1224"/>
      <c r="AX134" s="1224"/>
      <c r="AY134" s="1224"/>
      <c r="AZ134" s="1224"/>
      <c r="BA134" s="1224"/>
      <c r="BB134" s="1224"/>
      <c r="BC134" s="1224"/>
      <c r="BD134" s="1224"/>
      <c r="BE134" s="1224"/>
      <c r="BF134" s="1224"/>
      <c r="BG134" s="1224"/>
      <c r="BH134" s="1224"/>
      <c r="BI134" s="1224"/>
      <c r="BJ134" s="1224"/>
      <c r="BK134" s="1224"/>
      <c r="BL134" s="1224"/>
      <c r="BM134" s="1224"/>
      <c r="BN134" s="1224"/>
      <c r="BO134" s="1224"/>
      <c r="BP134" s="1224"/>
      <c r="BQ134" s="1224"/>
      <c r="BR134" s="1224"/>
      <c r="BS134" s="1224"/>
      <c r="BT134" s="1224"/>
      <c r="BU134" s="1224"/>
    </row>
    <row r="135" spans="1:73" x14ac:dyDescent="0.2">
      <c r="A135" s="1227" t="s">
        <v>5029</v>
      </c>
      <c r="B135" s="1229">
        <v>1</v>
      </c>
      <c r="C135" s="1228">
        <v>540</v>
      </c>
      <c r="D135" s="1228">
        <v>210</v>
      </c>
      <c r="E135" s="1228">
        <v>60</v>
      </c>
      <c r="F135" s="1224">
        <v>10</v>
      </c>
      <c r="G135" s="1224"/>
      <c r="H135" s="1224"/>
      <c r="I135" s="1224"/>
      <c r="J135" s="1224"/>
      <c r="K135" s="1224"/>
      <c r="L135" s="1224"/>
      <c r="M135" s="1224"/>
      <c r="N135" s="1224"/>
      <c r="O135" s="1224"/>
      <c r="P135" s="1224"/>
      <c r="Q135" s="1224"/>
      <c r="R135" s="1224"/>
      <c r="S135" s="1224"/>
      <c r="T135" s="1224"/>
      <c r="U135" s="1224"/>
      <c r="V135" s="1224"/>
      <c r="W135" s="1224"/>
      <c r="X135" s="1224"/>
      <c r="Y135" s="1224"/>
      <c r="Z135" s="1224"/>
      <c r="AA135" s="1226"/>
      <c r="AB135" s="1224"/>
      <c r="AC135" s="1224"/>
      <c r="AD135" s="1224"/>
      <c r="AE135" s="1224"/>
      <c r="AF135" s="1224"/>
      <c r="AG135" s="1224"/>
      <c r="AH135" s="1224"/>
      <c r="AI135" s="1224"/>
      <c r="AJ135" s="1224"/>
      <c r="AK135" s="1224"/>
      <c r="AL135" s="1224"/>
      <c r="AM135" s="1224"/>
      <c r="AN135" s="1224"/>
      <c r="AO135" s="1224"/>
      <c r="AP135" s="1224"/>
      <c r="AQ135" s="1224"/>
      <c r="AR135" s="1224"/>
      <c r="AS135" s="1224"/>
      <c r="AT135" s="1224"/>
      <c r="AU135" s="1224"/>
      <c r="AV135" s="1224"/>
      <c r="AW135" s="1224"/>
      <c r="AX135" s="1224"/>
      <c r="AY135" s="1224"/>
      <c r="AZ135" s="1224"/>
      <c r="BA135" s="1224"/>
      <c r="BB135" s="1224"/>
      <c r="BC135" s="1224"/>
      <c r="BD135" s="1224"/>
      <c r="BE135" s="1224"/>
      <c r="BF135" s="1224"/>
      <c r="BG135" s="1224"/>
      <c r="BH135" s="1224"/>
      <c r="BI135" s="1224"/>
      <c r="BJ135" s="1224"/>
      <c r="BK135" s="1224"/>
      <c r="BL135" s="1224"/>
      <c r="BM135" s="1224"/>
      <c r="BN135" s="1224"/>
      <c r="BO135" s="1224"/>
      <c r="BP135" s="1224"/>
      <c r="BQ135" s="1224"/>
      <c r="BR135" s="1224"/>
      <c r="BS135" s="1224"/>
      <c r="BT135" s="1224"/>
      <c r="BU135" s="1224"/>
    </row>
    <row r="136" spans="1:73" x14ac:dyDescent="0.2">
      <c r="A136" s="1227" t="s">
        <v>5040</v>
      </c>
      <c r="B136" s="1229">
        <v>1</v>
      </c>
      <c r="C136" s="1228">
        <v>240</v>
      </c>
      <c r="D136" s="1228">
        <v>60</v>
      </c>
      <c r="E136" s="1228">
        <v>10</v>
      </c>
      <c r="F136" s="1224">
        <v>2</v>
      </c>
      <c r="G136" s="1224"/>
      <c r="H136" s="1224"/>
      <c r="I136" s="1224"/>
      <c r="J136" s="1224"/>
      <c r="K136" s="1224"/>
      <c r="L136" s="1224"/>
      <c r="M136" s="1224"/>
      <c r="N136" s="1224"/>
      <c r="O136" s="1224"/>
      <c r="P136" s="1224"/>
      <c r="Q136" s="1224"/>
      <c r="R136" s="1224"/>
      <c r="S136" s="1224"/>
      <c r="T136" s="1224"/>
      <c r="U136" s="1224"/>
      <c r="V136" s="1224"/>
      <c r="W136" s="1224"/>
      <c r="X136" s="1224"/>
      <c r="Y136" s="1224"/>
      <c r="Z136" s="1224"/>
      <c r="AA136" s="1226"/>
      <c r="AB136" s="1224"/>
      <c r="AC136" s="1224"/>
      <c r="AD136" s="1224"/>
      <c r="AE136" s="1224"/>
      <c r="AF136" s="1224"/>
      <c r="AG136" s="1224"/>
      <c r="AH136" s="1224"/>
      <c r="AI136" s="1224"/>
      <c r="AJ136" s="1224"/>
      <c r="AK136" s="1224"/>
      <c r="AL136" s="1224"/>
      <c r="AM136" s="1224"/>
      <c r="AN136" s="1224"/>
      <c r="AO136" s="1224"/>
      <c r="AP136" s="1224"/>
      <c r="AQ136" s="1224"/>
      <c r="AR136" s="1224"/>
      <c r="AS136" s="1224"/>
      <c r="AT136" s="1224"/>
      <c r="AU136" s="1224"/>
      <c r="AV136" s="1224"/>
      <c r="AW136" s="1224"/>
      <c r="AX136" s="1224"/>
      <c r="AY136" s="1224"/>
      <c r="AZ136" s="1224"/>
      <c r="BA136" s="1224"/>
      <c r="BB136" s="1224"/>
      <c r="BC136" s="1224"/>
      <c r="BD136" s="1224"/>
      <c r="BE136" s="1224"/>
      <c r="BF136" s="1224"/>
      <c r="BG136" s="1224"/>
      <c r="BH136" s="1224"/>
      <c r="BI136" s="1224"/>
      <c r="BJ136" s="1224"/>
      <c r="BK136" s="1224"/>
      <c r="BL136" s="1224"/>
      <c r="BM136" s="1224"/>
      <c r="BN136" s="1224"/>
      <c r="BO136" s="1224"/>
      <c r="BP136" s="1224"/>
      <c r="BQ136" s="1224"/>
      <c r="BR136" s="1224"/>
      <c r="BS136" s="1224"/>
      <c r="BT136" s="1224"/>
      <c r="BU136" s="1224"/>
    </row>
    <row r="137" spans="1:73" x14ac:dyDescent="0.2">
      <c r="A137" s="1227" t="s">
        <v>5051</v>
      </c>
      <c r="B137" s="1229">
        <v>2</v>
      </c>
      <c r="C137" s="1228">
        <v>900</v>
      </c>
      <c r="D137" s="1228">
        <v>660</v>
      </c>
      <c r="E137" s="1228">
        <v>310</v>
      </c>
      <c r="F137" s="1224">
        <v>34</v>
      </c>
      <c r="G137" s="1224"/>
      <c r="H137" s="1224"/>
      <c r="I137" s="1224"/>
      <c r="J137" s="1224"/>
      <c r="K137" s="1224"/>
      <c r="L137" s="1224"/>
      <c r="M137" s="1224"/>
      <c r="N137" s="1224"/>
      <c r="O137" s="1224"/>
      <c r="P137" s="1224"/>
      <c r="Q137" s="1224"/>
      <c r="R137" s="1224"/>
      <c r="S137" s="1224"/>
      <c r="T137" s="1224"/>
      <c r="U137" s="1224"/>
      <c r="V137" s="1224"/>
      <c r="W137" s="1224"/>
      <c r="X137" s="1224"/>
      <c r="Y137" s="1224"/>
      <c r="Z137" s="1224"/>
      <c r="AA137" s="1226"/>
      <c r="AB137" s="1224"/>
      <c r="AC137" s="1224"/>
      <c r="AD137" s="1224"/>
      <c r="AE137" s="1224"/>
      <c r="AF137" s="1224"/>
      <c r="AG137" s="1224"/>
      <c r="AH137" s="1224"/>
      <c r="AI137" s="1224"/>
      <c r="AJ137" s="1224"/>
      <c r="AK137" s="1224"/>
      <c r="AL137" s="1224"/>
      <c r="AM137" s="1224"/>
      <c r="AN137" s="1224"/>
      <c r="AO137" s="1224"/>
      <c r="AP137" s="1224"/>
      <c r="AQ137" s="1224"/>
      <c r="AR137" s="1224"/>
      <c r="AS137" s="1224"/>
      <c r="AT137" s="1224"/>
      <c r="AU137" s="1224"/>
      <c r="AV137" s="1224"/>
      <c r="AW137" s="1224"/>
      <c r="AX137" s="1224"/>
      <c r="AY137" s="1224"/>
      <c r="AZ137" s="1224"/>
      <c r="BA137" s="1224"/>
      <c r="BB137" s="1224"/>
      <c r="BC137" s="1224"/>
      <c r="BD137" s="1224"/>
      <c r="BE137" s="1224"/>
      <c r="BF137" s="1224"/>
      <c r="BG137" s="1224"/>
      <c r="BH137" s="1224"/>
      <c r="BI137" s="1224"/>
      <c r="BJ137" s="1224"/>
      <c r="BK137" s="1224"/>
      <c r="BL137" s="1224"/>
      <c r="BM137" s="1224"/>
      <c r="BN137" s="1224"/>
      <c r="BO137" s="1224"/>
      <c r="BP137" s="1224"/>
      <c r="BQ137" s="1224"/>
      <c r="BR137" s="1224"/>
      <c r="BS137" s="1224"/>
      <c r="BT137" s="1224"/>
      <c r="BU137" s="1224"/>
    </row>
    <row r="138" spans="1:73" x14ac:dyDescent="0.2">
      <c r="A138" s="1227" t="s">
        <v>5074</v>
      </c>
      <c r="B138" s="1229">
        <v>1</v>
      </c>
      <c r="C138" s="1228">
        <v>570</v>
      </c>
      <c r="D138" s="1228">
        <v>150</v>
      </c>
      <c r="E138" s="1228">
        <v>30</v>
      </c>
      <c r="F138" s="1224">
        <v>20</v>
      </c>
      <c r="G138" s="1224"/>
      <c r="H138" s="1224"/>
      <c r="I138" s="1224"/>
      <c r="J138" s="1224"/>
      <c r="K138" s="1224"/>
      <c r="L138" s="1224"/>
      <c r="M138" s="1224"/>
      <c r="N138" s="1224"/>
      <c r="O138" s="1224"/>
      <c r="P138" s="1224"/>
      <c r="Q138" s="1224"/>
      <c r="R138" s="1224"/>
      <c r="S138" s="1224"/>
      <c r="T138" s="1224"/>
      <c r="U138" s="1224"/>
      <c r="V138" s="1224"/>
      <c r="W138" s="1224"/>
      <c r="X138" s="1224"/>
      <c r="Y138" s="1224"/>
      <c r="Z138" s="1224"/>
      <c r="AA138" s="1226"/>
      <c r="AB138" s="1224"/>
      <c r="AC138" s="1224"/>
      <c r="AD138" s="1224"/>
      <c r="AE138" s="1224"/>
      <c r="AF138" s="1224"/>
      <c r="AG138" s="1224"/>
      <c r="AH138" s="1224"/>
      <c r="AI138" s="1224"/>
      <c r="AJ138" s="1224"/>
      <c r="AK138" s="1224"/>
      <c r="AL138" s="1224"/>
      <c r="AM138" s="1224"/>
      <c r="AN138" s="1224"/>
      <c r="AO138" s="1224"/>
      <c r="AP138" s="1224"/>
      <c r="AQ138" s="1224"/>
      <c r="AR138" s="1224"/>
      <c r="AS138" s="1224"/>
      <c r="AT138" s="1224"/>
      <c r="AU138" s="1224"/>
      <c r="AV138" s="1224"/>
      <c r="AW138" s="1224"/>
      <c r="AX138" s="1224"/>
      <c r="AY138" s="1224"/>
      <c r="AZ138" s="1224"/>
      <c r="BA138" s="1224"/>
      <c r="BB138" s="1224"/>
      <c r="BC138" s="1224"/>
      <c r="BD138" s="1224"/>
      <c r="BE138" s="1224"/>
      <c r="BF138" s="1224"/>
      <c r="BG138" s="1224"/>
      <c r="BH138" s="1224"/>
      <c r="BI138" s="1224"/>
      <c r="BJ138" s="1224"/>
      <c r="BK138" s="1224"/>
      <c r="BL138" s="1224"/>
      <c r="BM138" s="1224"/>
      <c r="BN138" s="1224"/>
      <c r="BO138" s="1224"/>
      <c r="BP138" s="1224"/>
      <c r="BQ138" s="1224"/>
      <c r="BR138" s="1224"/>
      <c r="BS138" s="1224"/>
      <c r="BT138" s="1224"/>
      <c r="BU138" s="1224"/>
    </row>
    <row r="139" spans="1:73" x14ac:dyDescent="0.2">
      <c r="A139" s="1227" t="s">
        <v>5083</v>
      </c>
      <c r="B139" s="1229">
        <v>1</v>
      </c>
      <c r="C139" s="1228"/>
      <c r="D139" s="1228"/>
      <c r="E139" s="1228"/>
      <c r="F139" s="1224"/>
      <c r="G139" s="948"/>
      <c r="H139" s="948"/>
      <c r="I139" s="948"/>
      <c r="J139" s="948"/>
      <c r="K139" s="949"/>
      <c r="L139" s="949"/>
      <c r="M139" s="949"/>
      <c r="N139" s="950"/>
      <c r="O139" s="948"/>
      <c r="P139" s="948"/>
      <c r="Q139" s="948"/>
      <c r="R139" s="949"/>
      <c r="S139" s="949"/>
      <c r="T139" s="949"/>
      <c r="U139" s="949"/>
      <c r="V139" s="949"/>
      <c r="W139" s="949"/>
      <c r="X139" s="951"/>
      <c r="Y139" s="951"/>
      <c r="Z139" s="952"/>
      <c r="AA139" s="953"/>
      <c r="AB139" s="948"/>
      <c r="AC139" s="948"/>
      <c r="AD139" s="949"/>
      <c r="AE139" s="949"/>
      <c r="AF139" s="949"/>
      <c r="AG139" s="949"/>
      <c r="AH139" s="949"/>
      <c r="AI139" s="949"/>
      <c r="AJ139" s="949"/>
      <c r="AK139" s="949"/>
      <c r="AL139" s="949"/>
      <c r="AM139" s="949"/>
      <c r="AN139" s="949"/>
      <c r="AO139" s="949"/>
      <c r="AP139" s="949"/>
      <c r="AQ139" s="949"/>
      <c r="AR139" s="949"/>
      <c r="AS139" s="949"/>
      <c r="AT139" s="949"/>
      <c r="AU139" s="949"/>
      <c r="AV139" s="949"/>
      <c r="AW139" s="949"/>
      <c r="AX139" s="949"/>
      <c r="AY139" s="949"/>
      <c r="AZ139" s="949"/>
      <c r="BA139" s="949"/>
      <c r="BB139" s="949"/>
      <c r="BC139" s="949"/>
      <c r="BD139" s="949"/>
      <c r="BE139" s="949"/>
      <c r="BF139" s="949"/>
      <c r="BG139" s="948"/>
      <c r="BH139" s="948"/>
      <c r="BI139" s="948"/>
      <c r="BJ139" s="948"/>
      <c r="BK139" s="948"/>
      <c r="BL139" s="948"/>
      <c r="BM139" s="948"/>
      <c r="BN139" s="948"/>
      <c r="BO139" s="948"/>
      <c r="BP139" s="948"/>
      <c r="BQ139" s="948"/>
      <c r="BR139" s="948"/>
      <c r="BS139" s="948"/>
      <c r="BT139" s="948"/>
      <c r="BU139" s="954"/>
    </row>
    <row r="140" spans="1:73" x14ac:dyDescent="0.2">
      <c r="A140" s="1227" t="s">
        <v>5091</v>
      </c>
      <c r="B140" s="1229">
        <v>2</v>
      </c>
      <c r="C140" s="1228">
        <v>570</v>
      </c>
      <c r="D140" s="1228">
        <v>0</v>
      </c>
      <c r="E140" s="1228">
        <v>10</v>
      </c>
      <c r="F140" s="1224">
        <v>7</v>
      </c>
      <c r="G140" s="948"/>
      <c r="H140" s="948"/>
      <c r="I140" s="948"/>
      <c r="J140" s="948"/>
      <c r="K140" s="949"/>
      <c r="L140" s="949"/>
      <c r="M140" s="949"/>
      <c r="N140" s="950"/>
      <c r="O140" s="948"/>
      <c r="P140" s="948"/>
      <c r="Q140" s="948"/>
      <c r="R140" s="949"/>
      <c r="S140" s="949"/>
      <c r="T140" s="949"/>
      <c r="U140" s="949"/>
      <c r="V140" s="949"/>
      <c r="W140" s="949"/>
      <c r="X140" s="951"/>
      <c r="Y140" s="951"/>
      <c r="Z140" s="952"/>
      <c r="AA140" s="953"/>
      <c r="AB140" s="948"/>
      <c r="AC140" s="948"/>
      <c r="AD140" s="949"/>
      <c r="AE140" s="949"/>
      <c r="AF140" s="949"/>
      <c r="AG140" s="949"/>
      <c r="AH140" s="949"/>
      <c r="AI140" s="949"/>
      <c r="AJ140" s="949"/>
      <c r="AK140" s="949"/>
      <c r="AL140" s="949"/>
      <c r="AM140" s="949"/>
      <c r="AN140" s="949"/>
      <c r="AO140" s="949"/>
      <c r="AP140" s="949"/>
      <c r="AQ140" s="949"/>
      <c r="AR140" s="949"/>
      <c r="AS140" s="949"/>
      <c r="AT140" s="949"/>
      <c r="AU140" s="949"/>
      <c r="AV140" s="949"/>
      <c r="AW140" s="949"/>
      <c r="AX140" s="949"/>
      <c r="AY140" s="949"/>
      <c r="AZ140" s="949"/>
      <c r="BA140" s="949"/>
      <c r="BB140" s="949"/>
      <c r="BC140" s="949"/>
      <c r="BD140" s="949"/>
      <c r="BE140" s="949"/>
      <c r="BF140" s="949"/>
      <c r="BG140" s="948"/>
      <c r="BH140" s="948"/>
      <c r="BI140" s="948"/>
      <c r="BJ140" s="948"/>
      <c r="BK140" s="948"/>
      <c r="BL140" s="948"/>
      <c r="BM140" s="948"/>
      <c r="BN140" s="948"/>
      <c r="BO140" s="948"/>
      <c r="BP140" s="948"/>
      <c r="BQ140" s="948"/>
      <c r="BR140" s="948"/>
      <c r="BS140" s="948"/>
      <c r="BT140" s="948"/>
      <c r="BU140" s="954"/>
    </row>
    <row r="141" spans="1:73" x14ac:dyDescent="0.2">
      <c r="A141" s="1227" t="s">
        <v>5117</v>
      </c>
      <c r="B141" s="1229">
        <v>1</v>
      </c>
      <c r="C141" s="1228"/>
      <c r="D141" s="1228"/>
      <c r="E141" s="1228"/>
      <c r="F141" s="1224"/>
      <c r="G141" s="948"/>
      <c r="H141" s="948"/>
      <c r="I141" s="948"/>
      <c r="J141" s="948"/>
      <c r="K141" s="949"/>
      <c r="L141" s="949"/>
      <c r="M141" s="949"/>
      <c r="N141" s="950"/>
      <c r="O141" s="948"/>
      <c r="P141" s="948"/>
      <c r="Q141" s="948"/>
      <c r="R141" s="949"/>
      <c r="S141" s="949"/>
      <c r="T141" s="949"/>
      <c r="U141" s="949"/>
      <c r="V141" s="949"/>
      <c r="W141" s="949"/>
      <c r="X141" s="951"/>
      <c r="Y141" s="951"/>
      <c r="Z141" s="952"/>
      <c r="AA141" s="953"/>
      <c r="AB141" s="948"/>
      <c r="AC141" s="948"/>
      <c r="AD141" s="949"/>
      <c r="AE141" s="949"/>
      <c r="AF141" s="949"/>
      <c r="AG141" s="949"/>
      <c r="AH141" s="949"/>
      <c r="AI141" s="949"/>
      <c r="AJ141" s="949"/>
      <c r="AK141" s="949"/>
      <c r="AL141" s="949"/>
      <c r="AM141" s="949"/>
      <c r="AN141" s="949"/>
      <c r="AO141" s="949"/>
      <c r="AP141" s="949"/>
      <c r="AQ141" s="949"/>
      <c r="AR141" s="949"/>
      <c r="AS141" s="949"/>
      <c r="AT141" s="949"/>
      <c r="AU141" s="949"/>
      <c r="AV141" s="949"/>
      <c r="AW141" s="949"/>
      <c r="AX141" s="949"/>
      <c r="AY141" s="949"/>
      <c r="AZ141" s="949"/>
      <c r="BA141" s="949"/>
      <c r="BB141" s="949"/>
      <c r="BC141" s="949"/>
      <c r="BD141" s="949"/>
      <c r="BE141" s="949"/>
      <c r="BF141" s="949"/>
      <c r="BG141" s="948"/>
      <c r="BH141" s="948"/>
      <c r="BI141" s="948"/>
      <c r="BJ141" s="948"/>
      <c r="BK141" s="948"/>
      <c r="BL141" s="948"/>
      <c r="BM141" s="948"/>
      <c r="BN141" s="948"/>
      <c r="BO141" s="948"/>
      <c r="BP141" s="948"/>
      <c r="BQ141" s="948"/>
      <c r="BR141" s="948"/>
      <c r="BS141" s="948"/>
      <c r="BT141" s="948"/>
      <c r="BU141" s="954"/>
    </row>
    <row r="142" spans="1:73" x14ac:dyDescent="0.2">
      <c r="A142" s="1227" t="s">
        <v>3509</v>
      </c>
      <c r="B142" s="1224">
        <v>90</v>
      </c>
      <c r="C142" s="1228">
        <v>27936</v>
      </c>
      <c r="D142" s="1228">
        <v>10918</v>
      </c>
      <c r="E142" s="1228">
        <v>6673</v>
      </c>
      <c r="F142" s="1224">
        <v>914</v>
      </c>
      <c r="G142" s="948"/>
      <c r="H142" s="948"/>
      <c r="I142" s="948"/>
      <c r="J142" s="948"/>
      <c r="K142" s="949"/>
      <c r="L142" s="949"/>
      <c r="M142" s="949"/>
      <c r="N142" s="950"/>
      <c r="O142" s="948"/>
      <c r="P142" s="948"/>
      <c r="Q142" s="948"/>
      <c r="R142" s="949"/>
      <c r="S142" s="949"/>
      <c r="T142" s="949"/>
      <c r="U142" s="949"/>
      <c r="V142" s="949"/>
      <c r="W142" s="949"/>
      <c r="X142" s="951"/>
      <c r="Y142" s="951"/>
      <c r="Z142" s="952"/>
      <c r="AA142" s="953"/>
      <c r="AB142" s="948"/>
      <c r="AC142" s="948"/>
      <c r="AD142" s="949"/>
      <c r="AE142" s="949"/>
      <c r="AF142" s="949"/>
      <c r="AG142" s="949"/>
      <c r="AH142" s="949"/>
      <c r="AI142" s="949"/>
      <c r="AJ142" s="949"/>
      <c r="AK142" s="949"/>
      <c r="AL142" s="949"/>
      <c r="AM142" s="949"/>
      <c r="AN142" s="949"/>
      <c r="AO142" s="949"/>
      <c r="AP142" s="949"/>
      <c r="AQ142" s="949"/>
      <c r="AR142" s="949"/>
      <c r="AS142" s="949"/>
      <c r="AT142" s="949"/>
      <c r="AU142" s="949"/>
      <c r="AV142" s="949"/>
      <c r="AW142" s="949"/>
      <c r="AX142" s="949"/>
      <c r="AY142" s="949"/>
      <c r="AZ142" s="949"/>
      <c r="BA142" s="949"/>
      <c r="BB142" s="949"/>
      <c r="BC142" s="949"/>
      <c r="BD142" s="949"/>
      <c r="BE142" s="949"/>
      <c r="BF142" s="949"/>
      <c r="BG142" s="948"/>
      <c r="BH142" s="948"/>
      <c r="BI142" s="948"/>
      <c r="BJ142" s="948"/>
      <c r="BK142" s="948"/>
      <c r="BL142" s="948"/>
      <c r="BM142" s="948"/>
      <c r="BN142" s="948"/>
      <c r="BO142" s="948"/>
      <c r="BP142" s="948"/>
      <c r="BQ142" s="948"/>
      <c r="BR142" s="948"/>
      <c r="BS142" s="948"/>
      <c r="BT142" s="948"/>
      <c r="BU142" s="954"/>
    </row>
    <row r="143" spans="1:73" x14ac:dyDescent="0.2">
      <c r="A143" s="1224"/>
      <c r="B143" s="1224"/>
      <c r="C143" s="1224"/>
      <c r="D143" s="1224"/>
      <c r="E143" s="1224"/>
      <c r="F143" s="1224"/>
      <c r="G143" s="948"/>
      <c r="H143" s="948"/>
      <c r="I143" s="948"/>
      <c r="J143" s="948"/>
      <c r="K143" s="949"/>
      <c r="L143" s="949"/>
      <c r="M143" s="949"/>
      <c r="N143" s="950"/>
      <c r="O143" s="948"/>
      <c r="P143" s="948"/>
      <c r="Q143" s="948"/>
      <c r="R143" s="949"/>
      <c r="S143" s="949"/>
      <c r="T143" s="949"/>
      <c r="U143" s="949"/>
      <c r="V143" s="949"/>
      <c r="W143" s="949"/>
      <c r="X143" s="951"/>
      <c r="Y143" s="951"/>
      <c r="Z143" s="952"/>
      <c r="AA143" s="953"/>
      <c r="AB143" s="948"/>
      <c r="AC143" s="948"/>
      <c r="AD143" s="949"/>
      <c r="AE143" s="949"/>
      <c r="AF143" s="949"/>
      <c r="AG143" s="949"/>
      <c r="AH143" s="949"/>
      <c r="AI143" s="949"/>
      <c r="AJ143" s="949"/>
      <c r="AK143" s="949"/>
      <c r="AL143" s="949"/>
      <c r="AM143" s="949"/>
      <c r="AN143" s="949"/>
      <c r="AO143" s="949"/>
      <c r="AP143" s="949"/>
      <c r="AQ143" s="949"/>
      <c r="AR143" s="949"/>
      <c r="AS143" s="949"/>
      <c r="AT143" s="949"/>
      <c r="AU143" s="949"/>
      <c r="AV143" s="949"/>
      <c r="AW143" s="949"/>
      <c r="AX143" s="949"/>
      <c r="AY143" s="949"/>
      <c r="AZ143" s="949"/>
      <c r="BA143" s="949"/>
      <c r="BB143" s="949"/>
      <c r="BC143" s="949"/>
      <c r="BD143" s="949"/>
      <c r="BE143" s="949"/>
      <c r="BF143" s="949"/>
      <c r="BG143" s="948"/>
      <c r="BH143" s="948"/>
      <c r="BI143" s="948"/>
      <c r="BJ143" s="948"/>
      <c r="BK143" s="948"/>
      <c r="BL143" s="948"/>
      <c r="BM143" s="948"/>
      <c r="BN143" s="948"/>
      <c r="BO143" s="948"/>
      <c r="BP143" s="948"/>
      <c r="BQ143" s="948"/>
      <c r="BR143" s="948"/>
      <c r="BS143" s="948"/>
      <c r="BT143" s="948"/>
      <c r="BU143" s="954"/>
    </row>
    <row r="144" spans="1:73" x14ac:dyDescent="0.2">
      <c r="A144" s="1224"/>
      <c r="B144" s="1224"/>
      <c r="C144" s="947"/>
      <c r="D144" s="948"/>
      <c r="E144" s="948"/>
      <c r="F144" s="948"/>
      <c r="G144" s="948"/>
      <c r="H144" s="948"/>
      <c r="I144" s="948"/>
      <c r="J144" s="948"/>
      <c r="K144" s="949"/>
      <c r="L144" s="949"/>
      <c r="M144" s="949"/>
      <c r="N144" s="950"/>
      <c r="O144" s="948"/>
      <c r="P144" s="948"/>
      <c r="Q144" s="948"/>
      <c r="R144" s="949"/>
      <c r="S144" s="949"/>
      <c r="T144" s="949"/>
      <c r="U144" s="949"/>
      <c r="V144" s="949"/>
      <c r="W144" s="949"/>
      <c r="X144" s="951"/>
      <c r="Y144" s="951"/>
      <c r="Z144" s="952"/>
      <c r="AA144" s="953"/>
      <c r="AB144" s="948"/>
      <c r="AC144" s="948"/>
      <c r="AD144" s="949"/>
      <c r="AE144" s="949"/>
      <c r="AF144" s="949"/>
      <c r="AG144" s="949"/>
      <c r="AH144" s="949"/>
      <c r="AI144" s="949"/>
      <c r="AJ144" s="949"/>
      <c r="AK144" s="949"/>
      <c r="AL144" s="949"/>
      <c r="AM144" s="949"/>
      <c r="AN144" s="949"/>
      <c r="AO144" s="949"/>
      <c r="AP144" s="949"/>
      <c r="AQ144" s="949"/>
      <c r="AR144" s="949"/>
      <c r="AS144" s="949"/>
      <c r="AT144" s="949"/>
      <c r="AU144" s="949"/>
      <c r="AV144" s="949"/>
      <c r="AW144" s="949"/>
      <c r="AX144" s="949"/>
      <c r="AY144" s="949"/>
      <c r="AZ144" s="949"/>
      <c r="BA144" s="949"/>
      <c r="BB144" s="949"/>
      <c r="BC144" s="949"/>
      <c r="BD144" s="949"/>
      <c r="BE144" s="949"/>
      <c r="BF144" s="949"/>
      <c r="BG144" s="948"/>
      <c r="BH144" s="948"/>
      <c r="BI144" s="948"/>
      <c r="BJ144" s="948"/>
      <c r="BK144" s="948"/>
      <c r="BL144" s="948"/>
      <c r="BM144" s="948"/>
      <c r="BN144" s="948"/>
      <c r="BO144" s="948"/>
      <c r="BP144" s="948"/>
      <c r="BQ144" s="948"/>
      <c r="BR144" s="948"/>
      <c r="BS144" s="948"/>
      <c r="BT144" s="948"/>
      <c r="BU144" s="954"/>
    </row>
    <row r="145" spans="1:73" x14ac:dyDescent="0.2">
      <c r="A145" s="1230" t="s">
        <v>5178</v>
      </c>
      <c r="B145" s="1229"/>
      <c r="C145" s="947"/>
      <c r="D145" s="948"/>
      <c r="E145" s="948"/>
      <c r="F145" s="948"/>
      <c r="G145" s="948"/>
      <c r="H145" s="948"/>
      <c r="I145" s="948"/>
      <c r="J145" s="948"/>
      <c r="K145" s="949"/>
      <c r="L145" s="949"/>
      <c r="M145" s="949"/>
      <c r="N145" s="950"/>
      <c r="O145" s="948"/>
      <c r="P145" s="948"/>
      <c r="Q145" s="948"/>
      <c r="R145" s="949"/>
      <c r="S145" s="949"/>
      <c r="T145" s="949"/>
      <c r="U145" s="949"/>
      <c r="V145" s="949"/>
      <c r="W145" s="949"/>
      <c r="X145" s="951"/>
      <c r="Y145" s="951"/>
      <c r="Z145" s="952"/>
      <c r="AA145" s="953"/>
      <c r="AB145" s="948"/>
      <c r="AC145" s="948"/>
      <c r="AD145" s="949"/>
      <c r="AE145" s="949"/>
      <c r="AF145" s="949"/>
      <c r="AG145" s="949"/>
      <c r="AH145" s="949"/>
      <c r="AI145" s="949"/>
      <c r="AJ145" s="949"/>
      <c r="AK145" s="949"/>
      <c r="AL145" s="949"/>
      <c r="AM145" s="949"/>
      <c r="AN145" s="949"/>
      <c r="AO145" s="949"/>
      <c r="AP145" s="949"/>
      <c r="AQ145" s="949"/>
      <c r="AR145" s="949"/>
      <c r="AS145" s="949"/>
      <c r="AT145" s="949"/>
      <c r="AU145" s="949"/>
      <c r="AV145" s="949"/>
      <c r="AW145" s="949"/>
      <c r="AX145" s="949"/>
      <c r="AY145" s="949"/>
      <c r="AZ145" s="949"/>
      <c r="BA145" s="949"/>
      <c r="BB145" s="949"/>
      <c r="BC145" s="949"/>
      <c r="BD145" s="949"/>
      <c r="BE145" s="949"/>
      <c r="BF145" s="949"/>
      <c r="BG145" s="948"/>
      <c r="BH145" s="948"/>
      <c r="BI145" s="948"/>
      <c r="BJ145" s="948"/>
      <c r="BK145" s="948"/>
      <c r="BL145" s="948"/>
      <c r="BM145" s="948"/>
      <c r="BN145" s="948"/>
      <c r="BO145" s="948"/>
      <c r="BP145" s="948"/>
      <c r="BQ145" s="948"/>
      <c r="BR145" s="948"/>
      <c r="BS145" s="948"/>
      <c r="BT145" s="948"/>
      <c r="BU145" s="954"/>
    </row>
    <row r="146" spans="1:73" x14ac:dyDescent="0.2">
      <c r="A146" s="1231" t="s">
        <v>5179</v>
      </c>
      <c r="B146" s="1229">
        <f>SUM(B135:B140)+ SUM(GETPIVOTDATA("Súčet z Záujem?",$A$124,"KATEGÓRIA","B1 (vš)"))</f>
        <v>9</v>
      </c>
      <c r="C146" s="947"/>
      <c r="D146" s="948"/>
      <c r="E146" s="948"/>
      <c r="F146" s="948"/>
      <c r="G146" s="948"/>
      <c r="H146" s="948"/>
      <c r="I146" s="948"/>
      <c r="J146" s="948"/>
      <c r="K146" s="949"/>
      <c r="L146" s="949"/>
      <c r="M146" s="949"/>
      <c r="N146" s="950"/>
      <c r="O146" s="948"/>
      <c r="P146" s="948"/>
      <c r="Q146" s="948"/>
      <c r="R146" s="949"/>
      <c r="S146" s="949"/>
      <c r="T146" s="949"/>
      <c r="U146" s="949"/>
      <c r="V146" s="949"/>
      <c r="W146" s="949"/>
      <c r="X146" s="951"/>
      <c r="Y146" s="951"/>
      <c r="Z146" s="952"/>
      <c r="AA146" s="953"/>
      <c r="AB146" s="948"/>
      <c r="AC146" s="948"/>
      <c r="AD146" s="949"/>
      <c r="AE146" s="949"/>
      <c r="AF146" s="949"/>
      <c r="AG146" s="949"/>
      <c r="AH146" s="949"/>
      <c r="AI146" s="949"/>
      <c r="AJ146" s="949"/>
      <c r="AK146" s="949"/>
      <c r="AL146" s="949"/>
      <c r="AM146" s="949"/>
      <c r="AN146" s="949"/>
      <c r="AO146" s="949"/>
      <c r="AP146" s="949"/>
      <c r="AQ146" s="949"/>
      <c r="AR146" s="949"/>
      <c r="AS146" s="949"/>
      <c r="AT146" s="949"/>
      <c r="AU146" s="949"/>
      <c r="AV146" s="949"/>
      <c r="AW146" s="949"/>
      <c r="AX146" s="949"/>
      <c r="AY146" s="949"/>
      <c r="AZ146" s="949"/>
      <c r="BA146" s="949"/>
      <c r="BB146" s="949"/>
      <c r="BC146" s="949"/>
      <c r="BD146" s="949"/>
      <c r="BE146" s="949"/>
      <c r="BF146" s="949"/>
      <c r="BG146" s="948"/>
      <c r="BH146" s="948"/>
      <c r="BI146" s="948"/>
      <c r="BJ146" s="948"/>
      <c r="BK146" s="948"/>
      <c r="BL146" s="948"/>
      <c r="BM146" s="948"/>
      <c r="BN146" s="948"/>
      <c r="BO146" s="948"/>
      <c r="BP146" s="948"/>
      <c r="BQ146" s="948"/>
      <c r="BR146" s="948"/>
      <c r="BS146" s="948"/>
      <c r="BT146" s="948"/>
      <c r="BU146" s="954"/>
    </row>
    <row r="147" spans="1:73" x14ac:dyDescent="0.2">
      <c r="A147" s="1231" t="s">
        <v>5180</v>
      </c>
      <c r="B147" s="1229">
        <f>SUM(B141:B142)</f>
        <v>91</v>
      </c>
      <c r="C147" s="947"/>
      <c r="D147" s="948"/>
      <c r="E147" s="948"/>
      <c r="F147" s="948"/>
      <c r="G147" s="948"/>
      <c r="H147" s="948"/>
      <c r="I147" s="948"/>
      <c r="J147" s="948"/>
      <c r="K147" s="949"/>
      <c r="L147" s="949"/>
      <c r="M147" s="949"/>
      <c r="N147" s="950"/>
      <c r="O147" s="948"/>
      <c r="P147" s="948"/>
      <c r="Q147" s="948"/>
      <c r="R147" s="949"/>
      <c r="S147" s="949"/>
      <c r="T147" s="949"/>
      <c r="U147" s="949"/>
      <c r="V147" s="949"/>
      <c r="W147" s="949"/>
      <c r="X147" s="951"/>
      <c r="Y147" s="951"/>
      <c r="Z147" s="952"/>
      <c r="AA147" s="953"/>
      <c r="AB147" s="948"/>
      <c r="AC147" s="948"/>
      <c r="AD147" s="949"/>
      <c r="AE147" s="949"/>
      <c r="AF147" s="949"/>
      <c r="AG147" s="949"/>
      <c r="AH147" s="949"/>
      <c r="AI147" s="949"/>
      <c r="AJ147" s="949"/>
      <c r="AK147" s="949"/>
      <c r="AL147" s="949"/>
      <c r="AM147" s="949"/>
      <c r="AN147" s="949"/>
      <c r="AO147" s="949"/>
      <c r="AP147" s="949"/>
      <c r="AQ147" s="949"/>
      <c r="AR147" s="949"/>
      <c r="AS147" s="949"/>
      <c r="AT147" s="949"/>
      <c r="AU147" s="949"/>
      <c r="AV147" s="949"/>
      <c r="AW147" s="949"/>
      <c r="AX147" s="949"/>
      <c r="AY147" s="949"/>
      <c r="AZ147" s="949"/>
      <c r="BA147" s="949"/>
      <c r="BB147" s="949"/>
      <c r="BC147" s="949"/>
      <c r="BD147" s="949"/>
      <c r="BE147" s="949"/>
      <c r="BF147" s="949"/>
      <c r="BG147" s="948"/>
      <c r="BH147" s="948"/>
      <c r="BI147" s="948"/>
      <c r="BJ147" s="948"/>
      <c r="BK147" s="948"/>
      <c r="BL147" s="948"/>
      <c r="BM147" s="948"/>
      <c r="BN147" s="948"/>
      <c r="BO147" s="948"/>
      <c r="BP147" s="948"/>
      <c r="BQ147" s="948"/>
      <c r="BR147" s="948"/>
      <c r="BS147" s="948"/>
      <c r="BT147" s="948"/>
      <c r="BU147" s="954"/>
    </row>
    <row r="148" spans="1:73" x14ac:dyDescent="0.2">
      <c r="A148" s="1224"/>
      <c r="B148" s="1224"/>
      <c r="C148" s="947"/>
      <c r="D148" s="948"/>
      <c r="E148" s="948"/>
      <c r="F148" s="948"/>
      <c r="G148" s="948"/>
      <c r="H148" s="948"/>
      <c r="I148" s="948"/>
      <c r="J148" s="948"/>
      <c r="K148" s="949"/>
      <c r="L148" s="949"/>
      <c r="M148" s="949"/>
      <c r="N148" s="950"/>
      <c r="O148" s="948"/>
      <c r="P148" s="948"/>
      <c r="Q148" s="948"/>
      <c r="R148" s="949"/>
      <c r="S148" s="949"/>
      <c r="T148" s="949"/>
      <c r="U148" s="949"/>
      <c r="V148" s="949"/>
      <c r="W148" s="949"/>
      <c r="X148" s="951"/>
      <c r="Y148" s="951"/>
      <c r="Z148" s="952"/>
      <c r="AA148" s="953"/>
      <c r="AB148" s="948"/>
      <c r="AC148" s="948"/>
      <c r="AD148" s="949"/>
      <c r="AE148" s="949"/>
      <c r="AF148" s="949"/>
      <c r="AG148" s="949"/>
      <c r="AH148" s="949"/>
      <c r="AI148" s="949"/>
      <c r="AJ148" s="949"/>
      <c r="AK148" s="949"/>
      <c r="AL148" s="949"/>
      <c r="AM148" s="949"/>
      <c r="AN148" s="949"/>
      <c r="AO148" s="949"/>
      <c r="AP148" s="949"/>
      <c r="AQ148" s="949"/>
      <c r="AR148" s="949"/>
      <c r="AS148" s="949"/>
      <c r="AT148" s="949"/>
      <c r="AU148" s="949"/>
      <c r="AV148" s="949"/>
      <c r="AW148" s="949"/>
      <c r="AX148" s="949"/>
      <c r="AY148" s="949"/>
      <c r="AZ148" s="949"/>
      <c r="BA148" s="949"/>
      <c r="BB148" s="949"/>
      <c r="BC148" s="949"/>
      <c r="BD148" s="949"/>
      <c r="BE148" s="949"/>
      <c r="BF148" s="949"/>
      <c r="BG148" s="948"/>
      <c r="BH148" s="948"/>
      <c r="BI148" s="948"/>
      <c r="BJ148" s="948"/>
      <c r="BK148" s="948"/>
      <c r="BL148" s="948"/>
      <c r="BM148" s="948"/>
      <c r="BN148" s="948"/>
      <c r="BO148" s="948"/>
      <c r="BP148" s="948"/>
      <c r="BQ148" s="948"/>
      <c r="BR148" s="948"/>
      <c r="BS148" s="948"/>
      <c r="BT148" s="948"/>
      <c r="BU148" s="954"/>
    </row>
    <row r="149" spans="1:73" x14ac:dyDescent="0.2">
      <c r="A149" s="1224"/>
      <c r="B149" s="1224"/>
      <c r="C149" s="947"/>
      <c r="D149" s="948"/>
      <c r="E149" s="948"/>
      <c r="F149" s="948"/>
      <c r="G149" s="948"/>
      <c r="H149" s="948"/>
      <c r="I149" s="948"/>
      <c r="J149" s="948"/>
      <c r="K149" s="949"/>
      <c r="L149" s="949"/>
      <c r="M149" s="949"/>
      <c r="N149" s="950"/>
      <c r="O149" s="948"/>
      <c r="P149" s="948"/>
      <c r="Q149" s="948"/>
      <c r="R149" s="949"/>
      <c r="S149" s="949"/>
      <c r="T149" s="949"/>
      <c r="U149" s="949"/>
      <c r="V149" s="949"/>
      <c r="W149" s="949"/>
      <c r="X149" s="951"/>
      <c r="Y149" s="951"/>
      <c r="Z149" s="952"/>
      <c r="AA149" s="953"/>
      <c r="AB149" s="948"/>
      <c r="AC149" s="948"/>
      <c r="AD149" s="949"/>
      <c r="AE149" s="949"/>
      <c r="AF149" s="949"/>
      <c r="AG149" s="949"/>
      <c r="AH149" s="949"/>
      <c r="AI149" s="949"/>
      <c r="AJ149" s="949"/>
      <c r="AK149" s="949"/>
      <c r="AL149" s="949"/>
      <c r="AM149" s="949"/>
      <c r="AN149" s="949"/>
      <c r="AO149" s="949"/>
      <c r="AP149" s="949"/>
      <c r="AQ149" s="949"/>
      <c r="AR149" s="949"/>
      <c r="AS149" s="949"/>
      <c r="AT149" s="949"/>
      <c r="AU149" s="949"/>
      <c r="AV149" s="949"/>
      <c r="AW149" s="949"/>
      <c r="AX149" s="949"/>
      <c r="AY149" s="949"/>
      <c r="AZ149" s="949"/>
      <c r="BA149" s="949"/>
      <c r="BB149" s="949"/>
      <c r="BC149" s="949"/>
      <c r="BD149" s="949"/>
      <c r="BE149" s="949"/>
      <c r="BF149" s="949"/>
      <c r="BG149" s="948"/>
      <c r="BH149" s="948"/>
      <c r="BI149" s="948"/>
      <c r="BJ149" s="948"/>
      <c r="BK149" s="948"/>
      <c r="BL149" s="948"/>
      <c r="BM149" s="948"/>
      <c r="BN149" s="948"/>
      <c r="BO149" s="948"/>
      <c r="BP149" s="948"/>
      <c r="BQ149" s="948"/>
      <c r="BR149" s="948"/>
      <c r="BS149" s="948"/>
      <c r="BT149" s="948"/>
      <c r="BU149" s="954"/>
    </row>
    <row r="150" spans="1:73" x14ac:dyDescent="0.2">
      <c r="A150" s="1224"/>
      <c r="B150" s="1224"/>
      <c r="C150" s="947"/>
      <c r="D150" s="948"/>
      <c r="E150" s="948"/>
      <c r="F150" s="948"/>
      <c r="G150" s="948"/>
      <c r="H150" s="948"/>
      <c r="I150" s="948"/>
      <c r="J150" s="948"/>
      <c r="K150" s="949"/>
      <c r="L150" s="949"/>
      <c r="M150" s="949"/>
      <c r="N150" s="950"/>
      <c r="O150" s="948"/>
      <c r="P150" s="948"/>
      <c r="Q150" s="948"/>
      <c r="R150" s="949"/>
      <c r="S150" s="949"/>
      <c r="T150" s="949"/>
      <c r="U150" s="949"/>
      <c r="V150" s="949"/>
      <c r="W150" s="949"/>
      <c r="X150" s="951"/>
      <c r="Y150" s="951"/>
      <c r="Z150" s="952"/>
      <c r="AA150" s="953"/>
      <c r="AB150" s="948"/>
      <c r="AC150" s="948"/>
      <c r="AD150" s="949"/>
      <c r="AE150" s="949"/>
      <c r="AF150" s="949"/>
      <c r="AG150" s="949"/>
      <c r="AH150" s="949"/>
      <c r="AI150" s="949"/>
      <c r="AJ150" s="949"/>
      <c r="AK150" s="949"/>
      <c r="AL150" s="949"/>
      <c r="AM150" s="949"/>
      <c r="AN150" s="949"/>
      <c r="AO150" s="949"/>
      <c r="AP150" s="949"/>
      <c r="AQ150" s="949"/>
      <c r="AR150" s="949"/>
      <c r="AS150" s="949"/>
      <c r="AT150" s="949"/>
      <c r="AU150" s="949"/>
      <c r="AV150" s="949"/>
      <c r="AW150" s="949"/>
      <c r="AX150" s="949"/>
      <c r="AY150" s="949"/>
      <c r="AZ150" s="949"/>
      <c r="BA150" s="949"/>
      <c r="BB150" s="949"/>
      <c r="BC150" s="949"/>
      <c r="BD150" s="949"/>
      <c r="BE150" s="949"/>
      <c r="BF150" s="949"/>
      <c r="BG150" s="948"/>
      <c r="BH150" s="948"/>
      <c r="BI150" s="948"/>
      <c r="BJ150" s="948"/>
      <c r="BK150" s="948"/>
      <c r="BL150" s="948"/>
      <c r="BM150" s="948"/>
      <c r="BN150" s="948"/>
      <c r="BO150" s="948"/>
      <c r="BP150" s="948"/>
      <c r="BQ150" s="948"/>
      <c r="BR150" s="948"/>
      <c r="BS150" s="948"/>
      <c r="BT150" s="948"/>
      <c r="BU150" s="954"/>
    </row>
    <row r="151" spans="1:73" x14ac:dyDescent="0.2">
      <c r="A151" s="1224"/>
      <c r="B151" s="1224"/>
      <c r="C151" s="947"/>
      <c r="D151" s="948"/>
      <c r="E151" s="948"/>
      <c r="F151" s="948"/>
      <c r="G151" s="948"/>
      <c r="H151" s="948"/>
      <c r="I151" s="948"/>
      <c r="J151" s="948"/>
      <c r="K151" s="949"/>
      <c r="L151" s="949"/>
      <c r="M151" s="949"/>
      <c r="N151" s="950"/>
      <c r="O151" s="948"/>
      <c r="P151" s="948"/>
      <c r="Q151" s="948"/>
      <c r="R151" s="949"/>
      <c r="S151" s="949"/>
      <c r="T151" s="949"/>
      <c r="U151" s="949"/>
      <c r="V151" s="949"/>
      <c r="W151" s="949"/>
      <c r="X151" s="951"/>
      <c r="Y151" s="951"/>
      <c r="Z151" s="952"/>
      <c r="AA151" s="953"/>
      <c r="AB151" s="948"/>
      <c r="AC151" s="948"/>
      <c r="AD151" s="949"/>
      <c r="AE151" s="949"/>
      <c r="AF151" s="949"/>
      <c r="AG151" s="949"/>
      <c r="AH151" s="949"/>
      <c r="AI151" s="949"/>
      <c r="AJ151" s="949"/>
      <c r="AK151" s="949"/>
      <c r="AL151" s="949"/>
      <c r="AM151" s="949"/>
      <c r="AN151" s="949"/>
      <c r="AO151" s="949"/>
      <c r="AP151" s="949"/>
      <c r="AQ151" s="949"/>
      <c r="AR151" s="949"/>
      <c r="AS151" s="949"/>
      <c r="AT151" s="949"/>
      <c r="AU151" s="949"/>
      <c r="AV151" s="949"/>
      <c r="AW151" s="949"/>
      <c r="AX151" s="949"/>
      <c r="AY151" s="949"/>
      <c r="AZ151" s="949"/>
      <c r="BA151" s="949"/>
      <c r="BB151" s="949"/>
      <c r="BC151" s="949"/>
      <c r="BD151" s="949"/>
      <c r="BE151" s="949"/>
      <c r="BF151" s="949"/>
      <c r="BG151" s="948"/>
      <c r="BH151" s="948"/>
      <c r="BI151" s="948"/>
      <c r="BJ151" s="948"/>
      <c r="BK151" s="948"/>
      <c r="BL151" s="948"/>
      <c r="BM151" s="948"/>
      <c r="BN151" s="948"/>
      <c r="BO151" s="948"/>
      <c r="BP151" s="948"/>
      <c r="BQ151" s="948"/>
      <c r="BR151" s="948"/>
      <c r="BS151" s="948"/>
      <c r="BT151" s="948"/>
      <c r="BU151" s="954"/>
    </row>
    <row r="152" spans="1:73" x14ac:dyDescent="0.2">
      <c r="A152" s="1224"/>
      <c r="B152" s="1224"/>
      <c r="C152" s="947"/>
      <c r="D152" s="948"/>
      <c r="E152" s="948"/>
      <c r="F152" s="948"/>
      <c r="G152" s="948"/>
      <c r="H152" s="948"/>
      <c r="I152" s="948"/>
      <c r="J152" s="948"/>
      <c r="K152" s="949"/>
      <c r="L152" s="949"/>
      <c r="M152" s="949"/>
      <c r="N152" s="950"/>
      <c r="O152" s="948"/>
      <c r="P152" s="948"/>
      <c r="Q152" s="948"/>
      <c r="R152" s="949"/>
      <c r="S152" s="949"/>
      <c r="T152" s="949"/>
      <c r="U152" s="949"/>
      <c r="V152" s="949"/>
      <c r="W152" s="949"/>
      <c r="X152" s="951"/>
      <c r="Y152" s="951"/>
      <c r="Z152" s="952"/>
      <c r="AA152" s="953"/>
      <c r="AB152" s="948"/>
      <c r="AC152" s="948"/>
      <c r="AD152" s="949"/>
      <c r="AE152" s="949"/>
      <c r="AF152" s="949"/>
      <c r="AG152" s="949"/>
      <c r="AH152" s="949"/>
      <c r="AI152" s="949"/>
      <c r="AJ152" s="949"/>
      <c r="AK152" s="949"/>
      <c r="AL152" s="949"/>
      <c r="AM152" s="949"/>
      <c r="AN152" s="949"/>
      <c r="AO152" s="949"/>
      <c r="AP152" s="949"/>
      <c r="AQ152" s="949"/>
      <c r="AR152" s="949"/>
      <c r="AS152" s="949"/>
      <c r="AT152" s="949"/>
      <c r="AU152" s="949"/>
      <c r="AV152" s="949"/>
      <c r="AW152" s="949"/>
      <c r="AX152" s="949"/>
      <c r="AY152" s="949"/>
      <c r="AZ152" s="949"/>
      <c r="BA152" s="949"/>
      <c r="BB152" s="949"/>
      <c r="BC152" s="949"/>
      <c r="BD152" s="949"/>
      <c r="BE152" s="949"/>
      <c r="BF152" s="949"/>
      <c r="BG152" s="948"/>
      <c r="BH152" s="948"/>
      <c r="BI152" s="948"/>
      <c r="BJ152" s="948"/>
      <c r="BK152" s="948"/>
      <c r="BL152" s="948"/>
      <c r="BM152" s="948"/>
      <c r="BN152" s="948"/>
      <c r="BO152" s="948"/>
      <c r="BP152" s="948"/>
      <c r="BQ152" s="948"/>
      <c r="BR152" s="948"/>
      <c r="BS152" s="948"/>
      <c r="BT152" s="948"/>
      <c r="BU152" s="954"/>
    </row>
    <row r="153" spans="1:73" x14ac:dyDescent="0.2">
      <c r="A153" s="1224"/>
      <c r="B153" s="1224"/>
      <c r="C153" s="947"/>
      <c r="D153" s="948"/>
      <c r="E153" s="948"/>
      <c r="F153" s="948"/>
      <c r="G153" s="948"/>
      <c r="H153" s="948"/>
      <c r="I153" s="948"/>
      <c r="J153" s="948"/>
      <c r="K153" s="949"/>
      <c r="L153" s="949"/>
      <c r="M153" s="949"/>
      <c r="N153" s="950"/>
      <c r="O153" s="948"/>
      <c r="P153" s="948"/>
      <c r="Q153" s="948"/>
      <c r="R153" s="949"/>
      <c r="S153" s="949"/>
      <c r="T153" s="949"/>
      <c r="U153" s="949"/>
      <c r="V153" s="949"/>
      <c r="W153" s="949"/>
      <c r="X153" s="951"/>
      <c r="Y153" s="951"/>
      <c r="Z153" s="952"/>
      <c r="AA153" s="953"/>
      <c r="AB153" s="948"/>
      <c r="AC153" s="948"/>
      <c r="AD153" s="949"/>
      <c r="AE153" s="949"/>
      <c r="AF153" s="949"/>
      <c r="AG153" s="949"/>
      <c r="AH153" s="949"/>
      <c r="AI153" s="949"/>
      <c r="AJ153" s="949"/>
      <c r="AK153" s="949"/>
      <c r="AL153" s="949"/>
      <c r="AM153" s="949"/>
      <c r="AN153" s="949"/>
      <c r="AO153" s="949"/>
      <c r="AP153" s="949"/>
      <c r="AQ153" s="949"/>
      <c r="AR153" s="949"/>
      <c r="AS153" s="949"/>
      <c r="AT153" s="949"/>
      <c r="AU153" s="949"/>
      <c r="AV153" s="949"/>
      <c r="AW153" s="949"/>
      <c r="AX153" s="949"/>
      <c r="AY153" s="949"/>
      <c r="AZ153" s="949"/>
      <c r="BA153" s="949"/>
      <c r="BB153" s="949"/>
      <c r="BC153" s="949"/>
      <c r="BD153" s="949"/>
      <c r="BE153" s="949"/>
      <c r="BF153" s="949"/>
      <c r="BG153" s="948"/>
      <c r="BH153" s="948"/>
      <c r="BI153" s="948"/>
      <c r="BJ153" s="948"/>
      <c r="BK153" s="948"/>
      <c r="BL153" s="948"/>
      <c r="BM153" s="948"/>
      <c r="BN153" s="948"/>
      <c r="BO153" s="948"/>
      <c r="BP153" s="948"/>
      <c r="BQ153" s="948"/>
      <c r="BR153" s="948"/>
      <c r="BS153" s="948"/>
      <c r="BT153" s="948"/>
      <c r="BU153" s="954"/>
    </row>
    <row r="154" spans="1:73" x14ac:dyDescent="0.2">
      <c r="A154" s="1224"/>
      <c r="B154" s="1224"/>
      <c r="C154" s="947"/>
      <c r="D154" s="948"/>
      <c r="E154" s="948"/>
      <c r="F154" s="948"/>
      <c r="G154" s="948"/>
      <c r="H154" s="948"/>
      <c r="I154" s="948"/>
      <c r="J154" s="948"/>
      <c r="K154" s="949"/>
      <c r="L154" s="949"/>
      <c r="M154" s="949"/>
      <c r="N154" s="950"/>
      <c r="O154" s="948"/>
      <c r="P154" s="948"/>
      <c r="Q154" s="948"/>
      <c r="R154" s="949"/>
      <c r="S154" s="949"/>
      <c r="T154" s="949"/>
      <c r="U154" s="949"/>
      <c r="V154" s="949"/>
      <c r="W154" s="949"/>
      <c r="X154" s="951"/>
      <c r="Y154" s="951"/>
      <c r="Z154" s="952"/>
      <c r="AA154" s="953"/>
      <c r="AB154" s="948"/>
      <c r="AC154" s="948"/>
      <c r="AD154" s="949"/>
      <c r="AE154" s="949"/>
      <c r="AF154" s="949"/>
      <c r="AG154" s="949"/>
      <c r="AH154" s="949"/>
      <c r="AI154" s="949"/>
      <c r="AJ154" s="949"/>
      <c r="AK154" s="949"/>
      <c r="AL154" s="949"/>
      <c r="AM154" s="949"/>
      <c r="AN154" s="949"/>
      <c r="AO154" s="949"/>
      <c r="AP154" s="949"/>
      <c r="AQ154" s="949"/>
      <c r="AR154" s="949"/>
      <c r="AS154" s="949"/>
      <c r="AT154" s="949"/>
      <c r="AU154" s="949"/>
      <c r="AV154" s="949"/>
      <c r="AW154" s="949"/>
      <c r="AX154" s="949"/>
      <c r="AY154" s="949"/>
      <c r="AZ154" s="949"/>
      <c r="BA154" s="949"/>
      <c r="BB154" s="949"/>
      <c r="BC154" s="949"/>
      <c r="BD154" s="949"/>
      <c r="BE154" s="949"/>
      <c r="BF154" s="949"/>
      <c r="BG154" s="948"/>
      <c r="BH154" s="948"/>
      <c r="BI154" s="948"/>
      <c r="BJ154" s="948"/>
      <c r="BK154" s="948"/>
      <c r="BL154" s="948"/>
      <c r="BM154" s="948"/>
      <c r="BN154" s="948"/>
      <c r="BO154" s="948"/>
      <c r="BP154" s="948"/>
      <c r="BQ154" s="948"/>
      <c r="BR154" s="948"/>
      <c r="BS154" s="948"/>
      <c r="BT154" s="948"/>
      <c r="BU154" s="954"/>
    </row>
    <row r="155" spans="1:73" x14ac:dyDescent="0.2">
      <c r="A155" s="1224"/>
      <c r="B155" s="1224"/>
      <c r="C155" s="947"/>
      <c r="D155" s="948"/>
      <c r="E155" s="948"/>
      <c r="F155" s="948"/>
      <c r="G155" s="948"/>
      <c r="H155" s="948"/>
      <c r="I155" s="948"/>
      <c r="J155" s="948"/>
      <c r="K155" s="949"/>
      <c r="L155" s="949"/>
      <c r="M155" s="949"/>
      <c r="N155" s="950"/>
      <c r="O155" s="948"/>
      <c r="P155" s="948"/>
      <c r="Q155" s="948"/>
      <c r="R155" s="949"/>
      <c r="S155" s="949"/>
      <c r="T155" s="949"/>
      <c r="U155" s="949"/>
      <c r="V155" s="949"/>
      <c r="W155" s="949"/>
      <c r="X155" s="951"/>
      <c r="Y155" s="951"/>
      <c r="Z155" s="952"/>
      <c r="AA155" s="953"/>
      <c r="AB155" s="948"/>
      <c r="AC155" s="948"/>
      <c r="AD155" s="949"/>
      <c r="AE155" s="949"/>
      <c r="AF155" s="949"/>
      <c r="AG155" s="949"/>
      <c r="AH155" s="949"/>
      <c r="AI155" s="949"/>
      <c r="AJ155" s="949"/>
      <c r="AK155" s="949"/>
      <c r="AL155" s="949"/>
      <c r="AM155" s="949"/>
      <c r="AN155" s="949"/>
      <c r="AO155" s="949"/>
      <c r="AP155" s="949"/>
      <c r="AQ155" s="949"/>
      <c r="AR155" s="949"/>
      <c r="AS155" s="949"/>
      <c r="AT155" s="949"/>
      <c r="AU155" s="949"/>
      <c r="AV155" s="949"/>
      <c r="AW155" s="949"/>
      <c r="AX155" s="949"/>
      <c r="AY155" s="949"/>
      <c r="AZ155" s="949"/>
      <c r="BA155" s="949"/>
      <c r="BB155" s="949"/>
      <c r="BC155" s="949"/>
      <c r="BD155" s="949"/>
      <c r="BE155" s="949"/>
      <c r="BF155" s="949"/>
      <c r="BG155" s="948"/>
      <c r="BH155" s="948"/>
      <c r="BI155" s="948"/>
      <c r="BJ155" s="948"/>
      <c r="BK155" s="948"/>
      <c r="BL155" s="948"/>
      <c r="BM155" s="948"/>
      <c r="BN155" s="948"/>
      <c r="BO155" s="948"/>
      <c r="BP155" s="948"/>
      <c r="BQ155" s="948"/>
      <c r="BR155" s="948"/>
      <c r="BS155" s="948"/>
      <c r="BT155" s="948"/>
      <c r="BU155" s="954"/>
    </row>
    <row r="156" spans="1:73" x14ac:dyDescent="0.2">
      <c r="A156" s="1224"/>
      <c r="B156" s="1224"/>
      <c r="C156" s="947"/>
      <c r="D156" s="948"/>
      <c r="E156" s="948"/>
      <c r="F156" s="948"/>
      <c r="G156" s="948"/>
      <c r="H156" s="948"/>
      <c r="I156" s="948"/>
      <c r="J156" s="948"/>
      <c r="K156" s="949"/>
      <c r="L156" s="949"/>
      <c r="M156" s="949"/>
      <c r="N156" s="950"/>
      <c r="O156" s="948"/>
      <c r="P156" s="948"/>
      <c r="Q156" s="948"/>
      <c r="R156" s="949"/>
      <c r="S156" s="949"/>
      <c r="T156" s="949"/>
      <c r="U156" s="949"/>
      <c r="V156" s="949"/>
      <c r="W156" s="949"/>
      <c r="X156" s="951"/>
      <c r="Y156" s="951"/>
      <c r="Z156" s="952"/>
      <c r="AA156" s="953"/>
      <c r="AB156" s="948"/>
      <c r="AC156" s="948"/>
      <c r="AD156" s="949"/>
      <c r="AE156" s="949"/>
      <c r="AF156" s="949"/>
      <c r="AG156" s="949"/>
      <c r="AH156" s="949"/>
      <c r="AI156" s="949"/>
      <c r="AJ156" s="949"/>
      <c r="AK156" s="949"/>
      <c r="AL156" s="949"/>
      <c r="AM156" s="949"/>
      <c r="AN156" s="949"/>
      <c r="AO156" s="949"/>
      <c r="AP156" s="949"/>
      <c r="AQ156" s="949"/>
      <c r="AR156" s="949"/>
      <c r="AS156" s="949"/>
      <c r="AT156" s="949"/>
      <c r="AU156" s="949"/>
      <c r="AV156" s="949"/>
      <c r="AW156" s="949"/>
      <c r="AX156" s="949"/>
      <c r="AY156" s="949"/>
      <c r="AZ156" s="949"/>
      <c r="BA156" s="949"/>
      <c r="BB156" s="949"/>
      <c r="BC156" s="949"/>
      <c r="BD156" s="949"/>
      <c r="BE156" s="949"/>
      <c r="BF156" s="949"/>
      <c r="BG156" s="948"/>
      <c r="BH156" s="948"/>
      <c r="BI156" s="948"/>
      <c r="BJ156" s="948"/>
      <c r="BK156" s="948"/>
      <c r="BL156" s="948"/>
      <c r="BM156" s="948"/>
      <c r="BN156" s="948"/>
      <c r="BO156" s="948"/>
      <c r="BP156" s="948"/>
      <c r="BQ156" s="948"/>
      <c r="BR156" s="948"/>
      <c r="BS156" s="948"/>
      <c r="BT156" s="948"/>
      <c r="BU156" s="954"/>
    </row>
    <row r="157" spans="1:73" x14ac:dyDescent="0.2">
      <c r="A157" s="1224"/>
      <c r="B157" s="1224"/>
      <c r="C157" s="947"/>
      <c r="D157" s="948"/>
      <c r="E157" s="948"/>
      <c r="F157" s="948"/>
      <c r="G157" s="948"/>
      <c r="H157" s="948"/>
      <c r="I157" s="948"/>
      <c r="J157" s="948"/>
      <c r="K157" s="949"/>
      <c r="L157" s="949"/>
      <c r="M157" s="949"/>
      <c r="N157" s="950"/>
      <c r="O157" s="948"/>
      <c r="P157" s="948"/>
      <c r="Q157" s="948"/>
      <c r="R157" s="949"/>
      <c r="S157" s="949"/>
      <c r="T157" s="949"/>
      <c r="U157" s="949"/>
      <c r="V157" s="949"/>
      <c r="W157" s="949"/>
      <c r="X157" s="951"/>
      <c r="Y157" s="951"/>
      <c r="Z157" s="952"/>
      <c r="AA157" s="953"/>
      <c r="AB157" s="948"/>
      <c r="AC157" s="948"/>
      <c r="AD157" s="949"/>
      <c r="AE157" s="949"/>
      <c r="AF157" s="949"/>
      <c r="AG157" s="949"/>
      <c r="AH157" s="949"/>
      <c r="AI157" s="949"/>
      <c r="AJ157" s="949"/>
      <c r="AK157" s="949"/>
      <c r="AL157" s="949"/>
      <c r="AM157" s="949"/>
      <c r="AN157" s="949"/>
      <c r="AO157" s="949"/>
      <c r="AP157" s="949"/>
      <c r="AQ157" s="949"/>
      <c r="AR157" s="949"/>
      <c r="AS157" s="949"/>
      <c r="AT157" s="949"/>
      <c r="AU157" s="949"/>
      <c r="AV157" s="949"/>
      <c r="AW157" s="949"/>
      <c r="AX157" s="949"/>
      <c r="AY157" s="949"/>
      <c r="AZ157" s="949"/>
      <c r="BA157" s="949"/>
      <c r="BB157" s="949"/>
      <c r="BC157" s="949"/>
      <c r="BD157" s="949"/>
      <c r="BE157" s="949"/>
      <c r="BF157" s="949"/>
      <c r="BG157" s="948"/>
      <c r="BH157" s="948"/>
      <c r="BI157" s="948"/>
      <c r="BJ157" s="948"/>
      <c r="BK157" s="948"/>
      <c r="BL157" s="948"/>
      <c r="BM157" s="948"/>
      <c r="BN157" s="948"/>
      <c r="BO157" s="948"/>
      <c r="BP157" s="948"/>
      <c r="BQ157" s="948"/>
      <c r="BR157" s="948"/>
      <c r="BS157" s="948"/>
      <c r="BT157" s="948"/>
      <c r="BU157" s="954"/>
    </row>
    <row r="158" spans="1:73" x14ac:dyDescent="0.2">
      <c r="A158" s="1224"/>
      <c r="B158" s="1224"/>
      <c r="C158" s="947"/>
      <c r="D158" s="948"/>
      <c r="E158" s="948"/>
      <c r="F158" s="948"/>
      <c r="G158" s="948"/>
      <c r="H158" s="948"/>
      <c r="I158" s="948"/>
      <c r="J158" s="948"/>
      <c r="K158" s="949"/>
      <c r="L158" s="949"/>
      <c r="M158" s="949"/>
      <c r="N158" s="950"/>
      <c r="O158" s="948"/>
      <c r="P158" s="948"/>
      <c r="Q158" s="948"/>
      <c r="R158" s="949"/>
      <c r="S158" s="949"/>
      <c r="T158" s="949"/>
      <c r="U158" s="949"/>
      <c r="V158" s="949"/>
      <c r="W158" s="949"/>
      <c r="X158" s="951"/>
      <c r="Y158" s="951"/>
      <c r="Z158" s="952"/>
      <c r="AA158" s="953"/>
      <c r="AB158" s="948"/>
      <c r="AC158" s="948"/>
      <c r="AD158" s="949"/>
      <c r="AE158" s="949"/>
      <c r="AF158" s="949"/>
      <c r="AG158" s="949"/>
      <c r="AH158" s="949"/>
      <c r="AI158" s="949"/>
      <c r="AJ158" s="949"/>
      <c r="AK158" s="949"/>
      <c r="AL158" s="949"/>
      <c r="AM158" s="949"/>
      <c r="AN158" s="949"/>
      <c r="AO158" s="949"/>
      <c r="AP158" s="949"/>
      <c r="AQ158" s="949"/>
      <c r="AR158" s="949"/>
      <c r="AS158" s="949"/>
      <c r="AT158" s="949"/>
      <c r="AU158" s="949"/>
      <c r="AV158" s="949"/>
      <c r="AW158" s="949"/>
      <c r="AX158" s="949"/>
      <c r="AY158" s="949"/>
      <c r="AZ158" s="949"/>
      <c r="BA158" s="949"/>
      <c r="BB158" s="949"/>
      <c r="BC158" s="949"/>
      <c r="BD158" s="949"/>
      <c r="BE158" s="949"/>
      <c r="BF158" s="949"/>
      <c r="BG158" s="948"/>
      <c r="BH158" s="948"/>
      <c r="BI158" s="948"/>
      <c r="BJ158" s="948"/>
      <c r="BK158" s="948"/>
      <c r="BL158" s="948"/>
      <c r="BM158" s="948"/>
      <c r="BN158" s="948"/>
      <c r="BO158" s="948"/>
      <c r="BP158" s="948"/>
      <c r="BQ158" s="948"/>
      <c r="BR158" s="948"/>
      <c r="BS158" s="948"/>
      <c r="BT158" s="948"/>
      <c r="BU158" s="954"/>
    </row>
    <row r="159" spans="1:73" x14ac:dyDescent="0.2">
      <c r="A159" s="1224"/>
      <c r="B159" s="1224"/>
      <c r="C159" s="947"/>
      <c r="D159" s="948"/>
      <c r="E159" s="948"/>
      <c r="F159" s="948"/>
      <c r="G159" s="948"/>
      <c r="H159" s="948"/>
      <c r="I159" s="948"/>
      <c r="J159" s="948"/>
      <c r="K159" s="949"/>
      <c r="L159" s="949"/>
      <c r="M159" s="949"/>
      <c r="N159" s="950"/>
      <c r="O159" s="948"/>
      <c r="P159" s="948"/>
      <c r="Q159" s="948"/>
      <c r="R159" s="949"/>
      <c r="S159" s="949"/>
      <c r="T159" s="949"/>
      <c r="U159" s="949"/>
      <c r="V159" s="949"/>
      <c r="W159" s="949"/>
      <c r="X159" s="951"/>
      <c r="Y159" s="951"/>
      <c r="Z159" s="952"/>
      <c r="AA159" s="953"/>
      <c r="AB159" s="948"/>
      <c r="AC159" s="948"/>
      <c r="AD159" s="949"/>
      <c r="AE159" s="949"/>
      <c r="AF159" s="949"/>
      <c r="AG159" s="949"/>
      <c r="AH159" s="949"/>
      <c r="AI159" s="949"/>
      <c r="AJ159" s="949"/>
      <c r="AK159" s="949"/>
      <c r="AL159" s="949"/>
      <c r="AM159" s="949"/>
      <c r="AN159" s="949"/>
      <c r="AO159" s="949"/>
      <c r="AP159" s="949"/>
      <c r="AQ159" s="949"/>
      <c r="AR159" s="949"/>
      <c r="AS159" s="949"/>
      <c r="AT159" s="949"/>
      <c r="AU159" s="949"/>
      <c r="AV159" s="949"/>
      <c r="AW159" s="949"/>
      <c r="AX159" s="949"/>
      <c r="AY159" s="949"/>
      <c r="AZ159" s="949"/>
      <c r="BA159" s="949"/>
      <c r="BB159" s="949"/>
      <c r="BC159" s="949"/>
      <c r="BD159" s="949"/>
      <c r="BE159" s="949"/>
      <c r="BF159" s="949"/>
      <c r="BG159" s="948"/>
      <c r="BH159" s="948"/>
      <c r="BI159" s="948"/>
      <c r="BJ159" s="948"/>
      <c r="BK159" s="948"/>
      <c r="BL159" s="948"/>
      <c r="BM159" s="948"/>
      <c r="BN159" s="948"/>
      <c r="BO159" s="948"/>
      <c r="BP159" s="948"/>
      <c r="BQ159" s="948"/>
      <c r="BR159" s="948"/>
      <c r="BS159" s="948"/>
      <c r="BT159" s="948"/>
      <c r="BU159" s="954"/>
    </row>
    <row r="160" spans="1:73" x14ac:dyDescent="0.2">
      <c r="A160" s="1224"/>
      <c r="B160" s="1224"/>
      <c r="C160" s="947"/>
      <c r="D160" s="948"/>
      <c r="E160" s="948"/>
      <c r="F160" s="948"/>
      <c r="G160" s="948"/>
      <c r="H160" s="948"/>
      <c r="I160" s="948"/>
      <c r="J160" s="948"/>
      <c r="K160" s="949"/>
      <c r="L160" s="949"/>
      <c r="M160" s="949"/>
      <c r="N160" s="950"/>
      <c r="O160" s="948"/>
      <c r="P160" s="948"/>
      <c r="Q160" s="948"/>
      <c r="R160" s="949"/>
      <c r="S160" s="949"/>
      <c r="T160" s="949"/>
      <c r="U160" s="949"/>
      <c r="V160" s="949"/>
      <c r="W160" s="949"/>
      <c r="X160" s="951"/>
      <c r="Y160" s="951"/>
      <c r="Z160" s="952"/>
      <c r="AA160" s="953"/>
      <c r="AB160" s="948"/>
      <c r="AC160" s="948"/>
      <c r="AD160" s="949"/>
      <c r="AE160" s="949"/>
      <c r="AF160" s="949"/>
      <c r="AG160" s="949"/>
      <c r="AH160" s="949"/>
      <c r="AI160" s="949"/>
      <c r="AJ160" s="949"/>
      <c r="AK160" s="949"/>
      <c r="AL160" s="949"/>
      <c r="AM160" s="949"/>
      <c r="AN160" s="949"/>
      <c r="AO160" s="949"/>
      <c r="AP160" s="949"/>
      <c r="AQ160" s="949"/>
      <c r="AR160" s="949"/>
      <c r="AS160" s="949"/>
      <c r="AT160" s="949"/>
      <c r="AU160" s="949"/>
      <c r="AV160" s="949"/>
      <c r="AW160" s="949"/>
      <c r="AX160" s="949"/>
      <c r="AY160" s="949"/>
      <c r="AZ160" s="949"/>
      <c r="BA160" s="949"/>
      <c r="BB160" s="949"/>
      <c r="BC160" s="949"/>
      <c r="BD160" s="949"/>
      <c r="BE160" s="949"/>
      <c r="BF160" s="949"/>
      <c r="BG160" s="948"/>
      <c r="BH160" s="948"/>
      <c r="BI160" s="948"/>
      <c r="BJ160" s="948"/>
      <c r="BK160" s="948"/>
      <c r="BL160" s="948"/>
      <c r="BM160" s="948"/>
      <c r="BN160" s="948"/>
      <c r="BO160" s="948"/>
      <c r="BP160" s="948"/>
      <c r="BQ160" s="948"/>
      <c r="BR160" s="948"/>
      <c r="BS160" s="948"/>
      <c r="BT160" s="948"/>
      <c r="BU160" s="954"/>
    </row>
    <row r="161" spans="1:73" x14ac:dyDescent="0.2">
      <c r="A161" s="1224"/>
      <c r="B161" s="1224"/>
      <c r="C161" s="947"/>
      <c r="D161" s="948"/>
      <c r="E161" s="948"/>
      <c r="F161" s="948"/>
      <c r="G161" s="948"/>
      <c r="H161" s="948"/>
      <c r="I161" s="948"/>
      <c r="J161" s="948"/>
      <c r="K161" s="949"/>
      <c r="L161" s="949"/>
      <c r="M161" s="949"/>
      <c r="N161" s="950"/>
      <c r="O161" s="948"/>
      <c r="P161" s="948"/>
      <c r="Q161" s="948"/>
      <c r="R161" s="949"/>
      <c r="S161" s="949"/>
      <c r="T161" s="949"/>
      <c r="U161" s="949"/>
      <c r="V161" s="949"/>
      <c r="W161" s="949"/>
      <c r="X161" s="951"/>
      <c r="Y161" s="951"/>
      <c r="Z161" s="952"/>
      <c r="AA161" s="953"/>
      <c r="AB161" s="948"/>
      <c r="AC161" s="948"/>
      <c r="AD161" s="949"/>
      <c r="AE161" s="949"/>
      <c r="AF161" s="949"/>
      <c r="AG161" s="949"/>
      <c r="AH161" s="949"/>
      <c r="AI161" s="949"/>
      <c r="AJ161" s="949"/>
      <c r="AK161" s="949"/>
      <c r="AL161" s="949"/>
      <c r="AM161" s="949"/>
      <c r="AN161" s="949"/>
      <c r="AO161" s="949"/>
      <c r="AP161" s="949"/>
      <c r="AQ161" s="949"/>
      <c r="AR161" s="949"/>
      <c r="AS161" s="949"/>
      <c r="AT161" s="949"/>
      <c r="AU161" s="949"/>
      <c r="AV161" s="949"/>
      <c r="AW161" s="949"/>
      <c r="AX161" s="949"/>
      <c r="AY161" s="949"/>
      <c r="AZ161" s="949"/>
      <c r="BA161" s="949"/>
      <c r="BB161" s="949"/>
      <c r="BC161" s="949"/>
      <c r="BD161" s="949"/>
      <c r="BE161" s="949"/>
      <c r="BF161" s="949"/>
      <c r="BG161" s="948"/>
      <c r="BH161" s="948"/>
      <c r="BI161" s="948"/>
      <c r="BJ161" s="948"/>
      <c r="BK161" s="948"/>
      <c r="BL161" s="948"/>
      <c r="BM161" s="948"/>
      <c r="BN161" s="948"/>
      <c r="BO161" s="948"/>
      <c r="BP161" s="948"/>
      <c r="BQ161" s="948"/>
      <c r="BR161" s="948"/>
      <c r="BS161" s="948"/>
      <c r="BT161" s="948"/>
      <c r="BU161" s="954"/>
    </row>
    <row r="162" spans="1:73" x14ac:dyDescent="0.2">
      <c r="A162" s="1224"/>
      <c r="B162" s="1224"/>
      <c r="C162" s="947"/>
      <c r="D162" s="948"/>
      <c r="E162" s="948"/>
      <c r="F162" s="948"/>
      <c r="G162" s="948"/>
      <c r="H162" s="948"/>
      <c r="I162" s="948"/>
      <c r="J162" s="948"/>
      <c r="K162" s="949"/>
      <c r="L162" s="949"/>
      <c r="M162" s="949"/>
      <c r="N162" s="950"/>
      <c r="O162" s="948"/>
      <c r="P162" s="948"/>
      <c r="Q162" s="948"/>
      <c r="R162" s="949"/>
      <c r="S162" s="949"/>
      <c r="T162" s="949"/>
      <c r="U162" s="949"/>
      <c r="V162" s="949"/>
      <c r="W162" s="949"/>
      <c r="X162" s="951"/>
      <c r="Y162" s="951"/>
      <c r="Z162" s="952"/>
      <c r="AA162" s="953"/>
      <c r="AB162" s="948"/>
      <c r="AC162" s="948"/>
      <c r="AD162" s="949"/>
      <c r="AE162" s="949"/>
      <c r="AF162" s="949"/>
      <c r="AG162" s="949"/>
      <c r="AH162" s="949"/>
      <c r="AI162" s="949"/>
      <c r="AJ162" s="949"/>
      <c r="AK162" s="949"/>
      <c r="AL162" s="949"/>
      <c r="AM162" s="949"/>
      <c r="AN162" s="949"/>
      <c r="AO162" s="949"/>
      <c r="AP162" s="949"/>
      <c r="AQ162" s="949"/>
      <c r="AR162" s="949"/>
      <c r="AS162" s="949"/>
      <c r="AT162" s="949"/>
      <c r="AU162" s="949"/>
      <c r="AV162" s="949"/>
      <c r="AW162" s="949"/>
      <c r="AX162" s="949"/>
      <c r="AY162" s="949"/>
      <c r="AZ162" s="949"/>
      <c r="BA162" s="949"/>
      <c r="BB162" s="949"/>
      <c r="BC162" s="949"/>
      <c r="BD162" s="949"/>
      <c r="BE162" s="949"/>
      <c r="BF162" s="949"/>
      <c r="BG162" s="948"/>
      <c r="BH162" s="948"/>
      <c r="BI162" s="948"/>
      <c r="BJ162" s="948"/>
      <c r="BK162" s="948"/>
      <c r="BL162" s="948"/>
      <c r="BM162" s="948"/>
      <c r="BN162" s="948"/>
      <c r="BO162" s="948"/>
      <c r="BP162" s="948"/>
      <c r="BQ162" s="948"/>
      <c r="BR162" s="948"/>
      <c r="BS162" s="948"/>
      <c r="BT162" s="948"/>
      <c r="BU162" s="954"/>
    </row>
    <row r="163" spans="1:73" x14ac:dyDescent="0.2">
      <c r="A163" s="1224"/>
      <c r="B163" s="1224"/>
      <c r="C163" s="947"/>
      <c r="D163" s="948"/>
      <c r="E163" s="948"/>
      <c r="F163" s="948"/>
      <c r="G163" s="948"/>
      <c r="H163" s="948"/>
      <c r="I163" s="948"/>
      <c r="J163" s="948"/>
      <c r="K163" s="949"/>
      <c r="L163" s="949"/>
      <c r="M163" s="949"/>
      <c r="N163" s="950"/>
      <c r="O163" s="948"/>
      <c r="P163" s="948"/>
      <c r="Q163" s="948"/>
      <c r="R163" s="949"/>
      <c r="S163" s="949"/>
      <c r="T163" s="949"/>
      <c r="U163" s="949"/>
      <c r="V163" s="949"/>
      <c r="W163" s="949"/>
      <c r="X163" s="951"/>
      <c r="Y163" s="951"/>
      <c r="Z163" s="952"/>
      <c r="AA163" s="953"/>
      <c r="AB163" s="948"/>
      <c r="AC163" s="948"/>
      <c r="AD163" s="949"/>
      <c r="AE163" s="949"/>
      <c r="AF163" s="949"/>
      <c r="AG163" s="949"/>
      <c r="AH163" s="949"/>
      <c r="AI163" s="949"/>
      <c r="AJ163" s="949"/>
      <c r="AK163" s="949"/>
      <c r="AL163" s="949"/>
      <c r="AM163" s="949"/>
      <c r="AN163" s="949"/>
      <c r="AO163" s="949"/>
      <c r="AP163" s="949"/>
      <c r="AQ163" s="949"/>
      <c r="AR163" s="949"/>
      <c r="AS163" s="949"/>
      <c r="AT163" s="949"/>
      <c r="AU163" s="949"/>
      <c r="AV163" s="949"/>
      <c r="AW163" s="949"/>
      <c r="AX163" s="949"/>
      <c r="AY163" s="949"/>
      <c r="AZ163" s="949"/>
      <c r="BA163" s="949"/>
      <c r="BB163" s="949"/>
      <c r="BC163" s="949"/>
      <c r="BD163" s="949"/>
      <c r="BE163" s="949"/>
      <c r="BF163" s="949"/>
      <c r="BG163" s="948"/>
      <c r="BH163" s="948"/>
      <c r="BI163" s="948"/>
      <c r="BJ163" s="948"/>
      <c r="BK163" s="948"/>
      <c r="BL163" s="948"/>
      <c r="BM163" s="948"/>
      <c r="BN163" s="948"/>
      <c r="BO163" s="948"/>
      <c r="BP163" s="948"/>
      <c r="BQ163" s="948"/>
      <c r="BR163" s="948"/>
      <c r="BS163" s="948"/>
      <c r="BT163" s="948"/>
      <c r="BU163" s="954"/>
    </row>
    <row r="164" spans="1:73" x14ac:dyDescent="0.2">
      <c r="A164" s="1224"/>
      <c r="B164" s="1224"/>
      <c r="C164" s="947"/>
      <c r="D164" s="948"/>
      <c r="E164" s="948"/>
      <c r="F164" s="948"/>
      <c r="G164" s="948"/>
      <c r="H164" s="948"/>
      <c r="I164" s="948"/>
      <c r="J164" s="948"/>
      <c r="K164" s="949"/>
      <c r="L164" s="949"/>
      <c r="M164" s="949"/>
      <c r="N164" s="950"/>
      <c r="O164" s="948"/>
      <c r="P164" s="948"/>
      <c r="Q164" s="948"/>
      <c r="R164" s="949"/>
      <c r="S164" s="949"/>
      <c r="T164" s="949"/>
      <c r="U164" s="949"/>
      <c r="V164" s="949"/>
      <c r="W164" s="949"/>
      <c r="X164" s="951"/>
      <c r="Y164" s="951"/>
      <c r="Z164" s="952"/>
      <c r="AA164" s="953"/>
      <c r="AB164" s="948"/>
      <c r="AC164" s="948"/>
      <c r="AD164" s="949"/>
      <c r="AE164" s="949"/>
      <c r="AF164" s="949"/>
      <c r="AG164" s="949"/>
      <c r="AH164" s="949"/>
      <c r="AI164" s="949"/>
      <c r="AJ164" s="949"/>
      <c r="AK164" s="949"/>
      <c r="AL164" s="949"/>
      <c r="AM164" s="949"/>
      <c r="AN164" s="949"/>
      <c r="AO164" s="949"/>
      <c r="AP164" s="949"/>
      <c r="AQ164" s="949"/>
      <c r="AR164" s="949"/>
      <c r="AS164" s="949"/>
      <c r="AT164" s="949"/>
      <c r="AU164" s="949"/>
      <c r="AV164" s="949"/>
      <c r="AW164" s="949"/>
      <c r="AX164" s="949"/>
      <c r="AY164" s="949"/>
      <c r="AZ164" s="949"/>
      <c r="BA164" s="949"/>
      <c r="BB164" s="949"/>
      <c r="BC164" s="949"/>
      <c r="BD164" s="949"/>
      <c r="BE164" s="949"/>
      <c r="BF164" s="949"/>
      <c r="BG164" s="948"/>
      <c r="BH164" s="948"/>
      <c r="BI164" s="948"/>
      <c r="BJ164" s="948"/>
      <c r="BK164" s="948"/>
      <c r="BL164" s="948"/>
      <c r="BM164" s="948"/>
      <c r="BN164" s="948"/>
      <c r="BO164" s="948"/>
      <c r="BP164" s="948"/>
      <c r="BQ164" s="948"/>
      <c r="BR164" s="948"/>
      <c r="BS164" s="948"/>
      <c r="BT164" s="948"/>
      <c r="BU164" s="954"/>
    </row>
    <row r="165" spans="1:73" x14ac:dyDescent="0.2">
      <c r="A165" s="1224"/>
      <c r="B165" s="1224"/>
      <c r="C165" s="947"/>
      <c r="D165" s="948"/>
      <c r="E165" s="948"/>
      <c r="F165" s="948"/>
      <c r="G165" s="948"/>
      <c r="H165" s="948"/>
      <c r="I165" s="948"/>
      <c r="J165" s="948"/>
      <c r="K165" s="949"/>
      <c r="L165" s="949"/>
      <c r="M165" s="949"/>
      <c r="N165" s="950"/>
      <c r="O165" s="948"/>
      <c r="P165" s="948"/>
      <c r="Q165" s="948"/>
      <c r="R165" s="949"/>
      <c r="S165" s="949"/>
      <c r="T165" s="949"/>
      <c r="U165" s="949"/>
      <c r="V165" s="949"/>
      <c r="W165" s="949"/>
      <c r="X165" s="951"/>
      <c r="Y165" s="951"/>
      <c r="Z165" s="952"/>
      <c r="AA165" s="953"/>
      <c r="AB165" s="948"/>
      <c r="AC165" s="948"/>
      <c r="AD165" s="949"/>
      <c r="AE165" s="949"/>
      <c r="AF165" s="949"/>
      <c r="AG165" s="949"/>
      <c r="AH165" s="949"/>
      <c r="AI165" s="949"/>
      <c r="AJ165" s="949"/>
      <c r="AK165" s="949"/>
      <c r="AL165" s="949"/>
      <c r="AM165" s="949"/>
      <c r="AN165" s="949"/>
      <c r="AO165" s="949"/>
      <c r="AP165" s="949"/>
      <c r="AQ165" s="949"/>
      <c r="AR165" s="949"/>
      <c r="AS165" s="949"/>
      <c r="AT165" s="949"/>
      <c r="AU165" s="949"/>
      <c r="AV165" s="949"/>
      <c r="AW165" s="949"/>
      <c r="AX165" s="949"/>
      <c r="AY165" s="949"/>
      <c r="AZ165" s="949"/>
      <c r="BA165" s="949"/>
      <c r="BB165" s="949"/>
      <c r="BC165" s="949"/>
      <c r="BD165" s="949"/>
      <c r="BE165" s="949"/>
      <c r="BF165" s="949"/>
      <c r="BG165" s="948"/>
      <c r="BH165" s="948"/>
      <c r="BI165" s="948"/>
      <c r="BJ165" s="948"/>
      <c r="BK165" s="948"/>
      <c r="BL165" s="948"/>
      <c r="BM165" s="948"/>
      <c r="BN165" s="948"/>
      <c r="BO165" s="948"/>
      <c r="BP165" s="948"/>
      <c r="BQ165" s="948"/>
      <c r="BR165" s="948"/>
      <c r="BS165" s="948"/>
      <c r="BT165" s="948"/>
      <c r="BU165" s="954"/>
    </row>
    <row r="166" spans="1:73" x14ac:dyDescent="0.2">
      <c r="A166" s="1224"/>
      <c r="B166" s="1224"/>
      <c r="C166" s="947"/>
      <c r="D166" s="948"/>
      <c r="E166" s="948"/>
      <c r="F166" s="948"/>
      <c r="G166" s="948"/>
      <c r="H166" s="948"/>
      <c r="I166" s="948"/>
      <c r="J166" s="948"/>
      <c r="K166" s="949"/>
      <c r="L166" s="949"/>
      <c r="M166" s="949"/>
      <c r="N166" s="950"/>
      <c r="O166" s="948"/>
      <c r="P166" s="948"/>
      <c r="Q166" s="948"/>
      <c r="R166" s="949"/>
      <c r="S166" s="949"/>
      <c r="T166" s="949"/>
      <c r="U166" s="949"/>
      <c r="V166" s="949"/>
      <c r="W166" s="949"/>
      <c r="X166" s="951"/>
      <c r="Y166" s="951"/>
      <c r="Z166" s="952"/>
      <c r="AA166" s="953"/>
      <c r="AB166" s="948"/>
      <c r="AC166" s="948"/>
      <c r="AD166" s="949"/>
      <c r="AE166" s="949"/>
      <c r="AF166" s="949"/>
      <c r="AG166" s="949"/>
      <c r="AH166" s="949"/>
      <c r="AI166" s="949"/>
      <c r="AJ166" s="949"/>
      <c r="AK166" s="949"/>
      <c r="AL166" s="949"/>
      <c r="AM166" s="949"/>
      <c r="AN166" s="949"/>
      <c r="AO166" s="949"/>
      <c r="AP166" s="949"/>
      <c r="AQ166" s="949"/>
      <c r="AR166" s="949"/>
      <c r="AS166" s="949"/>
      <c r="AT166" s="949"/>
      <c r="AU166" s="949"/>
      <c r="AV166" s="949"/>
      <c r="AW166" s="949"/>
      <c r="AX166" s="949"/>
      <c r="AY166" s="949"/>
      <c r="AZ166" s="949"/>
      <c r="BA166" s="949"/>
      <c r="BB166" s="949"/>
      <c r="BC166" s="949"/>
      <c r="BD166" s="949"/>
      <c r="BE166" s="949"/>
      <c r="BF166" s="949"/>
      <c r="BG166" s="948"/>
      <c r="BH166" s="948"/>
      <c r="BI166" s="948"/>
      <c r="BJ166" s="948"/>
      <c r="BK166" s="948"/>
      <c r="BL166" s="948"/>
      <c r="BM166" s="948"/>
      <c r="BN166" s="948"/>
      <c r="BO166" s="948"/>
      <c r="BP166" s="948"/>
      <c r="BQ166" s="948"/>
      <c r="BR166" s="948"/>
      <c r="BS166" s="948"/>
      <c r="BT166" s="948"/>
      <c r="BU166" s="954"/>
    </row>
    <row r="167" spans="1:73" x14ac:dyDescent="0.2">
      <c r="A167" s="1224"/>
      <c r="B167" s="1224"/>
      <c r="C167" s="947"/>
      <c r="D167" s="948"/>
      <c r="E167" s="948"/>
      <c r="F167" s="948"/>
      <c r="G167" s="948"/>
      <c r="H167" s="948"/>
      <c r="I167" s="948"/>
      <c r="J167" s="948"/>
      <c r="K167" s="949"/>
      <c r="L167" s="949"/>
      <c r="M167" s="949"/>
      <c r="N167" s="950"/>
      <c r="O167" s="948"/>
      <c r="P167" s="948"/>
      <c r="Q167" s="948"/>
      <c r="R167" s="949"/>
      <c r="S167" s="949"/>
      <c r="T167" s="949"/>
      <c r="U167" s="949"/>
      <c r="V167" s="949"/>
      <c r="W167" s="949"/>
      <c r="X167" s="951"/>
      <c r="Y167" s="951"/>
      <c r="Z167" s="952"/>
      <c r="AA167" s="953"/>
      <c r="AB167" s="948"/>
      <c r="AC167" s="948"/>
      <c r="AD167" s="949"/>
      <c r="AE167" s="949"/>
      <c r="AF167" s="949"/>
      <c r="AG167" s="949"/>
      <c r="AH167" s="949"/>
      <c r="AI167" s="949"/>
      <c r="AJ167" s="949"/>
      <c r="AK167" s="949"/>
      <c r="AL167" s="949"/>
      <c r="AM167" s="949"/>
      <c r="AN167" s="949"/>
      <c r="AO167" s="949"/>
      <c r="AP167" s="949"/>
      <c r="AQ167" s="949"/>
      <c r="AR167" s="949"/>
      <c r="AS167" s="949"/>
      <c r="AT167" s="949"/>
      <c r="AU167" s="949"/>
      <c r="AV167" s="949"/>
      <c r="AW167" s="949"/>
      <c r="AX167" s="949"/>
      <c r="AY167" s="949"/>
      <c r="AZ167" s="949"/>
      <c r="BA167" s="949"/>
      <c r="BB167" s="949"/>
      <c r="BC167" s="949"/>
      <c r="BD167" s="949"/>
      <c r="BE167" s="949"/>
      <c r="BF167" s="949"/>
      <c r="BG167" s="948"/>
      <c r="BH167" s="948"/>
      <c r="BI167" s="948"/>
      <c r="BJ167" s="948"/>
      <c r="BK167" s="948"/>
      <c r="BL167" s="948"/>
      <c r="BM167" s="948"/>
      <c r="BN167" s="948"/>
      <c r="BO167" s="948"/>
      <c r="BP167" s="948"/>
      <c r="BQ167" s="948"/>
      <c r="BR167" s="948"/>
      <c r="BS167" s="948"/>
      <c r="BT167" s="948"/>
      <c r="BU167" s="954"/>
    </row>
    <row r="168" spans="1:73" x14ac:dyDescent="0.2">
      <c r="A168" s="1224"/>
      <c r="B168" s="1224"/>
      <c r="C168" s="947"/>
      <c r="D168" s="948"/>
      <c r="E168" s="948"/>
      <c r="F168" s="948"/>
      <c r="G168" s="948"/>
      <c r="H168" s="948"/>
      <c r="I168" s="948"/>
      <c r="J168" s="948"/>
      <c r="K168" s="949"/>
      <c r="L168" s="949"/>
      <c r="M168" s="949"/>
      <c r="N168" s="950"/>
      <c r="O168" s="948"/>
      <c r="P168" s="948"/>
      <c r="Q168" s="948"/>
      <c r="R168" s="949"/>
      <c r="S168" s="949"/>
      <c r="T168" s="949"/>
      <c r="U168" s="949"/>
      <c r="V168" s="949"/>
      <c r="W168" s="949"/>
      <c r="X168" s="951"/>
      <c r="Y168" s="951"/>
      <c r="Z168" s="952"/>
      <c r="AA168" s="953"/>
      <c r="AB168" s="948"/>
      <c r="AC168" s="948"/>
      <c r="AD168" s="949"/>
      <c r="AE168" s="949"/>
      <c r="AF168" s="949"/>
      <c r="AG168" s="949"/>
      <c r="AH168" s="949"/>
      <c r="AI168" s="949"/>
      <c r="AJ168" s="949"/>
      <c r="AK168" s="949"/>
      <c r="AL168" s="949"/>
      <c r="AM168" s="949"/>
      <c r="AN168" s="949"/>
      <c r="AO168" s="949"/>
      <c r="AP168" s="949"/>
      <c r="AQ168" s="949"/>
      <c r="AR168" s="949"/>
      <c r="AS168" s="949"/>
      <c r="AT168" s="949"/>
      <c r="AU168" s="949"/>
      <c r="AV168" s="949"/>
      <c r="AW168" s="949"/>
      <c r="AX168" s="949"/>
      <c r="AY168" s="949"/>
      <c r="AZ168" s="949"/>
      <c r="BA168" s="949"/>
      <c r="BB168" s="949"/>
      <c r="BC168" s="949"/>
      <c r="BD168" s="949"/>
      <c r="BE168" s="949"/>
      <c r="BF168" s="949"/>
      <c r="BG168" s="948"/>
      <c r="BH168" s="948"/>
      <c r="BI168" s="948"/>
      <c r="BJ168" s="948"/>
      <c r="BK168" s="948"/>
      <c r="BL168" s="948"/>
      <c r="BM168" s="948"/>
      <c r="BN168" s="948"/>
      <c r="BO168" s="948"/>
      <c r="BP168" s="948"/>
      <c r="BQ168" s="948"/>
      <c r="BR168" s="948"/>
      <c r="BS168" s="948"/>
      <c r="BT168" s="948"/>
      <c r="BU168" s="954"/>
    </row>
    <row r="169" spans="1:73" x14ac:dyDescent="0.2">
      <c r="A169" s="1224"/>
      <c r="B169" s="1224"/>
      <c r="C169" s="947"/>
      <c r="D169" s="948"/>
      <c r="E169" s="948"/>
      <c r="F169" s="948"/>
      <c r="G169" s="948"/>
      <c r="H169" s="948"/>
      <c r="I169" s="948"/>
      <c r="J169" s="948"/>
      <c r="K169" s="949"/>
      <c r="L169" s="949"/>
      <c r="M169" s="949"/>
      <c r="N169" s="950"/>
      <c r="O169" s="948"/>
      <c r="P169" s="948"/>
      <c r="Q169" s="948"/>
      <c r="R169" s="949"/>
      <c r="S169" s="949"/>
      <c r="T169" s="949"/>
      <c r="U169" s="949"/>
      <c r="V169" s="949"/>
      <c r="W169" s="949"/>
      <c r="X169" s="951"/>
      <c r="Y169" s="951"/>
      <c r="Z169" s="952"/>
      <c r="AA169" s="953"/>
      <c r="AB169" s="948"/>
      <c r="AC169" s="948"/>
      <c r="AD169" s="949"/>
      <c r="AE169" s="949"/>
      <c r="AF169" s="949"/>
      <c r="AG169" s="949"/>
      <c r="AH169" s="949"/>
      <c r="AI169" s="949"/>
      <c r="AJ169" s="949"/>
      <c r="AK169" s="949"/>
      <c r="AL169" s="949"/>
      <c r="AM169" s="949"/>
      <c r="AN169" s="949"/>
      <c r="AO169" s="949"/>
      <c r="AP169" s="949"/>
      <c r="AQ169" s="949"/>
      <c r="AR169" s="949"/>
      <c r="AS169" s="949"/>
      <c r="AT169" s="949"/>
      <c r="AU169" s="949"/>
      <c r="AV169" s="949"/>
      <c r="AW169" s="949"/>
      <c r="AX169" s="949"/>
      <c r="AY169" s="949"/>
      <c r="AZ169" s="949"/>
      <c r="BA169" s="949"/>
      <c r="BB169" s="949"/>
      <c r="BC169" s="949"/>
      <c r="BD169" s="949"/>
      <c r="BE169" s="949"/>
      <c r="BF169" s="949"/>
      <c r="BG169" s="948"/>
      <c r="BH169" s="948"/>
      <c r="BI169" s="948"/>
      <c r="BJ169" s="948"/>
      <c r="BK169" s="948"/>
      <c r="BL169" s="948"/>
      <c r="BM169" s="948"/>
      <c r="BN169" s="948"/>
      <c r="BO169" s="948"/>
      <c r="BP169" s="948"/>
      <c r="BQ169" s="948"/>
      <c r="BR169" s="948"/>
      <c r="BS169" s="948"/>
      <c r="BT169" s="948"/>
      <c r="BU169" s="954"/>
    </row>
    <row r="170" spans="1:73" x14ac:dyDescent="0.2">
      <c r="A170" s="1224"/>
      <c r="B170" s="1224"/>
      <c r="C170" s="947"/>
      <c r="D170" s="948"/>
      <c r="E170" s="948"/>
      <c r="F170" s="948"/>
      <c r="G170" s="948"/>
      <c r="H170" s="948"/>
      <c r="I170" s="948"/>
      <c r="J170" s="948"/>
      <c r="K170" s="949"/>
      <c r="L170" s="949"/>
      <c r="M170" s="949"/>
      <c r="N170" s="950"/>
      <c r="O170" s="948"/>
      <c r="P170" s="948"/>
      <c r="Q170" s="948"/>
      <c r="R170" s="949"/>
      <c r="S170" s="949"/>
      <c r="T170" s="949"/>
      <c r="U170" s="949"/>
      <c r="V170" s="949"/>
      <c r="W170" s="949"/>
      <c r="X170" s="951"/>
      <c r="Y170" s="951"/>
      <c r="Z170" s="952"/>
      <c r="AA170" s="953"/>
      <c r="AB170" s="948"/>
      <c r="AC170" s="948"/>
      <c r="AD170" s="949"/>
      <c r="AE170" s="949"/>
      <c r="AF170" s="949"/>
      <c r="AG170" s="949"/>
      <c r="AH170" s="949"/>
      <c r="AI170" s="949"/>
      <c r="AJ170" s="949"/>
      <c r="AK170" s="949"/>
      <c r="AL170" s="949"/>
      <c r="AM170" s="949"/>
      <c r="AN170" s="949"/>
      <c r="AO170" s="949"/>
      <c r="AP170" s="949"/>
      <c r="AQ170" s="949"/>
      <c r="AR170" s="949"/>
      <c r="AS170" s="949"/>
      <c r="AT170" s="949"/>
      <c r="AU170" s="949"/>
      <c r="AV170" s="949"/>
      <c r="AW170" s="949"/>
      <c r="AX170" s="949"/>
      <c r="AY170" s="949"/>
      <c r="AZ170" s="949"/>
      <c r="BA170" s="949"/>
      <c r="BB170" s="949"/>
      <c r="BC170" s="949"/>
      <c r="BD170" s="949"/>
      <c r="BE170" s="949"/>
      <c r="BF170" s="949"/>
      <c r="BG170" s="948"/>
      <c r="BH170" s="948"/>
      <c r="BI170" s="948"/>
      <c r="BJ170" s="948"/>
      <c r="BK170" s="948"/>
      <c r="BL170" s="948"/>
      <c r="BM170" s="948"/>
      <c r="BN170" s="948"/>
      <c r="BO170" s="948"/>
      <c r="BP170" s="948"/>
      <c r="BQ170" s="948"/>
      <c r="BR170" s="948"/>
      <c r="BS170" s="948"/>
      <c r="BT170" s="948"/>
      <c r="BU170" s="954"/>
    </row>
    <row r="171" spans="1:73" x14ac:dyDescent="0.2">
      <c r="A171" s="1224"/>
      <c r="B171" s="1224"/>
      <c r="C171" s="947"/>
      <c r="D171" s="948"/>
      <c r="E171" s="948"/>
      <c r="F171" s="948"/>
      <c r="G171" s="948"/>
      <c r="H171" s="948"/>
      <c r="I171" s="948"/>
      <c r="J171" s="948"/>
      <c r="K171" s="949"/>
      <c r="L171" s="949"/>
      <c r="M171" s="949"/>
      <c r="N171" s="950"/>
      <c r="O171" s="948"/>
      <c r="P171" s="948"/>
      <c r="Q171" s="948"/>
      <c r="R171" s="949"/>
      <c r="S171" s="949"/>
      <c r="T171" s="949"/>
      <c r="U171" s="949"/>
      <c r="V171" s="949"/>
      <c r="W171" s="949"/>
      <c r="X171" s="951"/>
      <c r="Y171" s="951"/>
      <c r="Z171" s="952"/>
      <c r="AA171" s="953"/>
      <c r="AB171" s="948"/>
      <c r="AC171" s="948"/>
      <c r="AD171" s="949"/>
      <c r="AE171" s="949"/>
      <c r="AF171" s="949"/>
      <c r="AG171" s="949"/>
      <c r="AH171" s="949"/>
      <c r="AI171" s="949"/>
      <c r="AJ171" s="949"/>
      <c r="AK171" s="949"/>
      <c r="AL171" s="949"/>
      <c r="AM171" s="949"/>
      <c r="AN171" s="949"/>
      <c r="AO171" s="949"/>
      <c r="AP171" s="949"/>
      <c r="AQ171" s="949"/>
      <c r="AR171" s="949"/>
      <c r="AS171" s="949"/>
      <c r="AT171" s="949"/>
      <c r="AU171" s="949"/>
      <c r="AV171" s="949"/>
      <c r="AW171" s="949"/>
      <c r="AX171" s="949"/>
      <c r="AY171" s="949"/>
      <c r="AZ171" s="949"/>
      <c r="BA171" s="949"/>
      <c r="BB171" s="949"/>
      <c r="BC171" s="949"/>
      <c r="BD171" s="949"/>
      <c r="BE171" s="949"/>
      <c r="BF171" s="949"/>
      <c r="BG171" s="948"/>
      <c r="BH171" s="948"/>
      <c r="BI171" s="948"/>
      <c r="BJ171" s="948"/>
      <c r="BK171" s="948"/>
      <c r="BL171" s="948"/>
      <c r="BM171" s="948"/>
      <c r="BN171" s="948"/>
      <c r="BO171" s="948"/>
      <c r="BP171" s="948"/>
      <c r="BQ171" s="948"/>
      <c r="BR171" s="948"/>
      <c r="BS171" s="948"/>
      <c r="BT171" s="948"/>
      <c r="BU171" s="954"/>
    </row>
    <row r="172" spans="1:73" x14ac:dyDescent="0.2">
      <c r="A172" s="1224"/>
      <c r="B172" s="1224"/>
      <c r="C172" s="947"/>
      <c r="D172" s="948"/>
      <c r="E172" s="948"/>
      <c r="F172" s="948"/>
      <c r="G172" s="948"/>
      <c r="H172" s="948"/>
      <c r="I172" s="948"/>
      <c r="J172" s="948"/>
      <c r="K172" s="949"/>
      <c r="L172" s="949"/>
      <c r="M172" s="949"/>
      <c r="N172" s="950"/>
      <c r="O172" s="948"/>
      <c r="P172" s="948"/>
      <c r="Q172" s="948"/>
      <c r="R172" s="949"/>
      <c r="S172" s="949"/>
      <c r="T172" s="949"/>
      <c r="U172" s="949"/>
      <c r="V172" s="949"/>
      <c r="W172" s="949"/>
      <c r="X172" s="951"/>
      <c r="Y172" s="951"/>
      <c r="Z172" s="952"/>
      <c r="AA172" s="953"/>
      <c r="AB172" s="948"/>
      <c r="AC172" s="948"/>
      <c r="AD172" s="949"/>
      <c r="AE172" s="949"/>
      <c r="AF172" s="949"/>
      <c r="AG172" s="949"/>
      <c r="AH172" s="949"/>
      <c r="AI172" s="949"/>
      <c r="AJ172" s="949"/>
      <c r="AK172" s="949"/>
      <c r="AL172" s="949"/>
      <c r="AM172" s="949"/>
      <c r="AN172" s="949"/>
      <c r="AO172" s="949"/>
      <c r="AP172" s="949"/>
      <c r="AQ172" s="949"/>
      <c r="AR172" s="949"/>
      <c r="AS172" s="949"/>
      <c r="AT172" s="949"/>
      <c r="AU172" s="949"/>
      <c r="AV172" s="949"/>
      <c r="AW172" s="949"/>
      <c r="AX172" s="949"/>
      <c r="AY172" s="949"/>
      <c r="AZ172" s="949"/>
      <c r="BA172" s="949"/>
      <c r="BB172" s="949"/>
      <c r="BC172" s="949"/>
      <c r="BD172" s="949"/>
      <c r="BE172" s="949"/>
      <c r="BF172" s="949"/>
      <c r="BG172" s="948"/>
      <c r="BH172" s="948"/>
      <c r="BI172" s="948"/>
      <c r="BJ172" s="948"/>
      <c r="BK172" s="948"/>
      <c r="BL172" s="948"/>
      <c r="BM172" s="948"/>
      <c r="BN172" s="948"/>
      <c r="BO172" s="948"/>
      <c r="BP172" s="948"/>
      <c r="BQ172" s="948"/>
      <c r="BR172" s="948"/>
      <c r="BS172" s="948"/>
      <c r="BT172" s="948"/>
      <c r="BU172" s="954"/>
    </row>
    <row r="173" spans="1:73" x14ac:dyDescent="0.2">
      <c r="A173" s="1224"/>
      <c r="B173" s="1224"/>
      <c r="C173" s="947"/>
      <c r="D173" s="948"/>
      <c r="E173" s="948"/>
      <c r="F173" s="948"/>
      <c r="G173" s="948"/>
      <c r="H173" s="948"/>
      <c r="I173" s="948"/>
      <c r="J173" s="948"/>
      <c r="K173" s="949"/>
      <c r="L173" s="949"/>
      <c r="M173" s="949"/>
      <c r="N173" s="950"/>
      <c r="O173" s="948"/>
      <c r="P173" s="948"/>
      <c r="Q173" s="948"/>
      <c r="R173" s="949"/>
      <c r="S173" s="949"/>
      <c r="T173" s="949"/>
      <c r="U173" s="949"/>
      <c r="V173" s="949"/>
      <c r="W173" s="949"/>
      <c r="X173" s="951"/>
      <c r="Y173" s="951"/>
      <c r="Z173" s="952"/>
      <c r="AA173" s="953"/>
      <c r="AB173" s="948"/>
      <c r="AC173" s="948"/>
      <c r="AD173" s="949"/>
      <c r="AE173" s="949"/>
      <c r="AF173" s="949"/>
      <c r="AG173" s="949"/>
      <c r="AH173" s="949"/>
      <c r="AI173" s="949"/>
      <c r="AJ173" s="949"/>
      <c r="AK173" s="949"/>
      <c r="AL173" s="949"/>
      <c r="AM173" s="949"/>
      <c r="AN173" s="949"/>
      <c r="AO173" s="949"/>
      <c r="AP173" s="949"/>
      <c r="AQ173" s="949"/>
      <c r="AR173" s="949"/>
      <c r="AS173" s="949"/>
      <c r="AT173" s="949"/>
      <c r="AU173" s="949"/>
      <c r="AV173" s="949"/>
      <c r="AW173" s="949"/>
      <c r="AX173" s="949"/>
      <c r="AY173" s="949"/>
      <c r="AZ173" s="949"/>
      <c r="BA173" s="949"/>
      <c r="BB173" s="949"/>
      <c r="BC173" s="949"/>
      <c r="BD173" s="949"/>
      <c r="BE173" s="949"/>
      <c r="BF173" s="949"/>
      <c r="BG173" s="948"/>
      <c r="BH173" s="948"/>
      <c r="BI173" s="948"/>
      <c r="BJ173" s="948"/>
      <c r="BK173" s="948"/>
      <c r="BL173" s="948"/>
      <c r="BM173" s="948"/>
      <c r="BN173" s="948"/>
      <c r="BO173" s="948"/>
      <c r="BP173" s="948"/>
      <c r="BQ173" s="948"/>
      <c r="BR173" s="948"/>
      <c r="BS173" s="948"/>
      <c r="BT173" s="948"/>
      <c r="BU173" s="954"/>
    </row>
    <row r="174" spans="1:73" x14ac:dyDescent="0.2">
      <c r="A174" s="1224"/>
      <c r="B174" s="1224"/>
      <c r="C174" s="947"/>
      <c r="D174" s="948"/>
      <c r="E174" s="948"/>
      <c r="F174" s="948"/>
      <c r="G174" s="948"/>
      <c r="H174" s="948"/>
      <c r="I174" s="948"/>
      <c r="J174" s="948"/>
      <c r="K174" s="949"/>
      <c r="L174" s="949"/>
      <c r="M174" s="949"/>
      <c r="N174" s="950"/>
      <c r="O174" s="948"/>
      <c r="P174" s="948"/>
      <c r="Q174" s="948"/>
      <c r="R174" s="949"/>
      <c r="S174" s="949"/>
      <c r="T174" s="949"/>
      <c r="U174" s="949"/>
      <c r="V174" s="949"/>
      <c r="W174" s="949"/>
      <c r="X174" s="951"/>
      <c r="Y174" s="951"/>
      <c r="Z174" s="952"/>
      <c r="AA174" s="953"/>
      <c r="AB174" s="948"/>
      <c r="AC174" s="948"/>
      <c r="AD174" s="949"/>
      <c r="AE174" s="949"/>
      <c r="AF174" s="949"/>
      <c r="AG174" s="949"/>
      <c r="AH174" s="949"/>
      <c r="AI174" s="949"/>
      <c r="AJ174" s="949"/>
      <c r="AK174" s="949"/>
      <c r="AL174" s="949"/>
      <c r="AM174" s="949"/>
      <c r="AN174" s="949"/>
      <c r="AO174" s="949"/>
      <c r="AP174" s="949"/>
      <c r="AQ174" s="949"/>
      <c r="AR174" s="949"/>
      <c r="AS174" s="949"/>
      <c r="AT174" s="949"/>
      <c r="AU174" s="949"/>
      <c r="AV174" s="949"/>
      <c r="AW174" s="949"/>
      <c r="AX174" s="949"/>
      <c r="AY174" s="949"/>
      <c r="AZ174" s="949"/>
      <c r="BA174" s="949"/>
      <c r="BB174" s="949"/>
      <c r="BC174" s="949"/>
      <c r="BD174" s="949"/>
      <c r="BE174" s="949"/>
      <c r="BF174" s="949"/>
      <c r="BG174" s="948"/>
      <c r="BH174" s="948"/>
      <c r="BI174" s="948"/>
      <c r="BJ174" s="948"/>
      <c r="BK174" s="948"/>
      <c r="BL174" s="948"/>
      <c r="BM174" s="948"/>
      <c r="BN174" s="948"/>
      <c r="BO174" s="948"/>
      <c r="BP174" s="948"/>
      <c r="BQ174" s="948"/>
      <c r="BR174" s="948"/>
      <c r="BS174" s="948"/>
      <c r="BT174" s="948"/>
      <c r="BU174" s="954"/>
    </row>
    <row r="175" spans="1:73" x14ac:dyDescent="0.2">
      <c r="A175" s="1224"/>
      <c r="B175" s="1224"/>
      <c r="C175" s="947"/>
      <c r="D175" s="948"/>
      <c r="E175" s="948"/>
      <c r="F175" s="948"/>
      <c r="G175" s="948"/>
      <c r="H175" s="948"/>
      <c r="I175" s="948"/>
      <c r="J175" s="948"/>
      <c r="K175" s="949"/>
      <c r="L175" s="949"/>
      <c r="M175" s="949"/>
      <c r="N175" s="950"/>
      <c r="O175" s="948"/>
      <c r="P175" s="948"/>
      <c r="Q175" s="948"/>
      <c r="R175" s="949"/>
      <c r="S175" s="949"/>
      <c r="T175" s="949"/>
      <c r="U175" s="949"/>
      <c r="V175" s="949"/>
      <c r="W175" s="949"/>
      <c r="X175" s="951"/>
      <c r="Y175" s="951"/>
      <c r="Z175" s="952"/>
      <c r="AA175" s="953"/>
      <c r="AB175" s="948"/>
      <c r="AC175" s="948"/>
      <c r="AD175" s="949"/>
      <c r="AE175" s="949"/>
      <c r="AF175" s="949"/>
      <c r="AG175" s="949"/>
      <c r="AH175" s="949"/>
      <c r="AI175" s="949"/>
      <c r="AJ175" s="949"/>
      <c r="AK175" s="949"/>
      <c r="AL175" s="949"/>
      <c r="AM175" s="949"/>
      <c r="AN175" s="949"/>
      <c r="AO175" s="949"/>
      <c r="AP175" s="949"/>
      <c r="AQ175" s="949"/>
      <c r="AR175" s="949"/>
      <c r="AS175" s="949"/>
      <c r="AT175" s="949"/>
      <c r="AU175" s="949"/>
      <c r="AV175" s="949"/>
      <c r="AW175" s="949"/>
      <c r="AX175" s="949"/>
      <c r="AY175" s="949"/>
      <c r="AZ175" s="949"/>
      <c r="BA175" s="949"/>
      <c r="BB175" s="949"/>
      <c r="BC175" s="949"/>
      <c r="BD175" s="949"/>
      <c r="BE175" s="949"/>
      <c r="BF175" s="949"/>
      <c r="BG175" s="948"/>
      <c r="BH175" s="948"/>
      <c r="BI175" s="948"/>
      <c r="BJ175" s="948"/>
      <c r="BK175" s="948"/>
      <c r="BL175" s="948"/>
      <c r="BM175" s="948"/>
      <c r="BN175" s="948"/>
      <c r="BO175" s="948"/>
      <c r="BP175" s="948"/>
      <c r="BQ175" s="948"/>
      <c r="BR175" s="948"/>
      <c r="BS175" s="948"/>
      <c r="BT175" s="948"/>
      <c r="BU175" s="954"/>
    </row>
    <row r="176" spans="1:73" x14ac:dyDescent="0.2">
      <c r="A176" s="1224"/>
      <c r="B176" s="1224"/>
      <c r="C176" s="947"/>
      <c r="D176" s="948"/>
      <c r="E176" s="948"/>
      <c r="F176" s="948"/>
      <c r="G176" s="948"/>
      <c r="H176" s="948"/>
      <c r="I176" s="948"/>
      <c r="J176" s="948"/>
      <c r="K176" s="949"/>
      <c r="L176" s="949"/>
      <c r="M176" s="949"/>
      <c r="N176" s="950"/>
      <c r="O176" s="948"/>
      <c r="P176" s="948"/>
      <c r="Q176" s="948"/>
      <c r="R176" s="949"/>
      <c r="S176" s="949"/>
      <c r="T176" s="949"/>
      <c r="U176" s="949"/>
      <c r="V176" s="949"/>
      <c r="W176" s="949"/>
      <c r="X176" s="951"/>
      <c r="Y176" s="951"/>
      <c r="Z176" s="952"/>
      <c r="AA176" s="953"/>
      <c r="AB176" s="948"/>
      <c r="AC176" s="948"/>
      <c r="AD176" s="949"/>
      <c r="AE176" s="949"/>
      <c r="AF176" s="949"/>
      <c r="AG176" s="949"/>
      <c r="AH176" s="949"/>
      <c r="AI176" s="949"/>
      <c r="AJ176" s="949"/>
      <c r="AK176" s="949"/>
      <c r="AL176" s="949"/>
      <c r="AM176" s="949"/>
      <c r="AN176" s="949"/>
      <c r="AO176" s="949"/>
      <c r="AP176" s="949"/>
      <c r="AQ176" s="949"/>
      <c r="AR176" s="949"/>
      <c r="AS176" s="949"/>
      <c r="AT176" s="949"/>
      <c r="AU176" s="949"/>
      <c r="AV176" s="949"/>
      <c r="AW176" s="949"/>
      <c r="AX176" s="949"/>
      <c r="AY176" s="949"/>
      <c r="AZ176" s="949"/>
      <c r="BA176" s="949"/>
      <c r="BB176" s="949"/>
      <c r="BC176" s="949"/>
      <c r="BD176" s="949"/>
      <c r="BE176" s="949"/>
      <c r="BF176" s="949"/>
      <c r="BG176" s="948"/>
      <c r="BH176" s="948"/>
      <c r="BI176" s="948"/>
      <c r="BJ176" s="948"/>
      <c r="BK176" s="948"/>
      <c r="BL176" s="948"/>
      <c r="BM176" s="948"/>
      <c r="BN176" s="948"/>
      <c r="BO176" s="948"/>
      <c r="BP176" s="948"/>
      <c r="BQ176" s="948"/>
      <c r="BR176" s="948"/>
      <c r="BS176" s="948"/>
      <c r="BT176" s="948"/>
      <c r="BU176" s="954"/>
    </row>
    <row r="177" spans="1:73" x14ac:dyDescent="0.2">
      <c r="A177" s="1224"/>
      <c r="B177" s="1224"/>
      <c r="C177" s="947"/>
      <c r="D177" s="948"/>
      <c r="E177" s="948"/>
      <c r="F177" s="948"/>
      <c r="G177" s="948"/>
      <c r="H177" s="948"/>
      <c r="I177" s="948"/>
      <c r="J177" s="948"/>
      <c r="K177" s="949"/>
      <c r="L177" s="949"/>
      <c r="M177" s="949"/>
      <c r="N177" s="950"/>
      <c r="O177" s="948"/>
      <c r="P177" s="948"/>
      <c r="Q177" s="948"/>
      <c r="R177" s="949"/>
      <c r="S177" s="949"/>
      <c r="T177" s="949"/>
      <c r="U177" s="949"/>
      <c r="V177" s="949"/>
      <c r="W177" s="949"/>
      <c r="X177" s="951"/>
      <c r="Y177" s="951"/>
      <c r="Z177" s="952"/>
      <c r="AA177" s="953"/>
      <c r="AB177" s="948"/>
      <c r="AC177" s="948"/>
      <c r="AD177" s="949"/>
      <c r="AE177" s="949"/>
      <c r="AF177" s="949"/>
      <c r="AG177" s="949"/>
      <c r="AH177" s="949"/>
      <c r="AI177" s="949"/>
      <c r="AJ177" s="949"/>
      <c r="AK177" s="949"/>
      <c r="AL177" s="949"/>
      <c r="AM177" s="949"/>
      <c r="AN177" s="949"/>
      <c r="AO177" s="949"/>
      <c r="AP177" s="949"/>
      <c r="AQ177" s="949"/>
      <c r="AR177" s="949"/>
      <c r="AS177" s="949"/>
      <c r="AT177" s="949"/>
      <c r="AU177" s="949"/>
      <c r="AV177" s="949"/>
      <c r="AW177" s="949"/>
      <c r="AX177" s="949"/>
      <c r="AY177" s="949"/>
      <c r="AZ177" s="949"/>
      <c r="BA177" s="949"/>
      <c r="BB177" s="949"/>
      <c r="BC177" s="949"/>
      <c r="BD177" s="949"/>
      <c r="BE177" s="949"/>
      <c r="BF177" s="949"/>
      <c r="BG177" s="948"/>
      <c r="BH177" s="948"/>
      <c r="BI177" s="948"/>
      <c r="BJ177" s="948"/>
      <c r="BK177" s="948"/>
      <c r="BL177" s="948"/>
      <c r="BM177" s="948"/>
      <c r="BN177" s="948"/>
      <c r="BO177" s="948"/>
      <c r="BP177" s="948"/>
      <c r="BQ177" s="948"/>
      <c r="BR177" s="948"/>
      <c r="BS177" s="948"/>
      <c r="BT177" s="948"/>
      <c r="BU177" s="954"/>
    </row>
    <row r="178" spans="1:73" x14ac:dyDescent="0.2">
      <c r="A178" s="1224"/>
      <c r="B178" s="1224"/>
      <c r="C178" s="947"/>
      <c r="D178" s="948"/>
      <c r="E178" s="948"/>
      <c r="F178" s="948"/>
      <c r="G178" s="948"/>
      <c r="H178" s="948"/>
      <c r="I178" s="948"/>
      <c r="J178" s="948"/>
      <c r="K178" s="949"/>
      <c r="L178" s="949"/>
      <c r="M178" s="949"/>
      <c r="N178" s="950"/>
      <c r="O178" s="948"/>
      <c r="P178" s="948"/>
      <c r="Q178" s="948"/>
      <c r="R178" s="949"/>
      <c r="S178" s="949"/>
      <c r="T178" s="949"/>
      <c r="U178" s="949"/>
      <c r="V178" s="949"/>
      <c r="W178" s="949"/>
      <c r="X178" s="951"/>
      <c r="Y178" s="951"/>
      <c r="Z178" s="952"/>
      <c r="AA178" s="953"/>
      <c r="AB178" s="948"/>
      <c r="AC178" s="948"/>
      <c r="AD178" s="949"/>
      <c r="AE178" s="949"/>
      <c r="AF178" s="949"/>
      <c r="AG178" s="949"/>
      <c r="AH178" s="949"/>
      <c r="AI178" s="949"/>
      <c r="AJ178" s="949"/>
      <c r="AK178" s="949"/>
      <c r="AL178" s="949"/>
      <c r="AM178" s="949"/>
      <c r="AN178" s="949"/>
      <c r="AO178" s="949"/>
      <c r="AP178" s="949"/>
      <c r="AQ178" s="949"/>
      <c r="AR178" s="949"/>
      <c r="AS178" s="949"/>
      <c r="AT178" s="949"/>
      <c r="AU178" s="949"/>
      <c r="AV178" s="949"/>
      <c r="AW178" s="949"/>
      <c r="AX178" s="949"/>
      <c r="AY178" s="949"/>
      <c r="AZ178" s="949"/>
      <c r="BA178" s="949"/>
      <c r="BB178" s="949"/>
      <c r="BC178" s="949"/>
      <c r="BD178" s="949"/>
      <c r="BE178" s="949"/>
      <c r="BF178" s="949"/>
      <c r="BG178" s="948"/>
      <c r="BH178" s="948"/>
      <c r="BI178" s="948"/>
      <c r="BJ178" s="948"/>
      <c r="BK178" s="948"/>
      <c r="BL178" s="948"/>
      <c r="BM178" s="948"/>
      <c r="BN178" s="948"/>
      <c r="BO178" s="948"/>
      <c r="BP178" s="948"/>
      <c r="BQ178" s="948"/>
      <c r="BR178" s="948"/>
      <c r="BS178" s="948"/>
      <c r="BT178" s="948"/>
      <c r="BU178" s="954"/>
    </row>
    <row r="179" spans="1:73" x14ac:dyDescent="0.2">
      <c r="A179" s="1224"/>
      <c r="B179" s="1224"/>
      <c r="C179" s="947"/>
      <c r="D179" s="948"/>
      <c r="E179" s="948"/>
      <c r="F179" s="948"/>
      <c r="G179" s="948"/>
      <c r="H179" s="948"/>
      <c r="I179" s="948"/>
      <c r="J179" s="948"/>
      <c r="K179" s="949"/>
      <c r="L179" s="949"/>
      <c r="M179" s="949"/>
      <c r="N179" s="950"/>
      <c r="O179" s="948"/>
      <c r="P179" s="948"/>
      <c r="Q179" s="948"/>
      <c r="R179" s="949"/>
      <c r="S179" s="949"/>
      <c r="T179" s="949"/>
      <c r="U179" s="949"/>
      <c r="V179" s="949"/>
      <c r="W179" s="949"/>
      <c r="X179" s="951"/>
      <c r="Y179" s="951"/>
      <c r="Z179" s="952"/>
      <c r="AA179" s="953"/>
      <c r="AB179" s="948"/>
      <c r="AC179" s="948"/>
      <c r="AD179" s="949"/>
      <c r="AE179" s="949"/>
      <c r="AF179" s="949"/>
      <c r="AG179" s="949"/>
      <c r="AH179" s="949"/>
      <c r="AI179" s="949"/>
      <c r="AJ179" s="949"/>
      <c r="AK179" s="949"/>
      <c r="AL179" s="949"/>
      <c r="AM179" s="949"/>
      <c r="AN179" s="949"/>
      <c r="AO179" s="949"/>
      <c r="AP179" s="949"/>
      <c r="AQ179" s="949"/>
      <c r="AR179" s="949"/>
      <c r="AS179" s="949"/>
      <c r="AT179" s="949"/>
      <c r="AU179" s="949"/>
      <c r="AV179" s="949"/>
      <c r="AW179" s="949"/>
      <c r="AX179" s="949"/>
      <c r="AY179" s="949"/>
      <c r="AZ179" s="949"/>
      <c r="BA179" s="949"/>
      <c r="BB179" s="949"/>
      <c r="BC179" s="949"/>
      <c r="BD179" s="949"/>
      <c r="BE179" s="949"/>
      <c r="BF179" s="949"/>
      <c r="BG179" s="948"/>
      <c r="BH179" s="948"/>
      <c r="BI179" s="948"/>
      <c r="BJ179" s="948"/>
      <c r="BK179" s="948"/>
      <c r="BL179" s="948"/>
      <c r="BM179" s="948"/>
      <c r="BN179" s="948"/>
      <c r="BO179" s="948"/>
      <c r="BP179" s="948"/>
      <c r="BQ179" s="948"/>
      <c r="BR179" s="948"/>
      <c r="BS179" s="948"/>
      <c r="BT179" s="948"/>
      <c r="BU179" s="954"/>
    </row>
    <row r="180" spans="1:73" x14ac:dyDescent="0.2">
      <c r="A180" s="1224"/>
      <c r="B180" s="1224"/>
      <c r="C180" s="947"/>
      <c r="D180" s="948"/>
      <c r="E180" s="948"/>
      <c r="F180" s="948"/>
      <c r="G180" s="948"/>
      <c r="H180" s="948"/>
      <c r="I180" s="948"/>
      <c r="J180" s="948"/>
      <c r="K180" s="949"/>
      <c r="L180" s="949"/>
      <c r="M180" s="949"/>
      <c r="N180" s="950"/>
      <c r="O180" s="948"/>
      <c r="P180" s="948"/>
      <c r="Q180" s="948"/>
      <c r="R180" s="949"/>
      <c r="S180" s="949"/>
      <c r="T180" s="949"/>
      <c r="U180" s="949"/>
      <c r="V180" s="949"/>
      <c r="W180" s="949"/>
      <c r="X180" s="951"/>
      <c r="Y180" s="951"/>
      <c r="Z180" s="952"/>
      <c r="AA180" s="953"/>
      <c r="AB180" s="948"/>
      <c r="AC180" s="948"/>
      <c r="AD180" s="949"/>
      <c r="AE180" s="949"/>
      <c r="AF180" s="949"/>
      <c r="AG180" s="949"/>
      <c r="AH180" s="949"/>
      <c r="AI180" s="949"/>
      <c r="AJ180" s="949"/>
      <c r="AK180" s="949"/>
      <c r="AL180" s="949"/>
      <c r="AM180" s="949"/>
      <c r="AN180" s="949"/>
      <c r="AO180" s="949"/>
      <c r="AP180" s="949"/>
      <c r="AQ180" s="949"/>
      <c r="AR180" s="949"/>
      <c r="AS180" s="949"/>
      <c r="AT180" s="949"/>
      <c r="AU180" s="949"/>
      <c r="AV180" s="949"/>
      <c r="AW180" s="949"/>
      <c r="AX180" s="949"/>
      <c r="AY180" s="949"/>
      <c r="AZ180" s="949"/>
      <c r="BA180" s="949"/>
      <c r="BB180" s="949"/>
      <c r="BC180" s="949"/>
      <c r="BD180" s="949"/>
      <c r="BE180" s="949"/>
      <c r="BF180" s="949"/>
      <c r="BG180" s="948"/>
      <c r="BH180" s="948"/>
      <c r="BI180" s="948"/>
      <c r="BJ180" s="948"/>
      <c r="BK180" s="948"/>
      <c r="BL180" s="948"/>
      <c r="BM180" s="948"/>
      <c r="BN180" s="948"/>
      <c r="BO180" s="948"/>
      <c r="BP180" s="948"/>
      <c r="BQ180" s="948"/>
      <c r="BR180" s="948"/>
      <c r="BS180" s="948"/>
      <c r="BT180" s="948"/>
      <c r="BU180" s="954"/>
    </row>
    <row r="181" spans="1:73" x14ac:dyDescent="0.2">
      <c r="A181" s="1224"/>
      <c r="B181" s="1224"/>
      <c r="C181" s="947"/>
      <c r="D181" s="948"/>
      <c r="E181" s="948"/>
      <c r="F181" s="948"/>
      <c r="G181" s="948"/>
      <c r="H181" s="948"/>
      <c r="I181" s="948"/>
      <c r="J181" s="948"/>
      <c r="K181" s="949"/>
      <c r="L181" s="949"/>
      <c r="M181" s="949"/>
      <c r="N181" s="950"/>
      <c r="O181" s="948"/>
      <c r="P181" s="948"/>
      <c r="Q181" s="948"/>
      <c r="R181" s="949"/>
      <c r="S181" s="949"/>
      <c r="T181" s="949"/>
      <c r="U181" s="949"/>
      <c r="V181" s="949"/>
      <c r="W181" s="949"/>
      <c r="X181" s="951"/>
      <c r="Y181" s="951"/>
      <c r="Z181" s="952"/>
      <c r="AA181" s="953"/>
      <c r="AB181" s="948"/>
      <c r="AC181" s="948"/>
      <c r="AD181" s="949"/>
      <c r="AE181" s="949"/>
      <c r="AF181" s="949"/>
      <c r="AG181" s="949"/>
      <c r="AH181" s="949"/>
      <c r="AI181" s="949"/>
      <c r="AJ181" s="949"/>
      <c r="AK181" s="949"/>
      <c r="AL181" s="949"/>
      <c r="AM181" s="949"/>
      <c r="AN181" s="949"/>
      <c r="AO181" s="949"/>
      <c r="AP181" s="949"/>
      <c r="AQ181" s="949"/>
      <c r="AR181" s="949"/>
      <c r="AS181" s="949"/>
      <c r="AT181" s="949"/>
      <c r="AU181" s="949"/>
      <c r="AV181" s="949"/>
      <c r="AW181" s="949"/>
      <c r="AX181" s="949"/>
      <c r="AY181" s="949"/>
      <c r="AZ181" s="949"/>
      <c r="BA181" s="949"/>
      <c r="BB181" s="949"/>
      <c r="BC181" s="949"/>
      <c r="BD181" s="949"/>
      <c r="BE181" s="949"/>
      <c r="BF181" s="949"/>
      <c r="BG181" s="948"/>
      <c r="BH181" s="948"/>
      <c r="BI181" s="948"/>
      <c r="BJ181" s="948"/>
      <c r="BK181" s="948"/>
      <c r="BL181" s="948"/>
      <c r="BM181" s="948"/>
      <c r="BN181" s="948"/>
      <c r="BO181" s="948"/>
      <c r="BP181" s="948"/>
      <c r="BQ181" s="948"/>
      <c r="BR181" s="948"/>
      <c r="BS181" s="948"/>
      <c r="BT181" s="948"/>
      <c r="BU181" s="954"/>
    </row>
    <row r="182" spans="1:73" x14ac:dyDescent="0.2">
      <c r="A182" s="1224"/>
      <c r="B182" s="1224"/>
      <c r="C182" s="947"/>
      <c r="D182" s="948"/>
      <c r="E182" s="948"/>
      <c r="F182" s="948"/>
      <c r="G182" s="948"/>
      <c r="H182" s="948"/>
      <c r="I182" s="948"/>
      <c r="J182" s="948"/>
      <c r="K182" s="949"/>
      <c r="L182" s="949"/>
      <c r="M182" s="949"/>
      <c r="N182" s="950"/>
      <c r="O182" s="948"/>
      <c r="P182" s="948"/>
      <c r="Q182" s="948"/>
      <c r="R182" s="949"/>
      <c r="S182" s="949"/>
      <c r="T182" s="949"/>
      <c r="U182" s="949"/>
      <c r="V182" s="949"/>
      <c r="W182" s="949"/>
      <c r="X182" s="951"/>
      <c r="Y182" s="951"/>
      <c r="Z182" s="952"/>
      <c r="AA182" s="953"/>
      <c r="AB182" s="948"/>
      <c r="AC182" s="948"/>
      <c r="AD182" s="949"/>
      <c r="AE182" s="949"/>
      <c r="AF182" s="949"/>
      <c r="AG182" s="949"/>
      <c r="AH182" s="949"/>
      <c r="AI182" s="949"/>
      <c r="AJ182" s="949"/>
      <c r="AK182" s="949"/>
      <c r="AL182" s="949"/>
      <c r="AM182" s="949"/>
      <c r="AN182" s="949"/>
      <c r="AO182" s="949"/>
      <c r="AP182" s="949"/>
      <c r="AQ182" s="949"/>
      <c r="AR182" s="949"/>
      <c r="AS182" s="949"/>
      <c r="AT182" s="949"/>
      <c r="AU182" s="949"/>
      <c r="AV182" s="949"/>
      <c r="AW182" s="949"/>
      <c r="AX182" s="949"/>
      <c r="AY182" s="949"/>
      <c r="AZ182" s="949"/>
      <c r="BA182" s="949"/>
      <c r="BB182" s="949"/>
      <c r="BC182" s="949"/>
      <c r="BD182" s="949"/>
      <c r="BE182" s="949"/>
      <c r="BF182" s="949"/>
      <c r="BG182" s="948"/>
      <c r="BH182" s="948"/>
      <c r="BI182" s="948"/>
      <c r="BJ182" s="948"/>
      <c r="BK182" s="948"/>
      <c r="BL182" s="948"/>
      <c r="BM182" s="948"/>
      <c r="BN182" s="948"/>
      <c r="BO182" s="948"/>
      <c r="BP182" s="948"/>
      <c r="BQ182" s="948"/>
      <c r="BR182" s="948"/>
      <c r="BS182" s="948"/>
      <c r="BT182" s="948"/>
      <c r="BU182" s="954"/>
    </row>
    <row r="183" spans="1:73" x14ac:dyDescent="0.2">
      <c r="A183" s="1224"/>
      <c r="B183" s="1224"/>
      <c r="C183" s="947"/>
      <c r="D183" s="948"/>
      <c r="E183" s="948"/>
      <c r="F183" s="948"/>
      <c r="G183" s="948"/>
      <c r="H183" s="948"/>
      <c r="I183" s="948"/>
      <c r="J183" s="948"/>
      <c r="K183" s="949"/>
      <c r="L183" s="949"/>
      <c r="M183" s="949"/>
      <c r="N183" s="950"/>
      <c r="O183" s="948"/>
      <c r="P183" s="948"/>
      <c r="Q183" s="948"/>
      <c r="R183" s="949"/>
      <c r="S183" s="949"/>
      <c r="T183" s="949"/>
      <c r="U183" s="949"/>
      <c r="V183" s="949"/>
      <c r="W183" s="949"/>
      <c r="X183" s="951"/>
      <c r="Y183" s="951"/>
      <c r="Z183" s="952"/>
      <c r="AA183" s="953"/>
      <c r="AB183" s="948"/>
      <c r="AC183" s="948"/>
      <c r="AD183" s="949"/>
      <c r="AE183" s="949"/>
      <c r="AF183" s="949"/>
      <c r="AG183" s="949"/>
      <c r="AH183" s="949"/>
      <c r="AI183" s="949"/>
      <c r="AJ183" s="949"/>
      <c r="AK183" s="949"/>
      <c r="AL183" s="949"/>
      <c r="AM183" s="949"/>
      <c r="AN183" s="949"/>
      <c r="AO183" s="949"/>
      <c r="AP183" s="949"/>
      <c r="AQ183" s="949"/>
      <c r="AR183" s="949"/>
      <c r="AS183" s="949"/>
      <c r="AT183" s="949"/>
      <c r="AU183" s="949"/>
      <c r="AV183" s="949"/>
      <c r="AW183" s="949"/>
      <c r="AX183" s="949"/>
      <c r="AY183" s="949"/>
      <c r="AZ183" s="949"/>
      <c r="BA183" s="949"/>
      <c r="BB183" s="949"/>
      <c r="BC183" s="949"/>
      <c r="BD183" s="949"/>
      <c r="BE183" s="949"/>
      <c r="BF183" s="949"/>
      <c r="BG183" s="948"/>
      <c r="BH183" s="948"/>
      <c r="BI183" s="948"/>
      <c r="BJ183" s="948"/>
      <c r="BK183" s="948"/>
      <c r="BL183" s="948"/>
      <c r="BM183" s="948"/>
      <c r="BN183" s="948"/>
      <c r="BO183" s="948"/>
      <c r="BP183" s="948"/>
      <c r="BQ183" s="948"/>
      <c r="BR183" s="948"/>
      <c r="BS183" s="948"/>
      <c r="BT183" s="948"/>
      <c r="BU183" s="954"/>
    </row>
    <row r="184" spans="1:73" x14ac:dyDescent="0.2">
      <c r="A184" s="1224"/>
      <c r="B184" s="1224"/>
      <c r="C184" s="947"/>
      <c r="D184" s="948"/>
      <c r="E184" s="948"/>
      <c r="F184" s="948"/>
      <c r="G184" s="948"/>
      <c r="H184" s="948"/>
      <c r="I184" s="948"/>
      <c r="J184" s="948"/>
      <c r="K184" s="949"/>
      <c r="L184" s="949"/>
      <c r="M184" s="949"/>
      <c r="N184" s="950"/>
      <c r="O184" s="948"/>
      <c r="P184" s="948"/>
      <c r="Q184" s="948"/>
      <c r="R184" s="949"/>
      <c r="S184" s="949"/>
      <c r="T184" s="949"/>
      <c r="U184" s="949"/>
      <c r="V184" s="949"/>
      <c r="W184" s="949"/>
      <c r="X184" s="951"/>
      <c r="Y184" s="951"/>
      <c r="Z184" s="952"/>
      <c r="AA184" s="953"/>
      <c r="AB184" s="948"/>
      <c r="AC184" s="948"/>
      <c r="AD184" s="949"/>
      <c r="AE184" s="949"/>
      <c r="AF184" s="949"/>
      <c r="AG184" s="949"/>
      <c r="AH184" s="949"/>
      <c r="AI184" s="949"/>
      <c r="AJ184" s="949"/>
      <c r="AK184" s="949"/>
      <c r="AL184" s="949"/>
      <c r="AM184" s="949"/>
      <c r="AN184" s="949"/>
      <c r="AO184" s="949"/>
      <c r="AP184" s="949"/>
      <c r="AQ184" s="949"/>
      <c r="AR184" s="949"/>
      <c r="AS184" s="949"/>
      <c r="AT184" s="949"/>
      <c r="AU184" s="949"/>
      <c r="AV184" s="949"/>
      <c r="AW184" s="949"/>
      <c r="AX184" s="949"/>
      <c r="AY184" s="949"/>
      <c r="AZ184" s="949"/>
      <c r="BA184" s="949"/>
      <c r="BB184" s="949"/>
      <c r="BC184" s="949"/>
      <c r="BD184" s="949"/>
      <c r="BE184" s="949"/>
      <c r="BF184" s="949"/>
      <c r="BG184" s="948"/>
      <c r="BH184" s="948"/>
      <c r="BI184" s="948"/>
      <c r="BJ184" s="948"/>
      <c r="BK184" s="948"/>
      <c r="BL184" s="948"/>
      <c r="BM184" s="948"/>
      <c r="BN184" s="948"/>
      <c r="BO184" s="948"/>
      <c r="BP184" s="948"/>
      <c r="BQ184" s="948"/>
      <c r="BR184" s="948"/>
      <c r="BS184" s="948"/>
      <c r="BT184" s="948"/>
      <c r="BU184" s="954"/>
    </row>
    <row r="185" spans="1:73" x14ac:dyDescent="0.2">
      <c r="A185" s="1224"/>
      <c r="B185" s="1224"/>
      <c r="C185" s="947"/>
      <c r="D185" s="948"/>
      <c r="E185" s="948"/>
      <c r="F185" s="948"/>
      <c r="G185" s="948"/>
      <c r="H185" s="948"/>
      <c r="I185" s="948"/>
      <c r="J185" s="948"/>
      <c r="K185" s="949"/>
      <c r="L185" s="949"/>
      <c r="M185" s="949"/>
      <c r="N185" s="950"/>
      <c r="O185" s="948"/>
      <c r="P185" s="948"/>
      <c r="Q185" s="948"/>
      <c r="R185" s="949"/>
      <c r="S185" s="949"/>
      <c r="T185" s="949"/>
      <c r="U185" s="949"/>
      <c r="V185" s="949"/>
      <c r="W185" s="949"/>
      <c r="X185" s="951"/>
      <c r="Y185" s="951"/>
      <c r="Z185" s="952"/>
      <c r="AA185" s="953"/>
      <c r="AB185" s="948"/>
      <c r="AC185" s="948"/>
      <c r="AD185" s="949"/>
      <c r="AE185" s="949"/>
      <c r="AF185" s="949"/>
      <c r="AG185" s="949"/>
      <c r="AH185" s="949"/>
      <c r="AI185" s="949"/>
      <c r="AJ185" s="949"/>
      <c r="AK185" s="949"/>
      <c r="AL185" s="949"/>
      <c r="AM185" s="949"/>
      <c r="AN185" s="949"/>
      <c r="AO185" s="949"/>
      <c r="AP185" s="949"/>
      <c r="AQ185" s="949"/>
      <c r="AR185" s="949"/>
      <c r="AS185" s="949"/>
      <c r="AT185" s="949"/>
      <c r="AU185" s="949"/>
      <c r="AV185" s="949"/>
      <c r="AW185" s="949"/>
      <c r="AX185" s="949"/>
      <c r="AY185" s="949"/>
      <c r="AZ185" s="949"/>
      <c r="BA185" s="949"/>
      <c r="BB185" s="949"/>
      <c r="BC185" s="949"/>
      <c r="BD185" s="949"/>
      <c r="BE185" s="949"/>
      <c r="BF185" s="949"/>
      <c r="BG185" s="948"/>
      <c r="BH185" s="948"/>
      <c r="BI185" s="948"/>
      <c r="BJ185" s="948"/>
      <c r="BK185" s="948"/>
      <c r="BL185" s="948"/>
      <c r="BM185" s="948"/>
      <c r="BN185" s="948"/>
      <c r="BO185" s="948"/>
      <c r="BP185" s="948"/>
      <c r="BQ185" s="948"/>
      <c r="BR185" s="948"/>
      <c r="BS185" s="948"/>
      <c r="BT185" s="948"/>
      <c r="BU185" s="954"/>
    </row>
    <row r="186" spans="1:73" x14ac:dyDescent="0.2">
      <c r="A186" s="1224"/>
      <c r="B186" s="1224"/>
      <c r="C186" s="947"/>
      <c r="D186" s="948"/>
      <c r="E186" s="948"/>
      <c r="F186" s="948"/>
      <c r="G186" s="948"/>
      <c r="H186" s="948"/>
      <c r="I186" s="948"/>
      <c r="J186" s="948"/>
      <c r="K186" s="949"/>
      <c r="L186" s="949"/>
      <c r="M186" s="949"/>
      <c r="N186" s="950"/>
      <c r="O186" s="948"/>
      <c r="P186" s="948"/>
      <c r="Q186" s="948"/>
      <c r="R186" s="949"/>
      <c r="S186" s="949"/>
      <c r="T186" s="949"/>
      <c r="U186" s="949"/>
      <c r="V186" s="949"/>
      <c r="W186" s="949"/>
      <c r="X186" s="951"/>
      <c r="Y186" s="951"/>
      <c r="Z186" s="952"/>
      <c r="AA186" s="953"/>
      <c r="AB186" s="948"/>
      <c r="AC186" s="948"/>
      <c r="AD186" s="949"/>
      <c r="AE186" s="949"/>
      <c r="AF186" s="949"/>
      <c r="AG186" s="949"/>
      <c r="AH186" s="949"/>
      <c r="AI186" s="949"/>
      <c r="AJ186" s="949"/>
      <c r="AK186" s="949"/>
      <c r="AL186" s="949"/>
      <c r="AM186" s="949"/>
      <c r="AN186" s="949"/>
      <c r="AO186" s="949"/>
      <c r="AP186" s="949"/>
      <c r="AQ186" s="949"/>
      <c r="AR186" s="949"/>
      <c r="AS186" s="949"/>
      <c r="AT186" s="949"/>
      <c r="AU186" s="949"/>
      <c r="AV186" s="949"/>
      <c r="AW186" s="949"/>
      <c r="AX186" s="949"/>
      <c r="AY186" s="949"/>
      <c r="AZ186" s="949"/>
      <c r="BA186" s="949"/>
      <c r="BB186" s="949"/>
      <c r="BC186" s="949"/>
      <c r="BD186" s="949"/>
      <c r="BE186" s="949"/>
      <c r="BF186" s="949"/>
      <c r="BG186" s="948"/>
      <c r="BH186" s="948"/>
      <c r="BI186" s="948"/>
      <c r="BJ186" s="948"/>
      <c r="BK186" s="948"/>
      <c r="BL186" s="948"/>
      <c r="BM186" s="948"/>
      <c r="BN186" s="948"/>
      <c r="BO186" s="948"/>
      <c r="BP186" s="948"/>
      <c r="BQ186" s="948"/>
      <c r="BR186" s="948"/>
      <c r="BS186" s="948"/>
      <c r="BT186" s="948"/>
      <c r="BU186" s="954"/>
    </row>
    <row r="187" spans="1:73" x14ac:dyDescent="0.2">
      <c r="A187" s="1224"/>
      <c r="B187" s="1224"/>
      <c r="C187" s="947"/>
      <c r="D187" s="948"/>
      <c r="E187" s="948"/>
      <c r="F187" s="948"/>
      <c r="G187" s="948"/>
      <c r="H187" s="948"/>
      <c r="I187" s="948"/>
      <c r="J187" s="948"/>
      <c r="K187" s="949"/>
      <c r="L187" s="949"/>
      <c r="M187" s="949"/>
      <c r="N187" s="950"/>
      <c r="O187" s="948"/>
      <c r="P187" s="948"/>
      <c r="Q187" s="948"/>
      <c r="R187" s="949"/>
      <c r="S187" s="949"/>
      <c r="T187" s="949"/>
      <c r="U187" s="949"/>
      <c r="V187" s="949"/>
      <c r="W187" s="949"/>
      <c r="X187" s="951"/>
      <c r="Y187" s="951"/>
      <c r="Z187" s="952"/>
      <c r="AA187" s="953"/>
      <c r="AB187" s="948"/>
      <c r="AC187" s="948"/>
      <c r="AD187" s="949"/>
      <c r="AE187" s="949"/>
      <c r="AF187" s="949"/>
      <c r="AG187" s="949"/>
      <c r="AH187" s="949"/>
      <c r="AI187" s="949"/>
      <c r="AJ187" s="949"/>
      <c r="AK187" s="949"/>
      <c r="AL187" s="949"/>
      <c r="AM187" s="949"/>
      <c r="AN187" s="949"/>
      <c r="AO187" s="949"/>
      <c r="AP187" s="949"/>
      <c r="AQ187" s="949"/>
      <c r="AR187" s="949"/>
      <c r="AS187" s="949"/>
      <c r="AT187" s="949"/>
      <c r="AU187" s="949"/>
      <c r="AV187" s="949"/>
      <c r="AW187" s="949"/>
      <c r="AX187" s="949"/>
      <c r="AY187" s="949"/>
      <c r="AZ187" s="949"/>
      <c r="BA187" s="949"/>
      <c r="BB187" s="949"/>
      <c r="BC187" s="949"/>
      <c r="BD187" s="949"/>
      <c r="BE187" s="949"/>
      <c r="BF187" s="949"/>
      <c r="BG187" s="948"/>
      <c r="BH187" s="948"/>
      <c r="BI187" s="948"/>
      <c r="BJ187" s="948"/>
      <c r="BK187" s="948"/>
      <c r="BL187" s="948"/>
      <c r="BM187" s="948"/>
      <c r="BN187" s="948"/>
      <c r="BO187" s="948"/>
      <c r="BP187" s="948"/>
      <c r="BQ187" s="948"/>
      <c r="BR187" s="948"/>
      <c r="BS187" s="948"/>
      <c r="BT187" s="948"/>
      <c r="BU187" s="954"/>
    </row>
    <row r="188" spans="1:73" x14ac:dyDescent="0.2">
      <c r="A188" s="1224"/>
      <c r="B188" s="1224"/>
      <c r="C188" s="947"/>
      <c r="D188" s="948"/>
      <c r="E188" s="948"/>
      <c r="F188" s="948"/>
      <c r="G188" s="948"/>
      <c r="H188" s="948"/>
      <c r="I188" s="948"/>
      <c r="J188" s="948"/>
      <c r="K188" s="949"/>
      <c r="L188" s="949"/>
      <c r="M188" s="949"/>
      <c r="N188" s="950"/>
      <c r="O188" s="948"/>
      <c r="P188" s="948"/>
      <c r="Q188" s="948"/>
      <c r="R188" s="949"/>
      <c r="S188" s="949"/>
      <c r="T188" s="949"/>
      <c r="U188" s="949"/>
      <c r="V188" s="949"/>
      <c r="W188" s="949"/>
      <c r="X188" s="951"/>
      <c r="Y188" s="951"/>
      <c r="Z188" s="952"/>
      <c r="AA188" s="953"/>
      <c r="AB188" s="948"/>
      <c r="AC188" s="948"/>
      <c r="AD188" s="949"/>
      <c r="AE188" s="949"/>
      <c r="AF188" s="949"/>
      <c r="AG188" s="949"/>
      <c r="AH188" s="949"/>
      <c r="AI188" s="949"/>
      <c r="AJ188" s="949"/>
      <c r="AK188" s="949"/>
      <c r="AL188" s="949"/>
      <c r="AM188" s="949"/>
      <c r="AN188" s="949"/>
      <c r="AO188" s="949"/>
      <c r="AP188" s="949"/>
      <c r="AQ188" s="949"/>
      <c r="AR188" s="949"/>
      <c r="AS188" s="949"/>
      <c r="AT188" s="949"/>
      <c r="AU188" s="949"/>
      <c r="AV188" s="949"/>
      <c r="AW188" s="949"/>
      <c r="AX188" s="949"/>
      <c r="AY188" s="949"/>
      <c r="AZ188" s="949"/>
      <c r="BA188" s="949"/>
      <c r="BB188" s="949"/>
      <c r="BC188" s="949"/>
      <c r="BD188" s="949"/>
      <c r="BE188" s="949"/>
      <c r="BF188" s="949"/>
      <c r="BG188" s="948"/>
      <c r="BH188" s="948"/>
      <c r="BI188" s="948"/>
      <c r="BJ188" s="948"/>
      <c r="BK188" s="948"/>
      <c r="BL188" s="948"/>
      <c r="BM188" s="948"/>
      <c r="BN188" s="948"/>
      <c r="BO188" s="948"/>
      <c r="BP188" s="948"/>
      <c r="BQ188" s="948"/>
      <c r="BR188" s="948"/>
      <c r="BS188" s="948"/>
      <c r="BT188" s="948"/>
      <c r="BU188" s="954"/>
    </row>
    <row r="189" spans="1:73" x14ac:dyDescent="0.2">
      <c r="A189" s="1224"/>
      <c r="B189" s="1224"/>
      <c r="C189" s="947"/>
      <c r="D189" s="948"/>
      <c r="E189" s="948"/>
      <c r="F189" s="948"/>
      <c r="G189" s="948"/>
      <c r="H189" s="948"/>
      <c r="I189" s="948"/>
      <c r="J189" s="948"/>
      <c r="K189" s="949"/>
      <c r="L189" s="949"/>
      <c r="M189" s="949"/>
      <c r="N189" s="950"/>
      <c r="O189" s="948"/>
      <c r="P189" s="948"/>
      <c r="Q189" s="948"/>
      <c r="R189" s="949"/>
      <c r="S189" s="949"/>
      <c r="T189" s="949"/>
      <c r="U189" s="949"/>
      <c r="V189" s="949"/>
      <c r="W189" s="949"/>
      <c r="X189" s="951"/>
      <c r="Y189" s="951"/>
      <c r="Z189" s="952"/>
      <c r="AA189" s="953"/>
      <c r="AB189" s="948"/>
      <c r="AC189" s="948"/>
      <c r="AD189" s="949"/>
      <c r="AE189" s="949"/>
      <c r="AF189" s="949"/>
      <c r="AG189" s="949"/>
      <c r="AH189" s="949"/>
      <c r="AI189" s="949"/>
      <c r="AJ189" s="949"/>
      <c r="AK189" s="949"/>
      <c r="AL189" s="949"/>
      <c r="AM189" s="949"/>
      <c r="AN189" s="949"/>
      <c r="AO189" s="949"/>
      <c r="AP189" s="949"/>
      <c r="AQ189" s="949"/>
      <c r="AR189" s="949"/>
      <c r="AS189" s="949"/>
      <c r="AT189" s="949"/>
      <c r="AU189" s="949"/>
      <c r="AV189" s="949"/>
      <c r="AW189" s="949"/>
      <c r="AX189" s="949"/>
      <c r="AY189" s="949"/>
      <c r="AZ189" s="949"/>
      <c r="BA189" s="949"/>
      <c r="BB189" s="949"/>
      <c r="BC189" s="949"/>
      <c r="BD189" s="949"/>
      <c r="BE189" s="949"/>
      <c r="BF189" s="949"/>
      <c r="BG189" s="948"/>
      <c r="BH189" s="948"/>
      <c r="BI189" s="948"/>
      <c r="BJ189" s="948"/>
      <c r="BK189" s="948"/>
      <c r="BL189" s="948"/>
      <c r="BM189" s="948"/>
      <c r="BN189" s="948"/>
      <c r="BO189" s="948"/>
      <c r="BP189" s="948"/>
      <c r="BQ189" s="948"/>
      <c r="BR189" s="948"/>
      <c r="BS189" s="948"/>
      <c r="BT189" s="948"/>
      <c r="BU189" s="954"/>
    </row>
    <row r="190" spans="1:73" x14ac:dyDescent="0.2">
      <c r="A190" s="1224"/>
      <c r="B190" s="1224"/>
      <c r="C190" s="947"/>
      <c r="D190" s="948"/>
      <c r="E190" s="948"/>
      <c r="F190" s="948"/>
      <c r="G190" s="948"/>
      <c r="H190" s="948"/>
      <c r="I190" s="948"/>
      <c r="J190" s="948"/>
      <c r="K190" s="949"/>
      <c r="L190" s="949"/>
      <c r="M190" s="949"/>
      <c r="N190" s="950"/>
      <c r="O190" s="948"/>
      <c r="P190" s="948"/>
      <c r="Q190" s="948"/>
      <c r="R190" s="949"/>
      <c r="S190" s="949"/>
      <c r="T190" s="949"/>
      <c r="U190" s="949"/>
      <c r="V190" s="949"/>
      <c r="W190" s="949"/>
      <c r="X190" s="951"/>
      <c r="Y190" s="951"/>
      <c r="Z190" s="952"/>
      <c r="AA190" s="953"/>
      <c r="AB190" s="948"/>
      <c r="AC190" s="948"/>
      <c r="AD190" s="949"/>
      <c r="AE190" s="949"/>
      <c r="AF190" s="949"/>
      <c r="AG190" s="949"/>
      <c r="AH190" s="949"/>
      <c r="AI190" s="949"/>
      <c r="AJ190" s="949"/>
      <c r="AK190" s="949"/>
      <c r="AL190" s="949"/>
      <c r="AM190" s="949"/>
      <c r="AN190" s="949"/>
      <c r="AO190" s="949"/>
      <c r="AP190" s="949"/>
      <c r="AQ190" s="949"/>
      <c r="AR190" s="949"/>
      <c r="AS190" s="949"/>
      <c r="AT190" s="949"/>
      <c r="AU190" s="949"/>
      <c r="AV190" s="949"/>
      <c r="AW190" s="949"/>
      <c r="AX190" s="949"/>
      <c r="AY190" s="949"/>
      <c r="AZ190" s="949"/>
      <c r="BA190" s="949"/>
      <c r="BB190" s="949"/>
      <c r="BC190" s="949"/>
      <c r="BD190" s="949"/>
      <c r="BE190" s="949"/>
      <c r="BF190" s="949"/>
      <c r="BG190" s="948"/>
      <c r="BH190" s="948"/>
      <c r="BI190" s="948"/>
      <c r="BJ190" s="948"/>
      <c r="BK190" s="948"/>
      <c r="BL190" s="948"/>
      <c r="BM190" s="948"/>
      <c r="BN190" s="948"/>
      <c r="BO190" s="948"/>
      <c r="BP190" s="948"/>
      <c r="BQ190" s="948"/>
      <c r="BR190" s="948"/>
      <c r="BS190" s="948"/>
      <c r="BT190" s="948"/>
      <c r="BU190" s="954"/>
    </row>
    <row r="191" spans="1:73" x14ac:dyDescent="0.2">
      <c r="A191" s="1224"/>
      <c r="B191" s="1224"/>
      <c r="C191" s="947"/>
      <c r="D191" s="948"/>
      <c r="E191" s="948"/>
      <c r="F191" s="948"/>
      <c r="G191" s="948"/>
      <c r="H191" s="948"/>
      <c r="I191" s="948"/>
      <c r="J191" s="948"/>
      <c r="K191" s="949"/>
      <c r="L191" s="949"/>
      <c r="M191" s="949"/>
      <c r="N191" s="950"/>
      <c r="O191" s="948"/>
      <c r="P191" s="948"/>
      <c r="Q191" s="948"/>
      <c r="R191" s="949"/>
      <c r="S191" s="949"/>
      <c r="T191" s="949"/>
      <c r="U191" s="949"/>
      <c r="V191" s="949"/>
      <c r="W191" s="949"/>
      <c r="X191" s="951"/>
      <c r="Y191" s="951"/>
      <c r="Z191" s="952"/>
      <c r="AA191" s="953"/>
      <c r="AB191" s="948"/>
      <c r="AC191" s="948"/>
      <c r="AD191" s="949"/>
      <c r="AE191" s="949"/>
      <c r="AF191" s="949"/>
      <c r="AG191" s="949"/>
      <c r="AH191" s="949"/>
      <c r="AI191" s="949"/>
      <c r="AJ191" s="949"/>
      <c r="AK191" s="949"/>
      <c r="AL191" s="949"/>
      <c r="AM191" s="949"/>
      <c r="AN191" s="949"/>
      <c r="AO191" s="949"/>
      <c r="AP191" s="949"/>
      <c r="AQ191" s="949"/>
      <c r="AR191" s="949"/>
      <c r="AS191" s="949"/>
      <c r="AT191" s="949"/>
      <c r="AU191" s="949"/>
      <c r="AV191" s="949"/>
      <c r="AW191" s="949"/>
      <c r="AX191" s="949"/>
      <c r="AY191" s="949"/>
      <c r="AZ191" s="949"/>
      <c r="BA191" s="949"/>
      <c r="BB191" s="949"/>
      <c r="BC191" s="949"/>
      <c r="BD191" s="949"/>
      <c r="BE191" s="949"/>
      <c r="BF191" s="949"/>
      <c r="BG191" s="948"/>
      <c r="BH191" s="948"/>
      <c r="BI191" s="948"/>
      <c r="BJ191" s="948"/>
      <c r="BK191" s="948"/>
      <c r="BL191" s="948"/>
      <c r="BM191" s="948"/>
      <c r="BN191" s="948"/>
      <c r="BO191" s="948"/>
      <c r="BP191" s="948"/>
      <c r="BQ191" s="948"/>
      <c r="BR191" s="948"/>
      <c r="BS191" s="948"/>
      <c r="BT191" s="948"/>
      <c r="BU191" s="954"/>
    </row>
    <row r="192" spans="1:73" x14ac:dyDescent="0.2">
      <c r="A192" s="1224"/>
      <c r="B192" s="1224"/>
      <c r="C192" s="947"/>
      <c r="D192" s="948"/>
      <c r="E192" s="948"/>
      <c r="F192" s="948"/>
      <c r="G192" s="948"/>
      <c r="H192" s="948"/>
      <c r="I192" s="948"/>
      <c r="J192" s="948"/>
      <c r="K192" s="949"/>
      <c r="L192" s="949"/>
      <c r="M192" s="949"/>
      <c r="N192" s="950"/>
      <c r="O192" s="948"/>
      <c r="P192" s="948"/>
      <c r="Q192" s="948"/>
      <c r="R192" s="949"/>
      <c r="S192" s="949"/>
      <c r="T192" s="949"/>
      <c r="U192" s="949"/>
      <c r="V192" s="949"/>
      <c r="W192" s="949"/>
      <c r="X192" s="951"/>
      <c r="Y192" s="951"/>
      <c r="Z192" s="952"/>
      <c r="AA192" s="953"/>
      <c r="AB192" s="948"/>
      <c r="AC192" s="948"/>
      <c r="AD192" s="949"/>
      <c r="AE192" s="949"/>
      <c r="AF192" s="949"/>
      <c r="AG192" s="949"/>
      <c r="AH192" s="949"/>
      <c r="AI192" s="949"/>
      <c r="AJ192" s="949"/>
      <c r="AK192" s="949"/>
      <c r="AL192" s="949"/>
      <c r="AM192" s="949"/>
      <c r="AN192" s="949"/>
      <c r="AO192" s="949"/>
      <c r="AP192" s="949"/>
      <c r="AQ192" s="949"/>
      <c r="AR192" s="949"/>
      <c r="AS192" s="949"/>
      <c r="AT192" s="949"/>
      <c r="AU192" s="949"/>
      <c r="AV192" s="949"/>
      <c r="AW192" s="949"/>
      <c r="AX192" s="949"/>
      <c r="AY192" s="949"/>
      <c r="AZ192" s="949"/>
      <c r="BA192" s="949"/>
      <c r="BB192" s="949"/>
      <c r="BC192" s="949"/>
      <c r="BD192" s="949"/>
      <c r="BE192" s="949"/>
      <c r="BF192" s="949"/>
      <c r="BG192" s="948"/>
      <c r="BH192" s="948"/>
      <c r="BI192" s="948"/>
      <c r="BJ192" s="948"/>
      <c r="BK192" s="948"/>
      <c r="BL192" s="948"/>
      <c r="BM192" s="948"/>
      <c r="BN192" s="948"/>
      <c r="BO192" s="948"/>
      <c r="BP192" s="948"/>
      <c r="BQ192" s="948"/>
      <c r="BR192" s="948"/>
      <c r="BS192" s="948"/>
      <c r="BT192" s="948"/>
      <c r="BU192" s="954"/>
    </row>
    <row r="193" spans="1:73" x14ac:dyDescent="0.2">
      <c r="A193" s="1224"/>
      <c r="B193" s="1224"/>
      <c r="C193" s="947"/>
      <c r="D193" s="948"/>
      <c r="E193" s="948"/>
      <c r="F193" s="948"/>
      <c r="G193" s="948"/>
      <c r="H193" s="948"/>
      <c r="I193" s="948"/>
      <c r="J193" s="948"/>
      <c r="K193" s="949"/>
      <c r="L193" s="949"/>
      <c r="M193" s="949"/>
      <c r="N193" s="950"/>
      <c r="O193" s="948"/>
      <c r="P193" s="948"/>
      <c r="Q193" s="948"/>
      <c r="R193" s="949"/>
      <c r="S193" s="949"/>
      <c r="T193" s="949"/>
      <c r="U193" s="949"/>
      <c r="V193" s="949"/>
      <c r="W193" s="949"/>
      <c r="X193" s="951"/>
      <c r="Y193" s="951"/>
      <c r="Z193" s="952"/>
      <c r="AA193" s="953"/>
      <c r="AB193" s="948"/>
      <c r="AC193" s="948"/>
      <c r="AD193" s="949"/>
      <c r="AE193" s="949"/>
      <c r="AF193" s="949"/>
      <c r="AG193" s="949"/>
      <c r="AH193" s="949"/>
      <c r="AI193" s="949"/>
      <c r="AJ193" s="949"/>
      <c r="AK193" s="949"/>
      <c r="AL193" s="949"/>
      <c r="AM193" s="949"/>
      <c r="AN193" s="949"/>
      <c r="AO193" s="949"/>
      <c r="AP193" s="949"/>
      <c r="AQ193" s="949"/>
      <c r="AR193" s="949"/>
      <c r="AS193" s="949"/>
      <c r="AT193" s="949"/>
      <c r="AU193" s="949"/>
      <c r="AV193" s="949"/>
      <c r="AW193" s="949"/>
      <c r="AX193" s="949"/>
      <c r="AY193" s="949"/>
      <c r="AZ193" s="949"/>
      <c r="BA193" s="949"/>
      <c r="BB193" s="949"/>
      <c r="BC193" s="949"/>
      <c r="BD193" s="949"/>
      <c r="BE193" s="949"/>
      <c r="BF193" s="949"/>
      <c r="BG193" s="948"/>
      <c r="BH193" s="948"/>
      <c r="BI193" s="948"/>
      <c r="BJ193" s="948"/>
      <c r="BK193" s="948"/>
      <c r="BL193" s="948"/>
      <c r="BM193" s="948"/>
      <c r="BN193" s="948"/>
      <c r="BO193" s="948"/>
      <c r="BP193" s="948"/>
      <c r="BQ193" s="948"/>
      <c r="BR193" s="948"/>
      <c r="BS193" s="948"/>
      <c r="BT193" s="948"/>
      <c r="BU193" s="954"/>
    </row>
    <row r="194" spans="1:73" x14ac:dyDescent="0.2">
      <c r="A194" s="1224"/>
      <c r="B194" s="1224"/>
      <c r="C194" s="947"/>
      <c r="D194" s="948"/>
      <c r="E194" s="948"/>
      <c r="F194" s="948"/>
      <c r="G194" s="948"/>
      <c r="H194" s="948"/>
      <c r="I194" s="948"/>
      <c r="J194" s="948"/>
      <c r="K194" s="949"/>
      <c r="L194" s="949"/>
      <c r="M194" s="949"/>
      <c r="N194" s="950"/>
      <c r="O194" s="948"/>
      <c r="P194" s="948"/>
      <c r="Q194" s="948"/>
      <c r="R194" s="949"/>
      <c r="S194" s="949"/>
      <c r="T194" s="949"/>
      <c r="U194" s="949"/>
      <c r="V194" s="949"/>
      <c r="W194" s="949"/>
      <c r="X194" s="951"/>
      <c r="Y194" s="951"/>
      <c r="Z194" s="952"/>
      <c r="AA194" s="953"/>
      <c r="AB194" s="948"/>
      <c r="AC194" s="948"/>
      <c r="AD194" s="949"/>
      <c r="AE194" s="949"/>
      <c r="AF194" s="949"/>
      <c r="AG194" s="949"/>
      <c r="AH194" s="949"/>
      <c r="AI194" s="949"/>
      <c r="AJ194" s="949"/>
      <c r="AK194" s="949"/>
      <c r="AL194" s="949"/>
      <c r="AM194" s="949"/>
      <c r="AN194" s="949"/>
      <c r="AO194" s="949"/>
      <c r="AP194" s="949"/>
      <c r="AQ194" s="949"/>
      <c r="AR194" s="949"/>
      <c r="AS194" s="949"/>
      <c r="AT194" s="949"/>
      <c r="AU194" s="949"/>
      <c r="AV194" s="949"/>
      <c r="AW194" s="949"/>
      <c r="AX194" s="949"/>
      <c r="AY194" s="949"/>
      <c r="AZ194" s="949"/>
      <c r="BA194" s="949"/>
      <c r="BB194" s="949"/>
      <c r="BC194" s="949"/>
      <c r="BD194" s="949"/>
      <c r="BE194" s="949"/>
      <c r="BF194" s="949"/>
      <c r="BG194" s="948"/>
      <c r="BH194" s="948"/>
      <c r="BI194" s="948"/>
      <c r="BJ194" s="948"/>
      <c r="BK194" s="948"/>
      <c r="BL194" s="948"/>
      <c r="BM194" s="948"/>
      <c r="BN194" s="948"/>
      <c r="BO194" s="948"/>
      <c r="BP194" s="948"/>
      <c r="BQ194" s="948"/>
      <c r="BR194" s="948"/>
      <c r="BS194" s="948"/>
      <c r="BT194" s="948"/>
      <c r="BU194" s="954"/>
    </row>
    <row r="195" spans="1:73" x14ac:dyDescent="0.2">
      <c r="A195" s="1224"/>
      <c r="B195" s="1224"/>
      <c r="C195" s="947"/>
      <c r="D195" s="948"/>
      <c r="E195" s="948"/>
      <c r="F195" s="948"/>
      <c r="G195" s="948"/>
      <c r="H195" s="948"/>
      <c r="I195" s="948"/>
      <c r="J195" s="948"/>
      <c r="K195" s="949"/>
      <c r="L195" s="949"/>
      <c r="M195" s="949"/>
      <c r="N195" s="950"/>
      <c r="O195" s="948"/>
      <c r="P195" s="948"/>
      <c r="Q195" s="948"/>
      <c r="R195" s="949"/>
      <c r="S195" s="949"/>
      <c r="T195" s="949"/>
      <c r="U195" s="949"/>
      <c r="V195" s="949"/>
      <c r="W195" s="949"/>
      <c r="X195" s="951"/>
      <c r="Y195" s="951"/>
      <c r="Z195" s="952"/>
      <c r="AA195" s="953"/>
      <c r="AB195" s="948"/>
      <c r="AC195" s="948"/>
      <c r="AD195" s="949"/>
      <c r="AE195" s="949"/>
      <c r="AF195" s="949"/>
      <c r="AG195" s="949"/>
      <c r="AH195" s="949"/>
      <c r="AI195" s="949"/>
      <c r="AJ195" s="949"/>
      <c r="AK195" s="949"/>
      <c r="AL195" s="949"/>
      <c r="AM195" s="949"/>
      <c r="AN195" s="949"/>
      <c r="AO195" s="949"/>
      <c r="AP195" s="949"/>
      <c r="AQ195" s="949"/>
      <c r="AR195" s="949"/>
      <c r="AS195" s="949"/>
      <c r="AT195" s="949"/>
      <c r="AU195" s="949"/>
      <c r="AV195" s="949"/>
      <c r="AW195" s="949"/>
      <c r="AX195" s="949"/>
      <c r="AY195" s="949"/>
      <c r="AZ195" s="949"/>
      <c r="BA195" s="949"/>
      <c r="BB195" s="949"/>
      <c r="BC195" s="949"/>
      <c r="BD195" s="949"/>
      <c r="BE195" s="949"/>
      <c r="BF195" s="949"/>
      <c r="BG195" s="948"/>
      <c r="BH195" s="948"/>
      <c r="BI195" s="948"/>
      <c r="BJ195" s="948"/>
      <c r="BK195" s="948"/>
      <c r="BL195" s="948"/>
      <c r="BM195" s="948"/>
      <c r="BN195" s="948"/>
      <c r="BO195" s="948"/>
      <c r="BP195" s="948"/>
      <c r="BQ195" s="948"/>
      <c r="BR195" s="948"/>
      <c r="BS195" s="948"/>
      <c r="BT195" s="948"/>
      <c r="BU195" s="954"/>
    </row>
    <row r="196" spans="1:73" x14ac:dyDescent="0.2">
      <c r="A196" s="1224"/>
      <c r="B196" s="1224"/>
      <c r="C196" s="947"/>
      <c r="D196" s="948"/>
      <c r="E196" s="948"/>
      <c r="F196" s="948"/>
      <c r="G196" s="948"/>
      <c r="H196" s="948"/>
      <c r="I196" s="948"/>
      <c r="J196" s="948"/>
      <c r="K196" s="949"/>
      <c r="L196" s="949"/>
      <c r="M196" s="949"/>
      <c r="N196" s="950"/>
      <c r="O196" s="948"/>
      <c r="P196" s="948"/>
      <c r="Q196" s="948"/>
      <c r="R196" s="949"/>
      <c r="S196" s="949"/>
      <c r="T196" s="949"/>
      <c r="U196" s="949"/>
      <c r="V196" s="949"/>
      <c r="W196" s="949"/>
      <c r="X196" s="951"/>
      <c r="Y196" s="951"/>
      <c r="Z196" s="952"/>
      <c r="AA196" s="953"/>
      <c r="AB196" s="948"/>
      <c r="AC196" s="948"/>
      <c r="AD196" s="949"/>
      <c r="AE196" s="949"/>
      <c r="AF196" s="949"/>
      <c r="AG196" s="949"/>
      <c r="AH196" s="949"/>
      <c r="AI196" s="949"/>
      <c r="AJ196" s="949"/>
      <c r="AK196" s="949"/>
      <c r="AL196" s="949"/>
      <c r="AM196" s="949"/>
      <c r="AN196" s="949"/>
      <c r="AO196" s="949"/>
      <c r="AP196" s="949"/>
      <c r="AQ196" s="949"/>
      <c r="AR196" s="949"/>
      <c r="AS196" s="949"/>
      <c r="AT196" s="949"/>
      <c r="AU196" s="949"/>
      <c r="AV196" s="949"/>
      <c r="AW196" s="949"/>
      <c r="AX196" s="949"/>
      <c r="AY196" s="949"/>
      <c r="AZ196" s="949"/>
      <c r="BA196" s="949"/>
      <c r="BB196" s="949"/>
      <c r="BC196" s="949"/>
      <c r="BD196" s="949"/>
      <c r="BE196" s="949"/>
      <c r="BF196" s="949"/>
      <c r="BG196" s="948"/>
      <c r="BH196" s="948"/>
      <c r="BI196" s="948"/>
      <c r="BJ196" s="948"/>
      <c r="BK196" s="948"/>
      <c r="BL196" s="948"/>
      <c r="BM196" s="948"/>
      <c r="BN196" s="948"/>
      <c r="BO196" s="948"/>
      <c r="BP196" s="948"/>
      <c r="BQ196" s="948"/>
      <c r="BR196" s="948"/>
      <c r="BS196" s="948"/>
      <c r="BT196" s="948"/>
      <c r="BU196" s="954"/>
    </row>
    <row r="197" spans="1:73" x14ac:dyDescent="0.2">
      <c r="A197" s="1224"/>
      <c r="B197" s="1224"/>
      <c r="C197" s="947"/>
      <c r="D197" s="948"/>
      <c r="E197" s="948"/>
      <c r="F197" s="948"/>
      <c r="G197" s="948"/>
      <c r="H197" s="948"/>
      <c r="I197" s="948"/>
      <c r="J197" s="948"/>
      <c r="K197" s="949"/>
      <c r="L197" s="949"/>
      <c r="M197" s="949"/>
      <c r="N197" s="950"/>
      <c r="O197" s="948"/>
      <c r="P197" s="948"/>
      <c r="Q197" s="948"/>
      <c r="R197" s="949"/>
      <c r="S197" s="949"/>
      <c r="T197" s="949"/>
      <c r="U197" s="949"/>
      <c r="V197" s="949"/>
      <c r="W197" s="949"/>
      <c r="X197" s="951"/>
      <c r="Y197" s="951"/>
      <c r="Z197" s="952"/>
      <c r="AA197" s="953"/>
      <c r="AB197" s="948"/>
      <c r="AC197" s="948"/>
      <c r="AD197" s="949"/>
      <c r="AE197" s="949"/>
      <c r="AF197" s="949"/>
      <c r="AG197" s="949"/>
      <c r="AH197" s="949"/>
      <c r="AI197" s="949"/>
      <c r="AJ197" s="949"/>
      <c r="AK197" s="949"/>
      <c r="AL197" s="949"/>
      <c r="AM197" s="949"/>
      <c r="AN197" s="949"/>
      <c r="AO197" s="949"/>
      <c r="AP197" s="949"/>
      <c r="AQ197" s="949"/>
      <c r="AR197" s="949"/>
      <c r="AS197" s="949"/>
      <c r="AT197" s="949"/>
      <c r="AU197" s="949"/>
      <c r="AV197" s="949"/>
      <c r="AW197" s="949"/>
      <c r="AX197" s="949"/>
      <c r="AY197" s="949"/>
      <c r="AZ197" s="949"/>
      <c r="BA197" s="949"/>
      <c r="BB197" s="949"/>
      <c r="BC197" s="949"/>
      <c r="BD197" s="949"/>
      <c r="BE197" s="949"/>
      <c r="BF197" s="949"/>
      <c r="BG197" s="948"/>
      <c r="BH197" s="948"/>
      <c r="BI197" s="948"/>
      <c r="BJ197" s="948"/>
      <c r="BK197" s="948"/>
      <c r="BL197" s="948"/>
      <c r="BM197" s="948"/>
      <c r="BN197" s="948"/>
      <c r="BO197" s="948"/>
      <c r="BP197" s="948"/>
      <c r="BQ197" s="948"/>
      <c r="BR197" s="948"/>
      <c r="BS197" s="948"/>
      <c r="BT197" s="948"/>
      <c r="BU197" s="954"/>
    </row>
    <row r="198" spans="1:73" x14ac:dyDescent="0.2">
      <c r="A198" s="1224"/>
      <c r="B198" s="1224"/>
      <c r="C198" s="947"/>
      <c r="D198" s="948"/>
      <c r="E198" s="948"/>
      <c r="F198" s="948"/>
      <c r="G198" s="948"/>
      <c r="H198" s="948"/>
      <c r="I198" s="948"/>
      <c r="J198" s="948"/>
      <c r="K198" s="949"/>
      <c r="L198" s="949"/>
      <c r="M198" s="949"/>
      <c r="N198" s="950"/>
      <c r="O198" s="948"/>
      <c r="P198" s="948"/>
      <c r="Q198" s="948"/>
      <c r="R198" s="949"/>
      <c r="S198" s="949"/>
      <c r="T198" s="949"/>
      <c r="U198" s="949"/>
      <c r="V198" s="949"/>
      <c r="W198" s="949"/>
      <c r="X198" s="951"/>
      <c r="Y198" s="951"/>
      <c r="Z198" s="952"/>
      <c r="AA198" s="953"/>
      <c r="AB198" s="948"/>
      <c r="AC198" s="948"/>
      <c r="AD198" s="949"/>
      <c r="AE198" s="949"/>
      <c r="AF198" s="949"/>
      <c r="AG198" s="949"/>
      <c r="AH198" s="949"/>
      <c r="AI198" s="949"/>
      <c r="AJ198" s="949"/>
      <c r="AK198" s="949"/>
      <c r="AL198" s="949"/>
      <c r="AM198" s="949"/>
      <c r="AN198" s="949"/>
      <c r="AO198" s="949"/>
      <c r="AP198" s="949"/>
      <c r="AQ198" s="949"/>
      <c r="AR198" s="949"/>
      <c r="AS198" s="949"/>
      <c r="AT198" s="949"/>
      <c r="AU198" s="949"/>
      <c r="AV198" s="949"/>
      <c r="AW198" s="949"/>
      <c r="AX198" s="949"/>
      <c r="AY198" s="949"/>
      <c r="AZ198" s="949"/>
      <c r="BA198" s="949"/>
      <c r="BB198" s="949"/>
      <c r="BC198" s="949"/>
      <c r="BD198" s="949"/>
      <c r="BE198" s="949"/>
      <c r="BF198" s="949"/>
      <c r="BG198" s="948"/>
      <c r="BH198" s="948"/>
      <c r="BI198" s="948"/>
      <c r="BJ198" s="948"/>
      <c r="BK198" s="948"/>
      <c r="BL198" s="948"/>
      <c r="BM198" s="948"/>
      <c r="BN198" s="948"/>
      <c r="BO198" s="948"/>
      <c r="BP198" s="948"/>
      <c r="BQ198" s="948"/>
      <c r="BR198" s="948"/>
      <c r="BS198" s="948"/>
      <c r="BT198" s="948"/>
      <c r="BU198" s="954"/>
    </row>
    <row r="199" spans="1:73" x14ac:dyDescent="0.2">
      <c r="A199" s="1224"/>
      <c r="B199" s="1224"/>
      <c r="C199" s="947"/>
      <c r="D199" s="948"/>
      <c r="E199" s="948"/>
      <c r="F199" s="948"/>
      <c r="G199" s="948"/>
      <c r="H199" s="948"/>
      <c r="I199" s="948"/>
      <c r="J199" s="948"/>
      <c r="K199" s="949"/>
      <c r="L199" s="949"/>
      <c r="M199" s="949"/>
      <c r="N199" s="950"/>
      <c r="O199" s="948"/>
      <c r="P199" s="948"/>
      <c r="Q199" s="948"/>
      <c r="R199" s="949"/>
      <c r="S199" s="949"/>
      <c r="T199" s="949"/>
      <c r="U199" s="949"/>
      <c r="V199" s="949"/>
      <c r="W199" s="949"/>
      <c r="X199" s="951"/>
      <c r="Y199" s="951"/>
      <c r="Z199" s="952"/>
      <c r="AA199" s="953"/>
      <c r="AB199" s="948"/>
      <c r="AC199" s="948"/>
      <c r="AD199" s="949"/>
      <c r="AE199" s="949"/>
      <c r="AF199" s="949"/>
      <c r="AG199" s="949"/>
      <c r="AH199" s="949"/>
      <c r="AI199" s="949"/>
      <c r="AJ199" s="949"/>
      <c r="AK199" s="949"/>
      <c r="AL199" s="949"/>
      <c r="AM199" s="949"/>
      <c r="AN199" s="949"/>
      <c r="AO199" s="949"/>
      <c r="AP199" s="949"/>
      <c r="AQ199" s="949"/>
      <c r="AR199" s="949"/>
      <c r="AS199" s="949"/>
      <c r="AT199" s="949"/>
      <c r="AU199" s="949"/>
      <c r="AV199" s="949"/>
      <c r="AW199" s="949"/>
      <c r="AX199" s="949"/>
      <c r="AY199" s="949"/>
      <c r="AZ199" s="949"/>
      <c r="BA199" s="949"/>
      <c r="BB199" s="949"/>
      <c r="BC199" s="949"/>
      <c r="BD199" s="949"/>
      <c r="BE199" s="949"/>
      <c r="BF199" s="949"/>
      <c r="BG199" s="948"/>
      <c r="BH199" s="948"/>
      <c r="BI199" s="948"/>
      <c r="BJ199" s="948"/>
      <c r="BK199" s="948"/>
      <c r="BL199" s="948"/>
      <c r="BM199" s="948"/>
      <c r="BN199" s="948"/>
      <c r="BO199" s="948"/>
      <c r="BP199" s="948"/>
      <c r="BQ199" s="948"/>
      <c r="BR199" s="948"/>
      <c r="BS199" s="948"/>
      <c r="BT199" s="948"/>
      <c r="BU199" s="954"/>
    </row>
    <row r="200" spans="1:73" x14ac:dyDescent="0.2">
      <c r="A200" s="1224"/>
      <c r="B200" s="1224"/>
      <c r="C200" s="947"/>
      <c r="D200" s="948"/>
      <c r="E200" s="948"/>
      <c r="F200" s="948"/>
      <c r="G200" s="948"/>
      <c r="H200" s="948"/>
      <c r="I200" s="948"/>
      <c r="J200" s="948"/>
      <c r="K200" s="949"/>
      <c r="L200" s="949"/>
      <c r="M200" s="949"/>
      <c r="N200" s="950"/>
      <c r="O200" s="948"/>
      <c r="P200" s="948"/>
      <c r="Q200" s="948"/>
      <c r="R200" s="949"/>
      <c r="S200" s="949"/>
      <c r="T200" s="949"/>
      <c r="U200" s="949"/>
      <c r="V200" s="949"/>
      <c r="W200" s="949"/>
      <c r="X200" s="951"/>
      <c r="Y200" s="951"/>
      <c r="Z200" s="952"/>
      <c r="AA200" s="953"/>
      <c r="AB200" s="948"/>
      <c r="AC200" s="948"/>
      <c r="AD200" s="949"/>
      <c r="AE200" s="949"/>
      <c r="AF200" s="949"/>
      <c r="AG200" s="949"/>
      <c r="AH200" s="949"/>
      <c r="AI200" s="949"/>
      <c r="AJ200" s="949"/>
      <c r="AK200" s="949"/>
      <c r="AL200" s="949"/>
      <c r="AM200" s="949"/>
      <c r="AN200" s="949"/>
      <c r="AO200" s="949"/>
      <c r="AP200" s="949"/>
      <c r="AQ200" s="949"/>
      <c r="AR200" s="949"/>
      <c r="AS200" s="949"/>
      <c r="AT200" s="949"/>
      <c r="AU200" s="949"/>
      <c r="AV200" s="949"/>
      <c r="AW200" s="949"/>
      <c r="AX200" s="949"/>
      <c r="AY200" s="949"/>
      <c r="AZ200" s="949"/>
      <c r="BA200" s="949"/>
      <c r="BB200" s="949"/>
      <c r="BC200" s="949"/>
      <c r="BD200" s="949"/>
      <c r="BE200" s="949"/>
      <c r="BF200" s="949"/>
      <c r="BG200" s="948"/>
      <c r="BH200" s="948"/>
      <c r="BI200" s="948"/>
      <c r="BJ200" s="948"/>
      <c r="BK200" s="948"/>
      <c r="BL200" s="948"/>
      <c r="BM200" s="948"/>
      <c r="BN200" s="948"/>
      <c r="BO200" s="948"/>
      <c r="BP200" s="948"/>
      <c r="BQ200" s="948"/>
      <c r="BR200" s="948"/>
      <c r="BS200" s="948"/>
      <c r="BT200" s="948"/>
      <c r="BU200" s="954"/>
    </row>
    <row r="201" spans="1:73" x14ac:dyDescent="0.2">
      <c r="A201" s="1224"/>
      <c r="B201" s="1224"/>
      <c r="C201" s="947"/>
      <c r="D201" s="948"/>
      <c r="E201" s="948"/>
      <c r="F201" s="948"/>
      <c r="G201" s="948"/>
      <c r="H201" s="948"/>
      <c r="I201" s="948"/>
      <c r="J201" s="948"/>
      <c r="K201" s="949"/>
      <c r="L201" s="949"/>
      <c r="M201" s="949"/>
      <c r="N201" s="950"/>
      <c r="O201" s="948"/>
      <c r="P201" s="948"/>
      <c r="Q201" s="948"/>
      <c r="R201" s="949"/>
      <c r="S201" s="949"/>
      <c r="T201" s="949"/>
      <c r="U201" s="949"/>
      <c r="V201" s="949"/>
      <c r="W201" s="949"/>
      <c r="X201" s="951"/>
      <c r="Y201" s="951"/>
      <c r="Z201" s="952"/>
      <c r="AA201" s="953"/>
      <c r="AB201" s="948"/>
      <c r="AC201" s="948"/>
      <c r="AD201" s="949"/>
      <c r="AE201" s="949"/>
      <c r="AF201" s="949"/>
      <c r="AG201" s="949"/>
      <c r="AH201" s="949"/>
      <c r="AI201" s="949"/>
      <c r="AJ201" s="949"/>
      <c r="AK201" s="949"/>
      <c r="AL201" s="949"/>
      <c r="AM201" s="949"/>
      <c r="AN201" s="949"/>
      <c r="AO201" s="949"/>
      <c r="AP201" s="949"/>
      <c r="AQ201" s="949"/>
      <c r="AR201" s="949"/>
      <c r="AS201" s="949"/>
      <c r="AT201" s="949"/>
      <c r="AU201" s="949"/>
      <c r="AV201" s="949"/>
      <c r="AW201" s="949"/>
      <c r="AX201" s="949"/>
      <c r="AY201" s="949"/>
      <c r="AZ201" s="949"/>
      <c r="BA201" s="949"/>
      <c r="BB201" s="949"/>
      <c r="BC201" s="949"/>
      <c r="BD201" s="949"/>
      <c r="BE201" s="949"/>
      <c r="BF201" s="949"/>
      <c r="BG201" s="948"/>
      <c r="BH201" s="948"/>
      <c r="BI201" s="948"/>
      <c r="BJ201" s="948"/>
      <c r="BK201" s="948"/>
      <c r="BL201" s="948"/>
      <c r="BM201" s="948"/>
      <c r="BN201" s="948"/>
      <c r="BO201" s="948"/>
      <c r="BP201" s="948"/>
      <c r="BQ201" s="948"/>
      <c r="BR201" s="948"/>
      <c r="BS201" s="948"/>
      <c r="BT201" s="948"/>
      <c r="BU201" s="954"/>
    </row>
    <row r="202" spans="1:73" x14ac:dyDescent="0.2">
      <c r="A202" s="1224"/>
      <c r="B202" s="1224"/>
      <c r="C202" s="947"/>
      <c r="D202" s="948"/>
      <c r="E202" s="948"/>
      <c r="F202" s="948"/>
      <c r="G202" s="948"/>
      <c r="H202" s="948"/>
      <c r="I202" s="948"/>
      <c r="J202" s="948"/>
      <c r="K202" s="949"/>
      <c r="L202" s="949"/>
      <c r="M202" s="949"/>
      <c r="N202" s="950"/>
      <c r="O202" s="948"/>
      <c r="P202" s="948"/>
      <c r="Q202" s="948"/>
      <c r="R202" s="949"/>
      <c r="S202" s="949"/>
      <c r="T202" s="949"/>
      <c r="U202" s="949"/>
      <c r="V202" s="949"/>
      <c r="W202" s="949"/>
      <c r="X202" s="951"/>
      <c r="Y202" s="951"/>
      <c r="Z202" s="952"/>
      <c r="AA202" s="953"/>
      <c r="AB202" s="948"/>
      <c r="AC202" s="948"/>
      <c r="AD202" s="949"/>
      <c r="AE202" s="949"/>
      <c r="AF202" s="949"/>
      <c r="AG202" s="949"/>
      <c r="AH202" s="949"/>
      <c r="AI202" s="949"/>
      <c r="AJ202" s="949"/>
      <c r="AK202" s="949"/>
      <c r="AL202" s="949"/>
      <c r="AM202" s="949"/>
      <c r="AN202" s="949"/>
      <c r="AO202" s="949"/>
      <c r="AP202" s="949"/>
      <c r="AQ202" s="949"/>
      <c r="AR202" s="949"/>
      <c r="AS202" s="949"/>
      <c r="AT202" s="949"/>
      <c r="AU202" s="949"/>
      <c r="AV202" s="949"/>
      <c r="AW202" s="949"/>
      <c r="AX202" s="949"/>
      <c r="AY202" s="949"/>
      <c r="AZ202" s="949"/>
      <c r="BA202" s="949"/>
      <c r="BB202" s="949"/>
      <c r="BC202" s="949"/>
      <c r="BD202" s="949"/>
      <c r="BE202" s="949"/>
      <c r="BF202" s="949"/>
      <c r="BG202" s="948"/>
      <c r="BH202" s="948"/>
      <c r="BI202" s="948"/>
      <c r="BJ202" s="948"/>
      <c r="BK202" s="948"/>
      <c r="BL202" s="948"/>
      <c r="BM202" s="948"/>
      <c r="BN202" s="948"/>
      <c r="BO202" s="948"/>
      <c r="BP202" s="948"/>
      <c r="BQ202" s="948"/>
      <c r="BR202" s="948"/>
      <c r="BS202" s="948"/>
      <c r="BT202" s="948"/>
      <c r="BU202" s="954"/>
    </row>
    <row r="203" spans="1:73" x14ac:dyDescent="0.2">
      <c r="A203" s="1224"/>
      <c r="B203" s="1224"/>
      <c r="C203" s="947"/>
      <c r="D203" s="948"/>
      <c r="E203" s="948"/>
      <c r="F203" s="948"/>
      <c r="G203" s="948"/>
      <c r="H203" s="948"/>
      <c r="I203" s="948"/>
      <c r="J203" s="948"/>
      <c r="K203" s="949"/>
      <c r="L203" s="949"/>
      <c r="M203" s="949"/>
      <c r="N203" s="950"/>
      <c r="O203" s="948"/>
      <c r="P203" s="948"/>
      <c r="Q203" s="948"/>
      <c r="R203" s="949"/>
      <c r="S203" s="949"/>
      <c r="T203" s="949"/>
      <c r="U203" s="949"/>
      <c r="V203" s="949"/>
      <c r="W203" s="949"/>
      <c r="X203" s="951"/>
      <c r="Y203" s="951"/>
      <c r="Z203" s="952"/>
      <c r="AA203" s="953"/>
      <c r="AB203" s="948"/>
      <c r="AC203" s="948"/>
      <c r="AD203" s="949"/>
      <c r="AE203" s="949"/>
      <c r="AF203" s="949"/>
      <c r="AG203" s="949"/>
      <c r="AH203" s="949"/>
      <c r="AI203" s="949"/>
      <c r="AJ203" s="949"/>
      <c r="AK203" s="949"/>
      <c r="AL203" s="949"/>
      <c r="AM203" s="949"/>
      <c r="AN203" s="949"/>
      <c r="AO203" s="949"/>
      <c r="AP203" s="949"/>
      <c r="AQ203" s="949"/>
      <c r="AR203" s="949"/>
      <c r="AS203" s="949"/>
      <c r="AT203" s="949"/>
      <c r="AU203" s="949"/>
      <c r="AV203" s="949"/>
      <c r="AW203" s="949"/>
      <c r="AX203" s="949"/>
      <c r="AY203" s="949"/>
      <c r="AZ203" s="949"/>
      <c r="BA203" s="949"/>
      <c r="BB203" s="949"/>
      <c r="BC203" s="949"/>
      <c r="BD203" s="949"/>
      <c r="BE203" s="949"/>
      <c r="BF203" s="949"/>
      <c r="BG203" s="948"/>
      <c r="BH203" s="948"/>
      <c r="BI203" s="948"/>
      <c r="BJ203" s="948"/>
      <c r="BK203" s="948"/>
      <c r="BL203" s="948"/>
      <c r="BM203" s="948"/>
      <c r="BN203" s="948"/>
      <c r="BO203" s="948"/>
      <c r="BP203" s="948"/>
      <c r="BQ203" s="948"/>
      <c r="BR203" s="948"/>
      <c r="BS203" s="948"/>
      <c r="BT203" s="948"/>
      <c r="BU203" s="954"/>
    </row>
    <row r="204" spans="1:73" x14ac:dyDescent="0.2">
      <c r="A204" s="1224"/>
      <c r="B204" s="1224"/>
      <c r="C204" s="947"/>
      <c r="D204" s="948"/>
      <c r="E204" s="948"/>
      <c r="F204" s="948"/>
      <c r="G204" s="948"/>
      <c r="H204" s="948"/>
      <c r="I204" s="948"/>
      <c r="J204" s="948"/>
      <c r="K204" s="949"/>
      <c r="L204" s="949"/>
      <c r="M204" s="949"/>
      <c r="N204" s="950"/>
      <c r="O204" s="948"/>
      <c r="P204" s="948"/>
      <c r="Q204" s="948"/>
      <c r="R204" s="949"/>
      <c r="S204" s="949"/>
      <c r="T204" s="949"/>
      <c r="U204" s="949"/>
      <c r="V204" s="949"/>
      <c r="W204" s="949"/>
      <c r="X204" s="951"/>
      <c r="Y204" s="951"/>
      <c r="Z204" s="952"/>
      <c r="AA204" s="953"/>
      <c r="AB204" s="948"/>
      <c r="AC204" s="948"/>
      <c r="AD204" s="949"/>
      <c r="AE204" s="949"/>
      <c r="AF204" s="949"/>
      <c r="AG204" s="949"/>
      <c r="AH204" s="949"/>
      <c r="AI204" s="949"/>
      <c r="AJ204" s="949"/>
      <c r="AK204" s="949"/>
      <c r="AL204" s="949"/>
      <c r="AM204" s="949"/>
      <c r="AN204" s="949"/>
      <c r="AO204" s="949"/>
      <c r="AP204" s="949"/>
      <c r="AQ204" s="949"/>
      <c r="AR204" s="949"/>
      <c r="AS204" s="949"/>
      <c r="AT204" s="949"/>
      <c r="AU204" s="949"/>
      <c r="AV204" s="949"/>
      <c r="AW204" s="949"/>
      <c r="AX204" s="949"/>
      <c r="AY204" s="949"/>
      <c r="AZ204" s="949"/>
      <c r="BA204" s="949"/>
      <c r="BB204" s="949"/>
      <c r="BC204" s="949"/>
      <c r="BD204" s="949"/>
      <c r="BE204" s="949"/>
      <c r="BF204" s="949"/>
      <c r="BG204" s="948"/>
      <c r="BH204" s="948"/>
      <c r="BI204" s="948"/>
      <c r="BJ204" s="948"/>
      <c r="BK204" s="948"/>
      <c r="BL204" s="948"/>
      <c r="BM204" s="948"/>
      <c r="BN204" s="948"/>
      <c r="BO204" s="948"/>
      <c r="BP204" s="948"/>
      <c r="BQ204" s="948"/>
      <c r="BR204" s="948"/>
      <c r="BS204" s="948"/>
      <c r="BT204" s="948"/>
      <c r="BU204" s="954"/>
    </row>
    <row r="205" spans="1:73" x14ac:dyDescent="0.2">
      <c r="A205" s="1224"/>
      <c r="B205" s="1224"/>
      <c r="C205" s="947"/>
      <c r="D205" s="948"/>
      <c r="E205" s="948"/>
      <c r="F205" s="948"/>
      <c r="G205" s="948"/>
      <c r="H205" s="948"/>
      <c r="I205" s="948"/>
      <c r="J205" s="948"/>
      <c r="K205" s="949"/>
      <c r="L205" s="949"/>
      <c r="M205" s="949"/>
      <c r="N205" s="950"/>
      <c r="O205" s="948"/>
      <c r="P205" s="948"/>
      <c r="Q205" s="948"/>
      <c r="R205" s="949"/>
      <c r="S205" s="949"/>
      <c r="T205" s="949"/>
      <c r="U205" s="949"/>
      <c r="V205" s="949"/>
      <c r="W205" s="949"/>
      <c r="X205" s="951"/>
      <c r="Y205" s="951"/>
      <c r="Z205" s="952"/>
      <c r="AA205" s="953"/>
      <c r="AB205" s="948"/>
      <c r="AC205" s="948"/>
      <c r="AD205" s="949"/>
      <c r="AE205" s="949"/>
      <c r="AF205" s="949"/>
      <c r="AG205" s="949"/>
      <c r="AH205" s="949"/>
      <c r="AI205" s="949"/>
      <c r="AJ205" s="949"/>
      <c r="AK205" s="949"/>
      <c r="AL205" s="949"/>
      <c r="AM205" s="949"/>
      <c r="AN205" s="949"/>
      <c r="AO205" s="949"/>
      <c r="AP205" s="949"/>
      <c r="AQ205" s="949"/>
      <c r="AR205" s="949"/>
      <c r="AS205" s="949"/>
      <c r="AT205" s="949"/>
      <c r="AU205" s="949"/>
      <c r="AV205" s="949"/>
      <c r="AW205" s="949"/>
      <c r="AX205" s="949"/>
      <c r="AY205" s="949"/>
      <c r="AZ205" s="949"/>
      <c r="BA205" s="949"/>
      <c r="BB205" s="949"/>
      <c r="BC205" s="949"/>
      <c r="BD205" s="949"/>
      <c r="BE205" s="949"/>
      <c r="BF205" s="949"/>
      <c r="BG205" s="948"/>
      <c r="BH205" s="948"/>
      <c r="BI205" s="948"/>
      <c r="BJ205" s="948"/>
      <c r="BK205" s="948"/>
      <c r="BL205" s="948"/>
      <c r="BM205" s="948"/>
      <c r="BN205" s="948"/>
      <c r="BO205" s="948"/>
      <c r="BP205" s="948"/>
      <c r="BQ205" s="948"/>
      <c r="BR205" s="948"/>
      <c r="BS205" s="948"/>
      <c r="BT205" s="948"/>
      <c r="BU205" s="954"/>
    </row>
    <row r="206" spans="1:73" x14ac:dyDescent="0.2">
      <c r="A206" s="1224"/>
      <c r="B206" s="1224"/>
      <c r="C206" s="947"/>
      <c r="D206" s="948"/>
      <c r="E206" s="948"/>
      <c r="F206" s="948"/>
      <c r="G206" s="948"/>
      <c r="H206" s="948"/>
      <c r="I206" s="948"/>
      <c r="J206" s="948"/>
      <c r="K206" s="949"/>
      <c r="L206" s="949"/>
      <c r="M206" s="949"/>
      <c r="N206" s="950"/>
      <c r="O206" s="948"/>
      <c r="P206" s="948"/>
      <c r="Q206" s="948"/>
      <c r="R206" s="949"/>
      <c r="S206" s="949"/>
      <c r="T206" s="949"/>
      <c r="U206" s="949"/>
      <c r="V206" s="949"/>
      <c r="W206" s="949"/>
      <c r="X206" s="951"/>
      <c r="Y206" s="951"/>
      <c r="Z206" s="952"/>
      <c r="AA206" s="953"/>
      <c r="AB206" s="948"/>
      <c r="AC206" s="948"/>
      <c r="AD206" s="949"/>
      <c r="AE206" s="949"/>
      <c r="AF206" s="949"/>
      <c r="AG206" s="949"/>
      <c r="AH206" s="949"/>
      <c r="AI206" s="949"/>
      <c r="AJ206" s="949"/>
      <c r="AK206" s="949"/>
      <c r="AL206" s="949"/>
      <c r="AM206" s="949"/>
      <c r="AN206" s="949"/>
      <c r="AO206" s="949"/>
      <c r="AP206" s="949"/>
      <c r="AQ206" s="949"/>
      <c r="AR206" s="949"/>
      <c r="AS206" s="949"/>
      <c r="AT206" s="949"/>
      <c r="AU206" s="949"/>
      <c r="AV206" s="949"/>
      <c r="AW206" s="949"/>
      <c r="AX206" s="949"/>
      <c r="AY206" s="949"/>
      <c r="AZ206" s="949"/>
      <c r="BA206" s="949"/>
      <c r="BB206" s="949"/>
      <c r="BC206" s="949"/>
      <c r="BD206" s="949"/>
      <c r="BE206" s="949"/>
      <c r="BF206" s="949"/>
      <c r="BG206" s="948"/>
      <c r="BH206" s="948"/>
      <c r="BI206" s="948"/>
      <c r="BJ206" s="948"/>
      <c r="BK206" s="948"/>
      <c r="BL206" s="948"/>
      <c r="BM206" s="948"/>
      <c r="BN206" s="948"/>
      <c r="BO206" s="948"/>
      <c r="BP206" s="948"/>
      <c r="BQ206" s="948"/>
      <c r="BR206" s="948"/>
      <c r="BS206" s="948"/>
      <c r="BT206" s="948"/>
      <c r="BU206" s="954"/>
    </row>
    <row r="207" spans="1:73" x14ac:dyDescent="0.2">
      <c r="A207" s="1224"/>
      <c r="B207" s="1224"/>
      <c r="C207" s="947"/>
      <c r="D207" s="948"/>
      <c r="E207" s="948"/>
      <c r="F207" s="948"/>
      <c r="G207" s="948"/>
      <c r="H207" s="948"/>
      <c r="I207" s="948"/>
      <c r="J207" s="948"/>
      <c r="K207" s="949"/>
      <c r="L207" s="949"/>
      <c r="M207" s="949"/>
      <c r="N207" s="950"/>
      <c r="O207" s="948"/>
      <c r="P207" s="948"/>
      <c r="Q207" s="948"/>
      <c r="R207" s="949"/>
      <c r="S207" s="949"/>
      <c r="T207" s="949"/>
      <c r="U207" s="949"/>
      <c r="V207" s="949"/>
      <c r="W207" s="949"/>
      <c r="X207" s="951"/>
      <c r="Y207" s="951"/>
      <c r="Z207" s="952"/>
      <c r="AA207" s="953"/>
      <c r="AB207" s="948"/>
      <c r="AC207" s="948"/>
      <c r="AD207" s="949"/>
      <c r="AE207" s="949"/>
      <c r="AF207" s="949"/>
      <c r="AG207" s="949"/>
      <c r="AH207" s="949"/>
      <c r="AI207" s="949"/>
      <c r="AJ207" s="949"/>
      <c r="AK207" s="949"/>
      <c r="AL207" s="949"/>
      <c r="AM207" s="949"/>
      <c r="AN207" s="949"/>
      <c r="AO207" s="949"/>
      <c r="AP207" s="949"/>
      <c r="AQ207" s="949"/>
      <c r="AR207" s="949"/>
      <c r="AS207" s="949"/>
      <c r="AT207" s="949"/>
      <c r="AU207" s="949"/>
      <c r="AV207" s="949"/>
      <c r="AW207" s="949"/>
      <c r="AX207" s="949"/>
      <c r="AY207" s="949"/>
      <c r="AZ207" s="949"/>
      <c r="BA207" s="949"/>
      <c r="BB207" s="949"/>
      <c r="BC207" s="949"/>
      <c r="BD207" s="949"/>
      <c r="BE207" s="949"/>
      <c r="BF207" s="949"/>
      <c r="BG207" s="948"/>
      <c r="BH207" s="948"/>
      <c r="BI207" s="948"/>
      <c r="BJ207" s="948"/>
      <c r="BK207" s="948"/>
      <c r="BL207" s="948"/>
      <c r="BM207" s="948"/>
      <c r="BN207" s="948"/>
      <c r="BO207" s="948"/>
      <c r="BP207" s="948"/>
      <c r="BQ207" s="948"/>
      <c r="BR207" s="948"/>
      <c r="BS207" s="948"/>
      <c r="BT207" s="948"/>
      <c r="BU207" s="954"/>
    </row>
    <row r="208" spans="1:73" x14ac:dyDescent="0.2">
      <c r="A208" s="1224"/>
      <c r="B208" s="1224"/>
      <c r="C208" s="947"/>
      <c r="D208" s="948"/>
      <c r="E208" s="948"/>
      <c r="F208" s="948"/>
      <c r="G208" s="948"/>
      <c r="H208" s="948"/>
      <c r="I208" s="948"/>
      <c r="J208" s="948"/>
      <c r="K208" s="949"/>
      <c r="L208" s="949"/>
      <c r="M208" s="949"/>
      <c r="N208" s="950"/>
      <c r="O208" s="948"/>
      <c r="P208" s="948"/>
      <c r="Q208" s="948"/>
      <c r="R208" s="949"/>
      <c r="S208" s="949"/>
      <c r="T208" s="949"/>
      <c r="U208" s="949"/>
      <c r="V208" s="949"/>
      <c r="W208" s="949"/>
      <c r="X208" s="951"/>
      <c r="Y208" s="951"/>
      <c r="Z208" s="952"/>
      <c r="AA208" s="953"/>
      <c r="AB208" s="948"/>
      <c r="AC208" s="948"/>
      <c r="AD208" s="949"/>
      <c r="AE208" s="949"/>
      <c r="AF208" s="949"/>
      <c r="AG208" s="949"/>
      <c r="AH208" s="949"/>
      <c r="AI208" s="949"/>
      <c r="AJ208" s="949"/>
      <c r="AK208" s="949"/>
      <c r="AL208" s="949"/>
      <c r="AM208" s="949"/>
      <c r="AN208" s="949"/>
      <c r="AO208" s="949"/>
      <c r="AP208" s="949"/>
      <c r="AQ208" s="949"/>
      <c r="AR208" s="949"/>
      <c r="AS208" s="949"/>
      <c r="AT208" s="949"/>
      <c r="AU208" s="949"/>
      <c r="AV208" s="949"/>
      <c r="AW208" s="949"/>
      <c r="AX208" s="949"/>
      <c r="AY208" s="949"/>
      <c r="AZ208" s="949"/>
      <c r="BA208" s="949"/>
      <c r="BB208" s="949"/>
      <c r="BC208" s="949"/>
      <c r="BD208" s="949"/>
      <c r="BE208" s="949"/>
      <c r="BF208" s="949"/>
      <c r="BG208" s="948"/>
      <c r="BH208" s="948"/>
      <c r="BI208" s="948"/>
      <c r="BJ208" s="948"/>
      <c r="BK208" s="948"/>
      <c r="BL208" s="948"/>
      <c r="BM208" s="948"/>
      <c r="BN208" s="948"/>
      <c r="BO208" s="948"/>
      <c r="BP208" s="948"/>
      <c r="BQ208" s="948"/>
      <c r="BR208" s="948"/>
      <c r="BS208" s="948"/>
      <c r="BT208" s="948"/>
      <c r="BU208" s="954"/>
    </row>
    <row r="209" spans="1:73" x14ac:dyDescent="0.2">
      <c r="A209" s="1224"/>
      <c r="B209" s="1224"/>
      <c r="C209" s="947"/>
      <c r="D209" s="948"/>
      <c r="E209" s="948"/>
      <c r="F209" s="948"/>
      <c r="G209" s="948"/>
      <c r="H209" s="948"/>
      <c r="I209" s="948"/>
      <c r="J209" s="948"/>
      <c r="K209" s="949"/>
      <c r="L209" s="949"/>
      <c r="M209" s="949"/>
      <c r="N209" s="950"/>
      <c r="O209" s="948"/>
      <c r="P209" s="948"/>
      <c r="Q209" s="948"/>
      <c r="R209" s="949"/>
      <c r="S209" s="949"/>
      <c r="T209" s="949"/>
      <c r="U209" s="949"/>
      <c r="V209" s="949"/>
      <c r="W209" s="949"/>
      <c r="X209" s="951"/>
      <c r="Y209" s="951"/>
      <c r="Z209" s="952"/>
      <c r="AA209" s="953"/>
      <c r="AB209" s="948"/>
      <c r="AC209" s="948"/>
      <c r="AD209" s="949"/>
      <c r="AE209" s="949"/>
      <c r="AF209" s="949"/>
      <c r="AG209" s="949"/>
      <c r="AH209" s="949"/>
      <c r="AI209" s="949"/>
      <c r="AJ209" s="949"/>
      <c r="AK209" s="949"/>
      <c r="AL209" s="949"/>
      <c r="AM209" s="949"/>
      <c r="AN209" s="949"/>
      <c r="AO209" s="949"/>
      <c r="AP209" s="949"/>
      <c r="AQ209" s="949"/>
      <c r="AR209" s="949"/>
      <c r="AS209" s="949"/>
      <c r="AT209" s="949"/>
      <c r="AU209" s="949"/>
      <c r="AV209" s="949"/>
      <c r="AW209" s="949"/>
      <c r="AX209" s="949"/>
      <c r="AY209" s="949"/>
      <c r="AZ209" s="949"/>
      <c r="BA209" s="949"/>
      <c r="BB209" s="949"/>
      <c r="BC209" s="949"/>
      <c r="BD209" s="949"/>
      <c r="BE209" s="949"/>
      <c r="BF209" s="949"/>
      <c r="BG209" s="948"/>
      <c r="BH209" s="948"/>
      <c r="BI209" s="948"/>
      <c r="BJ209" s="948"/>
      <c r="BK209" s="948"/>
      <c r="BL209" s="948"/>
      <c r="BM209" s="948"/>
      <c r="BN209" s="948"/>
      <c r="BO209" s="948"/>
      <c r="BP209" s="948"/>
      <c r="BQ209" s="948"/>
      <c r="BR209" s="948"/>
      <c r="BS209" s="948"/>
      <c r="BT209" s="948"/>
      <c r="BU209" s="954"/>
    </row>
    <row r="210" spans="1:73" x14ac:dyDescent="0.2">
      <c r="A210" s="1224"/>
      <c r="B210" s="1224"/>
      <c r="C210" s="947"/>
      <c r="D210" s="948"/>
      <c r="E210" s="948"/>
      <c r="F210" s="948"/>
      <c r="G210" s="948"/>
      <c r="H210" s="948"/>
      <c r="I210" s="948"/>
      <c r="J210" s="948"/>
      <c r="K210" s="949"/>
      <c r="L210" s="949"/>
      <c r="M210" s="949"/>
      <c r="N210" s="950"/>
      <c r="O210" s="948"/>
      <c r="P210" s="948"/>
      <c r="Q210" s="948"/>
      <c r="R210" s="949"/>
      <c r="S210" s="949"/>
      <c r="T210" s="949"/>
      <c r="U210" s="949"/>
      <c r="V210" s="949"/>
      <c r="W210" s="949"/>
      <c r="X210" s="951"/>
      <c r="Y210" s="951"/>
      <c r="Z210" s="952"/>
      <c r="AA210" s="953"/>
      <c r="AB210" s="948"/>
      <c r="AC210" s="948"/>
      <c r="AD210" s="949"/>
      <c r="AE210" s="949"/>
      <c r="AF210" s="949"/>
      <c r="AG210" s="949"/>
      <c r="AH210" s="949"/>
      <c r="AI210" s="949"/>
      <c r="AJ210" s="949"/>
      <c r="AK210" s="949"/>
      <c r="AL210" s="949"/>
      <c r="AM210" s="949"/>
      <c r="AN210" s="949"/>
      <c r="AO210" s="949"/>
      <c r="AP210" s="949"/>
      <c r="AQ210" s="949"/>
      <c r="AR210" s="949"/>
      <c r="AS210" s="949"/>
      <c r="AT210" s="949"/>
      <c r="AU210" s="949"/>
      <c r="AV210" s="949"/>
      <c r="AW210" s="949"/>
      <c r="AX210" s="949"/>
      <c r="AY210" s="949"/>
      <c r="AZ210" s="949"/>
      <c r="BA210" s="949"/>
      <c r="BB210" s="949"/>
      <c r="BC210" s="949"/>
      <c r="BD210" s="949"/>
      <c r="BE210" s="949"/>
      <c r="BF210" s="949"/>
      <c r="BG210" s="948"/>
      <c r="BH210" s="948"/>
      <c r="BI210" s="948"/>
      <c r="BJ210" s="948"/>
      <c r="BK210" s="948"/>
      <c r="BL210" s="948"/>
      <c r="BM210" s="948"/>
      <c r="BN210" s="948"/>
      <c r="BO210" s="948"/>
      <c r="BP210" s="948"/>
      <c r="BQ210" s="948"/>
      <c r="BR210" s="948"/>
      <c r="BS210" s="948"/>
      <c r="BT210" s="948"/>
      <c r="BU210" s="954"/>
    </row>
    <row r="211" spans="1:73" x14ac:dyDescent="0.2">
      <c r="A211" s="1224"/>
      <c r="B211" s="1224"/>
      <c r="C211" s="947"/>
      <c r="D211" s="948"/>
      <c r="E211" s="948"/>
      <c r="F211" s="948"/>
      <c r="G211" s="948"/>
      <c r="H211" s="948"/>
      <c r="I211" s="948"/>
      <c r="J211" s="948"/>
      <c r="K211" s="949"/>
      <c r="L211" s="949"/>
      <c r="M211" s="949"/>
      <c r="N211" s="950"/>
      <c r="O211" s="948"/>
      <c r="P211" s="948"/>
      <c r="Q211" s="948"/>
      <c r="R211" s="949"/>
      <c r="S211" s="949"/>
      <c r="T211" s="949"/>
      <c r="U211" s="949"/>
      <c r="V211" s="949"/>
      <c r="W211" s="949"/>
      <c r="X211" s="951"/>
      <c r="Y211" s="951"/>
      <c r="Z211" s="952"/>
      <c r="AA211" s="953"/>
      <c r="AB211" s="948"/>
      <c r="AC211" s="948"/>
      <c r="AD211" s="949"/>
      <c r="AE211" s="949"/>
      <c r="AF211" s="949"/>
      <c r="AG211" s="949"/>
      <c r="AH211" s="949"/>
      <c r="AI211" s="949"/>
      <c r="AJ211" s="949"/>
      <c r="AK211" s="949"/>
      <c r="AL211" s="949"/>
      <c r="AM211" s="949"/>
      <c r="AN211" s="949"/>
      <c r="AO211" s="949"/>
      <c r="AP211" s="949"/>
      <c r="AQ211" s="949"/>
      <c r="AR211" s="949"/>
      <c r="AS211" s="949"/>
      <c r="AT211" s="949"/>
      <c r="AU211" s="949"/>
      <c r="AV211" s="949"/>
      <c r="AW211" s="949"/>
      <c r="AX211" s="949"/>
      <c r="AY211" s="949"/>
      <c r="AZ211" s="949"/>
      <c r="BA211" s="949"/>
      <c r="BB211" s="949"/>
      <c r="BC211" s="949"/>
      <c r="BD211" s="949"/>
      <c r="BE211" s="949"/>
      <c r="BF211" s="949"/>
      <c r="BG211" s="948"/>
      <c r="BH211" s="948"/>
      <c r="BI211" s="948"/>
      <c r="BJ211" s="948"/>
      <c r="BK211" s="948"/>
      <c r="BL211" s="948"/>
      <c r="BM211" s="948"/>
      <c r="BN211" s="948"/>
      <c r="BO211" s="948"/>
      <c r="BP211" s="948"/>
      <c r="BQ211" s="948"/>
      <c r="BR211" s="948"/>
      <c r="BS211" s="948"/>
      <c r="BT211" s="948"/>
      <c r="BU211" s="954"/>
    </row>
    <row r="212" spans="1:73" x14ac:dyDescent="0.2">
      <c r="A212" s="1224"/>
      <c r="B212" s="1224"/>
      <c r="C212" s="947"/>
      <c r="D212" s="948"/>
      <c r="E212" s="948"/>
      <c r="F212" s="948"/>
      <c r="G212" s="948"/>
      <c r="H212" s="948"/>
      <c r="I212" s="948"/>
      <c r="J212" s="948"/>
      <c r="K212" s="949"/>
      <c r="L212" s="949"/>
      <c r="M212" s="949"/>
      <c r="N212" s="950"/>
      <c r="O212" s="948"/>
      <c r="P212" s="948"/>
      <c r="Q212" s="948"/>
      <c r="R212" s="949"/>
      <c r="S212" s="949"/>
      <c r="T212" s="949"/>
      <c r="U212" s="949"/>
      <c r="V212" s="949"/>
      <c r="W212" s="949"/>
      <c r="X212" s="951"/>
      <c r="Y212" s="951"/>
      <c r="Z212" s="952"/>
      <c r="AA212" s="953"/>
      <c r="AB212" s="948"/>
      <c r="AC212" s="948"/>
      <c r="AD212" s="949"/>
      <c r="AE212" s="949"/>
      <c r="AF212" s="949"/>
      <c r="AG212" s="949"/>
      <c r="AH212" s="949"/>
      <c r="AI212" s="949"/>
      <c r="AJ212" s="949"/>
      <c r="AK212" s="949"/>
      <c r="AL212" s="949"/>
      <c r="AM212" s="949"/>
      <c r="AN212" s="949"/>
      <c r="AO212" s="949"/>
      <c r="AP212" s="949"/>
      <c r="AQ212" s="949"/>
      <c r="AR212" s="949"/>
      <c r="AS212" s="949"/>
      <c r="AT212" s="949"/>
      <c r="AU212" s="949"/>
      <c r="AV212" s="949"/>
      <c r="AW212" s="949"/>
      <c r="AX212" s="949"/>
      <c r="AY212" s="949"/>
      <c r="AZ212" s="949"/>
      <c r="BA212" s="949"/>
      <c r="BB212" s="949"/>
      <c r="BC212" s="949"/>
      <c r="BD212" s="949"/>
      <c r="BE212" s="949"/>
      <c r="BF212" s="949"/>
      <c r="BG212" s="948"/>
      <c r="BH212" s="948"/>
      <c r="BI212" s="948"/>
      <c r="BJ212" s="948"/>
      <c r="BK212" s="948"/>
      <c r="BL212" s="948"/>
      <c r="BM212" s="948"/>
      <c r="BN212" s="948"/>
      <c r="BO212" s="948"/>
      <c r="BP212" s="948"/>
      <c r="BQ212" s="948"/>
      <c r="BR212" s="948"/>
      <c r="BS212" s="948"/>
      <c r="BT212" s="948"/>
      <c r="BU212" s="954"/>
    </row>
    <row r="213" spans="1:73" x14ac:dyDescent="0.2">
      <c r="A213" s="1224"/>
      <c r="B213" s="1224"/>
      <c r="C213" s="947"/>
      <c r="D213" s="948"/>
      <c r="E213" s="948"/>
      <c r="F213" s="948"/>
      <c r="G213" s="948"/>
      <c r="H213" s="948"/>
      <c r="I213" s="948"/>
      <c r="J213" s="948"/>
      <c r="K213" s="949"/>
      <c r="L213" s="949"/>
      <c r="M213" s="949"/>
      <c r="N213" s="950"/>
      <c r="O213" s="948"/>
      <c r="P213" s="948"/>
      <c r="Q213" s="948"/>
      <c r="R213" s="949"/>
      <c r="S213" s="949"/>
      <c r="T213" s="949"/>
      <c r="U213" s="949"/>
      <c r="V213" s="949"/>
      <c r="W213" s="949"/>
      <c r="X213" s="951"/>
      <c r="Y213" s="951"/>
      <c r="Z213" s="952"/>
      <c r="AA213" s="953"/>
      <c r="AB213" s="948"/>
      <c r="AC213" s="948"/>
      <c r="AD213" s="949"/>
      <c r="AE213" s="949"/>
      <c r="AF213" s="949"/>
      <c r="AG213" s="949"/>
      <c r="AH213" s="949"/>
      <c r="AI213" s="949"/>
      <c r="AJ213" s="949"/>
      <c r="AK213" s="949"/>
      <c r="AL213" s="949"/>
      <c r="AM213" s="949"/>
      <c r="AN213" s="949"/>
      <c r="AO213" s="949"/>
      <c r="AP213" s="949"/>
      <c r="AQ213" s="949"/>
      <c r="AR213" s="949"/>
      <c r="AS213" s="949"/>
      <c r="AT213" s="949"/>
      <c r="AU213" s="949"/>
      <c r="AV213" s="949"/>
      <c r="AW213" s="949"/>
      <c r="AX213" s="949"/>
      <c r="AY213" s="949"/>
      <c r="AZ213" s="949"/>
      <c r="BA213" s="949"/>
      <c r="BB213" s="949"/>
      <c r="BC213" s="949"/>
      <c r="BD213" s="949"/>
      <c r="BE213" s="949"/>
      <c r="BF213" s="949"/>
      <c r="BG213" s="948"/>
      <c r="BH213" s="948"/>
      <c r="BI213" s="948"/>
      <c r="BJ213" s="948"/>
      <c r="BK213" s="948"/>
      <c r="BL213" s="948"/>
      <c r="BM213" s="948"/>
      <c r="BN213" s="948"/>
      <c r="BO213" s="948"/>
      <c r="BP213" s="948"/>
      <c r="BQ213" s="948"/>
      <c r="BR213" s="948"/>
      <c r="BS213" s="948"/>
      <c r="BT213" s="948"/>
      <c r="BU213" s="954"/>
    </row>
    <row r="214" spans="1:73" x14ac:dyDescent="0.2">
      <c r="A214" s="1224"/>
      <c r="B214" s="1224"/>
      <c r="C214" s="947"/>
      <c r="D214" s="948"/>
      <c r="E214" s="948"/>
      <c r="F214" s="948"/>
      <c r="G214" s="948"/>
      <c r="H214" s="948"/>
      <c r="I214" s="948"/>
      <c r="J214" s="948"/>
      <c r="K214" s="949"/>
      <c r="L214" s="949"/>
      <c r="M214" s="949"/>
      <c r="N214" s="950"/>
      <c r="O214" s="948"/>
      <c r="P214" s="948"/>
      <c r="Q214" s="948"/>
      <c r="R214" s="949"/>
      <c r="S214" s="949"/>
      <c r="T214" s="949"/>
      <c r="U214" s="949"/>
      <c r="V214" s="949"/>
      <c r="W214" s="949"/>
      <c r="X214" s="951"/>
      <c r="Y214" s="951"/>
      <c r="Z214" s="952"/>
      <c r="AA214" s="953"/>
      <c r="AB214" s="948"/>
      <c r="AC214" s="948"/>
      <c r="AD214" s="949"/>
      <c r="AE214" s="949"/>
      <c r="AF214" s="949"/>
      <c r="AG214" s="949"/>
      <c r="AH214" s="949"/>
      <c r="AI214" s="949"/>
      <c r="AJ214" s="949"/>
      <c r="AK214" s="949"/>
      <c r="AL214" s="949"/>
      <c r="AM214" s="949"/>
      <c r="AN214" s="949"/>
      <c r="AO214" s="949"/>
      <c r="AP214" s="949"/>
      <c r="AQ214" s="949"/>
      <c r="AR214" s="949"/>
      <c r="AS214" s="949"/>
      <c r="AT214" s="949"/>
      <c r="AU214" s="949"/>
      <c r="AV214" s="949"/>
      <c r="AW214" s="949"/>
      <c r="AX214" s="949"/>
      <c r="AY214" s="949"/>
      <c r="AZ214" s="949"/>
      <c r="BA214" s="949"/>
      <c r="BB214" s="949"/>
      <c r="BC214" s="949"/>
      <c r="BD214" s="949"/>
      <c r="BE214" s="949"/>
      <c r="BF214" s="949"/>
      <c r="BG214" s="948"/>
      <c r="BH214" s="948"/>
      <c r="BI214" s="948"/>
      <c r="BJ214" s="948"/>
      <c r="BK214" s="948"/>
      <c r="BL214" s="948"/>
      <c r="BM214" s="948"/>
      <c r="BN214" s="948"/>
      <c r="BO214" s="948"/>
      <c r="BP214" s="948"/>
      <c r="BQ214" s="948"/>
      <c r="BR214" s="948"/>
      <c r="BS214" s="948"/>
      <c r="BT214" s="948"/>
      <c r="BU214" s="954"/>
    </row>
    <row r="215" spans="1:73" x14ac:dyDescent="0.2">
      <c r="A215" s="1224"/>
      <c r="B215" s="1224"/>
      <c r="C215" s="947"/>
      <c r="D215" s="948"/>
      <c r="E215" s="948"/>
      <c r="F215" s="948"/>
      <c r="G215" s="948"/>
      <c r="H215" s="948"/>
      <c r="I215" s="948"/>
      <c r="J215" s="948"/>
      <c r="K215" s="949"/>
      <c r="L215" s="949"/>
      <c r="M215" s="949"/>
      <c r="N215" s="950"/>
      <c r="O215" s="948"/>
      <c r="P215" s="948"/>
      <c r="Q215" s="948"/>
      <c r="R215" s="949"/>
      <c r="S215" s="949"/>
      <c r="T215" s="949"/>
      <c r="U215" s="949"/>
      <c r="V215" s="949"/>
      <c r="W215" s="949"/>
      <c r="X215" s="951"/>
      <c r="Y215" s="951"/>
      <c r="Z215" s="952"/>
      <c r="AA215" s="953"/>
      <c r="AB215" s="948"/>
      <c r="AC215" s="948"/>
      <c r="AD215" s="949"/>
      <c r="AE215" s="949"/>
      <c r="AF215" s="949"/>
      <c r="AG215" s="949"/>
      <c r="AH215" s="949"/>
      <c r="AI215" s="949"/>
      <c r="AJ215" s="949"/>
      <c r="AK215" s="949"/>
      <c r="AL215" s="949"/>
      <c r="AM215" s="949"/>
      <c r="AN215" s="949"/>
      <c r="AO215" s="949"/>
      <c r="AP215" s="949"/>
      <c r="AQ215" s="949"/>
      <c r="AR215" s="949"/>
      <c r="AS215" s="949"/>
      <c r="AT215" s="949"/>
      <c r="AU215" s="949"/>
      <c r="AV215" s="949"/>
      <c r="AW215" s="949"/>
      <c r="AX215" s="949"/>
      <c r="AY215" s="949"/>
      <c r="AZ215" s="949"/>
      <c r="BA215" s="949"/>
      <c r="BB215" s="949"/>
      <c r="BC215" s="949"/>
      <c r="BD215" s="949"/>
      <c r="BE215" s="949"/>
      <c r="BF215" s="949"/>
      <c r="BG215" s="948"/>
      <c r="BH215" s="948"/>
      <c r="BI215" s="948"/>
      <c r="BJ215" s="948"/>
      <c r="BK215" s="948"/>
      <c r="BL215" s="948"/>
      <c r="BM215" s="948"/>
      <c r="BN215" s="948"/>
      <c r="BO215" s="948"/>
      <c r="BP215" s="948"/>
      <c r="BQ215" s="948"/>
      <c r="BR215" s="948"/>
      <c r="BS215" s="948"/>
      <c r="BT215" s="948"/>
      <c r="BU215" s="954"/>
    </row>
    <row r="216" spans="1:73" x14ac:dyDescent="0.2">
      <c r="A216" s="1224"/>
      <c r="B216" s="1224"/>
      <c r="C216" s="947"/>
      <c r="D216" s="948"/>
      <c r="E216" s="948"/>
      <c r="F216" s="948"/>
      <c r="G216" s="948"/>
      <c r="H216" s="948"/>
      <c r="I216" s="948"/>
      <c r="J216" s="948"/>
      <c r="K216" s="949"/>
      <c r="L216" s="949"/>
      <c r="M216" s="949"/>
      <c r="N216" s="950"/>
      <c r="O216" s="948"/>
      <c r="P216" s="948"/>
      <c r="Q216" s="948"/>
      <c r="R216" s="949"/>
      <c r="S216" s="949"/>
      <c r="T216" s="949"/>
      <c r="U216" s="949"/>
      <c r="V216" s="949"/>
      <c r="W216" s="949"/>
      <c r="X216" s="951"/>
      <c r="Y216" s="951"/>
      <c r="Z216" s="952"/>
      <c r="AA216" s="953"/>
      <c r="AB216" s="948"/>
      <c r="AC216" s="948"/>
      <c r="AD216" s="949"/>
      <c r="AE216" s="949"/>
      <c r="AF216" s="949"/>
      <c r="AG216" s="949"/>
      <c r="AH216" s="949"/>
      <c r="AI216" s="949"/>
      <c r="AJ216" s="949"/>
      <c r="AK216" s="949"/>
      <c r="AL216" s="949"/>
      <c r="AM216" s="949"/>
      <c r="AN216" s="949"/>
      <c r="AO216" s="949"/>
      <c r="AP216" s="949"/>
      <c r="AQ216" s="949"/>
      <c r="AR216" s="949"/>
      <c r="AS216" s="949"/>
      <c r="AT216" s="949"/>
      <c r="AU216" s="949"/>
      <c r="AV216" s="949"/>
      <c r="AW216" s="949"/>
      <c r="AX216" s="949"/>
      <c r="AY216" s="949"/>
      <c r="AZ216" s="949"/>
      <c r="BA216" s="949"/>
      <c r="BB216" s="949"/>
      <c r="BC216" s="949"/>
      <c r="BD216" s="949"/>
      <c r="BE216" s="949"/>
      <c r="BF216" s="949"/>
      <c r="BG216" s="948"/>
      <c r="BH216" s="948"/>
      <c r="BI216" s="948"/>
      <c r="BJ216" s="948"/>
      <c r="BK216" s="948"/>
      <c r="BL216" s="948"/>
      <c r="BM216" s="948"/>
      <c r="BN216" s="948"/>
      <c r="BO216" s="948"/>
      <c r="BP216" s="948"/>
      <c r="BQ216" s="948"/>
      <c r="BR216" s="948"/>
      <c r="BS216" s="948"/>
      <c r="BT216" s="948"/>
      <c r="BU216" s="954"/>
    </row>
    <row r="217" spans="1:73" x14ac:dyDescent="0.2">
      <c r="A217" s="1224"/>
      <c r="B217" s="1224"/>
      <c r="C217" s="947"/>
      <c r="D217" s="948"/>
      <c r="E217" s="948"/>
      <c r="F217" s="948"/>
      <c r="G217" s="948"/>
      <c r="H217" s="948"/>
      <c r="I217" s="948"/>
      <c r="J217" s="948"/>
      <c r="K217" s="949"/>
      <c r="L217" s="949"/>
      <c r="M217" s="949"/>
      <c r="N217" s="950"/>
      <c r="O217" s="948"/>
      <c r="P217" s="948"/>
      <c r="Q217" s="948"/>
      <c r="R217" s="949"/>
      <c r="S217" s="949"/>
      <c r="T217" s="949"/>
      <c r="U217" s="949"/>
      <c r="V217" s="949"/>
      <c r="W217" s="949"/>
      <c r="X217" s="951"/>
      <c r="Y217" s="951"/>
      <c r="Z217" s="952"/>
      <c r="AA217" s="953"/>
      <c r="AB217" s="948"/>
      <c r="AC217" s="948"/>
      <c r="AD217" s="949"/>
      <c r="AE217" s="949"/>
      <c r="AF217" s="949"/>
      <c r="AG217" s="949"/>
      <c r="AH217" s="949"/>
      <c r="AI217" s="949"/>
      <c r="AJ217" s="949"/>
      <c r="AK217" s="949"/>
      <c r="AL217" s="949"/>
      <c r="AM217" s="949"/>
      <c r="AN217" s="949"/>
      <c r="AO217" s="949"/>
      <c r="AP217" s="949"/>
      <c r="AQ217" s="949"/>
      <c r="AR217" s="949"/>
      <c r="AS217" s="949"/>
      <c r="AT217" s="949"/>
      <c r="AU217" s="949"/>
      <c r="AV217" s="949"/>
      <c r="AW217" s="949"/>
      <c r="AX217" s="949"/>
      <c r="AY217" s="949"/>
      <c r="AZ217" s="949"/>
      <c r="BA217" s="949"/>
      <c r="BB217" s="949"/>
      <c r="BC217" s="949"/>
      <c r="BD217" s="949"/>
      <c r="BE217" s="949"/>
      <c r="BF217" s="949"/>
      <c r="BG217" s="948"/>
      <c r="BH217" s="948"/>
      <c r="BI217" s="948"/>
      <c r="BJ217" s="948"/>
      <c r="BK217" s="948"/>
      <c r="BL217" s="948"/>
      <c r="BM217" s="948"/>
      <c r="BN217" s="948"/>
      <c r="BO217" s="948"/>
      <c r="BP217" s="948"/>
      <c r="BQ217" s="948"/>
      <c r="BR217" s="948"/>
      <c r="BS217" s="948"/>
      <c r="BT217" s="948"/>
      <c r="BU217" s="954"/>
    </row>
    <row r="218" spans="1:73" x14ac:dyDescent="0.2">
      <c r="A218" s="1224"/>
      <c r="B218" s="1224"/>
      <c r="C218" s="947"/>
      <c r="D218" s="948"/>
      <c r="E218" s="948"/>
      <c r="F218" s="948"/>
      <c r="G218" s="948"/>
      <c r="H218" s="948"/>
      <c r="I218" s="948"/>
      <c r="J218" s="948"/>
      <c r="K218" s="949"/>
      <c r="L218" s="949"/>
      <c r="M218" s="949"/>
      <c r="N218" s="950"/>
      <c r="O218" s="948"/>
      <c r="P218" s="948"/>
      <c r="Q218" s="948"/>
      <c r="R218" s="949"/>
      <c r="S218" s="949"/>
      <c r="T218" s="949"/>
      <c r="U218" s="949"/>
      <c r="V218" s="949"/>
      <c r="W218" s="949"/>
      <c r="X218" s="951"/>
      <c r="Y218" s="951"/>
      <c r="Z218" s="952"/>
      <c r="AA218" s="953"/>
      <c r="AB218" s="948"/>
      <c r="AC218" s="948"/>
      <c r="AD218" s="949"/>
      <c r="AE218" s="949"/>
      <c r="AF218" s="949"/>
      <c r="AG218" s="949"/>
      <c r="AH218" s="949"/>
      <c r="AI218" s="949"/>
      <c r="AJ218" s="949"/>
      <c r="AK218" s="949"/>
      <c r="AL218" s="949"/>
      <c r="AM218" s="949"/>
      <c r="AN218" s="949"/>
      <c r="AO218" s="949"/>
      <c r="AP218" s="949"/>
      <c r="AQ218" s="949"/>
      <c r="AR218" s="949"/>
      <c r="AS218" s="949"/>
      <c r="AT218" s="949"/>
      <c r="AU218" s="949"/>
      <c r="AV218" s="949"/>
      <c r="AW218" s="949"/>
      <c r="AX218" s="949"/>
      <c r="AY218" s="949"/>
      <c r="AZ218" s="949"/>
      <c r="BA218" s="949"/>
      <c r="BB218" s="949"/>
      <c r="BC218" s="949"/>
      <c r="BD218" s="949"/>
      <c r="BE218" s="949"/>
      <c r="BF218" s="949"/>
      <c r="BG218" s="948"/>
      <c r="BH218" s="948"/>
      <c r="BI218" s="948"/>
      <c r="BJ218" s="948"/>
      <c r="BK218" s="948"/>
      <c r="BL218" s="948"/>
      <c r="BM218" s="948"/>
      <c r="BN218" s="948"/>
      <c r="BO218" s="948"/>
      <c r="BP218" s="948"/>
      <c r="BQ218" s="948"/>
      <c r="BR218" s="948"/>
      <c r="BS218" s="948"/>
      <c r="BT218" s="948"/>
      <c r="BU218" s="954"/>
    </row>
    <row r="219" spans="1:73" x14ac:dyDescent="0.2">
      <c r="A219" s="1224"/>
      <c r="B219" s="1224"/>
      <c r="C219" s="947"/>
      <c r="D219" s="948"/>
      <c r="E219" s="948"/>
      <c r="F219" s="948"/>
      <c r="G219" s="948"/>
      <c r="H219" s="948"/>
      <c r="I219" s="948"/>
      <c r="J219" s="948"/>
      <c r="K219" s="949"/>
      <c r="L219" s="949"/>
      <c r="M219" s="949"/>
      <c r="N219" s="950"/>
      <c r="O219" s="948"/>
      <c r="P219" s="948"/>
      <c r="Q219" s="948"/>
      <c r="R219" s="949"/>
      <c r="S219" s="949"/>
      <c r="T219" s="949"/>
      <c r="U219" s="949"/>
      <c r="V219" s="949"/>
      <c r="W219" s="949"/>
      <c r="X219" s="951"/>
      <c r="Y219" s="951"/>
      <c r="Z219" s="952"/>
      <c r="AA219" s="953"/>
      <c r="AB219" s="948"/>
      <c r="AC219" s="948"/>
      <c r="AD219" s="949"/>
      <c r="AE219" s="949"/>
      <c r="AF219" s="949"/>
      <c r="AG219" s="949"/>
      <c r="AH219" s="949"/>
      <c r="AI219" s="949"/>
      <c r="AJ219" s="949"/>
      <c r="AK219" s="949"/>
      <c r="AL219" s="949"/>
      <c r="AM219" s="949"/>
      <c r="AN219" s="949"/>
      <c r="AO219" s="949"/>
      <c r="AP219" s="949"/>
      <c r="AQ219" s="949"/>
      <c r="AR219" s="949"/>
      <c r="AS219" s="949"/>
      <c r="AT219" s="949"/>
      <c r="AU219" s="949"/>
      <c r="AV219" s="949"/>
      <c r="AW219" s="949"/>
      <c r="AX219" s="949"/>
      <c r="AY219" s="949"/>
      <c r="AZ219" s="949"/>
      <c r="BA219" s="949"/>
      <c r="BB219" s="949"/>
      <c r="BC219" s="949"/>
      <c r="BD219" s="949"/>
      <c r="BE219" s="949"/>
      <c r="BF219" s="949"/>
      <c r="BG219" s="948"/>
      <c r="BH219" s="948"/>
      <c r="BI219" s="948"/>
      <c r="BJ219" s="948"/>
      <c r="BK219" s="948"/>
      <c r="BL219" s="948"/>
      <c r="BM219" s="948"/>
      <c r="BN219" s="948"/>
      <c r="BO219" s="948"/>
      <c r="BP219" s="948"/>
      <c r="BQ219" s="948"/>
      <c r="BR219" s="948"/>
      <c r="BS219" s="948"/>
      <c r="BT219" s="948"/>
      <c r="BU219" s="954"/>
    </row>
    <row r="220" spans="1:73" x14ac:dyDescent="0.2">
      <c r="A220" s="1224"/>
      <c r="B220" s="1224"/>
      <c r="C220" s="947"/>
      <c r="D220" s="948"/>
      <c r="E220" s="948"/>
      <c r="F220" s="948"/>
      <c r="G220" s="948"/>
      <c r="H220" s="948"/>
      <c r="I220" s="948"/>
      <c r="J220" s="948"/>
      <c r="K220" s="949"/>
      <c r="L220" s="949"/>
      <c r="M220" s="949"/>
      <c r="N220" s="950"/>
      <c r="O220" s="948"/>
      <c r="P220" s="948"/>
      <c r="Q220" s="948"/>
      <c r="R220" s="949"/>
      <c r="S220" s="949"/>
      <c r="T220" s="949"/>
      <c r="U220" s="949"/>
      <c r="V220" s="949"/>
      <c r="W220" s="949"/>
      <c r="X220" s="951"/>
      <c r="Y220" s="951"/>
      <c r="Z220" s="952"/>
      <c r="AA220" s="953"/>
      <c r="AB220" s="948"/>
      <c r="AC220" s="948"/>
      <c r="AD220" s="949"/>
      <c r="AE220" s="949"/>
      <c r="AF220" s="949"/>
      <c r="AG220" s="949"/>
      <c r="AH220" s="949"/>
      <c r="AI220" s="949"/>
      <c r="AJ220" s="949"/>
      <c r="AK220" s="949"/>
      <c r="AL220" s="949"/>
      <c r="AM220" s="949"/>
      <c r="AN220" s="949"/>
      <c r="AO220" s="949"/>
      <c r="AP220" s="949"/>
      <c r="AQ220" s="949"/>
      <c r="AR220" s="949"/>
      <c r="AS220" s="949"/>
      <c r="AT220" s="949"/>
      <c r="AU220" s="949"/>
      <c r="AV220" s="949"/>
      <c r="AW220" s="949"/>
      <c r="AX220" s="949"/>
      <c r="AY220" s="949"/>
      <c r="AZ220" s="949"/>
      <c r="BA220" s="949"/>
      <c r="BB220" s="949"/>
      <c r="BC220" s="949"/>
      <c r="BD220" s="949"/>
      <c r="BE220" s="949"/>
      <c r="BF220" s="949"/>
      <c r="BG220" s="948"/>
      <c r="BH220" s="948"/>
      <c r="BI220" s="948"/>
      <c r="BJ220" s="948"/>
      <c r="BK220" s="948"/>
      <c r="BL220" s="948"/>
      <c r="BM220" s="948"/>
      <c r="BN220" s="948"/>
      <c r="BO220" s="948"/>
      <c r="BP220" s="948"/>
      <c r="BQ220" s="948"/>
      <c r="BR220" s="948"/>
      <c r="BS220" s="948"/>
      <c r="BT220" s="948"/>
      <c r="BU220" s="954"/>
    </row>
    <row r="221" spans="1:73" x14ac:dyDescent="0.2">
      <c r="A221" s="1224"/>
      <c r="B221" s="1224"/>
      <c r="C221" s="947"/>
      <c r="D221" s="948"/>
      <c r="E221" s="948"/>
      <c r="F221" s="948"/>
      <c r="G221" s="948"/>
      <c r="H221" s="948"/>
      <c r="I221" s="948"/>
      <c r="J221" s="948"/>
      <c r="K221" s="949"/>
      <c r="L221" s="949"/>
      <c r="M221" s="949"/>
      <c r="N221" s="950"/>
      <c r="O221" s="948"/>
      <c r="P221" s="948"/>
      <c r="Q221" s="948"/>
      <c r="R221" s="949"/>
      <c r="S221" s="949"/>
      <c r="T221" s="949"/>
      <c r="U221" s="949"/>
      <c r="V221" s="949"/>
      <c r="W221" s="949"/>
      <c r="X221" s="951"/>
      <c r="Y221" s="951"/>
      <c r="Z221" s="952"/>
      <c r="AA221" s="953"/>
      <c r="AB221" s="948"/>
      <c r="AC221" s="948"/>
      <c r="AD221" s="949"/>
      <c r="AE221" s="949"/>
      <c r="AF221" s="949"/>
      <c r="AG221" s="949"/>
      <c r="AH221" s="949"/>
      <c r="AI221" s="949"/>
      <c r="AJ221" s="949"/>
      <c r="AK221" s="949"/>
      <c r="AL221" s="949"/>
      <c r="AM221" s="949"/>
      <c r="AN221" s="949"/>
      <c r="AO221" s="949"/>
      <c r="AP221" s="949"/>
      <c r="AQ221" s="949"/>
      <c r="AR221" s="949"/>
      <c r="AS221" s="949"/>
      <c r="AT221" s="949"/>
      <c r="AU221" s="949"/>
      <c r="AV221" s="949"/>
      <c r="AW221" s="949"/>
      <c r="AX221" s="949"/>
      <c r="AY221" s="949"/>
      <c r="AZ221" s="949"/>
      <c r="BA221" s="949"/>
      <c r="BB221" s="949"/>
      <c r="BC221" s="949"/>
      <c r="BD221" s="949"/>
      <c r="BE221" s="949"/>
      <c r="BF221" s="949"/>
      <c r="BG221" s="948"/>
      <c r="BH221" s="948"/>
      <c r="BI221" s="948"/>
      <c r="BJ221" s="948"/>
      <c r="BK221" s="948"/>
      <c r="BL221" s="948"/>
      <c r="BM221" s="948"/>
      <c r="BN221" s="948"/>
      <c r="BO221" s="948"/>
      <c r="BP221" s="948"/>
      <c r="BQ221" s="948"/>
      <c r="BR221" s="948"/>
      <c r="BS221" s="948"/>
      <c r="BT221" s="948"/>
      <c r="BU221" s="954"/>
    </row>
    <row r="222" spans="1:73" x14ac:dyDescent="0.2">
      <c r="A222" s="1224"/>
      <c r="B222" s="1224"/>
      <c r="C222" s="947"/>
      <c r="D222" s="948"/>
      <c r="E222" s="948"/>
      <c r="F222" s="948"/>
      <c r="G222" s="948"/>
      <c r="H222" s="948"/>
      <c r="I222" s="948"/>
      <c r="J222" s="948"/>
      <c r="K222" s="949"/>
      <c r="L222" s="949"/>
      <c r="M222" s="949"/>
      <c r="N222" s="950"/>
      <c r="O222" s="948"/>
      <c r="P222" s="948"/>
      <c r="Q222" s="948"/>
      <c r="R222" s="949"/>
      <c r="S222" s="949"/>
      <c r="T222" s="949"/>
      <c r="U222" s="949"/>
      <c r="V222" s="949"/>
      <c r="W222" s="949"/>
      <c r="X222" s="951"/>
      <c r="Y222" s="951"/>
      <c r="Z222" s="952"/>
      <c r="AA222" s="953"/>
      <c r="AB222" s="948"/>
      <c r="AC222" s="948"/>
      <c r="AD222" s="949"/>
      <c r="AE222" s="949"/>
      <c r="AF222" s="949"/>
      <c r="AG222" s="949"/>
      <c r="AH222" s="949"/>
      <c r="AI222" s="949"/>
      <c r="AJ222" s="949"/>
      <c r="AK222" s="949"/>
      <c r="AL222" s="949"/>
      <c r="AM222" s="949"/>
      <c r="AN222" s="949"/>
      <c r="AO222" s="949"/>
      <c r="AP222" s="949"/>
      <c r="AQ222" s="949"/>
      <c r="AR222" s="949"/>
      <c r="AS222" s="949"/>
      <c r="AT222" s="949"/>
      <c r="AU222" s="949"/>
      <c r="AV222" s="949"/>
      <c r="AW222" s="949"/>
      <c r="AX222" s="949"/>
      <c r="AY222" s="949"/>
      <c r="AZ222" s="949"/>
      <c r="BA222" s="949"/>
      <c r="BB222" s="949"/>
      <c r="BC222" s="949"/>
      <c r="BD222" s="949"/>
      <c r="BE222" s="949"/>
      <c r="BF222" s="949"/>
      <c r="BG222" s="948"/>
      <c r="BH222" s="948"/>
      <c r="BI222" s="948"/>
      <c r="BJ222" s="948"/>
      <c r="BK222" s="948"/>
      <c r="BL222" s="948"/>
      <c r="BM222" s="948"/>
      <c r="BN222" s="948"/>
      <c r="BO222" s="948"/>
      <c r="BP222" s="948"/>
      <c r="BQ222" s="948"/>
      <c r="BR222" s="948"/>
      <c r="BS222" s="948"/>
      <c r="BT222" s="948"/>
      <c r="BU222" s="954"/>
    </row>
    <row r="223" spans="1:73" x14ac:dyDescent="0.2">
      <c r="A223" s="1224"/>
      <c r="B223" s="1224"/>
      <c r="C223" s="947"/>
      <c r="D223" s="948"/>
      <c r="E223" s="948"/>
      <c r="F223" s="948"/>
      <c r="G223" s="948"/>
      <c r="H223" s="948"/>
      <c r="I223" s="948"/>
      <c r="J223" s="948"/>
      <c r="K223" s="949"/>
      <c r="L223" s="949"/>
      <c r="M223" s="949"/>
      <c r="N223" s="950"/>
      <c r="O223" s="948"/>
      <c r="P223" s="948"/>
      <c r="Q223" s="948"/>
      <c r="R223" s="949"/>
      <c r="S223" s="949"/>
      <c r="T223" s="949"/>
      <c r="U223" s="949"/>
      <c r="V223" s="949"/>
      <c r="W223" s="949"/>
      <c r="X223" s="951"/>
      <c r="Y223" s="951"/>
      <c r="Z223" s="952"/>
      <c r="AA223" s="953"/>
      <c r="AB223" s="948"/>
      <c r="AC223" s="948"/>
      <c r="AD223" s="949"/>
      <c r="AE223" s="949"/>
      <c r="AF223" s="949"/>
      <c r="AG223" s="949"/>
      <c r="AH223" s="949"/>
      <c r="AI223" s="949"/>
      <c r="AJ223" s="949"/>
      <c r="AK223" s="949"/>
      <c r="AL223" s="949"/>
      <c r="AM223" s="949"/>
      <c r="AN223" s="949"/>
      <c r="AO223" s="949"/>
      <c r="AP223" s="949"/>
      <c r="AQ223" s="949"/>
      <c r="AR223" s="949"/>
      <c r="AS223" s="949"/>
      <c r="AT223" s="949"/>
      <c r="AU223" s="949"/>
      <c r="AV223" s="949"/>
      <c r="AW223" s="949"/>
      <c r="AX223" s="949"/>
      <c r="AY223" s="949"/>
      <c r="AZ223" s="949"/>
      <c r="BA223" s="949"/>
      <c r="BB223" s="949"/>
      <c r="BC223" s="949"/>
      <c r="BD223" s="949"/>
      <c r="BE223" s="949"/>
      <c r="BF223" s="949"/>
      <c r="BG223" s="948"/>
      <c r="BH223" s="948"/>
      <c r="BI223" s="948"/>
      <c r="BJ223" s="948"/>
      <c r="BK223" s="948"/>
      <c r="BL223" s="948"/>
      <c r="BM223" s="948"/>
      <c r="BN223" s="948"/>
      <c r="BO223" s="948"/>
      <c r="BP223" s="948"/>
      <c r="BQ223" s="948"/>
      <c r="BR223" s="948"/>
      <c r="BS223" s="948"/>
      <c r="BT223" s="948"/>
      <c r="BU223" s="954"/>
    </row>
    <row r="224" spans="1:73" x14ac:dyDescent="0.2">
      <c r="A224" s="1224"/>
      <c r="B224" s="1224"/>
      <c r="C224" s="947"/>
      <c r="D224" s="948"/>
      <c r="E224" s="948"/>
      <c r="F224" s="948"/>
      <c r="G224" s="948"/>
      <c r="H224" s="948"/>
      <c r="I224" s="948"/>
      <c r="J224" s="948"/>
      <c r="K224" s="949"/>
      <c r="L224" s="949"/>
      <c r="M224" s="949"/>
      <c r="N224" s="950"/>
      <c r="O224" s="948"/>
      <c r="P224" s="948"/>
      <c r="Q224" s="948"/>
      <c r="R224" s="949"/>
      <c r="S224" s="949"/>
      <c r="T224" s="949"/>
      <c r="U224" s="949"/>
      <c r="V224" s="949"/>
      <c r="W224" s="949"/>
      <c r="X224" s="951"/>
      <c r="Y224" s="951"/>
      <c r="Z224" s="952"/>
      <c r="AA224" s="953"/>
      <c r="AB224" s="948"/>
      <c r="AC224" s="948"/>
      <c r="AD224" s="949"/>
      <c r="AE224" s="949"/>
      <c r="AF224" s="949"/>
      <c r="AG224" s="949"/>
      <c r="AH224" s="949"/>
      <c r="AI224" s="949"/>
      <c r="AJ224" s="949"/>
      <c r="AK224" s="949"/>
      <c r="AL224" s="949"/>
      <c r="AM224" s="949"/>
      <c r="AN224" s="949"/>
      <c r="AO224" s="949"/>
      <c r="AP224" s="949"/>
      <c r="AQ224" s="949"/>
      <c r="AR224" s="949"/>
      <c r="AS224" s="949"/>
      <c r="AT224" s="949"/>
      <c r="AU224" s="949"/>
      <c r="AV224" s="949"/>
      <c r="AW224" s="949"/>
      <c r="AX224" s="949"/>
      <c r="AY224" s="949"/>
      <c r="AZ224" s="949"/>
      <c r="BA224" s="949"/>
      <c r="BB224" s="949"/>
      <c r="BC224" s="949"/>
      <c r="BD224" s="949"/>
      <c r="BE224" s="949"/>
      <c r="BF224" s="949"/>
      <c r="BG224" s="948"/>
      <c r="BH224" s="948"/>
      <c r="BI224" s="948"/>
      <c r="BJ224" s="948"/>
      <c r="BK224" s="948"/>
      <c r="BL224" s="948"/>
      <c r="BM224" s="948"/>
      <c r="BN224" s="948"/>
      <c r="BO224" s="948"/>
      <c r="BP224" s="948"/>
      <c r="BQ224" s="948"/>
      <c r="BR224" s="948"/>
      <c r="BS224" s="948"/>
      <c r="BT224" s="948"/>
      <c r="BU224" s="954"/>
    </row>
    <row r="225" spans="1:73" x14ac:dyDescent="0.2">
      <c r="A225" s="1224"/>
      <c r="B225" s="1224"/>
      <c r="C225" s="947"/>
      <c r="D225" s="948"/>
      <c r="E225" s="948"/>
      <c r="F225" s="948"/>
      <c r="G225" s="948"/>
      <c r="H225" s="948"/>
      <c r="I225" s="948"/>
      <c r="J225" s="948"/>
      <c r="K225" s="949"/>
      <c r="L225" s="949"/>
      <c r="M225" s="949"/>
      <c r="N225" s="950"/>
      <c r="O225" s="948"/>
      <c r="P225" s="948"/>
      <c r="Q225" s="948"/>
      <c r="R225" s="949"/>
      <c r="S225" s="949"/>
      <c r="T225" s="949"/>
      <c r="U225" s="949"/>
      <c r="V225" s="949"/>
      <c r="W225" s="949"/>
      <c r="X225" s="951"/>
      <c r="Y225" s="951"/>
      <c r="Z225" s="952"/>
      <c r="AA225" s="953"/>
      <c r="AB225" s="948"/>
      <c r="AC225" s="948"/>
      <c r="AD225" s="949"/>
      <c r="AE225" s="949"/>
      <c r="AF225" s="949"/>
      <c r="AG225" s="949"/>
      <c r="AH225" s="949"/>
      <c r="AI225" s="949"/>
      <c r="AJ225" s="949"/>
      <c r="AK225" s="949"/>
      <c r="AL225" s="949"/>
      <c r="AM225" s="949"/>
      <c r="AN225" s="949"/>
      <c r="AO225" s="949"/>
      <c r="AP225" s="949"/>
      <c r="AQ225" s="949"/>
      <c r="AR225" s="949"/>
      <c r="AS225" s="949"/>
      <c r="AT225" s="949"/>
      <c r="AU225" s="949"/>
      <c r="AV225" s="949"/>
      <c r="AW225" s="949"/>
      <c r="AX225" s="949"/>
      <c r="AY225" s="949"/>
      <c r="AZ225" s="949"/>
      <c r="BA225" s="949"/>
      <c r="BB225" s="949"/>
      <c r="BC225" s="949"/>
      <c r="BD225" s="949"/>
      <c r="BE225" s="949"/>
      <c r="BF225" s="949"/>
      <c r="BG225" s="948"/>
      <c r="BH225" s="948"/>
      <c r="BI225" s="948"/>
      <c r="BJ225" s="948"/>
      <c r="BK225" s="948"/>
      <c r="BL225" s="948"/>
      <c r="BM225" s="948"/>
      <c r="BN225" s="948"/>
      <c r="BO225" s="948"/>
      <c r="BP225" s="948"/>
      <c r="BQ225" s="948"/>
      <c r="BR225" s="948"/>
      <c r="BS225" s="948"/>
      <c r="BT225" s="948"/>
      <c r="BU225" s="954"/>
    </row>
    <row r="226" spans="1:73" x14ac:dyDescent="0.2">
      <c r="A226" s="1224"/>
      <c r="B226" s="1224"/>
      <c r="C226" s="947"/>
      <c r="D226" s="948"/>
      <c r="E226" s="948"/>
      <c r="F226" s="948"/>
      <c r="G226" s="948"/>
      <c r="H226" s="948"/>
      <c r="I226" s="948"/>
      <c r="J226" s="948"/>
      <c r="K226" s="949"/>
      <c r="L226" s="949"/>
      <c r="M226" s="949"/>
      <c r="N226" s="950"/>
      <c r="O226" s="948"/>
      <c r="P226" s="948"/>
      <c r="Q226" s="948"/>
      <c r="R226" s="949"/>
      <c r="S226" s="949"/>
      <c r="T226" s="949"/>
      <c r="U226" s="949"/>
      <c r="V226" s="949"/>
      <c r="W226" s="949"/>
      <c r="X226" s="951"/>
      <c r="Y226" s="951"/>
      <c r="Z226" s="952"/>
      <c r="AA226" s="953"/>
      <c r="AB226" s="948"/>
      <c r="AC226" s="948"/>
      <c r="AD226" s="949"/>
      <c r="AE226" s="949"/>
      <c r="AF226" s="949"/>
      <c r="AG226" s="949"/>
      <c r="AH226" s="949"/>
      <c r="AI226" s="949"/>
      <c r="AJ226" s="949"/>
      <c r="AK226" s="949"/>
      <c r="AL226" s="949"/>
      <c r="AM226" s="949"/>
      <c r="AN226" s="949"/>
      <c r="AO226" s="949"/>
      <c r="AP226" s="949"/>
      <c r="AQ226" s="949"/>
      <c r="AR226" s="949"/>
      <c r="AS226" s="949"/>
      <c r="AT226" s="949"/>
      <c r="AU226" s="949"/>
      <c r="AV226" s="949"/>
      <c r="AW226" s="949"/>
      <c r="AX226" s="949"/>
      <c r="AY226" s="949"/>
      <c r="AZ226" s="949"/>
      <c r="BA226" s="949"/>
      <c r="BB226" s="949"/>
      <c r="BC226" s="949"/>
      <c r="BD226" s="949"/>
      <c r="BE226" s="949"/>
      <c r="BF226" s="949"/>
      <c r="BG226" s="948"/>
      <c r="BH226" s="948"/>
      <c r="BI226" s="948"/>
      <c r="BJ226" s="948"/>
      <c r="BK226" s="948"/>
      <c r="BL226" s="948"/>
      <c r="BM226" s="948"/>
      <c r="BN226" s="948"/>
      <c r="BO226" s="948"/>
      <c r="BP226" s="948"/>
      <c r="BQ226" s="948"/>
      <c r="BR226" s="948"/>
      <c r="BS226" s="948"/>
      <c r="BT226" s="948"/>
      <c r="BU226" s="954"/>
    </row>
    <row r="227" spans="1:73" x14ac:dyDescent="0.2">
      <c r="A227" s="1224"/>
      <c r="B227" s="1224"/>
      <c r="C227" s="947"/>
      <c r="D227" s="948"/>
      <c r="E227" s="948"/>
      <c r="F227" s="948"/>
      <c r="G227" s="948"/>
      <c r="H227" s="948"/>
      <c r="I227" s="948"/>
      <c r="J227" s="948"/>
      <c r="K227" s="949"/>
      <c r="L227" s="949"/>
      <c r="M227" s="949"/>
      <c r="N227" s="950"/>
      <c r="O227" s="948"/>
      <c r="P227" s="948"/>
      <c r="Q227" s="948"/>
      <c r="R227" s="949"/>
      <c r="S227" s="949"/>
      <c r="T227" s="949"/>
      <c r="U227" s="949"/>
      <c r="V227" s="949"/>
      <c r="W227" s="949"/>
      <c r="X227" s="951"/>
      <c r="Y227" s="951"/>
      <c r="Z227" s="952"/>
      <c r="AA227" s="953"/>
      <c r="AB227" s="948"/>
      <c r="AC227" s="948"/>
      <c r="AD227" s="949"/>
      <c r="AE227" s="949"/>
      <c r="AF227" s="949"/>
      <c r="AG227" s="949"/>
      <c r="AH227" s="949"/>
      <c r="AI227" s="949"/>
      <c r="AJ227" s="949"/>
      <c r="AK227" s="949"/>
      <c r="AL227" s="949"/>
      <c r="AM227" s="949"/>
      <c r="AN227" s="949"/>
      <c r="AO227" s="949"/>
      <c r="AP227" s="949"/>
      <c r="AQ227" s="949"/>
      <c r="AR227" s="949"/>
      <c r="AS227" s="949"/>
      <c r="AT227" s="949"/>
      <c r="AU227" s="949"/>
      <c r="AV227" s="949"/>
      <c r="AW227" s="949"/>
      <c r="AX227" s="949"/>
      <c r="AY227" s="949"/>
      <c r="AZ227" s="949"/>
      <c r="BA227" s="949"/>
      <c r="BB227" s="949"/>
      <c r="BC227" s="949"/>
      <c r="BD227" s="949"/>
      <c r="BE227" s="949"/>
      <c r="BF227" s="949"/>
      <c r="BG227" s="948"/>
      <c r="BH227" s="948"/>
      <c r="BI227" s="948"/>
      <c r="BJ227" s="948"/>
      <c r="BK227" s="948"/>
      <c r="BL227" s="948"/>
      <c r="BM227" s="948"/>
      <c r="BN227" s="948"/>
      <c r="BO227" s="948"/>
      <c r="BP227" s="948"/>
      <c r="BQ227" s="948"/>
      <c r="BR227" s="948"/>
      <c r="BS227" s="948"/>
      <c r="BT227" s="948"/>
      <c r="BU227" s="954"/>
    </row>
    <row r="228" spans="1:73" x14ac:dyDescent="0.2">
      <c r="A228" s="1224"/>
      <c r="B228" s="1224"/>
      <c r="C228" s="947"/>
      <c r="D228" s="948"/>
      <c r="E228" s="948"/>
      <c r="F228" s="948"/>
      <c r="G228" s="948"/>
      <c r="H228" s="948"/>
      <c r="I228" s="948"/>
      <c r="J228" s="948"/>
      <c r="K228" s="949"/>
      <c r="L228" s="949"/>
      <c r="M228" s="949"/>
      <c r="N228" s="950"/>
      <c r="O228" s="948"/>
      <c r="P228" s="948"/>
      <c r="Q228" s="948"/>
      <c r="R228" s="949"/>
      <c r="S228" s="949"/>
      <c r="T228" s="949"/>
      <c r="U228" s="949"/>
      <c r="V228" s="949"/>
      <c r="W228" s="949"/>
      <c r="X228" s="951"/>
      <c r="Y228" s="951"/>
      <c r="Z228" s="952"/>
      <c r="AA228" s="953"/>
      <c r="AB228" s="948"/>
      <c r="AC228" s="948"/>
      <c r="AD228" s="949"/>
      <c r="AE228" s="949"/>
      <c r="AF228" s="949"/>
      <c r="AG228" s="949"/>
      <c r="AH228" s="949"/>
      <c r="AI228" s="949"/>
      <c r="AJ228" s="949"/>
      <c r="AK228" s="949"/>
      <c r="AL228" s="949"/>
      <c r="AM228" s="949"/>
      <c r="AN228" s="949"/>
      <c r="AO228" s="949"/>
      <c r="AP228" s="949"/>
      <c r="AQ228" s="949"/>
      <c r="AR228" s="949"/>
      <c r="AS228" s="949"/>
      <c r="AT228" s="949"/>
      <c r="AU228" s="949"/>
      <c r="AV228" s="949"/>
      <c r="AW228" s="949"/>
      <c r="AX228" s="949"/>
      <c r="AY228" s="949"/>
      <c r="AZ228" s="949"/>
      <c r="BA228" s="949"/>
      <c r="BB228" s="949"/>
      <c r="BC228" s="949"/>
      <c r="BD228" s="949"/>
      <c r="BE228" s="949"/>
      <c r="BF228" s="949"/>
      <c r="BG228" s="948"/>
      <c r="BH228" s="948"/>
      <c r="BI228" s="948"/>
      <c r="BJ228" s="948"/>
      <c r="BK228" s="948"/>
      <c r="BL228" s="948"/>
      <c r="BM228" s="948"/>
      <c r="BN228" s="948"/>
      <c r="BO228" s="948"/>
      <c r="BP228" s="948"/>
      <c r="BQ228" s="948"/>
      <c r="BR228" s="948"/>
      <c r="BS228" s="948"/>
      <c r="BT228" s="948"/>
      <c r="BU228" s="954"/>
    </row>
    <row r="229" spans="1:73" x14ac:dyDescent="0.2">
      <c r="A229" s="1224"/>
      <c r="B229" s="1224"/>
      <c r="C229" s="947"/>
      <c r="D229" s="948"/>
      <c r="E229" s="948"/>
      <c r="F229" s="948"/>
      <c r="G229" s="948"/>
      <c r="H229" s="948"/>
      <c r="I229" s="948"/>
      <c r="J229" s="948"/>
      <c r="K229" s="949"/>
      <c r="L229" s="949"/>
      <c r="M229" s="949"/>
      <c r="N229" s="950"/>
      <c r="O229" s="948"/>
      <c r="P229" s="948"/>
      <c r="Q229" s="948"/>
      <c r="R229" s="949"/>
      <c r="S229" s="949"/>
      <c r="T229" s="949"/>
      <c r="U229" s="949"/>
      <c r="V229" s="949"/>
      <c r="W229" s="949"/>
      <c r="X229" s="951"/>
      <c r="Y229" s="951"/>
      <c r="Z229" s="952"/>
      <c r="AA229" s="953"/>
      <c r="AB229" s="948"/>
      <c r="AC229" s="948"/>
      <c r="AD229" s="949"/>
      <c r="AE229" s="949"/>
      <c r="AF229" s="949"/>
      <c r="AG229" s="949"/>
      <c r="AH229" s="949"/>
      <c r="AI229" s="949"/>
      <c r="AJ229" s="949"/>
      <c r="AK229" s="949"/>
      <c r="AL229" s="949"/>
      <c r="AM229" s="949"/>
      <c r="AN229" s="949"/>
      <c r="AO229" s="949"/>
      <c r="AP229" s="949"/>
      <c r="AQ229" s="949"/>
      <c r="AR229" s="949"/>
      <c r="AS229" s="949"/>
      <c r="AT229" s="949"/>
      <c r="AU229" s="949"/>
      <c r="AV229" s="949"/>
      <c r="AW229" s="949"/>
      <c r="AX229" s="949"/>
      <c r="AY229" s="949"/>
      <c r="AZ229" s="949"/>
      <c r="BA229" s="949"/>
      <c r="BB229" s="949"/>
      <c r="BC229" s="949"/>
      <c r="BD229" s="949"/>
      <c r="BE229" s="949"/>
      <c r="BF229" s="949"/>
      <c r="BG229" s="948"/>
      <c r="BH229" s="948"/>
      <c r="BI229" s="948"/>
      <c r="BJ229" s="948"/>
      <c r="BK229" s="948"/>
      <c r="BL229" s="948"/>
      <c r="BM229" s="948"/>
      <c r="BN229" s="948"/>
      <c r="BO229" s="948"/>
      <c r="BP229" s="948"/>
      <c r="BQ229" s="948"/>
      <c r="BR229" s="948"/>
      <c r="BS229" s="948"/>
      <c r="BT229" s="948"/>
      <c r="BU229" s="954"/>
    </row>
    <row r="230" spans="1:73" x14ac:dyDescent="0.2">
      <c r="A230" s="1224"/>
      <c r="B230" s="1224"/>
      <c r="C230" s="947"/>
      <c r="D230" s="948"/>
      <c r="E230" s="948"/>
      <c r="F230" s="948"/>
      <c r="G230" s="948"/>
      <c r="H230" s="948"/>
      <c r="I230" s="948"/>
      <c r="J230" s="948"/>
      <c r="K230" s="949"/>
      <c r="L230" s="949"/>
      <c r="M230" s="949"/>
      <c r="N230" s="950"/>
      <c r="O230" s="948"/>
      <c r="P230" s="948"/>
      <c r="Q230" s="948"/>
      <c r="R230" s="949"/>
      <c r="S230" s="949"/>
      <c r="T230" s="949"/>
      <c r="U230" s="949"/>
      <c r="V230" s="949"/>
      <c r="W230" s="949"/>
      <c r="X230" s="951"/>
      <c r="Y230" s="951"/>
      <c r="Z230" s="952"/>
      <c r="AA230" s="953"/>
      <c r="AB230" s="948"/>
      <c r="AC230" s="948"/>
      <c r="AD230" s="949"/>
      <c r="AE230" s="949"/>
      <c r="AF230" s="949"/>
      <c r="AG230" s="949"/>
      <c r="AH230" s="949"/>
      <c r="AI230" s="949"/>
      <c r="AJ230" s="949"/>
      <c r="AK230" s="949"/>
      <c r="AL230" s="949"/>
      <c r="AM230" s="949"/>
      <c r="AN230" s="949"/>
      <c r="AO230" s="949"/>
      <c r="AP230" s="949"/>
      <c r="AQ230" s="949"/>
      <c r="AR230" s="949"/>
      <c r="AS230" s="949"/>
      <c r="AT230" s="949"/>
      <c r="AU230" s="949"/>
      <c r="AV230" s="949"/>
      <c r="AW230" s="949"/>
      <c r="AX230" s="949"/>
      <c r="AY230" s="949"/>
      <c r="AZ230" s="949"/>
      <c r="BA230" s="949"/>
      <c r="BB230" s="949"/>
      <c r="BC230" s="949"/>
      <c r="BD230" s="949"/>
      <c r="BE230" s="949"/>
      <c r="BF230" s="949"/>
      <c r="BG230" s="948"/>
      <c r="BH230" s="948"/>
      <c r="BI230" s="948"/>
      <c r="BJ230" s="948"/>
      <c r="BK230" s="948"/>
      <c r="BL230" s="948"/>
      <c r="BM230" s="948"/>
      <c r="BN230" s="948"/>
      <c r="BO230" s="948"/>
      <c r="BP230" s="948"/>
      <c r="BQ230" s="948"/>
      <c r="BR230" s="948"/>
      <c r="BS230" s="948"/>
      <c r="BT230" s="948"/>
      <c r="BU230" s="954"/>
    </row>
    <row r="231" spans="1:73" x14ac:dyDescent="0.2">
      <c r="A231" s="1224"/>
      <c r="B231" s="1224"/>
      <c r="C231" s="947"/>
      <c r="D231" s="948"/>
      <c r="E231" s="948"/>
      <c r="F231" s="948"/>
      <c r="G231" s="948"/>
      <c r="H231" s="948"/>
      <c r="I231" s="948"/>
      <c r="J231" s="948"/>
      <c r="K231" s="949"/>
      <c r="L231" s="949"/>
      <c r="M231" s="949"/>
      <c r="N231" s="950"/>
      <c r="O231" s="948"/>
      <c r="P231" s="948"/>
      <c r="Q231" s="948"/>
      <c r="R231" s="949"/>
      <c r="S231" s="949"/>
      <c r="T231" s="949"/>
      <c r="U231" s="949"/>
      <c r="V231" s="949"/>
      <c r="W231" s="949"/>
      <c r="X231" s="951"/>
      <c r="Y231" s="951"/>
      <c r="Z231" s="952"/>
      <c r="AA231" s="953"/>
      <c r="AB231" s="948"/>
      <c r="AC231" s="948"/>
      <c r="AD231" s="949"/>
      <c r="AE231" s="949"/>
      <c r="AF231" s="949"/>
      <c r="AG231" s="949"/>
      <c r="AH231" s="949"/>
      <c r="AI231" s="949"/>
      <c r="AJ231" s="949"/>
      <c r="AK231" s="949"/>
      <c r="AL231" s="949"/>
      <c r="AM231" s="949"/>
      <c r="AN231" s="949"/>
      <c r="AO231" s="949"/>
      <c r="AP231" s="949"/>
      <c r="AQ231" s="949"/>
      <c r="AR231" s="949"/>
      <c r="AS231" s="949"/>
      <c r="AT231" s="949"/>
      <c r="AU231" s="949"/>
      <c r="AV231" s="949"/>
      <c r="AW231" s="949"/>
      <c r="AX231" s="949"/>
      <c r="AY231" s="949"/>
      <c r="AZ231" s="949"/>
      <c r="BA231" s="949"/>
      <c r="BB231" s="949"/>
      <c r="BC231" s="949"/>
      <c r="BD231" s="949"/>
      <c r="BE231" s="949"/>
      <c r="BF231" s="949"/>
      <c r="BG231" s="948"/>
      <c r="BH231" s="948"/>
      <c r="BI231" s="948"/>
      <c r="BJ231" s="948"/>
      <c r="BK231" s="948"/>
      <c r="BL231" s="948"/>
      <c r="BM231" s="948"/>
      <c r="BN231" s="948"/>
      <c r="BO231" s="948"/>
      <c r="BP231" s="948"/>
      <c r="BQ231" s="948"/>
      <c r="BR231" s="948"/>
      <c r="BS231" s="948"/>
      <c r="BT231" s="948"/>
      <c r="BU231" s="954"/>
    </row>
    <row r="232" spans="1:73" x14ac:dyDescent="0.2">
      <c r="A232" s="1224"/>
      <c r="B232" s="1224"/>
      <c r="C232" s="947"/>
      <c r="D232" s="948"/>
      <c r="E232" s="948"/>
      <c r="F232" s="948"/>
      <c r="G232" s="948"/>
      <c r="H232" s="948"/>
      <c r="I232" s="948"/>
      <c r="J232" s="948"/>
      <c r="K232" s="949"/>
      <c r="L232" s="949"/>
      <c r="M232" s="949"/>
      <c r="N232" s="950"/>
      <c r="O232" s="948"/>
      <c r="P232" s="948"/>
      <c r="Q232" s="948"/>
      <c r="R232" s="949"/>
      <c r="S232" s="949"/>
      <c r="T232" s="949"/>
      <c r="U232" s="949"/>
      <c r="V232" s="949"/>
      <c r="W232" s="949"/>
      <c r="X232" s="951"/>
      <c r="Y232" s="951"/>
      <c r="Z232" s="952"/>
      <c r="AA232" s="953"/>
      <c r="AB232" s="948"/>
      <c r="AC232" s="948"/>
      <c r="AD232" s="949"/>
      <c r="AE232" s="949"/>
      <c r="AF232" s="949"/>
      <c r="AG232" s="949"/>
      <c r="AH232" s="949"/>
      <c r="AI232" s="949"/>
      <c r="AJ232" s="949"/>
      <c r="AK232" s="949"/>
      <c r="AL232" s="949"/>
      <c r="AM232" s="949"/>
      <c r="AN232" s="949"/>
      <c r="AO232" s="949"/>
      <c r="AP232" s="949"/>
      <c r="AQ232" s="949"/>
      <c r="AR232" s="949"/>
      <c r="AS232" s="949"/>
      <c r="AT232" s="949"/>
      <c r="AU232" s="949"/>
      <c r="AV232" s="949"/>
      <c r="AW232" s="949"/>
      <c r="AX232" s="949"/>
      <c r="AY232" s="949"/>
      <c r="AZ232" s="949"/>
      <c r="BA232" s="949"/>
      <c r="BB232" s="949"/>
      <c r="BC232" s="949"/>
      <c r="BD232" s="949"/>
      <c r="BE232" s="949"/>
      <c r="BF232" s="949"/>
      <c r="BG232" s="948"/>
      <c r="BH232" s="948"/>
      <c r="BI232" s="948"/>
      <c r="BJ232" s="948"/>
      <c r="BK232" s="948"/>
      <c r="BL232" s="948"/>
      <c r="BM232" s="948"/>
      <c r="BN232" s="948"/>
      <c r="BO232" s="948"/>
      <c r="BP232" s="948"/>
      <c r="BQ232" s="948"/>
      <c r="BR232" s="948"/>
      <c r="BS232" s="948"/>
      <c r="BT232" s="948"/>
      <c r="BU232" s="954"/>
    </row>
    <row r="233" spans="1:73" x14ac:dyDescent="0.2">
      <c r="A233" s="1224"/>
      <c r="B233" s="1224"/>
      <c r="C233" s="947"/>
      <c r="D233" s="948"/>
      <c r="E233" s="948"/>
      <c r="F233" s="948"/>
      <c r="G233" s="948"/>
      <c r="H233" s="948"/>
      <c r="I233" s="948"/>
      <c r="J233" s="948"/>
      <c r="K233" s="949"/>
      <c r="L233" s="949"/>
      <c r="M233" s="949"/>
      <c r="N233" s="950"/>
      <c r="O233" s="948"/>
      <c r="P233" s="948"/>
      <c r="Q233" s="948"/>
      <c r="R233" s="949"/>
      <c r="S233" s="949"/>
      <c r="T233" s="949"/>
      <c r="U233" s="949"/>
      <c r="V233" s="949"/>
      <c r="W233" s="949"/>
      <c r="X233" s="951"/>
      <c r="Y233" s="951"/>
      <c r="Z233" s="952"/>
      <c r="AA233" s="953"/>
      <c r="AB233" s="948"/>
      <c r="AC233" s="948"/>
      <c r="AD233" s="949"/>
      <c r="AE233" s="949"/>
      <c r="AF233" s="949"/>
      <c r="AG233" s="949"/>
      <c r="AH233" s="949"/>
      <c r="AI233" s="949"/>
      <c r="AJ233" s="949"/>
      <c r="AK233" s="949"/>
      <c r="AL233" s="949"/>
      <c r="AM233" s="949"/>
      <c r="AN233" s="949"/>
      <c r="AO233" s="949"/>
      <c r="AP233" s="949"/>
      <c r="AQ233" s="949"/>
      <c r="AR233" s="949"/>
      <c r="AS233" s="949"/>
      <c r="AT233" s="949"/>
      <c r="AU233" s="949"/>
      <c r="AV233" s="949"/>
      <c r="AW233" s="949"/>
      <c r="AX233" s="949"/>
      <c r="AY233" s="949"/>
      <c r="AZ233" s="949"/>
      <c r="BA233" s="949"/>
      <c r="BB233" s="949"/>
      <c r="BC233" s="949"/>
      <c r="BD233" s="949"/>
      <c r="BE233" s="949"/>
      <c r="BF233" s="949"/>
      <c r="BG233" s="948"/>
      <c r="BH233" s="948"/>
      <c r="BI233" s="948"/>
      <c r="BJ233" s="948"/>
      <c r="BK233" s="948"/>
      <c r="BL233" s="948"/>
      <c r="BM233" s="948"/>
      <c r="BN233" s="948"/>
      <c r="BO233" s="948"/>
      <c r="BP233" s="948"/>
      <c r="BQ233" s="948"/>
      <c r="BR233" s="948"/>
      <c r="BS233" s="948"/>
      <c r="BT233" s="948"/>
      <c r="BU233" s="954"/>
    </row>
    <row r="234" spans="1:73" x14ac:dyDescent="0.2">
      <c r="A234" s="1224"/>
      <c r="B234" s="1224"/>
      <c r="C234" s="947"/>
      <c r="D234" s="948"/>
      <c r="E234" s="948"/>
      <c r="F234" s="948"/>
      <c r="G234" s="948"/>
      <c r="H234" s="948"/>
      <c r="I234" s="948"/>
      <c r="J234" s="948"/>
      <c r="K234" s="949"/>
      <c r="L234" s="949"/>
      <c r="M234" s="949"/>
      <c r="N234" s="950"/>
      <c r="O234" s="948"/>
      <c r="P234" s="948"/>
      <c r="Q234" s="948"/>
      <c r="R234" s="949"/>
      <c r="S234" s="949"/>
      <c r="T234" s="949"/>
      <c r="U234" s="949"/>
      <c r="V234" s="949"/>
      <c r="W234" s="949"/>
      <c r="X234" s="951"/>
      <c r="Y234" s="951"/>
      <c r="Z234" s="952"/>
      <c r="AA234" s="953"/>
      <c r="AB234" s="948"/>
      <c r="AC234" s="948"/>
      <c r="AD234" s="949"/>
      <c r="AE234" s="949"/>
      <c r="AF234" s="949"/>
      <c r="AG234" s="949"/>
      <c r="AH234" s="949"/>
      <c r="AI234" s="949"/>
      <c r="AJ234" s="949"/>
      <c r="AK234" s="949"/>
      <c r="AL234" s="949"/>
      <c r="AM234" s="949"/>
      <c r="AN234" s="949"/>
      <c r="AO234" s="949"/>
      <c r="AP234" s="949"/>
      <c r="AQ234" s="949"/>
      <c r="AR234" s="949"/>
      <c r="AS234" s="949"/>
      <c r="AT234" s="949"/>
      <c r="AU234" s="949"/>
      <c r="AV234" s="949"/>
      <c r="AW234" s="949"/>
      <c r="AX234" s="949"/>
      <c r="AY234" s="949"/>
      <c r="AZ234" s="949"/>
      <c r="BA234" s="949"/>
      <c r="BB234" s="949"/>
      <c r="BC234" s="949"/>
      <c r="BD234" s="949"/>
      <c r="BE234" s="949"/>
      <c r="BF234" s="949"/>
      <c r="BG234" s="948"/>
      <c r="BH234" s="948"/>
      <c r="BI234" s="948"/>
      <c r="BJ234" s="948"/>
      <c r="BK234" s="948"/>
      <c r="BL234" s="948"/>
      <c r="BM234" s="948"/>
      <c r="BN234" s="948"/>
      <c r="BO234" s="948"/>
      <c r="BP234" s="948"/>
      <c r="BQ234" s="948"/>
      <c r="BR234" s="948"/>
      <c r="BS234" s="948"/>
      <c r="BT234" s="948"/>
      <c r="BU234" s="954"/>
    </row>
    <row r="235" spans="1:73" x14ac:dyDescent="0.2">
      <c r="A235" s="1224"/>
      <c r="B235" s="1224"/>
      <c r="C235" s="947"/>
      <c r="D235" s="948"/>
      <c r="E235" s="948"/>
      <c r="F235" s="948"/>
      <c r="G235" s="948"/>
      <c r="H235" s="948"/>
      <c r="I235" s="948"/>
      <c r="J235" s="948"/>
      <c r="K235" s="949"/>
      <c r="L235" s="949"/>
      <c r="M235" s="949"/>
      <c r="N235" s="950"/>
      <c r="O235" s="948"/>
      <c r="P235" s="948"/>
      <c r="Q235" s="948"/>
      <c r="R235" s="949"/>
      <c r="S235" s="949"/>
      <c r="T235" s="949"/>
      <c r="U235" s="949"/>
      <c r="V235" s="949"/>
      <c r="W235" s="949"/>
      <c r="X235" s="951"/>
      <c r="Y235" s="951"/>
      <c r="Z235" s="952"/>
      <c r="AA235" s="953"/>
      <c r="AB235" s="948"/>
      <c r="AC235" s="948"/>
      <c r="AD235" s="949"/>
      <c r="AE235" s="949"/>
      <c r="AF235" s="949"/>
      <c r="AG235" s="949"/>
      <c r="AH235" s="949"/>
      <c r="AI235" s="949"/>
      <c r="AJ235" s="949"/>
      <c r="AK235" s="949"/>
      <c r="AL235" s="949"/>
      <c r="AM235" s="949"/>
      <c r="AN235" s="949"/>
      <c r="AO235" s="949"/>
      <c r="AP235" s="949"/>
      <c r="AQ235" s="949"/>
      <c r="AR235" s="949"/>
      <c r="AS235" s="949"/>
      <c r="AT235" s="949"/>
      <c r="AU235" s="949"/>
      <c r="AV235" s="949"/>
      <c r="AW235" s="949"/>
      <c r="AX235" s="949"/>
      <c r="AY235" s="949"/>
      <c r="AZ235" s="949"/>
      <c r="BA235" s="949"/>
      <c r="BB235" s="949"/>
      <c r="BC235" s="949"/>
      <c r="BD235" s="949"/>
      <c r="BE235" s="949"/>
      <c r="BF235" s="949"/>
      <c r="BG235" s="948"/>
      <c r="BH235" s="948"/>
      <c r="BI235" s="948"/>
      <c r="BJ235" s="948"/>
      <c r="BK235" s="948"/>
      <c r="BL235" s="948"/>
      <c r="BM235" s="948"/>
      <c r="BN235" s="948"/>
      <c r="BO235" s="948"/>
      <c r="BP235" s="948"/>
      <c r="BQ235" s="948"/>
      <c r="BR235" s="948"/>
      <c r="BS235" s="948"/>
      <c r="BT235" s="948"/>
      <c r="BU235" s="954"/>
    </row>
    <row r="236" spans="1:73" x14ac:dyDescent="0.2">
      <c r="A236" s="1224"/>
      <c r="B236" s="1224"/>
      <c r="C236" s="947"/>
      <c r="D236" s="948"/>
      <c r="E236" s="948"/>
      <c r="F236" s="948"/>
      <c r="G236" s="948"/>
      <c r="H236" s="948"/>
      <c r="I236" s="948"/>
      <c r="J236" s="948"/>
      <c r="K236" s="949"/>
      <c r="L236" s="949"/>
      <c r="M236" s="949"/>
      <c r="N236" s="950"/>
      <c r="O236" s="948"/>
      <c r="P236" s="948"/>
      <c r="Q236" s="948"/>
      <c r="R236" s="949"/>
      <c r="S236" s="949"/>
      <c r="T236" s="949"/>
      <c r="U236" s="949"/>
      <c r="V236" s="949"/>
      <c r="W236" s="949"/>
      <c r="X236" s="951"/>
      <c r="Y236" s="951"/>
      <c r="Z236" s="952"/>
      <c r="AA236" s="953"/>
      <c r="AB236" s="948"/>
      <c r="AC236" s="948"/>
      <c r="AD236" s="949"/>
      <c r="AE236" s="949"/>
      <c r="AF236" s="949"/>
      <c r="AG236" s="949"/>
      <c r="AH236" s="949"/>
      <c r="AI236" s="949"/>
      <c r="AJ236" s="949"/>
      <c r="AK236" s="949"/>
      <c r="AL236" s="949"/>
      <c r="AM236" s="949"/>
      <c r="AN236" s="949"/>
      <c r="AO236" s="949"/>
      <c r="AP236" s="949"/>
      <c r="AQ236" s="949"/>
      <c r="AR236" s="949"/>
      <c r="AS236" s="949"/>
      <c r="AT236" s="949"/>
      <c r="AU236" s="949"/>
      <c r="AV236" s="949"/>
      <c r="AW236" s="949"/>
      <c r="AX236" s="949"/>
      <c r="AY236" s="949"/>
      <c r="AZ236" s="949"/>
      <c r="BA236" s="949"/>
      <c r="BB236" s="949"/>
      <c r="BC236" s="949"/>
      <c r="BD236" s="949"/>
      <c r="BE236" s="949"/>
      <c r="BF236" s="949"/>
      <c r="BG236" s="948"/>
      <c r="BH236" s="948"/>
      <c r="BI236" s="948"/>
      <c r="BJ236" s="948"/>
      <c r="BK236" s="948"/>
      <c r="BL236" s="948"/>
      <c r="BM236" s="948"/>
      <c r="BN236" s="948"/>
      <c r="BO236" s="948"/>
      <c r="BP236" s="948"/>
      <c r="BQ236" s="948"/>
      <c r="BR236" s="948"/>
      <c r="BS236" s="948"/>
      <c r="BT236" s="948"/>
      <c r="BU236" s="954"/>
    </row>
    <row r="237" spans="1:73" x14ac:dyDescent="0.2">
      <c r="A237" s="1224"/>
      <c r="B237" s="1224"/>
      <c r="C237" s="947"/>
      <c r="D237" s="948"/>
      <c r="E237" s="948"/>
      <c r="F237" s="948"/>
      <c r="G237" s="948"/>
      <c r="H237" s="948"/>
      <c r="I237" s="948"/>
      <c r="J237" s="948"/>
      <c r="K237" s="949"/>
      <c r="L237" s="949"/>
      <c r="M237" s="949"/>
      <c r="N237" s="950"/>
      <c r="O237" s="948"/>
      <c r="P237" s="948"/>
      <c r="Q237" s="948"/>
      <c r="R237" s="949"/>
      <c r="S237" s="949"/>
      <c r="T237" s="949"/>
      <c r="U237" s="949"/>
      <c r="V237" s="949"/>
      <c r="W237" s="949"/>
      <c r="X237" s="951"/>
      <c r="Y237" s="951"/>
      <c r="Z237" s="952"/>
      <c r="AA237" s="953"/>
      <c r="AB237" s="948"/>
      <c r="AC237" s="948"/>
      <c r="AD237" s="949"/>
      <c r="AE237" s="949"/>
      <c r="AF237" s="949"/>
      <c r="AG237" s="949"/>
      <c r="AH237" s="949"/>
      <c r="AI237" s="949"/>
      <c r="AJ237" s="949"/>
      <c r="AK237" s="949"/>
      <c r="AL237" s="949"/>
      <c r="AM237" s="949"/>
      <c r="AN237" s="949"/>
      <c r="AO237" s="949"/>
      <c r="AP237" s="949"/>
      <c r="AQ237" s="949"/>
      <c r="AR237" s="949"/>
      <c r="AS237" s="949"/>
      <c r="AT237" s="949"/>
      <c r="AU237" s="949"/>
      <c r="AV237" s="949"/>
      <c r="AW237" s="949"/>
      <c r="AX237" s="949"/>
      <c r="AY237" s="949"/>
      <c r="AZ237" s="949"/>
      <c r="BA237" s="949"/>
      <c r="BB237" s="949"/>
      <c r="BC237" s="949"/>
      <c r="BD237" s="949"/>
      <c r="BE237" s="949"/>
      <c r="BF237" s="949"/>
      <c r="BG237" s="948"/>
      <c r="BH237" s="948"/>
      <c r="BI237" s="948"/>
      <c r="BJ237" s="948"/>
      <c r="BK237" s="948"/>
      <c r="BL237" s="948"/>
      <c r="BM237" s="948"/>
      <c r="BN237" s="948"/>
      <c r="BO237" s="948"/>
      <c r="BP237" s="948"/>
      <c r="BQ237" s="948"/>
      <c r="BR237" s="948"/>
      <c r="BS237" s="948"/>
      <c r="BT237" s="948"/>
      <c r="BU237" s="954"/>
    </row>
    <row r="238" spans="1:73" x14ac:dyDescent="0.2">
      <c r="A238" s="1224"/>
      <c r="B238" s="1224"/>
      <c r="C238" s="947"/>
      <c r="D238" s="948"/>
      <c r="E238" s="948"/>
      <c r="F238" s="948"/>
      <c r="G238" s="948"/>
      <c r="H238" s="948"/>
      <c r="I238" s="948"/>
      <c r="J238" s="948"/>
      <c r="K238" s="949"/>
      <c r="L238" s="949"/>
      <c r="M238" s="949"/>
      <c r="N238" s="950"/>
      <c r="O238" s="948"/>
      <c r="P238" s="948"/>
      <c r="Q238" s="948"/>
      <c r="R238" s="949"/>
      <c r="S238" s="949"/>
      <c r="T238" s="949"/>
      <c r="U238" s="949"/>
      <c r="V238" s="949"/>
      <c r="W238" s="949"/>
      <c r="X238" s="951"/>
      <c r="Y238" s="951"/>
      <c r="Z238" s="952"/>
      <c r="AA238" s="953"/>
      <c r="AB238" s="948"/>
      <c r="AC238" s="948"/>
      <c r="AD238" s="949"/>
      <c r="AE238" s="949"/>
      <c r="AF238" s="949"/>
      <c r="AG238" s="949"/>
      <c r="AH238" s="949"/>
      <c r="AI238" s="949"/>
      <c r="AJ238" s="949"/>
      <c r="AK238" s="949"/>
      <c r="AL238" s="949"/>
      <c r="AM238" s="949"/>
      <c r="AN238" s="949"/>
      <c r="AO238" s="949"/>
      <c r="AP238" s="949"/>
      <c r="AQ238" s="949"/>
      <c r="AR238" s="949"/>
      <c r="AS238" s="949"/>
      <c r="AT238" s="949"/>
      <c r="AU238" s="949"/>
      <c r="AV238" s="949"/>
      <c r="AW238" s="949"/>
      <c r="AX238" s="949"/>
      <c r="AY238" s="949"/>
      <c r="AZ238" s="949"/>
      <c r="BA238" s="949"/>
      <c r="BB238" s="949"/>
      <c r="BC238" s="949"/>
      <c r="BD238" s="949"/>
      <c r="BE238" s="949"/>
      <c r="BF238" s="949"/>
      <c r="BG238" s="948"/>
      <c r="BH238" s="948"/>
      <c r="BI238" s="948"/>
      <c r="BJ238" s="948"/>
      <c r="BK238" s="948"/>
      <c r="BL238" s="948"/>
      <c r="BM238" s="948"/>
      <c r="BN238" s="948"/>
      <c r="BO238" s="948"/>
      <c r="BP238" s="948"/>
      <c r="BQ238" s="948"/>
      <c r="BR238" s="948"/>
      <c r="BS238" s="948"/>
      <c r="BT238" s="948"/>
      <c r="BU238" s="954"/>
    </row>
    <row r="239" spans="1:73" x14ac:dyDescent="0.2">
      <c r="A239" s="1224"/>
      <c r="B239" s="1224"/>
      <c r="C239" s="947"/>
      <c r="D239" s="948"/>
      <c r="E239" s="948"/>
      <c r="F239" s="948"/>
      <c r="G239" s="948"/>
      <c r="H239" s="948"/>
      <c r="I239" s="948"/>
      <c r="J239" s="948"/>
      <c r="K239" s="949"/>
      <c r="L239" s="949"/>
      <c r="M239" s="949"/>
      <c r="N239" s="950"/>
      <c r="O239" s="948"/>
      <c r="P239" s="948"/>
      <c r="Q239" s="948"/>
      <c r="R239" s="949"/>
      <c r="S239" s="949"/>
      <c r="T239" s="949"/>
      <c r="U239" s="949"/>
      <c r="V239" s="949"/>
      <c r="W239" s="949"/>
      <c r="X239" s="951"/>
      <c r="Y239" s="951"/>
      <c r="Z239" s="952"/>
      <c r="AA239" s="953"/>
      <c r="AB239" s="948"/>
      <c r="AC239" s="948"/>
      <c r="AD239" s="949"/>
      <c r="AE239" s="949"/>
      <c r="AF239" s="949"/>
      <c r="AG239" s="949"/>
      <c r="AH239" s="949"/>
      <c r="AI239" s="949"/>
      <c r="AJ239" s="949"/>
      <c r="AK239" s="949"/>
      <c r="AL239" s="949"/>
      <c r="AM239" s="949"/>
      <c r="AN239" s="949"/>
      <c r="AO239" s="949"/>
      <c r="AP239" s="949"/>
      <c r="AQ239" s="949"/>
      <c r="AR239" s="949"/>
      <c r="AS239" s="949"/>
      <c r="AT239" s="949"/>
      <c r="AU239" s="949"/>
      <c r="AV239" s="949"/>
      <c r="AW239" s="949"/>
      <c r="AX239" s="949"/>
      <c r="AY239" s="949"/>
      <c r="AZ239" s="949"/>
      <c r="BA239" s="949"/>
      <c r="BB239" s="949"/>
      <c r="BC239" s="949"/>
      <c r="BD239" s="949"/>
      <c r="BE239" s="949"/>
      <c r="BF239" s="949"/>
      <c r="BG239" s="948"/>
      <c r="BH239" s="948"/>
      <c r="BI239" s="948"/>
      <c r="BJ239" s="948"/>
      <c r="BK239" s="948"/>
      <c r="BL239" s="948"/>
      <c r="BM239" s="948"/>
      <c r="BN239" s="948"/>
      <c r="BO239" s="948"/>
      <c r="BP239" s="948"/>
      <c r="BQ239" s="948"/>
      <c r="BR239" s="948"/>
      <c r="BS239" s="948"/>
      <c r="BT239" s="948"/>
      <c r="BU239" s="954"/>
    </row>
    <row r="240" spans="1:73" x14ac:dyDescent="0.2">
      <c r="A240" s="1224"/>
      <c r="B240" s="1224"/>
      <c r="C240" s="947"/>
      <c r="D240" s="948"/>
      <c r="E240" s="948"/>
      <c r="F240" s="948"/>
      <c r="G240" s="948"/>
      <c r="H240" s="948"/>
      <c r="I240" s="948"/>
      <c r="J240" s="948"/>
      <c r="K240" s="949"/>
      <c r="L240" s="949"/>
      <c r="M240" s="949"/>
      <c r="N240" s="950"/>
      <c r="O240" s="948"/>
      <c r="P240" s="948"/>
      <c r="Q240" s="948"/>
      <c r="R240" s="949"/>
      <c r="S240" s="949"/>
      <c r="T240" s="949"/>
      <c r="U240" s="949"/>
      <c r="V240" s="949"/>
      <c r="W240" s="949"/>
      <c r="X240" s="951"/>
      <c r="Y240" s="951"/>
      <c r="Z240" s="952"/>
      <c r="AA240" s="953"/>
      <c r="AB240" s="948"/>
      <c r="AC240" s="948"/>
      <c r="AD240" s="949"/>
      <c r="AE240" s="949"/>
      <c r="AF240" s="949"/>
      <c r="AG240" s="949"/>
      <c r="AH240" s="949"/>
      <c r="AI240" s="949"/>
      <c r="AJ240" s="949"/>
      <c r="AK240" s="949"/>
      <c r="AL240" s="949"/>
      <c r="AM240" s="949"/>
      <c r="AN240" s="949"/>
      <c r="AO240" s="949"/>
      <c r="AP240" s="949"/>
      <c r="AQ240" s="949"/>
      <c r="AR240" s="949"/>
      <c r="AS240" s="949"/>
      <c r="AT240" s="949"/>
      <c r="AU240" s="949"/>
      <c r="AV240" s="949"/>
      <c r="AW240" s="949"/>
      <c r="AX240" s="949"/>
      <c r="AY240" s="949"/>
      <c r="AZ240" s="949"/>
      <c r="BA240" s="949"/>
      <c r="BB240" s="949"/>
      <c r="BC240" s="949"/>
      <c r="BD240" s="949"/>
      <c r="BE240" s="949"/>
      <c r="BF240" s="949"/>
      <c r="BG240" s="948"/>
      <c r="BH240" s="948"/>
      <c r="BI240" s="948"/>
      <c r="BJ240" s="948"/>
      <c r="BK240" s="948"/>
      <c r="BL240" s="948"/>
      <c r="BM240" s="948"/>
      <c r="BN240" s="948"/>
      <c r="BO240" s="948"/>
      <c r="BP240" s="948"/>
      <c r="BQ240" s="948"/>
      <c r="BR240" s="948"/>
      <c r="BS240" s="948"/>
      <c r="BT240" s="948"/>
      <c r="BU240" s="954"/>
    </row>
    <row r="241" spans="1:73" x14ac:dyDescent="0.2">
      <c r="A241" s="1224"/>
      <c r="B241" s="1224"/>
      <c r="C241" s="947"/>
      <c r="D241" s="948"/>
      <c r="E241" s="948"/>
      <c r="F241" s="948"/>
      <c r="G241" s="948"/>
      <c r="H241" s="948"/>
      <c r="I241" s="948"/>
      <c r="J241" s="948"/>
      <c r="K241" s="949"/>
      <c r="L241" s="949"/>
      <c r="M241" s="949"/>
      <c r="N241" s="950"/>
      <c r="O241" s="948"/>
      <c r="P241" s="948"/>
      <c r="Q241" s="948"/>
      <c r="R241" s="949"/>
      <c r="S241" s="949"/>
      <c r="T241" s="949"/>
      <c r="U241" s="949"/>
      <c r="V241" s="949"/>
      <c r="W241" s="949"/>
      <c r="X241" s="951"/>
      <c r="Y241" s="951"/>
      <c r="Z241" s="952"/>
      <c r="AA241" s="953"/>
      <c r="AB241" s="948"/>
      <c r="AC241" s="948"/>
      <c r="AD241" s="949"/>
      <c r="AE241" s="949"/>
      <c r="AF241" s="949"/>
      <c r="AG241" s="949"/>
      <c r="AH241" s="949"/>
      <c r="AI241" s="949"/>
      <c r="AJ241" s="949"/>
      <c r="AK241" s="949"/>
      <c r="AL241" s="949"/>
      <c r="AM241" s="949"/>
      <c r="AN241" s="949"/>
      <c r="AO241" s="949"/>
      <c r="AP241" s="949"/>
      <c r="AQ241" s="949"/>
      <c r="AR241" s="949"/>
      <c r="AS241" s="949"/>
      <c r="AT241" s="949"/>
      <c r="AU241" s="949"/>
      <c r="AV241" s="949"/>
      <c r="AW241" s="949"/>
      <c r="AX241" s="949"/>
      <c r="AY241" s="949"/>
      <c r="AZ241" s="949"/>
      <c r="BA241" s="949"/>
      <c r="BB241" s="949"/>
      <c r="BC241" s="949"/>
      <c r="BD241" s="949"/>
      <c r="BE241" s="949"/>
      <c r="BF241" s="949"/>
      <c r="BG241" s="948"/>
      <c r="BH241" s="948"/>
      <c r="BI241" s="948"/>
      <c r="BJ241" s="948"/>
      <c r="BK241" s="948"/>
      <c r="BL241" s="948"/>
      <c r="BM241" s="948"/>
      <c r="BN241" s="948"/>
      <c r="BO241" s="948"/>
      <c r="BP241" s="948"/>
      <c r="BQ241" s="948"/>
      <c r="BR241" s="948"/>
      <c r="BS241" s="948"/>
      <c r="BT241" s="948"/>
      <c r="BU241" s="954"/>
    </row>
    <row r="242" spans="1:73" x14ac:dyDescent="0.2">
      <c r="A242" s="1224"/>
      <c r="B242" s="1224"/>
      <c r="C242" s="947"/>
      <c r="D242" s="948"/>
      <c r="E242" s="948"/>
      <c r="F242" s="948"/>
      <c r="G242" s="948"/>
      <c r="H242" s="948"/>
      <c r="I242" s="948"/>
      <c r="J242" s="948"/>
      <c r="K242" s="949"/>
      <c r="L242" s="949"/>
      <c r="M242" s="949"/>
      <c r="N242" s="950"/>
      <c r="O242" s="948"/>
      <c r="P242" s="948"/>
      <c r="Q242" s="948"/>
      <c r="R242" s="949"/>
      <c r="S242" s="949"/>
      <c r="T242" s="949"/>
      <c r="U242" s="949"/>
      <c r="V242" s="949"/>
      <c r="W242" s="949"/>
      <c r="X242" s="951"/>
      <c r="Y242" s="951"/>
      <c r="Z242" s="952"/>
      <c r="AA242" s="953"/>
      <c r="AB242" s="948"/>
      <c r="AC242" s="948"/>
      <c r="AD242" s="949"/>
      <c r="AE242" s="949"/>
      <c r="AF242" s="949"/>
      <c r="AG242" s="949"/>
      <c r="AH242" s="949"/>
      <c r="AI242" s="949"/>
      <c r="AJ242" s="949"/>
      <c r="AK242" s="949"/>
      <c r="AL242" s="949"/>
      <c r="AM242" s="949"/>
      <c r="AN242" s="949"/>
      <c r="AO242" s="949"/>
      <c r="AP242" s="949"/>
      <c r="AQ242" s="949"/>
      <c r="AR242" s="949"/>
      <c r="AS242" s="949"/>
      <c r="AT242" s="949"/>
      <c r="AU242" s="949"/>
      <c r="AV242" s="949"/>
      <c r="AW242" s="949"/>
      <c r="AX242" s="949"/>
      <c r="AY242" s="949"/>
      <c r="AZ242" s="949"/>
      <c r="BA242" s="949"/>
      <c r="BB242" s="949"/>
      <c r="BC242" s="949"/>
      <c r="BD242" s="949"/>
      <c r="BE242" s="949"/>
      <c r="BF242" s="949"/>
      <c r="BG242" s="948"/>
      <c r="BH242" s="948"/>
      <c r="BI242" s="948"/>
      <c r="BJ242" s="948"/>
      <c r="BK242" s="948"/>
      <c r="BL242" s="948"/>
      <c r="BM242" s="948"/>
      <c r="BN242" s="948"/>
      <c r="BO242" s="948"/>
      <c r="BP242" s="948"/>
      <c r="BQ242" s="948"/>
      <c r="BR242" s="948"/>
      <c r="BS242" s="948"/>
      <c r="BT242" s="948"/>
      <c r="BU242" s="954"/>
    </row>
    <row r="243" spans="1:73" x14ac:dyDescent="0.2">
      <c r="A243" s="1224"/>
      <c r="B243" s="1224"/>
      <c r="C243" s="947"/>
      <c r="D243" s="948"/>
      <c r="E243" s="948"/>
      <c r="F243" s="948"/>
      <c r="G243" s="948"/>
      <c r="H243" s="948"/>
      <c r="I243" s="948"/>
      <c r="J243" s="948"/>
      <c r="K243" s="949"/>
      <c r="L243" s="949"/>
      <c r="M243" s="949"/>
      <c r="N243" s="950"/>
      <c r="O243" s="948"/>
      <c r="P243" s="948"/>
      <c r="Q243" s="948"/>
      <c r="R243" s="949"/>
      <c r="S243" s="949"/>
      <c r="T243" s="949"/>
      <c r="U243" s="949"/>
      <c r="V243" s="949"/>
      <c r="W243" s="949"/>
      <c r="X243" s="951"/>
      <c r="Y243" s="951"/>
      <c r="Z243" s="952"/>
      <c r="AA243" s="953"/>
      <c r="AB243" s="948"/>
      <c r="AC243" s="948"/>
      <c r="AD243" s="949"/>
      <c r="AE243" s="949"/>
      <c r="AF243" s="949"/>
      <c r="AG243" s="949"/>
      <c r="AH243" s="949"/>
      <c r="AI243" s="949"/>
      <c r="AJ243" s="949"/>
      <c r="AK243" s="949"/>
      <c r="AL243" s="949"/>
      <c r="AM243" s="949"/>
      <c r="AN243" s="949"/>
      <c r="AO243" s="949"/>
      <c r="AP243" s="949"/>
      <c r="AQ243" s="949"/>
      <c r="AR243" s="949"/>
      <c r="AS243" s="949"/>
      <c r="AT243" s="949"/>
      <c r="AU243" s="949"/>
      <c r="AV243" s="949"/>
      <c r="AW243" s="949"/>
      <c r="AX243" s="949"/>
      <c r="AY243" s="949"/>
      <c r="AZ243" s="949"/>
      <c r="BA243" s="949"/>
      <c r="BB243" s="949"/>
      <c r="BC243" s="949"/>
      <c r="BD243" s="949"/>
      <c r="BE243" s="949"/>
      <c r="BF243" s="949"/>
      <c r="BG243" s="948"/>
      <c r="BH243" s="948"/>
      <c r="BI243" s="948"/>
      <c r="BJ243" s="948"/>
      <c r="BK243" s="948"/>
      <c r="BL243" s="948"/>
      <c r="BM243" s="948"/>
      <c r="BN243" s="948"/>
      <c r="BO243" s="948"/>
      <c r="BP243" s="948"/>
      <c r="BQ243" s="948"/>
      <c r="BR243" s="948"/>
      <c r="BS243" s="948"/>
      <c r="BT243" s="948"/>
      <c r="BU243" s="954"/>
    </row>
    <row r="244" spans="1:73" x14ac:dyDescent="0.2">
      <c r="A244" s="1224"/>
      <c r="B244" s="1224"/>
      <c r="C244" s="947"/>
      <c r="D244" s="948"/>
      <c r="E244" s="948"/>
      <c r="F244" s="948"/>
      <c r="G244" s="948"/>
      <c r="H244" s="948"/>
      <c r="I244" s="948"/>
      <c r="J244" s="948"/>
      <c r="K244" s="949"/>
      <c r="L244" s="949"/>
      <c r="M244" s="949"/>
      <c r="N244" s="950"/>
      <c r="O244" s="948"/>
      <c r="P244" s="948"/>
      <c r="Q244" s="948"/>
      <c r="R244" s="949"/>
      <c r="S244" s="949"/>
      <c r="T244" s="949"/>
      <c r="U244" s="949"/>
      <c r="V244" s="949"/>
      <c r="W244" s="949"/>
      <c r="X244" s="951"/>
      <c r="Y244" s="951"/>
      <c r="Z244" s="952"/>
      <c r="AA244" s="953"/>
      <c r="AB244" s="948"/>
      <c r="AC244" s="948"/>
      <c r="AD244" s="949"/>
      <c r="AE244" s="949"/>
      <c r="AF244" s="949"/>
      <c r="AG244" s="949"/>
      <c r="AH244" s="949"/>
      <c r="AI244" s="949"/>
      <c r="AJ244" s="949"/>
      <c r="AK244" s="949"/>
      <c r="AL244" s="949"/>
      <c r="AM244" s="949"/>
      <c r="AN244" s="949"/>
      <c r="AO244" s="949"/>
      <c r="AP244" s="949"/>
      <c r="AQ244" s="949"/>
      <c r="AR244" s="949"/>
      <c r="AS244" s="949"/>
      <c r="AT244" s="949"/>
      <c r="AU244" s="949"/>
      <c r="AV244" s="949"/>
      <c r="AW244" s="949"/>
      <c r="AX244" s="949"/>
      <c r="AY244" s="949"/>
      <c r="AZ244" s="949"/>
      <c r="BA244" s="949"/>
      <c r="BB244" s="949"/>
      <c r="BC244" s="949"/>
      <c r="BD244" s="949"/>
      <c r="BE244" s="949"/>
      <c r="BF244" s="949"/>
      <c r="BG244" s="948"/>
      <c r="BH244" s="948"/>
      <c r="BI244" s="948"/>
      <c r="BJ244" s="948"/>
      <c r="BK244" s="948"/>
      <c r="BL244" s="948"/>
      <c r="BM244" s="948"/>
      <c r="BN244" s="948"/>
      <c r="BO244" s="948"/>
      <c r="BP244" s="948"/>
      <c r="BQ244" s="948"/>
      <c r="BR244" s="948"/>
      <c r="BS244" s="948"/>
      <c r="BT244" s="948"/>
      <c r="BU244" s="954"/>
    </row>
    <row r="245" spans="1:73" x14ac:dyDescent="0.2">
      <c r="A245" s="1224"/>
      <c r="B245" s="1224"/>
      <c r="C245" s="947"/>
      <c r="D245" s="948"/>
      <c r="E245" s="948"/>
      <c r="F245" s="948"/>
      <c r="G245" s="948"/>
      <c r="H245" s="948"/>
      <c r="I245" s="948"/>
      <c r="J245" s="948"/>
      <c r="K245" s="949"/>
      <c r="L245" s="949"/>
      <c r="M245" s="949"/>
      <c r="N245" s="950"/>
      <c r="O245" s="948"/>
      <c r="P245" s="948"/>
      <c r="Q245" s="948"/>
      <c r="R245" s="949"/>
      <c r="S245" s="949"/>
      <c r="T245" s="949"/>
      <c r="U245" s="949"/>
      <c r="V245" s="949"/>
      <c r="W245" s="949"/>
      <c r="X245" s="951"/>
      <c r="Y245" s="951"/>
      <c r="Z245" s="952"/>
      <c r="AA245" s="953"/>
      <c r="AB245" s="948"/>
      <c r="AC245" s="948"/>
      <c r="AD245" s="949"/>
      <c r="AE245" s="949"/>
      <c r="AF245" s="949"/>
      <c r="AG245" s="949"/>
      <c r="AH245" s="949"/>
      <c r="AI245" s="949"/>
      <c r="AJ245" s="949"/>
      <c r="AK245" s="949"/>
      <c r="AL245" s="949"/>
      <c r="AM245" s="949"/>
      <c r="AN245" s="949"/>
      <c r="AO245" s="949"/>
      <c r="AP245" s="949"/>
      <c r="AQ245" s="949"/>
      <c r="AR245" s="949"/>
      <c r="AS245" s="949"/>
      <c r="AT245" s="949"/>
      <c r="AU245" s="949"/>
      <c r="AV245" s="949"/>
      <c r="AW245" s="949"/>
      <c r="AX245" s="949"/>
      <c r="AY245" s="949"/>
      <c r="AZ245" s="949"/>
      <c r="BA245" s="949"/>
      <c r="BB245" s="949"/>
      <c r="BC245" s="949"/>
      <c r="BD245" s="949"/>
      <c r="BE245" s="949"/>
      <c r="BF245" s="949"/>
      <c r="BG245" s="948"/>
      <c r="BH245" s="948"/>
      <c r="BI245" s="948"/>
      <c r="BJ245" s="948"/>
      <c r="BK245" s="948"/>
      <c r="BL245" s="948"/>
      <c r="BM245" s="948"/>
      <c r="BN245" s="948"/>
      <c r="BO245" s="948"/>
      <c r="BP245" s="948"/>
      <c r="BQ245" s="948"/>
      <c r="BR245" s="948"/>
      <c r="BS245" s="948"/>
      <c r="BT245" s="948"/>
      <c r="BU245" s="954"/>
    </row>
    <row r="246" spans="1:73" x14ac:dyDescent="0.2">
      <c r="A246" s="1224"/>
      <c r="B246" s="1224"/>
      <c r="C246" s="947"/>
      <c r="D246" s="948"/>
      <c r="E246" s="948"/>
      <c r="F246" s="948"/>
      <c r="G246" s="948"/>
      <c r="H246" s="948"/>
      <c r="I246" s="948"/>
      <c r="J246" s="948"/>
      <c r="K246" s="949"/>
      <c r="L246" s="949"/>
      <c r="M246" s="949"/>
      <c r="N246" s="950"/>
      <c r="O246" s="948"/>
      <c r="P246" s="948"/>
      <c r="Q246" s="948"/>
      <c r="R246" s="949"/>
      <c r="S246" s="949"/>
      <c r="T246" s="949"/>
      <c r="U246" s="949"/>
      <c r="V246" s="949"/>
      <c r="W246" s="949"/>
      <c r="X246" s="951"/>
      <c r="Y246" s="951"/>
      <c r="Z246" s="952"/>
      <c r="AA246" s="953"/>
      <c r="AB246" s="948"/>
      <c r="AC246" s="948"/>
      <c r="AD246" s="949"/>
      <c r="AE246" s="949"/>
      <c r="AF246" s="949"/>
      <c r="AG246" s="949"/>
      <c r="AH246" s="949"/>
      <c r="AI246" s="949"/>
      <c r="AJ246" s="949"/>
      <c r="AK246" s="949"/>
      <c r="AL246" s="949"/>
      <c r="AM246" s="949"/>
      <c r="AN246" s="949"/>
      <c r="AO246" s="949"/>
      <c r="AP246" s="949"/>
      <c r="AQ246" s="949"/>
      <c r="AR246" s="949"/>
      <c r="AS246" s="949"/>
      <c r="AT246" s="949"/>
      <c r="AU246" s="949"/>
      <c r="AV246" s="949"/>
      <c r="AW246" s="949"/>
      <c r="AX246" s="949"/>
      <c r="AY246" s="949"/>
      <c r="AZ246" s="949"/>
      <c r="BA246" s="949"/>
      <c r="BB246" s="949"/>
      <c r="BC246" s="949"/>
      <c r="BD246" s="949"/>
      <c r="BE246" s="949"/>
      <c r="BF246" s="949"/>
      <c r="BG246" s="948"/>
      <c r="BH246" s="948"/>
      <c r="BI246" s="948"/>
      <c r="BJ246" s="948"/>
      <c r="BK246" s="948"/>
      <c r="BL246" s="948"/>
      <c r="BM246" s="948"/>
      <c r="BN246" s="948"/>
      <c r="BO246" s="948"/>
      <c r="BP246" s="948"/>
      <c r="BQ246" s="948"/>
      <c r="BR246" s="948"/>
      <c r="BS246" s="948"/>
      <c r="BT246" s="948"/>
      <c r="BU246" s="954"/>
    </row>
    <row r="247" spans="1:73" x14ac:dyDescent="0.2">
      <c r="A247" s="1224"/>
      <c r="B247" s="1224"/>
      <c r="C247" s="947"/>
      <c r="D247" s="948"/>
      <c r="E247" s="948"/>
      <c r="F247" s="948"/>
      <c r="G247" s="948"/>
      <c r="H247" s="948"/>
      <c r="I247" s="948"/>
      <c r="J247" s="948"/>
      <c r="K247" s="949"/>
      <c r="L247" s="949"/>
      <c r="M247" s="949"/>
      <c r="N247" s="950"/>
      <c r="O247" s="948"/>
      <c r="P247" s="948"/>
      <c r="Q247" s="948"/>
      <c r="R247" s="949"/>
      <c r="S247" s="949"/>
      <c r="T247" s="949"/>
      <c r="U247" s="949"/>
      <c r="V247" s="949"/>
      <c r="W247" s="949"/>
      <c r="X247" s="951"/>
      <c r="Y247" s="951"/>
      <c r="Z247" s="952"/>
      <c r="AA247" s="953"/>
      <c r="AB247" s="948"/>
      <c r="AC247" s="948"/>
      <c r="AD247" s="949"/>
      <c r="AE247" s="949"/>
      <c r="AF247" s="949"/>
      <c r="AG247" s="949"/>
      <c r="AH247" s="949"/>
      <c r="AI247" s="949"/>
      <c r="AJ247" s="949"/>
      <c r="AK247" s="949"/>
      <c r="AL247" s="949"/>
      <c r="AM247" s="949"/>
      <c r="AN247" s="949"/>
      <c r="AO247" s="949"/>
      <c r="AP247" s="949"/>
      <c r="AQ247" s="949"/>
      <c r="AR247" s="949"/>
      <c r="AS247" s="949"/>
      <c r="AT247" s="949"/>
      <c r="AU247" s="949"/>
      <c r="AV247" s="949"/>
      <c r="AW247" s="949"/>
      <c r="AX247" s="949"/>
      <c r="AY247" s="949"/>
      <c r="AZ247" s="949"/>
      <c r="BA247" s="949"/>
      <c r="BB247" s="949"/>
      <c r="BC247" s="949"/>
      <c r="BD247" s="949"/>
      <c r="BE247" s="949"/>
      <c r="BF247" s="949"/>
      <c r="BG247" s="948"/>
      <c r="BH247" s="948"/>
      <c r="BI247" s="948"/>
      <c r="BJ247" s="948"/>
      <c r="BK247" s="948"/>
      <c r="BL247" s="948"/>
      <c r="BM247" s="948"/>
      <c r="BN247" s="948"/>
      <c r="BO247" s="948"/>
      <c r="BP247" s="948"/>
      <c r="BQ247" s="948"/>
      <c r="BR247" s="948"/>
      <c r="BS247" s="948"/>
      <c r="BT247" s="948"/>
      <c r="BU247" s="954"/>
    </row>
    <row r="248" spans="1:73" x14ac:dyDescent="0.2">
      <c r="A248" s="1224"/>
      <c r="B248" s="1224"/>
      <c r="C248" s="947"/>
      <c r="D248" s="948"/>
      <c r="E248" s="948"/>
      <c r="F248" s="948"/>
      <c r="G248" s="948"/>
      <c r="H248" s="948"/>
      <c r="I248" s="948"/>
      <c r="J248" s="948"/>
      <c r="K248" s="949"/>
      <c r="L248" s="949"/>
      <c r="M248" s="949"/>
      <c r="N248" s="950"/>
      <c r="O248" s="948"/>
      <c r="P248" s="948"/>
      <c r="Q248" s="948"/>
      <c r="R248" s="949"/>
      <c r="S248" s="949"/>
      <c r="T248" s="949"/>
      <c r="U248" s="949"/>
      <c r="V248" s="949"/>
      <c r="W248" s="949"/>
      <c r="X248" s="951"/>
      <c r="Y248" s="951"/>
      <c r="Z248" s="952"/>
      <c r="AA248" s="953"/>
      <c r="AB248" s="948"/>
      <c r="AC248" s="948"/>
      <c r="AD248" s="949"/>
      <c r="AE248" s="949"/>
      <c r="AF248" s="949"/>
      <c r="AG248" s="949"/>
      <c r="AH248" s="949"/>
      <c r="AI248" s="949"/>
      <c r="AJ248" s="949"/>
      <c r="AK248" s="949"/>
      <c r="AL248" s="949"/>
      <c r="AM248" s="949"/>
      <c r="AN248" s="949"/>
      <c r="AO248" s="949"/>
      <c r="AP248" s="949"/>
      <c r="AQ248" s="949"/>
      <c r="AR248" s="949"/>
      <c r="AS248" s="949"/>
      <c r="AT248" s="949"/>
      <c r="AU248" s="949"/>
      <c r="AV248" s="949"/>
      <c r="AW248" s="949"/>
      <c r="AX248" s="949"/>
      <c r="AY248" s="949"/>
      <c r="AZ248" s="949"/>
      <c r="BA248" s="949"/>
      <c r="BB248" s="949"/>
      <c r="BC248" s="949"/>
      <c r="BD248" s="949"/>
      <c r="BE248" s="949"/>
      <c r="BF248" s="949"/>
      <c r="BG248" s="948"/>
      <c r="BH248" s="948"/>
      <c r="BI248" s="948"/>
      <c r="BJ248" s="948"/>
      <c r="BK248" s="948"/>
      <c r="BL248" s="948"/>
      <c r="BM248" s="948"/>
      <c r="BN248" s="948"/>
      <c r="BO248" s="948"/>
      <c r="BP248" s="948"/>
      <c r="BQ248" s="948"/>
      <c r="BR248" s="948"/>
      <c r="BS248" s="948"/>
      <c r="BT248" s="948"/>
      <c r="BU248" s="954"/>
    </row>
    <row r="249" spans="1:73" x14ac:dyDescent="0.2">
      <c r="A249" s="1224"/>
      <c r="B249" s="1224"/>
      <c r="C249" s="947"/>
      <c r="D249" s="948"/>
      <c r="E249" s="948"/>
      <c r="F249" s="948"/>
      <c r="G249" s="948"/>
      <c r="H249" s="948"/>
      <c r="I249" s="948"/>
      <c r="J249" s="948"/>
      <c r="K249" s="949"/>
      <c r="L249" s="949"/>
      <c r="M249" s="949"/>
      <c r="N249" s="950"/>
      <c r="O249" s="948"/>
      <c r="P249" s="948"/>
      <c r="Q249" s="948"/>
      <c r="R249" s="949"/>
      <c r="S249" s="949"/>
      <c r="T249" s="949"/>
      <c r="U249" s="949"/>
      <c r="V249" s="949"/>
      <c r="W249" s="949"/>
      <c r="X249" s="951"/>
      <c r="Y249" s="951"/>
      <c r="Z249" s="952"/>
      <c r="AA249" s="953"/>
      <c r="AB249" s="948"/>
      <c r="AC249" s="948"/>
      <c r="AD249" s="949"/>
      <c r="AE249" s="949"/>
      <c r="AF249" s="949"/>
      <c r="AG249" s="949"/>
      <c r="AH249" s="949"/>
      <c r="AI249" s="949"/>
      <c r="AJ249" s="949"/>
      <c r="AK249" s="949"/>
      <c r="AL249" s="949"/>
      <c r="AM249" s="949"/>
      <c r="AN249" s="949"/>
      <c r="AO249" s="949"/>
      <c r="AP249" s="949"/>
      <c r="AQ249" s="949"/>
      <c r="AR249" s="949"/>
      <c r="AS249" s="949"/>
      <c r="AT249" s="949"/>
      <c r="AU249" s="949"/>
      <c r="AV249" s="949"/>
      <c r="AW249" s="949"/>
      <c r="AX249" s="949"/>
      <c r="AY249" s="949"/>
      <c r="AZ249" s="949"/>
      <c r="BA249" s="949"/>
      <c r="BB249" s="949"/>
      <c r="BC249" s="949"/>
      <c r="BD249" s="949"/>
      <c r="BE249" s="949"/>
      <c r="BF249" s="949"/>
      <c r="BG249" s="948"/>
      <c r="BH249" s="948"/>
      <c r="BI249" s="948"/>
      <c r="BJ249" s="948"/>
      <c r="BK249" s="948"/>
      <c r="BL249" s="948"/>
      <c r="BM249" s="948"/>
      <c r="BN249" s="948"/>
      <c r="BO249" s="948"/>
      <c r="BP249" s="948"/>
      <c r="BQ249" s="948"/>
      <c r="BR249" s="948"/>
      <c r="BS249" s="948"/>
      <c r="BT249" s="948"/>
      <c r="BU249" s="954"/>
    </row>
    <row r="250" spans="1:73" x14ac:dyDescent="0.2">
      <c r="A250" s="1224"/>
      <c r="B250" s="1224"/>
      <c r="C250" s="947"/>
      <c r="D250" s="948"/>
      <c r="E250" s="948"/>
      <c r="F250" s="948"/>
      <c r="G250" s="948"/>
      <c r="H250" s="948"/>
      <c r="I250" s="948"/>
      <c r="J250" s="948"/>
      <c r="K250" s="949"/>
      <c r="L250" s="949"/>
      <c r="M250" s="949"/>
      <c r="N250" s="950"/>
      <c r="O250" s="948"/>
      <c r="P250" s="948"/>
      <c r="Q250" s="948"/>
      <c r="R250" s="949"/>
      <c r="S250" s="949"/>
      <c r="T250" s="949"/>
      <c r="U250" s="949"/>
      <c r="V250" s="949"/>
      <c r="W250" s="949"/>
      <c r="X250" s="951"/>
      <c r="Y250" s="951"/>
      <c r="Z250" s="952"/>
      <c r="AA250" s="953"/>
      <c r="AB250" s="948"/>
      <c r="AC250" s="948"/>
      <c r="AD250" s="949"/>
      <c r="AE250" s="949"/>
      <c r="AF250" s="949"/>
      <c r="AG250" s="949"/>
      <c r="AH250" s="949"/>
      <c r="AI250" s="949"/>
      <c r="AJ250" s="949"/>
      <c r="AK250" s="949"/>
      <c r="AL250" s="949"/>
      <c r="AM250" s="949"/>
      <c r="AN250" s="949"/>
      <c r="AO250" s="949"/>
      <c r="AP250" s="949"/>
      <c r="AQ250" s="949"/>
      <c r="AR250" s="949"/>
      <c r="AS250" s="949"/>
      <c r="AT250" s="949"/>
      <c r="AU250" s="949"/>
      <c r="AV250" s="949"/>
      <c r="AW250" s="949"/>
      <c r="AX250" s="949"/>
      <c r="AY250" s="949"/>
      <c r="AZ250" s="949"/>
      <c r="BA250" s="949"/>
      <c r="BB250" s="949"/>
      <c r="BC250" s="949"/>
      <c r="BD250" s="949"/>
      <c r="BE250" s="949"/>
      <c r="BF250" s="949"/>
      <c r="BG250" s="948"/>
      <c r="BH250" s="948"/>
      <c r="BI250" s="948"/>
      <c r="BJ250" s="948"/>
      <c r="BK250" s="948"/>
      <c r="BL250" s="948"/>
      <c r="BM250" s="948"/>
      <c r="BN250" s="948"/>
      <c r="BO250" s="948"/>
      <c r="BP250" s="948"/>
      <c r="BQ250" s="948"/>
      <c r="BR250" s="948"/>
      <c r="BS250" s="948"/>
      <c r="BT250" s="948"/>
      <c r="BU250" s="954"/>
    </row>
    <row r="251" spans="1:73" x14ac:dyDescent="0.2">
      <c r="A251" s="1224"/>
      <c r="B251" s="1224"/>
      <c r="C251" s="947"/>
      <c r="D251" s="948"/>
      <c r="E251" s="948"/>
      <c r="F251" s="948"/>
      <c r="G251" s="948"/>
      <c r="H251" s="948"/>
      <c r="I251" s="948"/>
      <c r="J251" s="948"/>
      <c r="K251" s="949"/>
      <c r="L251" s="949"/>
      <c r="M251" s="949"/>
      <c r="N251" s="950"/>
      <c r="O251" s="948"/>
      <c r="P251" s="948"/>
      <c r="Q251" s="948"/>
      <c r="R251" s="949"/>
      <c r="S251" s="949"/>
      <c r="T251" s="949"/>
      <c r="U251" s="949"/>
      <c r="V251" s="949"/>
      <c r="W251" s="949"/>
      <c r="X251" s="951"/>
      <c r="Y251" s="951"/>
      <c r="Z251" s="952"/>
      <c r="AA251" s="953"/>
      <c r="AB251" s="948"/>
      <c r="AC251" s="948"/>
      <c r="AD251" s="949"/>
      <c r="AE251" s="949"/>
      <c r="AF251" s="949"/>
      <c r="AG251" s="949"/>
      <c r="AH251" s="949"/>
      <c r="AI251" s="949"/>
      <c r="AJ251" s="949"/>
      <c r="AK251" s="949"/>
      <c r="AL251" s="949"/>
      <c r="AM251" s="949"/>
      <c r="AN251" s="949"/>
      <c r="AO251" s="949"/>
      <c r="AP251" s="949"/>
      <c r="AQ251" s="949"/>
      <c r="AR251" s="949"/>
      <c r="AS251" s="949"/>
      <c r="AT251" s="949"/>
      <c r="AU251" s="949"/>
      <c r="AV251" s="949"/>
      <c r="AW251" s="949"/>
      <c r="AX251" s="949"/>
      <c r="AY251" s="949"/>
      <c r="AZ251" s="949"/>
      <c r="BA251" s="949"/>
      <c r="BB251" s="949"/>
      <c r="BC251" s="949"/>
      <c r="BD251" s="949"/>
      <c r="BE251" s="949"/>
      <c r="BF251" s="949"/>
      <c r="BG251" s="948"/>
      <c r="BH251" s="948"/>
      <c r="BI251" s="948"/>
      <c r="BJ251" s="948"/>
      <c r="BK251" s="948"/>
      <c r="BL251" s="948"/>
      <c r="BM251" s="948"/>
      <c r="BN251" s="948"/>
      <c r="BO251" s="948"/>
      <c r="BP251" s="948"/>
      <c r="BQ251" s="948"/>
      <c r="BR251" s="948"/>
      <c r="BS251" s="948"/>
      <c r="BT251" s="948"/>
      <c r="BU251" s="954"/>
    </row>
    <row r="252" spans="1:73" x14ac:dyDescent="0.2">
      <c r="A252" s="1224"/>
      <c r="B252" s="1224"/>
      <c r="C252" s="947"/>
      <c r="D252" s="948"/>
      <c r="E252" s="948"/>
      <c r="F252" s="948"/>
      <c r="G252" s="948"/>
      <c r="H252" s="948"/>
      <c r="I252" s="948"/>
      <c r="J252" s="948"/>
      <c r="K252" s="949"/>
      <c r="L252" s="949"/>
      <c r="M252" s="949"/>
      <c r="N252" s="950"/>
      <c r="O252" s="948"/>
      <c r="P252" s="948"/>
      <c r="Q252" s="948"/>
      <c r="R252" s="949"/>
      <c r="S252" s="949"/>
      <c r="T252" s="949"/>
      <c r="U252" s="949"/>
      <c r="V252" s="949"/>
      <c r="W252" s="949"/>
      <c r="X252" s="951"/>
      <c r="Y252" s="951"/>
      <c r="Z252" s="952"/>
      <c r="AA252" s="953"/>
      <c r="AB252" s="948"/>
      <c r="AC252" s="948"/>
      <c r="AD252" s="949"/>
      <c r="AE252" s="949"/>
      <c r="AF252" s="949"/>
      <c r="AG252" s="949"/>
      <c r="AH252" s="949"/>
      <c r="AI252" s="949"/>
      <c r="AJ252" s="949"/>
      <c r="AK252" s="949"/>
      <c r="AL252" s="949"/>
      <c r="AM252" s="949"/>
      <c r="AN252" s="949"/>
      <c r="AO252" s="949"/>
      <c r="AP252" s="949"/>
      <c r="AQ252" s="949"/>
      <c r="AR252" s="949"/>
      <c r="AS252" s="949"/>
      <c r="AT252" s="949"/>
      <c r="AU252" s="949"/>
      <c r="AV252" s="949"/>
      <c r="AW252" s="949"/>
      <c r="AX252" s="949"/>
      <c r="AY252" s="949"/>
      <c r="AZ252" s="949"/>
      <c r="BA252" s="949"/>
      <c r="BB252" s="949"/>
      <c r="BC252" s="949"/>
      <c r="BD252" s="949"/>
      <c r="BE252" s="949"/>
      <c r="BF252" s="949"/>
      <c r="BG252" s="948"/>
      <c r="BH252" s="948"/>
      <c r="BI252" s="948"/>
      <c r="BJ252" s="948"/>
      <c r="BK252" s="948"/>
      <c r="BL252" s="948"/>
      <c r="BM252" s="948"/>
      <c r="BN252" s="948"/>
      <c r="BO252" s="948"/>
      <c r="BP252" s="948"/>
      <c r="BQ252" s="948"/>
      <c r="BR252" s="948"/>
      <c r="BS252" s="948"/>
      <c r="BT252" s="948"/>
      <c r="BU252" s="954"/>
    </row>
    <row r="253" spans="1:73" x14ac:dyDescent="0.2">
      <c r="A253" s="1224"/>
      <c r="B253" s="1224"/>
      <c r="C253" s="947"/>
      <c r="D253" s="948"/>
      <c r="E253" s="948"/>
      <c r="F253" s="948"/>
      <c r="G253" s="948"/>
      <c r="H253" s="948"/>
      <c r="I253" s="948"/>
      <c r="J253" s="948"/>
      <c r="K253" s="949"/>
      <c r="L253" s="949"/>
      <c r="M253" s="949"/>
      <c r="N253" s="950"/>
      <c r="O253" s="948"/>
      <c r="P253" s="948"/>
      <c r="Q253" s="948"/>
      <c r="R253" s="949"/>
      <c r="S253" s="949"/>
      <c r="T253" s="949"/>
      <c r="U253" s="949"/>
      <c r="V253" s="949"/>
      <c r="W253" s="949"/>
      <c r="X253" s="951"/>
      <c r="Y253" s="951"/>
      <c r="Z253" s="952"/>
      <c r="AA253" s="953"/>
      <c r="AB253" s="948"/>
      <c r="AC253" s="948"/>
      <c r="AD253" s="949"/>
      <c r="AE253" s="949"/>
      <c r="AF253" s="949"/>
      <c r="AG253" s="949"/>
      <c r="AH253" s="949"/>
      <c r="AI253" s="949"/>
      <c r="AJ253" s="949"/>
      <c r="AK253" s="949"/>
      <c r="AL253" s="949"/>
      <c r="AM253" s="949"/>
      <c r="AN253" s="949"/>
      <c r="AO253" s="949"/>
      <c r="AP253" s="949"/>
      <c r="AQ253" s="949"/>
      <c r="AR253" s="949"/>
      <c r="AS253" s="949"/>
      <c r="AT253" s="949"/>
      <c r="AU253" s="949"/>
      <c r="AV253" s="949"/>
      <c r="AW253" s="949"/>
      <c r="AX253" s="949"/>
      <c r="AY253" s="949"/>
      <c r="AZ253" s="949"/>
      <c r="BA253" s="949"/>
      <c r="BB253" s="949"/>
      <c r="BC253" s="949"/>
      <c r="BD253" s="949"/>
      <c r="BE253" s="949"/>
      <c r="BF253" s="949"/>
      <c r="BG253" s="948"/>
      <c r="BH253" s="948"/>
      <c r="BI253" s="948"/>
      <c r="BJ253" s="948"/>
      <c r="BK253" s="948"/>
      <c r="BL253" s="948"/>
      <c r="BM253" s="948"/>
      <c r="BN253" s="948"/>
      <c r="BO253" s="948"/>
      <c r="BP253" s="948"/>
      <c r="BQ253" s="948"/>
      <c r="BR253" s="948"/>
      <c r="BS253" s="948"/>
      <c r="BT253" s="948"/>
      <c r="BU253" s="954"/>
    </row>
    <row r="254" spans="1:73" x14ac:dyDescent="0.2">
      <c r="A254" s="1224"/>
      <c r="B254" s="1224"/>
      <c r="C254" s="947"/>
      <c r="D254" s="948"/>
      <c r="E254" s="948"/>
      <c r="F254" s="948"/>
      <c r="G254" s="948"/>
      <c r="H254" s="948"/>
      <c r="I254" s="948"/>
      <c r="J254" s="948"/>
      <c r="K254" s="949"/>
      <c r="L254" s="949"/>
      <c r="M254" s="949"/>
      <c r="N254" s="950"/>
      <c r="O254" s="948"/>
      <c r="P254" s="948"/>
      <c r="Q254" s="948"/>
      <c r="R254" s="949"/>
      <c r="S254" s="949"/>
      <c r="T254" s="949"/>
      <c r="U254" s="949"/>
      <c r="V254" s="949"/>
      <c r="W254" s="949"/>
      <c r="X254" s="951"/>
      <c r="Y254" s="951"/>
      <c r="Z254" s="952"/>
      <c r="AA254" s="953"/>
      <c r="AB254" s="948"/>
      <c r="AC254" s="948"/>
      <c r="AD254" s="949"/>
      <c r="AE254" s="949"/>
      <c r="AF254" s="949"/>
      <c r="AG254" s="949"/>
      <c r="AH254" s="949"/>
      <c r="AI254" s="949"/>
      <c r="AJ254" s="949"/>
      <c r="AK254" s="949"/>
      <c r="AL254" s="949"/>
      <c r="AM254" s="949"/>
      <c r="AN254" s="949"/>
      <c r="AO254" s="949"/>
      <c r="AP254" s="949"/>
      <c r="AQ254" s="949"/>
      <c r="AR254" s="949"/>
      <c r="AS254" s="949"/>
      <c r="AT254" s="949"/>
      <c r="AU254" s="949"/>
      <c r="AV254" s="949"/>
      <c r="AW254" s="949"/>
      <c r="AX254" s="949"/>
      <c r="AY254" s="949"/>
      <c r="AZ254" s="949"/>
      <c r="BA254" s="949"/>
      <c r="BB254" s="949"/>
      <c r="BC254" s="949"/>
      <c r="BD254" s="949"/>
      <c r="BE254" s="949"/>
      <c r="BF254" s="949"/>
      <c r="BG254" s="948"/>
      <c r="BH254" s="948"/>
      <c r="BI254" s="948"/>
      <c r="BJ254" s="948"/>
      <c r="BK254" s="948"/>
      <c r="BL254" s="948"/>
      <c r="BM254" s="948"/>
      <c r="BN254" s="948"/>
      <c r="BO254" s="948"/>
      <c r="BP254" s="948"/>
      <c r="BQ254" s="948"/>
      <c r="BR254" s="948"/>
      <c r="BS254" s="948"/>
      <c r="BT254" s="948"/>
      <c r="BU254" s="954"/>
    </row>
    <row r="255" spans="1:73" x14ac:dyDescent="0.2">
      <c r="A255" s="1224"/>
      <c r="B255" s="1224"/>
      <c r="C255" s="947"/>
      <c r="D255" s="948"/>
      <c r="E255" s="948"/>
      <c r="F255" s="948"/>
      <c r="G255" s="948"/>
      <c r="H255" s="948"/>
      <c r="I255" s="948"/>
      <c r="J255" s="948"/>
      <c r="K255" s="949"/>
      <c r="L255" s="949"/>
      <c r="M255" s="949"/>
      <c r="N255" s="950"/>
      <c r="O255" s="948"/>
      <c r="P255" s="948"/>
      <c r="Q255" s="948"/>
      <c r="R255" s="949"/>
      <c r="S255" s="949"/>
      <c r="T255" s="949"/>
      <c r="U255" s="949"/>
      <c r="V255" s="949"/>
      <c r="W255" s="949"/>
      <c r="X255" s="951"/>
      <c r="Y255" s="951"/>
      <c r="Z255" s="952"/>
      <c r="AA255" s="953"/>
      <c r="AB255" s="948"/>
      <c r="AC255" s="948"/>
      <c r="AD255" s="949"/>
      <c r="AE255" s="949"/>
      <c r="AF255" s="949"/>
      <c r="AG255" s="949"/>
      <c r="AH255" s="949"/>
      <c r="AI255" s="949"/>
      <c r="AJ255" s="949"/>
      <c r="AK255" s="949"/>
      <c r="AL255" s="949"/>
      <c r="AM255" s="949"/>
      <c r="AN255" s="949"/>
      <c r="AO255" s="949"/>
      <c r="AP255" s="949"/>
      <c r="AQ255" s="949"/>
      <c r="AR255" s="949"/>
      <c r="AS255" s="949"/>
      <c r="AT255" s="949"/>
      <c r="AU255" s="949"/>
      <c r="AV255" s="949"/>
      <c r="AW255" s="949"/>
      <c r="AX255" s="949"/>
      <c r="AY255" s="949"/>
      <c r="AZ255" s="949"/>
      <c r="BA255" s="949"/>
      <c r="BB255" s="949"/>
      <c r="BC255" s="949"/>
      <c r="BD255" s="949"/>
      <c r="BE255" s="949"/>
      <c r="BF255" s="949"/>
      <c r="BG255" s="948"/>
      <c r="BH255" s="948"/>
      <c r="BI255" s="948"/>
      <c r="BJ255" s="948"/>
      <c r="BK255" s="948"/>
      <c r="BL255" s="948"/>
      <c r="BM255" s="948"/>
      <c r="BN255" s="948"/>
      <c r="BO255" s="948"/>
      <c r="BP255" s="948"/>
      <c r="BQ255" s="948"/>
      <c r="BR255" s="948"/>
      <c r="BS255" s="948"/>
      <c r="BT255" s="948"/>
      <c r="BU255" s="954"/>
    </row>
    <row r="256" spans="1:73" x14ac:dyDescent="0.2">
      <c r="A256" s="1224"/>
      <c r="B256" s="1224"/>
      <c r="C256" s="947"/>
      <c r="D256" s="948"/>
      <c r="E256" s="948"/>
      <c r="F256" s="948"/>
      <c r="G256" s="948"/>
      <c r="H256" s="948"/>
      <c r="I256" s="948"/>
      <c r="J256" s="948"/>
      <c r="K256" s="949"/>
      <c r="L256" s="949"/>
      <c r="M256" s="949"/>
      <c r="N256" s="950"/>
      <c r="O256" s="948"/>
      <c r="P256" s="948"/>
      <c r="Q256" s="948"/>
      <c r="R256" s="949"/>
      <c r="S256" s="949"/>
      <c r="T256" s="949"/>
      <c r="U256" s="949"/>
      <c r="V256" s="949"/>
      <c r="W256" s="949"/>
      <c r="X256" s="951"/>
      <c r="Y256" s="951"/>
      <c r="Z256" s="952"/>
      <c r="AA256" s="953"/>
      <c r="AB256" s="948"/>
      <c r="AC256" s="948"/>
      <c r="AD256" s="949"/>
      <c r="AE256" s="949"/>
      <c r="AF256" s="949"/>
      <c r="AG256" s="949"/>
      <c r="AH256" s="949"/>
      <c r="AI256" s="949"/>
      <c r="AJ256" s="949"/>
      <c r="AK256" s="949"/>
      <c r="AL256" s="949"/>
      <c r="AM256" s="949"/>
      <c r="AN256" s="949"/>
      <c r="AO256" s="949"/>
      <c r="AP256" s="949"/>
      <c r="AQ256" s="949"/>
      <c r="AR256" s="949"/>
      <c r="AS256" s="949"/>
      <c r="AT256" s="949"/>
      <c r="AU256" s="949"/>
      <c r="AV256" s="949"/>
      <c r="AW256" s="949"/>
      <c r="AX256" s="949"/>
      <c r="AY256" s="949"/>
      <c r="AZ256" s="949"/>
      <c r="BA256" s="949"/>
      <c r="BB256" s="949"/>
      <c r="BC256" s="949"/>
      <c r="BD256" s="949"/>
      <c r="BE256" s="949"/>
      <c r="BF256" s="949"/>
      <c r="BG256" s="948"/>
      <c r="BH256" s="948"/>
      <c r="BI256" s="948"/>
      <c r="BJ256" s="948"/>
      <c r="BK256" s="948"/>
      <c r="BL256" s="948"/>
      <c r="BM256" s="948"/>
      <c r="BN256" s="948"/>
      <c r="BO256" s="948"/>
      <c r="BP256" s="948"/>
      <c r="BQ256" s="948"/>
      <c r="BR256" s="948"/>
      <c r="BS256" s="948"/>
      <c r="BT256" s="948"/>
      <c r="BU256" s="954"/>
    </row>
    <row r="257" spans="1:73" x14ac:dyDescent="0.2">
      <c r="A257" s="1224"/>
      <c r="B257" s="1224"/>
      <c r="C257" s="947"/>
      <c r="D257" s="948"/>
      <c r="E257" s="948"/>
      <c r="F257" s="948"/>
      <c r="G257" s="948"/>
      <c r="H257" s="948"/>
      <c r="I257" s="948"/>
      <c r="J257" s="948"/>
      <c r="K257" s="949"/>
      <c r="L257" s="949"/>
      <c r="M257" s="949"/>
      <c r="N257" s="950"/>
      <c r="O257" s="948"/>
      <c r="P257" s="948"/>
      <c r="Q257" s="948"/>
      <c r="R257" s="949"/>
      <c r="S257" s="949"/>
      <c r="T257" s="949"/>
      <c r="U257" s="949"/>
      <c r="V257" s="949"/>
      <c r="W257" s="949"/>
      <c r="X257" s="951"/>
      <c r="Y257" s="951"/>
      <c r="Z257" s="952"/>
      <c r="AA257" s="953"/>
      <c r="AB257" s="948"/>
      <c r="AC257" s="948"/>
      <c r="AD257" s="949"/>
      <c r="AE257" s="949"/>
      <c r="AF257" s="949"/>
      <c r="AG257" s="949"/>
      <c r="AH257" s="949"/>
      <c r="AI257" s="949"/>
      <c r="AJ257" s="949"/>
      <c r="AK257" s="949"/>
      <c r="AL257" s="949"/>
      <c r="AM257" s="949"/>
      <c r="AN257" s="949"/>
      <c r="AO257" s="949"/>
      <c r="AP257" s="949"/>
      <c r="AQ257" s="949"/>
      <c r="AR257" s="949"/>
      <c r="AS257" s="949"/>
      <c r="AT257" s="949"/>
      <c r="AU257" s="949"/>
      <c r="AV257" s="949"/>
      <c r="AW257" s="949"/>
      <c r="AX257" s="949"/>
      <c r="AY257" s="949"/>
      <c r="AZ257" s="949"/>
      <c r="BA257" s="949"/>
      <c r="BB257" s="949"/>
      <c r="BC257" s="949"/>
      <c r="BD257" s="949"/>
      <c r="BE257" s="949"/>
      <c r="BF257" s="949"/>
      <c r="BG257" s="948"/>
      <c r="BH257" s="948"/>
      <c r="BI257" s="948"/>
      <c r="BJ257" s="948"/>
      <c r="BK257" s="948"/>
      <c r="BL257" s="948"/>
      <c r="BM257" s="948"/>
      <c r="BN257" s="948"/>
      <c r="BO257" s="948"/>
      <c r="BP257" s="948"/>
      <c r="BQ257" s="948"/>
      <c r="BR257" s="948"/>
      <c r="BS257" s="948"/>
      <c r="BT257" s="948"/>
      <c r="BU257" s="954"/>
    </row>
    <row r="258" spans="1:73" x14ac:dyDescent="0.2">
      <c r="A258" s="1224"/>
      <c r="B258" s="1224"/>
      <c r="C258" s="947"/>
      <c r="D258" s="948"/>
      <c r="E258" s="948"/>
      <c r="F258" s="948"/>
      <c r="G258" s="948"/>
      <c r="H258" s="948"/>
      <c r="I258" s="948"/>
      <c r="J258" s="948"/>
      <c r="K258" s="949"/>
      <c r="L258" s="949"/>
      <c r="M258" s="949"/>
      <c r="N258" s="950"/>
      <c r="O258" s="948"/>
      <c r="P258" s="948"/>
      <c r="Q258" s="948"/>
      <c r="R258" s="949"/>
      <c r="S258" s="949"/>
      <c r="T258" s="949"/>
      <c r="U258" s="949"/>
      <c r="V258" s="949"/>
      <c r="W258" s="949"/>
      <c r="X258" s="951"/>
      <c r="Y258" s="951"/>
      <c r="Z258" s="952"/>
      <c r="AA258" s="953"/>
      <c r="AB258" s="948"/>
      <c r="AC258" s="948"/>
      <c r="AD258" s="949"/>
      <c r="AE258" s="949"/>
      <c r="AF258" s="949"/>
      <c r="AG258" s="949"/>
      <c r="AH258" s="949"/>
      <c r="AI258" s="949"/>
      <c r="AJ258" s="949"/>
      <c r="AK258" s="949"/>
      <c r="AL258" s="949"/>
      <c r="AM258" s="949"/>
      <c r="AN258" s="949"/>
      <c r="AO258" s="949"/>
      <c r="AP258" s="949"/>
      <c r="AQ258" s="949"/>
      <c r="AR258" s="949"/>
      <c r="AS258" s="949"/>
      <c r="AT258" s="949"/>
      <c r="AU258" s="949"/>
      <c r="AV258" s="949"/>
      <c r="AW258" s="949"/>
      <c r="AX258" s="949"/>
      <c r="AY258" s="949"/>
      <c r="AZ258" s="949"/>
      <c r="BA258" s="949"/>
      <c r="BB258" s="949"/>
      <c r="BC258" s="949"/>
      <c r="BD258" s="949"/>
      <c r="BE258" s="949"/>
      <c r="BF258" s="949"/>
      <c r="BG258" s="948"/>
      <c r="BH258" s="948"/>
      <c r="BI258" s="948"/>
      <c r="BJ258" s="948"/>
      <c r="BK258" s="948"/>
      <c r="BL258" s="948"/>
      <c r="BM258" s="948"/>
      <c r="BN258" s="948"/>
      <c r="BO258" s="948"/>
      <c r="BP258" s="948"/>
      <c r="BQ258" s="948"/>
      <c r="BR258" s="948"/>
      <c r="BS258" s="948"/>
      <c r="BT258" s="948"/>
      <c r="BU258" s="954"/>
    </row>
    <row r="259" spans="1:73" x14ac:dyDescent="0.2">
      <c r="A259" s="1224"/>
      <c r="B259" s="1224"/>
      <c r="C259" s="947"/>
      <c r="D259" s="948"/>
      <c r="E259" s="948"/>
      <c r="F259" s="948"/>
      <c r="G259" s="948"/>
      <c r="H259" s="948"/>
      <c r="I259" s="948"/>
      <c r="J259" s="948"/>
      <c r="K259" s="949"/>
      <c r="L259" s="949"/>
      <c r="M259" s="949"/>
      <c r="N259" s="950"/>
      <c r="O259" s="948"/>
      <c r="P259" s="948"/>
      <c r="Q259" s="948"/>
      <c r="R259" s="949"/>
      <c r="S259" s="949"/>
      <c r="T259" s="949"/>
      <c r="U259" s="949"/>
      <c r="V259" s="949"/>
      <c r="W259" s="949"/>
      <c r="X259" s="951"/>
      <c r="Y259" s="951"/>
      <c r="Z259" s="952"/>
      <c r="AA259" s="953"/>
      <c r="AB259" s="948"/>
      <c r="AC259" s="948"/>
      <c r="AD259" s="949"/>
      <c r="AE259" s="949"/>
      <c r="AF259" s="949"/>
      <c r="AG259" s="949"/>
      <c r="AH259" s="949"/>
      <c r="AI259" s="949"/>
      <c r="AJ259" s="949"/>
      <c r="AK259" s="949"/>
      <c r="AL259" s="949"/>
      <c r="AM259" s="949"/>
      <c r="AN259" s="949"/>
      <c r="AO259" s="949"/>
      <c r="AP259" s="949"/>
      <c r="AQ259" s="949"/>
      <c r="AR259" s="949"/>
      <c r="AS259" s="949"/>
      <c r="AT259" s="949"/>
      <c r="AU259" s="949"/>
      <c r="AV259" s="949"/>
      <c r="AW259" s="949"/>
      <c r="AX259" s="949"/>
      <c r="AY259" s="949"/>
      <c r="AZ259" s="949"/>
      <c r="BA259" s="949"/>
      <c r="BB259" s="949"/>
      <c r="BC259" s="949"/>
      <c r="BD259" s="949"/>
      <c r="BE259" s="949"/>
      <c r="BF259" s="949"/>
      <c r="BG259" s="948"/>
      <c r="BH259" s="948"/>
      <c r="BI259" s="948"/>
      <c r="BJ259" s="948"/>
      <c r="BK259" s="948"/>
      <c r="BL259" s="948"/>
      <c r="BM259" s="948"/>
      <c r="BN259" s="948"/>
      <c r="BO259" s="948"/>
      <c r="BP259" s="948"/>
      <c r="BQ259" s="948"/>
      <c r="BR259" s="948"/>
      <c r="BS259" s="948"/>
      <c r="BT259" s="948"/>
      <c r="BU259" s="954"/>
    </row>
    <row r="260" spans="1:73" x14ac:dyDescent="0.2">
      <c r="A260" s="1224"/>
      <c r="B260" s="1224"/>
      <c r="C260" s="947"/>
      <c r="D260" s="948"/>
      <c r="E260" s="948"/>
      <c r="F260" s="948"/>
      <c r="G260" s="948"/>
      <c r="H260" s="948"/>
      <c r="I260" s="948"/>
      <c r="J260" s="948"/>
      <c r="K260" s="949"/>
      <c r="L260" s="949"/>
      <c r="M260" s="949"/>
      <c r="N260" s="950"/>
      <c r="O260" s="948"/>
      <c r="P260" s="948"/>
      <c r="Q260" s="948"/>
      <c r="R260" s="949"/>
      <c r="S260" s="949"/>
      <c r="T260" s="949"/>
      <c r="U260" s="949"/>
      <c r="V260" s="949"/>
      <c r="W260" s="949"/>
      <c r="X260" s="951"/>
      <c r="Y260" s="951"/>
      <c r="Z260" s="952"/>
      <c r="AA260" s="953"/>
      <c r="AB260" s="948"/>
      <c r="AC260" s="948"/>
      <c r="AD260" s="949"/>
      <c r="AE260" s="949"/>
      <c r="AF260" s="949"/>
      <c r="AG260" s="949"/>
      <c r="AH260" s="949"/>
      <c r="AI260" s="949"/>
      <c r="AJ260" s="949"/>
      <c r="AK260" s="949"/>
      <c r="AL260" s="949"/>
      <c r="AM260" s="949"/>
      <c r="AN260" s="949"/>
      <c r="AO260" s="949"/>
      <c r="AP260" s="949"/>
      <c r="AQ260" s="949"/>
      <c r="AR260" s="949"/>
      <c r="AS260" s="949"/>
      <c r="AT260" s="949"/>
      <c r="AU260" s="949"/>
      <c r="AV260" s="949"/>
      <c r="AW260" s="949"/>
      <c r="AX260" s="949"/>
      <c r="AY260" s="949"/>
      <c r="AZ260" s="949"/>
      <c r="BA260" s="949"/>
      <c r="BB260" s="949"/>
      <c r="BC260" s="949"/>
      <c r="BD260" s="949"/>
      <c r="BE260" s="949"/>
      <c r="BF260" s="949"/>
      <c r="BG260" s="948"/>
      <c r="BH260" s="948"/>
      <c r="BI260" s="948"/>
      <c r="BJ260" s="948"/>
      <c r="BK260" s="948"/>
      <c r="BL260" s="948"/>
      <c r="BM260" s="948"/>
      <c r="BN260" s="948"/>
      <c r="BO260" s="948"/>
      <c r="BP260" s="948"/>
      <c r="BQ260" s="948"/>
      <c r="BR260" s="948"/>
      <c r="BS260" s="948"/>
      <c r="BT260" s="948"/>
      <c r="BU260" s="954"/>
    </row>
    <row r="261" spans="1:73" x14ac:dyDescent="0.2">
      <c r="A261" s="1224"/>
      <c r="B261" s="1224"/>
      <c r="C261" s="947"/>
      <c r="D261" s="948"/>
      <c r="E261" s="948"/>
      <c r="F261" s="948"/>
      <c r="G261" s="948"/>
      <c r="H261" s="948"/>
      <c r="I261" s="948"/>
      <c r="J261" s="948"/>
      <c r="K261" s="949"/>
      <c r="L261" s="949"/>
      <c r="M261" s="949"/>
      <c r="N261" s="950"/>
      <c r="O261" s="948"/>
      <c r="P261" s="948"/>
      <c r="Q261" s="948"/>
      <c r="R261" s="949"/>
      <c r="S261" s="949"/>
      <c r="T261" s="949"/>
      <c r="U261" s="949"/>
      <c r="V261" s="949"/>
      <c r="W261" s="949"/>
      <c r="X261" s="951"/>
      <c r="Y261" s="951"/>
      <c r="Z261" s="952"/>
      <c r="AA261" s="953"/>
      <c r="AB261" s="948"/>
      <c r="AC261" s="948"/>
      <c r="AD261" s="949"/>
      <c r="AE261" s="949"/>
      <c r="AF261" s="949"/>
      <c r="AG261" s="949"/>
      <c r="AH261" s="949"/>
      <c r="AI261" s="949"/>
      <c r="AJ261" s="949"/>
      <c r="AK261" s="949"/>
      <c r="AL261" s="949"/>
      <c r="AM261" s="949"/>
      <c r="AN261" s="949"/>
      <c r="AO261" s="949"/>
      <c r="AP261" s="949"/>
      <c r="AQ261" s="949"/>
      <c r="AR261" s="949"/>
      <c r="AS261" s="949"/>
      <c r="AT261" s="949"/>
      <c r="AU261" s="949"/>
      <c r="AV261" s="949"/>
      <c r="AW261" s="949"/>
      <c r="AX261" s="949"/>
      <c r="AY261" s="949"/>
      <c r="AZ261" s="949"/>
      <c r="BA261" s="949"/>
      <c r="BB261" s="949"/>
      <c r="BC261" s="949"/>
      <c r="BD261" s="949"/>
      <c r="BE261" s="949"/>
      <c r="BF261" s="949"/>
      <c r="BG261" s="948"/>
      <c r="BH261" s="948"/>
      <c r="BI261" s="948"/>
      <c r="BJ261" s="948"/>
      <c r="BK261" s="948"/>
      <c r="BL261" s="948"/>
      <c r="BM261" s="948"/>
      <c r="BN261" s="948"/>
      <c r="BO261" s="948"/>
      <c r="BP261" s="948"/>
      <c r="BQ261" s="948"/>
      <c r="BR261" s="948"/>
      <c r="BS261" s="948"/>
      <c r="BT261" s="948"/>
      <c r="BU261" s="954"/>
    </row>
    <row r="262" spans="1:73" x14ac:dyDescent="0.2">
      <c r="A262" s="1224"/>
      <c r="B262" s="1224"/>
      <c r="C262" s="947"/>
      <c r="D262" s="948"/>
      <c r="E262" s="948"/>
      <c r="F262" s="948"/>
      <c r="G262" s="948"/>
      <c r="H262" s="948"/>
      <c r="I262" s="948"/>
      <c r="J262" s="948"/>
      <c r="K262" s="949"/>
      <c r="L262" s="949"/>
      <c r="M262" s="949"/>
      <c r="N262" s="950"/>
      <c r="O262" s="948"/>
      <c r="P262" s="948"/>
      <c r="Q262" s="948"/>
      <c r="R262" s="949"/>
      <c r="S262" s="949"/>
      <c r="T262" s="949"/>
      <c r="U262" s="949"/>
      <c r="V262" s="949"/>
      <c r="W262" s="949"/>
      <c r="X262" s="951"/>
      <c r="Y262" s="951"/>
      <c r="Z262" s="952"/>
      <c r="AA262" s="953"/>
      <c r="AB262" s="948"/>
      <c r="AC262" s="948"/>
      <c r="AD262" s="949"/>
      <c r="AE262" s="949"/>
      <c r="AF262" s="949"/>
      <c r="AG262" s="949"/>
      <c r="AH262" s="949"/>
      <c r="AI262" s="949"/>
      <c r="AJ262" s="949"/>
      <c r="AK262" s="949"/>
      <c r="AL262" s="949"/>
      <c r="AM262" s="949"/>
      <c r="AN262" s="949"/>
      <c r="AO262" s="949"/>
      <c r="AP262" s="949"/>
      <c r="AQ262" s="949"/>
      <c r="AR262" s="949"/>
      <c r="AS262" s="949"/>
      <c r="AT262" s="949"/>
      <c r="AU262" s="949"/>
      <c r="AV262" s="949"/>
      <c r="AW262" s="949"/>
      <c r="AX262" s="949"/>
      <c r="AY262" s="949"/>
      <c r="AZ262" s="949"/>
      <c r="BA262" s="949"/>
      <c r="BB262" s="949"/>
      <c r="BC262" s="949"/>
      <c r="BD262" s="949"/>
      <c r="BE262" s="949"/>
      <c r="BF262" s="949"/>
      <c r="BG262" s="948"/>
      <c r="BH262" s="948"/>
      <c r="BI262" s="948"/>
      <c r="BJ262" s="948"/>
      <c r="BK262" s="948"/>
      <c r="BL262" s="948"/>
      <c r="BM262" s="948"/>
      <c r="BN262" s="948"/>
      <c r="BO262" s="948"/>
      <c r="BP262" s="948"/>
      <c r="BQ262" s="948"/>
      <c r="BR262" s="948"/>
      <c r="BS262" s="948"/>
      <c r="BT262" s="948"/>
      <c r="BU262" s="954"/>
    </row>
    <row r="263" spans="1:73" x14ac:dyDescent="0.2">
      <c r="A263" s="1224"/>
      <c r="B263" s="1224"/>
      <c r="C263" s="947"/>
      <c r="D263" s="948"/>
      <c r="E263" s="948"/>
      <c r="F263" s="948"/>
      <c r="G263" s="948"/>
      <c r="H263" s="948"/>
      <c r="I263" s="948"/>
      <c r="J263" s="948"/>
      <c r="K263" s="949"/>
      <c r="L263" s="949"/>
      <c r="M263" s="949"/>
      <c r="N263" s="950"/>
      <c r="O263" s="948"/>
      <c r="P263" s="948"/>
      <c r="Q263" s="948"/>
      <c r="R263" s="949"/>
      <c r="S263" s="949"/>
      <c r="T263" s="949"/>
      <c r="U263" s="949"/>
      <c r="V263" s="949"/>
      <c r="W263" s="949"/>
      <c r="X263" s="951"/>
      <c r="Y263" s="951"/>
      <c r="Z263" s="952"/>
      <c r="AA263" s="953"/>
      <c r="AB263" s="948"/>
      <c r="AC263" s="948"/>
      <c r="AD263" s="949"/>
      <c r="AE263" s="949"/>
      <c r="AF263" s="949"/>
      <c r="AG263" s="949"/>
      <c r="AH263" s="949"/>
      <c r="AI263" s="949"/>
      <c r="AJ263" s="949"/>
      <c r="AK263" s="949"/>
      <c r="AL263" s="949"/>
      <c r="AM263" s="949"/>
      <c r="AN263" s="949"/>
      <c r="AO263" s="949"/>
      <c r="AP263" s="949"/>
      <c r="AQ263" s="949"/>
      <c r="AR263" s="949"/>
      <c r="AS263" s="949"/>
      <c r="AT263" s="949"/>
      <c r="AU263" s="949"/>
      <c r="AV263" s="949"/>
      <c r="AW263" s="949"/>
      <c r="AX263" s="949"/>
      <c r="AY263" s="949"/>
      <c r="AZ263" s="949"/>
      <c r="BA263" s="949"/>
      <c r="BB263" s="949"/>
      <c r="BC263" s="949"/>
      <c r="BD263" s="949"/>
      <c r="BE263" s="949"/>
      <c r="BF263" s="949"/>
      <c r="BG263" s="948"/>
      <c r="BH263" s="948"/>
      <c r="BI263" s="948"/>
      <c r="BJ263" s="948"/>
      <c r="BK263" s="948"/>
      <c r="BL263" s="948"/>
      <c r="BM263" s="948"/>
      <c r="BN263" s="948"/>
      <c r="BO263" s="948"/>
      <c r="BP263" s="948"/>
      <c r="BQ263" s="948"/>
      <c r="BR263" s="948"/>
      <c r="BS263" s="948"/>
      <c r="BT263" s="948"/>
      <c r="BU263" s="954"/>
    </row>
    <row r="264" spans="1:73" x14ac:dyDescent="0.2">
      <c r="A264" s="1224"/>
      <c r="B264" s="1224"/>
      <c r="C264" s="947"/>
      <c r="D264" s="948"/>
      <c r="E264" s="948"/>
      <c r="F264" s="948"/>
      <c r="G264" s="948"/>
      <c r="H264" s="948"/>
      <c r="I264" s="948"/>
      <c r="J264" s="948"/>
      <c r="K264" s="949"/>
      <c r="L264" s="949"/>
      <c r="M264" s="949"/>
      <c r="N264" s="950"/>
      <c r="O264" s="948"/>
      <c r="P264" s="948"/>
      <c r="Q264" s="948"/>
      <c r="R264" s="949"/>
      <c r="S264" s="949"/>
      <c r="T264" s="949"/>
      <c r="U264" s="949"/>
      <c r="V264" s="949"/>
      <c r="W264" s="949"/>
      <c r="X264" s="951"/>
      <c r="Y264" s="951"/>
      <c r="Z264" s="952"/>
      <c r="AA264" s="953"/>
      <c r="AB264" s="948"/>
      <c r="AC264" s="948"/>
      <c r="AD264" s="949"/>
      <c r="AE264" s="949"/>
      <c r="AF264" s="949"/>
      <c r="AG264" s="949"/>
      <c r="AH264" s="949"/>
      <c r="AI264" s="949"/>
      <c r="AJ264" s="949"/>
      <c r="AK264" s="949"/>
      <c r="AL264" s="949"/>
      <c r="AM264" s="949"/>
      <c r="AN264" s="949"/>
      <c r="AO264" s="949"/>
      <c r="AP264" s="949"/>
      <c r="AQ264" s="949"/>
      <c r="AR264" s="949"/>
      <c r="AS264" s="949"/>
      <c r="AT264" s="949"/>
      <c r="AU264" s="949"/>
      <c r="AV264" s="949"/>
      <c r="AW264" s="949"/>
      <c r="AX264" s="949"/>
      <c r="AY264" s="949"/>
      <c r="AZ264" s="949"/>
      <c r="BA264" s="949"/>
      <c r="BB264" s="949"/>
      <c r="BC264" s="949"/>
      <c r="BD264" s="949"/>
      <c r="BE264" s="949"/>
      <c r="BF264" s="949"/>
      <c r="BG264" s="948"/>
      <c r="BH264" s="948"/>
      <c r="BI264" s="948"/>
      <c r="BJ264" s="948"/>
      <c r="BK264" s="948"/>
      <c r="BL264" s="948"/>
      <c r="BM264" s="948"/>
      <c r="BN264" s="948"/>
      <c r="BO264" s="948"/>
      <c r="BP264" s="948"/>
      <c r="BQ264" s="948"/>
      <c r="BR264" s="948"/>
      <c r="BS264" s="948"/>
      <c r="BT264" s="948"/>
      <c r="BU264" s="954"/>
    </row>
    <row r="265" spans="1:73" x14ac:dyDescent="0.2">
      <c r="A265" s="1224"/>
      <c r="B265" s="1224"/>
      <c r="C265" s="947"/>
      <c r="D265" s="948"/>
      <c r="E265" s="948"/>
      <c r="F265" s="948"/>
      <c r="G265" s="948"/>
      <c r="H265" s="948"/>
      <c r="I265" s="948"/>
      <c r="J265" s="948"/>
      <c r="K265" s="949"/>
      <c r="L265" s="949"/>
      <c r="M265" s="949"/>
      <c r="N265" s="950"/>
      <c r="O265" s="948"/>
      <c r="P265" s="948"/>
      <c r="Q265" s="948"/>
      <c r="R265" s="949"/>
      <c r="S265" s="949"/>
      <c r="T265" s="949"/>
      <c r="U265" s="949"/>
      <c r="V265" s="949"/>
      <c r="W265" s="949"/>
      <c r="X265" s="951"/>
      <c r="Y265" s="951"/>
      <c r="Z265" s="952"/>
      <c r="AA265" s="953"/>
      <c r="AB265" s="948"/>
      <c r="AC265" s="948"/>
      <c r="AD265" s="949"/>
      <c r="AE265" s="949"/>
      <c r="AF265" s="949"/>
      <c r="AG265" s="949"/>
      <c r="AH265" s="949"/>
      <c r="AI265" s="949"/>
      <c r="AJ265" s="949"/>
      <c r="AK265" s="949"/>
      <c r="AL265" s="949"/>
      <c r="AM265" s="949"/>
      <c r="AN265" s="949"/>
      <c r="AO265" s="949"/>
      <c r="AP265" s="949"/>
      <c r="AQ265" s="949"/>
      <c r="AR265" s="949"/>
      <c r="AS265" s="949"/>
      <c r="AT265" s="949"/>
      <c r="AU265" s="949"/>
      <c r="AV265" s="949"/>
      <c r="AW265" s="949"/>
      <c r="AX265" s="949"/>
      <c r="AY265" s="949"/>
      <c r="AZ265" s="949"/>
      <c r="BA265" s="949"/>
      <c r="BB265" s="949"/>
      <c r="BC265" s="949"/>
      <c r="BD265" s="949"/>
      <c r="BE265" s="949"/>
      <c r="BF265" s="949"/>
      <c r="BG265" s="948"/>
      <c r="BH265" s="948"/>
      <c r="BI265" s="948"/>
      <c r="BJ265" s="948"/>
      <c r="BK265" s="948"/>
      <c r="BL265" s="948"/>
      <c r="BM265" s="948"/>
      <c r="BN265" s="948"/>
      <c r="BO265" s="948"/>
      <c r="BP265" s="948"/>
      <c r="BQ265" s="948"/>
      <c r="BR265" s="948"/>
      <c r="BS265" s="948"/>
      <c r="BT265" s="948"/>
      <c r="BU265" s="954"/>
    </row>
    <row r="266" spans="1:73" x14ac:dyDescent="0.2">
      <c r="A266" s="1224"/>
      <c r="B266" s="1224"/>
      <c r="C266" s="947"/>
      <c r="D266" s="948"/>
      <c r="E266" s="948"/>
      <c r="F266" s="948"/>
      <c r="G266" s="948"/>
      <c r="H266" s="948"/>
      <c r="I266" s="948"/>
      <c r="J266" s="948"/>
      <c r="K266" s="949"/>
      <c r="L266" s="949"/>
      <c r="M266" s="949"/>
      <c r="N266" s="950"/>
      <c r="O266" s="948"/>
      <c r="P266" s="948"/>
      <c r="Q266" s="948"/>
      <c r="R266" s="949"/>
      <c r="S266" s="949"/>
      <c r="T266" s="949"/>
      <c r="U266" s="949"/>
      <c r="V266" s="949"/>
      <c r="W266" s="949"/>
      <c r="X266" s="951"/>
      <c r="Y266" s="951"/>
      <c r="Z266" s="952"/>
      <c r="AA266" s="953"/>
      <c r="AB266" s="948"/>
      <c r="AC266" s="948"/>
      <c r="AD266" s="949"/>
      <c r="AE266" s="949"/>
      <c r="AF266" s="949"/>
      <c r="AG266" s="949"/>
      <c r="AH266" s="949"/>
      <c r="AI266" s="949"/>
      <c r="AJ266" s="949"/>
      <c r="AK266" s="949"/>
      <c r="AL266" s="949"/>
      <c r="AM266" s="949"/>
      <c r="AN266" s="949"/>
      <c r="AO266" s="949"/>
      <c r="AP266" s="949"/>
      <c r="AQ266" s="949"/>
      <c r="AR266" s="949"/>
      <c r="AS266" s="949"/>
      <c r="AT266" s="949"/>
      <c r="AU266" s="949"/>
      <c r="AV266" s="949"/>
      <c r="AW266" s="949"/>
      <c r="AX266" s="949"/>
      <c r="AY266" s="949"/>
      <c r="AZ266" s="949"/>
      <c r="BA266" s="949"/>
      <c r="BB266" s="949"/>
      <c r="BC266" s="949"/>
      <c r="BD266" s="949"/>
      <c r="BE266" s="949"/>
      <c r="BF266" s="949"/>
      <c r="BG266" s="948"/>
      <c r="BH266" s="948"/>
      <c r="BI266" s="948"/>
      <c r="BJ266" s="948"/>
      <c r="BK266" s="948"/>
      <c r="BL266" s="948"/>
      <c r="BM266" s="948"/>
      <c r="BN266" s="948"/>
      <c r="BO266" s="948"/>
      <c r="BP266" s="948"/>
      <c r="BQ266" s="948"/>
      <c r="BR266" s="948"/>
      <c r="BS266" s="948"/>
      <c r="BT266" s="948"/>
      <c r="BU266" s="954"/>
    </row>
    <row r="267" spans="1:73" x14ac:dyDescent="0.2">
      <c r="A267" s="1224"/>
      <c r="B267" s="1224"/>
      <c r="C267" s="947"/>
      <c r="D267" s="948"/>
      <c r="E267" s="948"/>
      <c r="F267" s="948"/>
      <c r="G267" s="948"/>
      <c r="H267" s="948"/>
      <c r="I267" s="948"/>
      <c r="J267" s="948"/>
      <c r="K267" s="949"/>
      <c r="L267" s="949"/>
      <c r="M267" s="949"/>
      <c r="N267" s="950"/>
      <c r="O267" s="948"/>
      <c r="P267" s="948"/>
      <c r="Q267" s="948"/>
      <c r="R267" s="949"/>
      <c r="S267" s="949"/>
      <c r="T267" s="949"/>
      <c r="U267" s="949"/>
      <c r="V267" s="949"/>
      <c r="W267" s="949"/>
      <c r="X267" s="951"/>
      <c r="Y267" s="951"/>
      <c r="Z267" s="952"/>
      <c r="AA267" s="953"/>
      <c r="AB267" s="948"/>
      <c r="AC267" s="948"/>
      <c r="AD267" s="949"/>
      <c r="AE267" s="949"/>
      <c r="AF267" s="949"/>
      <c r="AG267" s="949"/>
      <c r="AH267" s="949"/>
      <c r="AI267" s="949"/>
      <c r="AJ267" s="949"/>
      <c r="AK267" s="949"/>
      <c r="AL267" s="949"/>
      <c r="AM267" s="949"/>
      <c r="AN267" s="949"/>
      <c r="AO267" s="949"/>
      <c r="AP267" s="949"/>
      <c r="AQ267" s="949"/>
      <c r="AR267" s="949"/>
      <c r="AS267" s="949"/>
      <c r="AT267" s="949"/>
      <c r="AU267" s="949"/>
      <c r="AV267" s="949"/>
      <c r="AW267" s="949"/>
      <c r="AX267" s="949"/>
      <c r="AY267" s="949"/>
      <c r="AZ267" s="949"/>
      <c r="BA267" s="949"/>
      <c r="BB267" s="949"/>
      <c r="BC267" s="949"/>
      <c r="BD267" s="949"/>
      <c r="BE267" s="949"/>
      <c r="BF267" s="949"/>
      <c r="BG267" s="948"/>
      <c r="BH267" s="948"/>
      <c r="BI267" s="948"/>
      <c r="BJ267" s="948"/>
      <c r="BK267" s="948"/>
      <c r="BL267" s="948"/>
      <c r="BM267" s="948"/>
      <c r="BN267" s="948"/>
      <c r="BO267" s="948"/>
      <c r="BP267" s="948"/>
      <c r="BQ267" s="948"/>
      <c r="BR267" s="948"/>
      <c r="BS267" s="948"/>
      <c r="BT267" s="948"/>
      <c r="BU267" s="954"/>
    </row>
    <row r="268" spans="1:73" x14ac:dyDescent="0.2">
      <c r="A268" s="1224"/>
      <c r="B268" s="1224"/>
      <c r="C268" s="947"/>
      <c r="D268" s="948"/>
      <c r="E268" s="948"/>
      <c r="F268" s="948"/>
      <c r="G268" s="948"/>
      <c r="H268" s="948"/>
      <c r="I268" s="948"/>
      <c r="J268" s="948"/>
      <c r="K268" s="949"/>
      <c r="L268" s="949"/>
      <c r="M268" s="949"/>
      <c r="N268" s="950"/>
      <c r="O268" s="948"/>
      <c r="P268" s="948"/>
      <c r="Q268" s="948"/>
      <c r="R268" s="949"/>
      <c r="S268" s="949"/>
      <c r="T268" s="949"/>
      <c r="U268" s="949"/>
      <c r="V268" s="949"/>
      <c r="W268" s="949"/>
      <c r="X268" s="951"/>
      <c r="Y268" s="951"/>
      <c r="Z268" s="952"/>
      <c r="AA268" s="953"/>
      <c r="AB268" s="948"/>
      <c r="AC268" s="948"/>
      <c r="AD268" s="949"/>
      <c r="AE268" s="949"/>
      <c r="AF268" s="949"/>
      <c r="AG268" s="949"/>
      <c r="AH268" s="949"/>
      <c r="AI268" s="949"/>
      <c r="AJ268" s="949"/>
      <c r="AK268" s="949"/>
      <c r="AL268" s="949"/>
      <c r="AM268" s="949"/>
      <c r="AN268" s="949"/>
      <c r="AO268" s="949"/>
      <c r="AP268" s="949"/>
      <c r="AQ268" s="949"/>
      <c r="AR268" s="949"/>
      <c r="AS268" s="949"/>
      <c r="AT268" s="949"/>
      <c r="AU268" s="949"/>
      <c r="AV268" s="949"/>
      <c r="AW268" s="949"/>
      <c r="AX268" s="949"/>
      <c r="AY268" s="949"/>
      <c r="AZ268" s="949"/>
      <c r="BA268" s="949"/>
      <c r="BB268" s="949"/>
      <c r="BC268" s="949"/>
      <c r="BD268" s="949"/>
      <c r="BE268" s="949"/>
      <c r="BF268" s="949"/>
      <c r="BG268" s="948"/>
      <c r="BH268" s="948"/>
      <c r="BI268" s="948"/>
      <c r="BJ268" s="948"/>
      <c r="BK268" s="948"/>
      <c r="BL268" s="948"/>
      <c r="BM268" s="948"/>
      <c r="BN268" s="948"/>
      <c r="BO268" s="948"/>
      <c r="BP268" s="948"/>
      <c r="BQ268" s="948"/>
      <c r="BR268" s="948"/>
      <c r="BS268" s="948"/>
      <c r="BT268" s="948"/>
      <c r="BU268" s="954"/>
    </row>
    <row r="269" spans="1:73" x14ac:dyDescent="0.2">
      <c r="A269" s="1224"/>
      <c r="B269" s="1224"/>
      <c r="C269" s="947"/>
      <c r="D269" s="948"/>
      <c r="E269" s="948"/>
      <c r="F269" s="948"/>
      <c r="G269" s="948"/>
      <c r="H269" s="948"/>
      <c r="I269" s="948"/>
      <c r="J269" s="948"/>
      <c r="K269" s="949"/>
      <c r="L269" s="949"/>
      <c r="M269" s="949"/>
      <c r="N269" s="950"/>
      <c r="O269" s="948"/>
      <c r="P269" s="948"/>
      <c r="Q269" s="948"/>
      <c r="R269" s="949"/>
      <c r="S269" s="949"/>
      <c r="T269" s="949"/>
      <c r="U269" s="949"/>
      <c r="V269" s="949"/>
      <c r="W269" s="949"/>
      <c r="X269" s="951"/>
      <c r="Y269" s="951"/>
      <c r="Z269" s="952"/>
      <c r="AA269" s="953"/>
      <c r="AB269" s="948"/>
      <c r="AC269" s="948"/>
      <c r="AD269" s="949"/>
      <c r="AE269" s="949"/>
      <c r="AF269" s="949"/>
      <c r="AG269" s="949"/>
      <c r="AH269" s="949"/>
      <c r="AI269" s="949"/>
      <c r="AJ269" s="949"/>
      <c r="AK269" s="949"/>
      <c r="AL269" s="949"/>
      <c r="AM269" s="949"/>
      <c r="AN269" s="949"/>
      <c r="AO269" s="949"/>
      <c r="AP269" s="949"/>
      <c r="AQ269" s="949"/>
      <c r="AR269" s="949"/>
      <c r="AS269" s="949"/>
      <c r="AT269" s="949"/>
      <c r="AU269" s="949"/>
      <c r="AV269" s="949"/>
      <c r="AW269" s="949"/>
      <c r="AX269" s="949"/>
      <c r="AY269" s="949"/>
      <c r="AZ269" s="949"/>
      <c r="BA269" s="949"/>
      <c r="BB269" s="949"/>
      <c r="BC269" s="949"/>
      <c r="BD269" s="949"/>
      <c r="BE269" s="949"/>
      <c r="BF269" s="949"/>
      <c r="BG269" s="948"/>
      <c r="BH269" s="948"/>
      <c r="BI269" s="948"/>
      <c r="BJ269" s="948"/>
      <c r="BK269" s="948"/>
      <c r="BL269" s="948"/>
      <c r="BM269" s="948"/>
      <c r="BN269" s="948"/>
      <c r="BO269" s="948"/>
      <c r="BP269" s="948"/>
      <c r="BQ269" s="948"/>
      <c r="BR269" s="948"/>
      <c r="BS269" s="948"/>
      <c r="BT269" s="948"/>
      <c r="BU269" s="954"/>
    </row>
    <row r="270" spans="1:73" x14ac:dyDescent="0.2">
      <c r="A270" s="1224"/>
      <c r="B270" s="1224"/>
      <c r="C270" s="947"/>
      <c r="D270" s="948"/>
      <c r="E270" s="948"/>
      <c r="F270" s="948"/>
      <c r="G270" s="948"/>
      <c r="H270" s="948"/>
      <c r="I270" s="948"/>
      <c r="J270" s="948"/>
      <c r="K270" s="949"/>
      <c r="L270" s="949"/>
      <c r="M270" s="949"/>
      <c r="N270" s="950"/>
      <c r="O270" s="948"/>
      <c r="P270" s="948"/>
      <c r="Q270" s="948"/>
      <c r="R270" s="949"/>
      <c r="S270" s="949"/>
      <c r="T270" s="949"/>
      <c r="U270" s="949"/>
      <c r="V270" s="949"/>
      <c r="W270" s="949"/>
      <c r="X270" s="951"/>
      <c r="Y270" s="951"/>
      <c r="Z270" s="952"/>
      <c r="AA270" s="953"/>
      <c r="AB270" s="948"/>
      <c r="AC270" s="948"/>
      <c r="AD270" s="949"/>
      <c r="AE270" s="949"/>
      <c r="AF270" s="949"/>
      <c r="AG270" s="949"/>
      <c r="AH270" s="949"/>
      <c r="AI270" s="949"/>
      <c r="AJ270" s="949"/>
      <c r="AK270" s="949"/>
      <c r="AL270" s="949"/>
      <c r="AM270" s="949"/>
      <c r="AN270" s="949"/>
      <c r="AO270" s="949"/>
      <c r="AP270" s="949"/>
      <c r="AQ270" s="949"/>
      <c r="AR270" s="949"/>
      <c r="AS270" s="949"/>
      <c r="AT270" s="949"/>
      <c r="AU270" s="949"/>
      <c r="AV270" s="949"/>
      <c r="AW270" s="949"/>
      <c r="AX270" s="949"/>
      <c r="AY270" s="949"/>
      <c r="AZ270" s="949"/>
      <c r="BA270" s="949"/>
      <c r="BB270" s="949"/>
      <c r="BC270" s="949"/>
      <c r="BD270" s="949"/>
      <c r="BE270" s="949"/>
      <c r="BF270" s="949"/>
      <c r="BG270" s="948"/>
      <c r="BH270" s="948"/>
      <c r="BI270" s="948"/>
      <c r="BJ270" s="948"/>
      <c r="BK270" s="948"/>
      <c r="BL270" s="948"/>
      <c r="BM270" s="948"/>
      <c r="BN270" s="948"/>
      <c r="BO270" s="948"/>
      <c r="BP270" s="948"/>
      <c r="BQ270" s="948"/>
      <c r="BR270" s="948"/>
      <c r="BS270" s="948"/>
      <c r="BT270" s="948"/>
      <c r="BU270" s="954"/>
    </row>
    <row r="271" spans="1:73" x14ac:dyDescent="0.2">
      <c r="A271" s="1224"/>
      <c r="B271" s="1224"/>
      <c r="C271" s="947"/>
      <c r="D271" s="948"/>
      <c r="E271" s="948"/>
      <c r="F271" s="948"/>
      <c r="G271" s="948"/>
      <c r="H271" s="948"/>
      <c r="I271" s="948"/>
      <c r="J271" s="948"/>
      <c r="K271" s="949"/>
      <c r="L271" s="949"/>
      <c r="M271" s="949"/>
      <c r="N271" s="950"/>
      <c r="O271" s="948"/>
      <c r="P271" s="948"/>
      <c r="Q271" s="948"/>
      <c r="R271" s="949"/>
      <c r="S271" s="949"/>
      <c r="T271" s="949"/>
      <c r="U271" s="949"/>
      <c r="V271" s="949"/>
      <c r="W271" s="949"/>
      <c r="X271" s="951"/>
      <c r="Y271" s="951"/>
      <c r="Z271" s="952"/>
      <c r="AA271" s="953"/>
      <c r="AB271" s="948"/>
      <c r="AC271" s="948"/>
      <c r="AD271" s="949"/>
      <c r="AE271" s="949"/>
      <c r="AF271" s="949"/>
      <c r="AG271" s="949"/>
      <c r="AH271" s="949"/>
      <c r="AI271" s="949"/>
      <c r="AJ271" s="949"/>
      <c r="AK271" s="949"/>
      <c r="AL271" s="949"/>
      <c r="AM271" s="949"/>
      <c r="AN271" s="949"/>
      <c r="AO271" s="949"/>
      <c r="AP271" s="949"/>
      <c r="AQ271" s="949"/>
      <c r="AR271" s="949"/>
      <c r="AS271" s="949"/>
      <c r="AT271" s="949"/>
      <c r="AU271" s="949"/>
      <c r="AV271" s="949"/>
      <c r="AW271" s="949"/>
      <c r="AX271" s="949"/>
      <c r="AY271" s="949"/>
      <c r="AZ271" s="949"/>
      <c r="BA271" s="949"/>
      <c r="BB271" s="949"/>
      <c r="BC271" s="949"/>
      <c r="BD271" s="949"/>
      <c r="BE271" s="949"/>
      <c r="BF271" s="949"/>
      <c r="BG271" s="948"/>
      <c r="BH271" s="948"/>
      <c r="BI271" s="948"/>
      <c r="BJ271" s="948"/>
      <c r="BK271" s="948"/>
      <c r="BL271" s="948"/>
      <c r="BM271" s="948"/>
      <c r="BN271" s="948"/>
      <c r="BO271" s="948"/>
      <c r="BP271" s="948"/>
      <c r="BQ271" s="948"/>
      <c r="BR271" s="948"/>
      <c r="BS271" s="948"/>
      <c r="BT271" s="948"/>
      <c r="BU271" s="954"/>
    </row>
    <row r="272" spans="1:73" x14ac:dyDescent="0.2">
      <c r="A272" s="1224"/>
      <c r="B272" s="1224"/>
      <c r="C272" s="947"/>
      <c r="D272" s="948"/>
      <c r="E272" s="948"/>
      <c r="F272" s="948"/>
      <c r="G272" s="948"/>
      <c r="H272" s="948"/>
      <c r="I272" s="948"/>
      <c r="J272" s="948"/>
      <c r="K272" s="949"/>
      <c r="L272" s="949"/>
      <c r="M272" s="949"/>
      <c r="N272" s="950"/>
      <c r="O272" s="948"/>
      <c r="P272" s="948"/>
      <c r="Q272" s="948"/>
      <c r="R272" s="949"/>
      <c r="S272" s="949"/>
      <c r="T272" s="949"/>
      <c r="U272" s="949"/>
      <c r="V272" s="949"/>
      <c r="W272" s="949"/>
      <c r="X272" s="951"/>
      <c r="Y272" s="951"/>
      <c r="Z272" s="952"/>
      <c r="AA272" s="953"/>
      <c r="AB272" s="948"/>
      <c r="AC272" s="948"/>
      <c r="AD272" s="949"/>
      <c r="AE272" s="949"/>
      <c r="AF272" s="949"/>
      <c r="AG272" s="949"/>
      <c r="AH272" s="949"/>
      <c r="AI272" s="949"/>
      <c r="AJ272" s="949"/>
      <c r="AK272" s="949"/>
      <c r="AL272" s="949"/>
      <c r="AM272" s="949"/>
      <c r="AN272" s="949"/>
      <c r="AO272" s="949"/>
      <c r="AP272" s="949"/>
      <c r="AQ272" s="949"/>
      <c r="AR272" s="949"/>
      <c r="AS272" s="949"/>
      <c r="AT272" s="949"/>
      <c r="AU272" s="949"/>
      <c r="AV272" s="949"/>
      <c r="AW272" s="949"/>
      <c r="AX272" s="949"/>
      <c r="AY272" s="949"/>
      <c r="AZ272" s="949"/>
      <c r="BA272" s="949"/>
      <c r="BB272" s="949"/>
      <c r="BC272" s="949"/>
      <c r="BD272" s="949"/>
      <c r="BE272" s="949"/>
      <c r="BF272" s="949"/>
      <c r="BG272" s="948"/>
      <c r="BH272" s="948"/>
      <c r="BI272" s="948"/>
      <c r="BJ272" s="948"/>
      <c r="BK272" s="948"/>
      <c r="BL272" s="948"/>
      <c r="BM272" s="948"/>
      <c r="BN272" s="948"/>
      <c r="BO272" s="948"/>
      <c r="BP272" s="948"/>
      <c r="BQ272" s="948"/>
      <c r="BR272" s="948"/>
      <c r="BS272" s="948"/>
      <c r="BT272" s="948"/>
      <c r="BU272" s="954"/>
    </row>
    <row r="273" spans="1:73" x14ac:dyDescent="0.2">
      <c r="A273" s="1224"/>
      <c r="B273" s="1224"/>
      <c r="C273" s="947"/>
      <c r="D273" s="948"/>
      <c r="E273" s="948"/>
      <c r="F273" s="948"/>
      <c r="G273" s="948"/>
      <c r="H273" s="948"/>
      <c r="I273" s="948"/>
      <c r="J273" s="948"/>
      <c r="K273" s="949"/>
      <c r="L273" s="949"/>
      <c r="M273" s="949"/>
      <c r="N273" s="950"/>
      <c r="O273" s="948"/>
      <c r="P273" s="948"/>
      <c r="Q273" s="948"/>
      <c r="R273" s="949"/>
      <c r="S273" s="949"/>
      <c r="T273" s="949"/>
      <c r="U273" s="949"/>
      <c r="V273" s="949"/>
      <c r="W273" s="949"/>
      <c r="X273" s="951"/>
      <c r="Y273" s="951"/>
      <c r="Z273" s="952"/>
      <c r="AA273" s="953"/>
      <c r="AB273" s="948"/>
      <c r="AC273" s="948"/>
      <c r="AD273" s="949"/>
      <c r="AE273" s="949"/>
      <c r="AF273" s="949"/>
      <c r="AG273" s="949"/>
      <c r="AH273" s="949"/>
      <c r="AI273" s="949"/>
      <c r="AJ273" s="949"/>
      <c r="AK273" s="949"/>
      <c r="AL273" s="949"/>
      <c r="AM273" s="949"/>
      <c r="AN273" s="949"/>
      <c r="AO273" s="949"/>
      <c r="AP273" s="949"/>
      <c r="AQ273" s="949"/>
      <c r="AR273" s="949"/>
      <c r="AS273" s="949"/>
      <c r="AT273" s="949"/>
      <c r="AU273" s="949"/>
      <c r="AV273" s="949"/>
      <c r="AW273" s="949"/>
      <c r="AX273" s="949"/>
      <c r="AY273" s="949"/>
      <c r="AZ273" s="949"/>
      <c r="BA273" s="949"/>
      <c r="BB273" s="949"/>
      <c r="BC273" s="949"/>
      <c r="BD273" s="949"/>
      <c r="BE273" s="949"/>
      <c r="BF273" s="949"/>
      <c r="BG273" s="948"/>
      <c r="BH273" s="948"/>
      <c r="BI273" s="948"/>
      <c r="BJ273" s="948"/>
      <c r="BK273" s="948"/>
      <c r="BL273" s="948"/>
      <c r="BM273" s="948"/>
      <c r="BN273" s="948"/>
      <c r="BO273" s="948"/>
      <c r="BP273" s="948"/>
      <c r="BQ273" s="948"/>
      <c r="BR273" s="948"/>
      <c r="BS273" s="948"/>
      <c r="BT273" s="948"/>
      <c r="BU273" s="954"/>
    </row>
    <row r="274" spans="1:73" x14ac:dyDescent="0.2">
      <c r="A274" s="1224"/>
      <c r="B274" s="1224"/>
      <c r="C274" s="947"/>
      <c r="D274" s="948"/>
      <c r="E274" s="948"/>
      <c r="F274" s="948"/>
      <c r="G274" s="948"/>
      <c r="H274" s="948"/>
      <c r="I274" s="948"/>
      <c r="J274" s="948"/>
      <c r="K274" s="949"/>
      <c r="L274" s="949"/>
      <c r="M274" s="949"/>
      <c r="N274" s="950"/>
      <c r="O274" s="948"/>
      <c r="P274" s="948"/>
      <c r="Q274" s="948"/>
      <c r="R274" s="949"/>
      <c r="S274" s="949"/>
      <c r="T274" s="949"/>
      <c r="U274" s="949"/>
      <c r="V274" s="949"/>
      <c r="W274" s="949"/>
      <c r="X274" s="951"/>
      <c r="Y274" s="951"/>
      <c r="Z274" s="952"/>
      <c r="AA274" s="953"/>
      <c r="AB274" s="948"/>
      <c r="AC274" s="948"/>
      <c r="AD274" s="949"/>
      <c r="AE274" s="949"/>
      <c r="AF274" s="949"/>
      <c r="AG274" s="949"/>
      <c r="AH274" s="949"/>
      <c r="AI274" s="949"/>
      <c r="AJ274" s="949"/>
      <c r="AK274" s="949"/>
      <c r="AL274" s="949"/>
      <c r="AM274" s="949"/>
      <c r="AN274" s="949"/>
      <c r="AO274" s="949"/>
      <c r="AP274" s="949"/>
      <c r="AQ274" s="949"/>
      <c r="AR274" s="949"/>
      <c r="AS274" s="949"/>
      <c r="AT274" s="949"/>
      <c r="AU274" s="949"/>
      <c r="AV274" s="949"/>
      <c r="AW274" s="949"/>
      <c r="AX274" s="949"/>
      <c r="AY274" s="949"/>
      <c r="AZ274" s="949"/>
      <c r="BA274" s="949"/>
      <c r="BB274" s="949"/>
      <c r="BC274" s="949"/>
      <c r="BD274" s="949"/>
      <c r="BE274" s="949"/>
      <c r="BF274" s="949"/>
      <c r="BG274" s="948"/>
      <c r="BH274" s="948"/>
      <c r="BI274" s="948"/>
      <c r="BJ274" s="948"/>
      <c r="BK274" s="948"/>
      <c r="BL274" s="948"/>
      <c r="BM274" s="948"/>
      <c r="BN274" s="948"/>
      <c r="BO274" s="948"/>
      <c r="BP274" s="948"/>
      <c r="BQ274" s="948"/>
      <c r="BR274" s="948"/>
      <c r="BS274" s="948"/>
      <c r="BT274" s="948"/>
      <c r="BU274" s="954"/>
    </row>
    <row r="275" spans="1:73" x14ac:dyDescent="0.2">
      <c r="A275" s="1224"/>
      <c r="B275" s="1224"/>
      <c r="C275" s="947"/>
      <c r="D275" s="948"/>
      <c r="E275" s="948"/>
      <c r="F275" s="948"/>
      <c r="G275" s="948"/>
      <c r="H275" s="948"/>
      <c r="I275" s="948"/>
      <c r="J275" s="948"/>
      <c r="K275" s="949"/>
      <c r="L275" s="949"/>
      <c r="M275" s="949"/>
      <c r="N275" s="950"/>
      <c r="O275" s="948"/>
      <c r="P275" s="948"/>
      <c r="Q275" s="948"/>
      <c r="R275" s="949"/>
      <c r="S275" s="949"/>
      <c r="T275" s="949"/>
      <c r="U275" s="949"/>
      <c r="V275" s="949"/>
      <c r="W275" s="949"/>
      <c r="X275" s="951"/>
      <c r="Y275" s="951"/>
      <c r="Z275" s="952"/>
      <c r="AA275" s="953"/>
      <c r="AB275" s="948"/>
      <c r="AC275" s="948"/>
      <c r="AD275" s="949"/>
      <c r="AE275" s="949"/>
      <c r="AF275" s="949"/>
      <c r="AG275" s="949"/>
      <c r="AH275" s="949"/>
      <c r="AI275" s="949"/>
      <c r="AJ275" s="949"/>
      <c r="AK275" s="949"/>
      <c r="AL275" s="949"/>
      <c r="AM275" s="949"/>
      <c r="AN275" s="949"/>
      <c r="AO275" s="949"/>
      <c r="AP275" s="949"/>
      <c r="AQ275" s="949"/>
      <c r="AR275" s="949"/>
      <c r="AS275" s="949"/>
      <c r="AT275" s="949"/>
      <c r="AU275" s="949"/>
      <c r="AV275" s="949"/>
      <c r="AW275" s="949"/>
      <c r="AX275" s="949"/>
      <c r="AY275" s="949"/>
      <c r="AZ275" s="949"/>
      <c r="BA275" s="949"/>
      <c r="BB275" s="949"/>
      <c r="BC275" s="949"/>
      <c r="BD275" s="949"/>
      <c r="BE275" s="949"/>
      <c r="BF275" s="949"/>
      <c r="BG275" s="948"/>
      <c r="BH275" s="948"/>
      <c r="BI275" s="948"/>
      <c r="BJ275" s="948"/>
      <c r="BK275" s="948"/>
      <c r="BL275" s="948"/>
      <c r="BM275" s="948"/>
      <c r="BN275" s="948"/>
      <c r="BO275" s="948"/>
      <c r="BP275" s="948"/>
      <c r="BQ275" s="948"/>
      <c r="BR275" s="948"/>
      <c r="BS275" s="948"/>
      <c r="BT275" s="948"/>
      <c r="BU275" s="954"/>
    </row>
    <row r="276" spans="1:73" x14ac:dyDescent="0.2">
      <c r="A276" s="1224"/>
      <c r="B276" s="1224"/>
      <c r="C276" s="947"/>
      <c r="D276" s="948"/>
      <c r="E276" s="948"/>
      <c r="F276" s="948"/>
      <c r="G276" s="948"/>
      <c r="H276" s="948"/>
      <c r="I276" s="948"/>
      <c r="J276" s="948"/>
      <c r="K276" s="949"/>
      <c r="L276" s="949"/>
      <c r="M276" s="949"/>
      <c r="N276" s="950"/>
      <c r="O276" s="948"/>
      <c r="P276" s="948"/>
      <c r="Q276" s="948"/>
      <c r="R276" s="949"/>
      <c r="S276" s="949"/>
      <c r="T276" s="949"/>
      <c r="U276" s="949"/>
      <c r="V276" s="949"/>
      <c r="W276" s="949"/>
      <c r="X276" s="951"/>
      <c r="Y276" s="951"/>
      <c r="Z276" s="952"/>
      <c r="AA276" s="953"/>
      <c r="AB276" s="948"/>
      <c r="AC276" s="948"/>
      <c r="AD276" s="949"/>
      <c r="AE276" s="949"/>
      <c r="AF276" s="949"/>
      <c r="AG276" s="949"/>
      <c r="AH276" s="949"/>
      <c r="AI276" s="949"/>
      <c r="AJ276" s="949"/>
      <c r="AK276" s="949"/>
      <c r="AL276" s="949"/>
      <c r="AM276" s="949"/>
      <c r="AN276" s="949"/>
      <c r="AO276" s="949"/>
      <c r="AP276" s="949"/>
      <c r="AQ276" s="949"/>
      <c r="AR276" s="949"/>
      <c r="AS276" s="949"/>
      <c r="AT276" s="949"/>
      <c r="AU276" s="949"/>
      <c r="AV276" s="949"/>
      <c r="AW276" s="949"/>
      <c r="AX276" s="949"/>
      <c r="AY276" s="949"/>
      <c r="AZ276" s="949"/>
      <c r="BA276" s="949"/>
      <c r="BB276" s="949"/>
      <c r="BC276" s="949"/>
      <c r="BD276" s="949"/>
      <c r="BE276" s="949"/>
      <c r="BF276" s="949"/>
      <c r="BG276" s="948"/>
      <c r="BH276" s="948"/>
      <c r="BI276" s="948"/>
      <c r="BJ276" s="948"/>
      <c r="BK276" s="948"/>
      <c r="BL276" s="948"/>
      <c r="BM276" s="948"/>
      <c r="BN276" s="948"/>
      <c r="BO276" s="948"/>
      <c r="BP276" s="948"/>
      <c r="BQ276" s="948"/>
      <c r="BR276" s="948"/>
      <c r="BS276" s="948"/>
      <c r="BT276" s="948"/>
      <c r="BU276" s="954"/>
    </row>
    <row r="277" spans="1:73" x14ac:dyDescent="0.2">
      <c r="A277" s="1224"/>
      <c r="B277" s="1224"/>
      <c r="C277" s="947"/>
      <c r="D277" s="948"/>
      <c r="E277" s="948"/>
      <c r="F277" s="948"/>
      <c r="G277" s="948"/>
      <c r="H277" s="948"/>
      <c r="I277" s="948"/>
      <c r="J277" s="948"/>
      <c r="K277" s="949"/>
      <c r="L277" s="949"/>
      <c r="M277" s="949"/>
      <c r="N277" s="950"/>
      <c r="O277" s="948"/>
      <c r="P277" s="948"/>
      <c r="Q277" s="948"/>
      <c r="R277" s="949"/>
      <c r="S277" s="949"/>
      <c r="T277" s="949"/>
      <c r="U277" s="949"/>
      <c r="V277" s="949"/>
      <c r="W277" s="949"/>
      <c r="X277" s="951"/>
      <c r="Y277" s="951"/>
      <c r="Z277" s="952"/>
      <c r="AA277" s="953"/>
      <c r="AB277" s="948"/>
      <c r="AC277" s="948"/>
      <c r="AD277" s="949"/>
      <c r="AE277" s="949"/>
      <c r="AF277" s="949"/>
      <c r="AG277" s="949"/>
      <c r="AH277" s="949"/>
      <c r="AI277" s="949"/>
      <c r="AJ277" s="949"/>
      <c r="AK277" s="949"/>
      <c r="AL277" s="949"/>
      <c r="AM277" s="949"/>
      <c r="AN277" s="949"/>
      <c r="AO277" s="949"/>
      <c r="AP277" s="949"/>
      <c r="AQ277" s="949"/>
      <c r="AR277" s="949"/>
      <c r="AS277" s="949"/>
      <c r="AT277" s="949"/>
      <c r="AU277" s="949"/>
      <c r="AV277" s="949"/>
      <c r="AW277" s="949"/>
      <c r="AX277" s="949"/>
      <c r="AY277" s="949"/>
      <c r="AZ277" s="949"/>
      <c r="BA277" s="949"/>
      <c r="BB277" s="949"/>
      <c r="BC277" s="949"/>
      <c r="BD277" s="949"/>
      <c r="BE277" s="949"/>
      <c r="BF277" s="949"/>
      <c r="BG277" s="948"/>
      <c r="BH277" s="948"/>
      <c r="BI277" s="948"/>
      <c r="BJ277" s="948"/>
      <c r="BK277" s="948"/>
      <c r="BL277" s="948"/>
      <c r="BM277" s="948"/>
      <c r="BN277" s="948"/>
      <c r="BO277" s="948"/>
      <c r="BP277" s="948"/>
      <c r="BQ277" s="948"/>
      <c r="BR277" s="948"/>
      <c r="BS277" s="948"/>
      <c r="BT277" s="948"/>
      <c r="BU277" s="954"/>
    </row>
    <row r="278" spans="1:73" x14ac:dyDescent="0.2">
      <c r="A278" s="1224"/>
      <c r="B278" s="1224"/>
      <c r="C278" s="947"/>
      <c r="D278" s="948"/>
      <c r="E278" s="948"/>
      <c r="F278" s="948"/>
      <c r="G278" s="948"/>
      <c r="H278" s="948"/>
      <c r="I278" s="948"/>
      <c r="J278" s="948"/>
      <c r="K278" s="949"/>
      <c r="L278" s="949"/>
      <c r="M278" s="949"/>
      <c r="N278" s="950"/>
      <c r="O278" s="948"/>
      <c r="P278" s="948"/>
      <c r="Q278" s="948"/>
      <c r="R278" s="949"/>
      <c r="S278" s="949"/>
      <c r="T278" s="949"/>
      <c r="U278" s="949"/>
      <c r="V278" s="949"/>
      <c r="W278" s="949"/>
      <c r="X278" s="951"/>
      <c r="Y278" s="951"/>
      <c r="Z278" s="952"/>
      <c r="AA278" s="953"/>
      <c r="AB278" s="948"/>
      <c r="AC278" s="948"/>
      <c r="AD278" s="949"/>
      <c r="AE278" s="949"/>
      <c r="AF278" s="949"/>
      <c r="AG278" s="949"/>
      <c r="AH278" s="949"/>
      <c r="AI278" s="949"/>
      <c r="AJ278" s="949"/>
      <c r="AK278" s="949"/>
      <c r="AL278" s="949"/>
      <c r="AM278" s="949"/>
      <c r="AN278" s="949"/>
      <c r="AO278" s="949"/>
      <c r="AP278" s="949"/>
      <c r="AQ278" s="949"/>
      <c r="AR278" s="949"/>
      <c r="AS278" s="949"/>
      <c r="AT278" s="949"/>
      <c r="AU278" s="949"/>
      <c r="AV278" s="949"/>
      <c r="AW278" s="949"/>
      <c r="AX278" s="949"/>
      <c r="AY278" s="949"/>
      <c r="AZ278" s="949"/>
      <c r="BA278" s="949"/>
      <c r="BB278" s="949"/>
      <c r="BC278" s="949"/>
      <c r="BD278" s="949"/>
      <c r="BE278" s="949"/>
      <c r="BF278" s="949"/>
      <c r="BG278" s="948"/>
      <c r="BH278" s="948"/>
      <c r="BI278" s="948"/>
      <c r="BJ278" s="948"/>
      <c r="BK278" s="948"/>
      <c r="BL278" s="948"/>
      <c r="BM278" s="948"/>
      <c r="BN278" s="948"/>
      <c r="BO278" s="948"/>
      <c r="BP278" s="948"/>
      <c r="BQ278" s="948"/>
      <c r="BR278" s="948"/>
      <c r="BS278" s="948"/>
      <c r="BT278" s="948"/>
      <c r="BU278" s="954"/>
    </row>
    <row r="279" spans="1:73" x14ac:dyDescent="0.2">
      <c r="A279" s="1224"/>
      <c r="B279" s="1224"/>
      <c r="C279" s="947"/>
      <c r="D279" s="948"/>
      <c r="E279" s="948"/>
      <c r="F279" s="948"/>
      <c r="G279" s="948"/>
      <c r="H279" s="948"/>
      <c r="I279" s="948"/>
      <c r="J279" s="948"/>
      <c r="K279" s="949"/>
      <c r="L279" s="949"/>
      <c r="M279" s="949"/>
      <c r="N279" s="950"/>
      <c r="O279" s="948"/>
      <c r="P279" s="948"/>
      <c r="Q279" s="948"/>
      <c r="R279" s="949"/>
      <c r="S279" s="949"/>
      <c r="T279" s="949"/>
      <c r="U279" s="949"/>
      <c r="V279" s="949"/>
      <c r="W279" s="949"/>
      <c r="X279" s="951"/>
      <c r="Y279" s="951"/>
      <c r="Z279" s="952"/>
      <c r="AA279" s="953"/>
      <c r="AB279" s="948"/>
      <c r="AC279" s="948"/>
      <c r="AD279" s="949"/>
      <c r="AE279" s="949"/>
      <c r="AF279" s="949"/>
      <c r="AG279" s="949"/>
      <c r="AH279" s="949"/>
      <c r="AI279" s="949"/>
      <c r="AJ279" s="949"/>
      <c r="AK279" s="949"/>
      <c r="AL279" s="949"/>
      <c r="AM279" s="949"/>
      <c r="AN279" s="949"/>
      <c r="AO279" s="949"/>
      <c r="AP279" s="949"/>
      <c r="AQ279" s="949"/>
      <c r="AR279" s="949"/>
      <c r="AS279" s="949"/>
      <c r="AT279" s="949"/>
      <c r="AU279" s="949"/>
      <c r="AV279" s="949"/>
      <c r="AW279" s="949"/>
      <c r="AX279" s="949"/>
      <c r="AY279" s="949"/>
      <c r="AZ279" s="949"/>
      <c r="BA279" s="949"/>
      <c r="BB279" s="949"/>
      <c r="BC279" s="949"/>
      <c r="BD279" s="949"/>
      <c r="BE279" s="949"/>
      <c r="BF279" s="949"/>
      <c r="BG279" s="948"/>
      <c r="BH279" s="948"/>
      <c r="BI279" s="948"/>
      <c r="BJ279" s="948"/>
      <c r="BK279" s="948"/>
      <c r="BL279" s="948"/>
      <c r="BM279" s="948"/>
      <c r="BN279" s="948"/>
      <c r="BO279" s="948"/>
      <c r="BP279" s="948"/>
      <c r="BQ279" s="948"/>
      <c r="BR279" s="948"/>
      <c r="BS279" s="948"/>
      <c r="BT279" s="948"/>
      <c r="BU279" s="954"/>
    </row>
    <row r="280" spans="1:73" x14ac:dyDescent="0.2">
      <c r="A280" s="1224"/>
      <c r="B280" s="1224"/>
      <c r="C280" s="947"/>
      <c r="D280" s="948"/>
      <c r="E280" s="948"/>
      <c r="F280" s="948"/>
      <c r="G280" s="948"/>
      <c r="H280" s="948"/>
      <c r="I280" s="948"/>
      <c r="J280" s="948"/>
      <c r="K280" s="949"/>
      <c r="L280" s="949"/>
      <c r="M280" s="949"/>
      <c r="N280" s="950"/>
      <c r="O280" s="948"/>
      <c r="P280" s="948"/>
      <c r="Q280" s="948"/>
      <c r="R280" s="949"/>
      <c r="S280" s="949"/>
      <c r="T280" s="949"/>
      <c r="U280" s="949"/>
      <c r="V280" s="949"/>
      <c r="W280" s="949"/>
      <c r="X280" s="951"/>
      <c r="Y280" s="951"/>
      <c r="Z280" s="952"/>
      <c r="AA280" s="953"/>
      <c r="AB280" s="948"/>
      <c r="AC280" s="948"/>
      <c r="AD280" s="949"/>
      <c r="AE280" s="949"/>
      <c r="AF280" s="949"/>
      <c r="AG280" s="949"/>
      <c r="AH280" s="949"/>
      <c r="AI280" s="949"/>
      <c r="AJ280" s="949"/>
      <c r="AK280" s="949"/>
      <c r="AL280" s="949"/>
      <c r="AM280" s="949"/>
      <c r="AN280" s="949"/>
      <c r="AO280" s="949"/>
      <c r="AP280" s="949"/>
      <c r="AQ280" s="949"/>
      <c r="AR280" s="949"/>
      <c r="AS280" s="949"/>
      <c r="AT280" s="949"/>
      <c r="AU280" s="949"/>
      <c r="AV280" s="949"/>
      <c r="AW280" s="949"/>
      <c r="AX280" s="949"/>
      <c r="AY280" s="949"/>
      <c r="AZ280" s="949"/>
      <c r="BA280" s="949"/>
      <c r="BB280" s="949"/>
      <c r="BC280" s="949"/>
      <c r="BD280" s="949"/>
      <c r="BE280" s="949"/>
      <c r="BF280" s="949"/>
      <c r="BG280" s="948"/>
      <c r="BH280" s="948"/>
      <c r="BI280" s="948"/>
      <c r="BJ280" s="948"/>
      <c r="BK280" s="948"/>
      <c r="BL280" s="948"/>
      <c r="BM280" s="948"/>
      <c r="BN280" s="948"/>
      <c r="BO280" s="948"/>
      <c r="BP280" s="948"/>
      <c r="BQ280" s="948"/>
      <c r="BR280" s="948"/>
      <c r="BS280" s="948"/>
      <c r="BT280" s="948"/>
      <c r="BU280" s="954"/>
    </row>
    <row r="281" spans="1:73" x14ac:dyDescent="0.2">
      <c r="A281" s="1224"/>
      <c r="B281" s="1224"/>
      <c r="C281" s="947"/>
      <c r="D281" s="948"/>
      <c r="E281" s="948"/>
      <c r="F281" s="948"/>
      <c r="G281" s="948"/>
      <c r="H281" s="948"/>
      <c r="I281" s="948"/>
      <c r="J281" s="948"/>
      <c r="K281" s="949"/>
      <c r="L281" s="949"/>
      <c r="M281" s="949"/>
      <c r="N281" s="950"/>
      <c r="O281" s="948"/>
      <c r="P281" s="948"/>
      <c r="Q281" s="948"/>
      <c r="R281" s="949"/>
      <c r="S281" s="949"/>
      <c r="T281" s="949"/>
      <c r="U281" s="949"/>
      <c r="V281" s="949"/>
      <c r="W281" s="949"/>
      <c r="X281" s="951"/>
      <c r="Y281" s="951"/>
      <c r="Z281" s="952"/>
      <c r="AA281" s="953"/>
      <c r="AB281" s="948"/>
      <c r="AC281" s="948"/>
      <c r="AD281" s="949"/>
      <c r="AE281" s="949"/>
      <c r="AF281" s="949"/>
      <c r="AG281" s="949"/>
      <c r="AH281" s="949"/>
      <c r="AI281" s="949"/>
      <c r="AJ281" s="949"/>
      <c r="AK281" s="949"/>
      <c r="AL281" s="949"/>
      <c r="AM281" s="949"/>
      <c r="AN281" s="949"/>
      <c r="AO281" s="949"/>
      <c r="AP281" s="949"/>
      <c r="AQ281" s="949"/>
      <c r="AR281" s="949"/>
      <c r="AS281" s="949"/>
      <c r="AT281" s="949"/>
      <c r="AU281" s="949"/>
      <c r="AV281" s="949"/>
      <c r="AW281" s="949"/>
      <c r="AX281" s="949"/>
      <c r="AY281" s="949"/>
      <c r="AZ281" s="949"/>
      <c r="BA281" s="949"/>
      <c r="BB281" s="949"/>
      <c r="BC281" s="949"/>
      <c r="BD281" s="949"/>
      <c r="BE281" s="949"/>
      <c r="BF281" s="949"/>
      <c r="BG281" s="948"/>
      <c r="BH281" s="948"/>
      <c r="BI281" s="948"/>
      <c r="BJ281" s="948"/>
      <c r="BK281" s="948"/>
      <c r="BL281" s="948"/>
      <c r="BM281" s="948"/>
      <c r="BN281" s="948"/>
      <c r="BO281" s="948"/>
      <c r="BP281" s="948"/>
      <c r="BQ281" s="948"/>
      <c r="BR281" s="948"/>
      <c r="BS281" s="948"/>
      <c r="BT281" s="948"/>
      <c r="BU281" s="954"/>
    </row>
    <row r="282" spans="1:73" x14ac:dyDescent="0.2">
      <c r="A282" s="1224"/>
      <c r="B282" s="1224"/>
      <c r="C282" s="947"/>
      <c r="D282" s="948"/>
      <c r="E282" s="948"/>
      <c r="F282" s="948"/>
      <c r="G282" s="948"/>
      <c r="H282" s="948"/>
      <c r="I282" s="948"/>
      <c r="J282" s="948"/>
      <c r="K282" s="949"/>
      <c r="L282" s="949"/>
      <c r="M282" s="949"/>
      <c r="N282" s="950"/>
      <c r="O282" s="948"/>
      <c r="P282" s="948"/>
      <c r="Q282" s="948"/>
      <c r="R282" s="949"/>
      <c r="S282" s="949"/>
      <c r="T282" s="949"/>
      <c r="U282" s="949"/>
      <c r="V282" s="949"/>
      <c r="W282" s="949"/>
      <c r="X282" s="951"/>
      <c r="Y282" s="951"/>
      <c r="Z282" s="952"/>
      <c r="AA282" s="953"/>
      <c r="AB282" s="948"/>
      <c r="AC282" s="948"/>
      <c r="AD282" s="949"/>
      <c r="AE282" s="949"/>
      <c r="AF282" s="949"/>
      <c r="AG282" s="949"/>
      <c r="AH282" s="949"/>
      <c r="AI282" s="949"/>
      <c r="AJ282" s="949"/>
      <c r="AK282" s="949"/>
      <c r="AL282" s="949"/>
      <c r="AM282" s="949"/>
      <c r="AN282" s="949"/>
      <c r="AO282" s="949"/>
      <c r="AP282" s="949"/>
      <c r="AQ282" s="949"/>
      <c r="AR282" s="949"/>
      <c r="AS282" s="949"/>
      <c r="AT282" s="949"/>
      <c r="AU282" s="949"/>
      <c r="AV282" s="949"/>
      <c r="AW282" s="949"/>
      <c r="AX282" s="949"/>
      <c r="AY282" s="949"/>
      <c r="AZ282" s="949"/>
      <c r="BA282" s="949"/>
      <c r="BB282" s="949"/>
      <c r="BC282" s="949"/>
      <c r="BD282" s="949"/>
      <c r="BE282" s="949"/>
      <c r="BF282" s="949"/>
      <c r="BG282" s="948"/>
      <c r="BH282" s="948"/>
      <c r="BI282" s="948"/>
      <c r="BJ282" s="948"/>
      <c r="BK282" s="948"/>
      <c r="BL282" s="948"/>
      <c r="BM282" s="948"/>
      <c r="BN282" s="948"/>
      <c r="BO282" s="948"/>
      <c r="BP282" s="948"/>
      <c r="BQ282" s="948"/>
      <c r="BR282" s="948"/>
      <c r="BS282" s="948"/>
      <c r="BT282" s="948"/>
      <c r="BU282" s="954"/>
    </row>
    <row r="283" spans="1:73" x14ac:dyDescent="0.2">
      <c r="A283" s="1224"/>
      <c r="B283" s="1224"/>
      <c r="C283" s="947"/>
      <c r="D283" s="948"/>
      <c r="E283" s="948"/>
      <c r="F283" s="948"/>
      <c r="G283" s="948"/>
      <c r="H283" s="948"/>
      <c r="I283" s="948"/>
      <c r="J283" s="948"/>
      <c r="K283" s="949"/>
      <c r="L283" s="949"/>
      <c r="M283" s="949"/>
      <c r="N283" s="950"/>
      <c r="O283" s="948"/>
      <c r="P283" s="948"/>
      <c r="Q283" s="948"/>
      <c r="R283" s="949"/>
      <c r="S283" s="949"/>
      <c r="T283" s="949"/>
      <c r="U283" s="949"/>
      <c r="V283" s="949"/>
      <c r="W283" s="949"/>
      <c r="X283" s="951"/>
      <c r="Y283" s="951"/>
      <c r="Z283" s="952"/>
      <c r="AA283" s="953"/>
      <c r="AB283" s="948"/>
      <c r="AC283" s="948"/>
      <c r="AD283" s="949"/>
      <c r="AE283" s="949"/>
      <c r="AF283" s="949"/>
      <c r="AG283" s="949"/>
      <c r="AH283" s="949"/>
      <c r="AI283" s="949"/>
      <c r="AJ283" s="949"/>
      <c r="AK283" s="949"/>
      <c r="AL283" s="949"/>
      <c r="AM283" s="949"/>
      <c r="AN283" s="949"/>
      <c r="AO283" s="949"/>
      <c r="AP283" s="949"/>
      <c r="AQ283" s="949"/>
      <c r="AR283" s="949"/>
      <c r="AS283" s="949"/>
      <c r="AT283" s="949"/>
      <c r="AU283" s="949"/>
      <c r="AV283" s="949"/>
      <c r="AW283" s="949"/>
      <c r="AX283" s="949"/>
      <c r="AY283" s="949"/>
      <c r="AZ283" s="949"/>
      <c r="BA283" s="949"/>
      <c r="BB283" s="949"/>
      <c r="BC283" s="949"/>
      <c r="BD283" s="949"/>
      <c r="BE283" s="949"/>
      <c r="BF283" s="949"/>
      <c r="BG283" s="948"/>
      <c r="BH283" s="948"/>
      <c r="BI283" s="948"/>
      <c r="BJ283" s="948"/>
      <c r="BK283" s="948"/>
      <c r="BL283" s="948"/>
      <c r="BM283" s="948"/>
      <c r="BN283" s="948"/>
      <c r="BO283" s="948"/>
      <c r="BP283" s="948"/>
      <c r="BQ283" s="948"/>
      <c r="BR283" s="948"/>
      <c r="BS283" s="948"/>
      <c r="BT283" s="948"/>
      <c r="BU283" s="954"/>
    </row>
    <row r="284" spans="1:73" x14ac:dyDescent="0.2">
      <c r="A284" s="1224"/>
      <c r="B284" s="1224"/>
      <c r="C284" s="947"/>
      <c r="D284" s="948"/>
      <c r="E284" s="948"/>
      <c r="F284" s="948"/>
      <c r="G284" s="948"/>
      <c r="H284" s="948"/>
      <c r="I284" s="948"/>
      <c r="J284" s="948"/>
      <c r="K284" s="949"/>
      <c r="L284" s="949"/>
      <c r="M284" s="949"/>
      <c r="N284" s="950"/>
      <c r="O284" s="948"/>
      <c r="P284" s="948"/>
      <c r="Q284" s="948"/>
      <c r="R284" s="949"/>
      <c r="S284" s="949"/>
      <c r="T284" s="949"/>
      <c r="U284" s="949"/>
      <c r="V284" s="949"/>
      <c r="W284" s="949"/>
      <c r="X284" s="951"/>
      <c r="Y284" s="951"/>
      <c r="Z284" s="952"/>
      <c r="AA284" s="953"/>
      <c r="AB284" s="948"/>
      <c r="AC284" s="948"/>
      <c r="AD284" s="949"/>
      <c r="AE284" s="949"/>
      <c r="AF284" s="949"/>
      <c r="AG284" s="949"/>
      <c r="AH284" s="949"/>
      <c r="AI284" s="949"/>
      <c r="AJ284" s="949"/>
      <c r="AK284" s="949"/>
      <c r="AL284" s="949"/>
      <c r="AM284" s="949"/>
      <c r="AN284" s="949"/>
      <c r="AO284" s="949"/>
      <c r="AP284" s="949"/>
      <c r="AQ284" s="949"/>
      <c r="AR284" s="949"/>
      <c r="AS284" s="949"/>
      <c r="AT284" s="949"/>
      <c r="AU284" s="949"/>
      <c r="AV284" s="949"/>
      <c r="AW284" s="949"/>
      <c r="AX284" s="949"/>
      <c r="AY284" s="949"/>
      <c r="AZ284" s="949"/>
      <c r="BA284" s="949"/>
      <c r="BB284" s="949"/>
      <c r="BC284" s="949"/>
      <c r="BD284" s="949"/>
      <c r="BE284" s="949"/>
      <c r="BF284" s="949"/>
      <c r="BG284" s="948"/>
      <c r="BH284" s="948"/>
      <c r="BI284" s="948"/>
      <c r="BJ284" s="948"/>
      <c r="BK284" s="948"/>
      <c r="BL284" s="948"/>
      <c r="BM284" s="948"/>
      <c r="BN284" s="948"/>
      <c r="BO284" s="948"/>
      <c r="BP284" s="948"/>
      <c r="BQ284" s="948"/>
      <c r="BR284" s="948"/>
      <c r="BS284" s="948"/>
      <c r="BT284" s="948"/>
      <c r="BU284" s="954"/>
    </row>
    <row r="285" spans="1:73" ht="15.75" customHeight="1" x14ac:dyDescent="0.2">
      <c r="A285" s="947"/>
      <c r="B285" s="947"/>
      <c r="C285" s="947"/>
      <c r="D285" s="948"/>
      <c r="E285" s="948"/>
      <c r="F285" s="948"/>
      <c r="G285" s="948"/>
      <c r="H285" s="948"/>
      <c r="I285" s="948"/>
      <c r="J285" s="948"/>
      <c r="K285" s="949"/>
      <c r="L285" s="949"/>
      <c r="M285" s="949"/>
      <c r="N285" s="950"/>
      <c r="O285" s="948"/>
      <c r="P285" s="948"/>
      <c r="Q285" s="948"/>
      <c r="R285" s="949"/>
      <c r="S285" s="949"/>
      <c r="T285" s="949"/>
      <c r="U285" s="949"/>
      <c r="V285" s="949"/>
      <c r="W285" s="949"/>
      <c r="X285" s="951"/>
      <c r="Y285" s="951"/>
      <c r="Z285" s="952"/>
      <c r="AA285" s="953"/>
      <c r="AB285" s="948"/>
      <c r="AC285" s="948"/>
      <c r="AD285" s="949"/>
      <c r="AE285" s="949"/>
      <c r="AF285" s="949"/>
      <c r="AG285" s="949"/>
      <c r="AH285" s="949"/>
      <c r="AI285" s="949"/>
      <c r="AJ285" s="949"/>
      <c r="AK285" s="949"/>
      <c r="AL285" s="949"/>
      <c r="AM285" s="949"/>
      <c r="AN285" s="949"/>
      <c r="AO285" s="949"/>
      <c r="AP285" s="949"/>
      <c r="AQ285" s="949"/>
      <c r="AR285" s="949"/>
      <c r="AS285" s="949"/>
      <c r="AT285" s="949"/>
      <c r="AU285" s="949"/>
      <c r="AV285" s="949"/>
      <c r="AW285" s="949"/>
      <c r="AX285" s="949"/>
      <c r="AY285" s="949"/>
      <c r="AZ285" s="949"/>
      <c r="BA285" s="949"/>
      <c r="BB285" s="949"/>
      <c r="BC285" s="949"/>
      <c r="BD285" s="949"/>
      <c r="BE285" s="949"/>
      <c r="BF285" s="949"/>
      <c r="BG285" s="948"/>
      <c r="BH285" s="948"/>
      <c r="BI285" s="948"/>
      <c r="BJ285" s="948"/>
      <c r="BK285" s="948"/>
      <c r="BL285" s="948"/>
      <c r="BM285" s="948"/>
      <c r="BN285" s="948"/>
      <c r="BO285" s="948"/>
      <c r="BP285" s="948"/>
      <c r="BQ285" s="948"/>
      <c r="BR285" s="948"/>
      <c r="BS285" s="948"/>
      <c r="BT285" s="948"/>
      <c r="BU285" s="954"/>
    </row>
    <row r="286" spans="1:73" ht="15.75" customHeight="1" x14ac:dyDescent="0.2">
      <c r="A286" s="947"/>
      <c r="B286" s="947"/>
      <c r="C286" s="947"/>
      <c r="D286" s="948"/>
      <c r="E286" s="948"/>
      <c r="F286" s="948"/>
      <c r="G286" s="948"/>
      <c r="H286" s="948"/>
      <c r="I286" s="948"/>
      <c r="J286" s="948"/>
      <c r="K286" s="949"/>
      <c r="L286" s="949"/>
      <c r="M286" s="949"/>
      <c r="N286" s="950"/>
      <c r="O286" s="948"/>
      <c r="P286" s="948"/>
      <c r="Q286" s="948"/>
      <c r="R286" s="949"/>
      <c r="S286" s="949"/>
      <c r="T286" s="949"/>
      <c r="U286" s="949"/>
      <c r="V286" s="949"/>
      <c r="W286" s="949"/>
      <c r="X286" s="951"/>
      <c r="Y286" s="951"/>
      <c r="Z286" s="952"/>
      <c r="AA286" s="953"/>
      <c r="AB286" s="948"/>
      <c r="AC286" s="948"/>
      <c r="AD286" s="949"/>
      <c r="AE286" s="949"/>
      <c r="AF286" s="949"/>
      <c r="AG286" s="949"/>
      <c r="AH286" s="949"/>
      <c r="AI286" s="949"/>
      <c r="AJ286" s="949"/>
      <c r="AK286" s="949"/>
      <c r="AL286" s="949"/>
      <c r="AM286" s="949"/>
      <c r="AN286" s="949"/>
      <c r="AO286" s="949"/>
      <c r="AP286" s="949"/>
      <c r="AQ286" s="949"/>
      <c r="AR286" s="949"/>
      <c r="AS286" s="949"/>
      <c r="AT286" s="949"/>
      <c r="AU286" s="949"/>
      <c r="AV286" s="949"/>
      <c r="AW286" s="949"/>
      <c r="AX286" s="949"/>
      <c r="AY286" s="949"/>
      <c r="AZ286" s="949"/>
      <c r="BA286" s="949"/>
      <c r="BB286" s="949"/>
      <c r="BC286" s="949"/>
      <c r="BD286" s="949"/>
      <c r="BE286" s="949"/>
      <c r="BF286" s="949"/>
      <c r="BG286" s="948"/>
      <c r="BH286" s="948"/>
      <c r="BI286" s="948"/>
      <c r="BJ286" s="948"/>
      <c r="BK286" s="948"/>
      <c r="BL286" s="948"/>
      <c r="BM286" s="948"/>
      <c r="BN286" s="948"/>
      <c r="BO286" s="948"/>
      <c r="BP286" s="948"/>
      <c r="BQ286" s="948"/>
      <c r="BR286" s="948"/>
      <c r="BS286" s="948"/>
      <c r="BT286" s="948"/>
      <c r="BU286" s="954"/>
    </row>
    <row r="287" spans="1:73" ht="15.75" customHeight="1" x14ac:dyDescent="0.2">
      <c r="A287" s="947"/>
      <c r="B287" s="947"/>
      <c r="C287" s="947"/>
      <c r="D287" s="948"/>
      <c r="E287" s="948"/>
      <c r="F287" s="948"/>
      <c r="G287" s="948"/>
      <c r="H287" s="948"/>
      <c r="I287" s="948"/>
      <c r="J287" s="948"/>
      <c r="K287" s="949"/>
      <c r="L287" s="949"/>
      <c r="M287" s="949"/>
      <c r="N287" s="950"/>
      <c r="O287" s="948"/>
      <c r="P287" s="948"/>
      <c r="Q287" s="948"/>
      <c r="R287" s="949"/>
      <c r="S287" s="949"/>
      <c r="T287" s="949"/>
      <c r="U287" s="949"/>
      <c r="V287" s="949"/>
      <c r="W287" s="949"/>
      <c r="X287" s="951"/>
      <c r="Y287" s="951"/>
      <c r="Z287" s="952"/>
      <c r="AA287" s="953"/>
      <c r="AB287" s="948"/>
      <c r="AC287" s="948"/>
      <c r="AD287" s="949"/>
      <c r="AE287" s="949"/>
      <c r="AF287" s="949"/>
      <c r="AG287" s="949"/>
      <c r="AH287" s="949"/>
      <c r="AI287" s="949"/>
      <c r="AJ287" s="949"/>
      <c r="AK287" s="949"/>
      <c r="AL287" s="949"/>
      <c r="AM287" s="949"/>
      <c r="AN287" s="949"/>
      <c r="AO287" s="949"/>
      <c r="AP287" s="949"/>
      <c r="AQ287" s="949"/>
      <c r="AR287" s="949"/>
      <c r="AS287" s="949"/>
      <c r="AT287" s="949"/>
      <c r="AU287" s="949"/>
      <c r="AV287" s="949"/>
      <c r="AW287" s="949"/>
      <c r="AX287" s="949"/>
      <c r="AY287" s="949"/>
      <c r="AZ287" s="949"/>
      <c r="BA287" s="949"/>
      <c r="BB287" s="949"/>
      <c r="BC287" s="949"/>
      <c r="BD287" s="949"/>
      <c r="BE287" s="949"/>
      <c r="BF287" s="949"/>
      <c r="BG287" s="948"/>
      <c r="BH287" s="948"/>
      <c r="BI287" s="948"/>
      <c r="BJ287" s="948"/>
      <c r="BK287" s="948"/>
      <c r="BL287" s="948"/>
      <c r="BM287" s="948"/>
      <c r="BN287" s="948"/>
      <c r="BO287" s="948"/>
      <c r="BP287" s="948"/>
      <c r="BQ287" s="948"/>
      <c r="BR287" s="948"/>
      <c r="BS287" s="948"/>
      <c r="BT287" s="948"/>
      <c r="BU287" s="954"/>
    </row>
    <row r="288" spans="1:73" ht="15.75" customHeight="1" x14ac:dyDescent="0.2">
      <c r="A288" s="947"/>
      <c r="B288" s="947"/>
      <c r="C288" s="947"/>
      <c r="D288" s="948"/>
      <c r="E288" s="948"/>
      <c r="F288" s="948"/>
      <c r="G288" s="948"/>
      <c r="H288" s="948"/>
      <c r="I288" s="948"/>
      <c r="J288" s="948"/>
      <c r="K288" s="949"/>
      <c r="L288" s="949"/>
      <c r="M288" s="949"/>
      <c r="N288" s="950"/>
      <c r="O288" s="948"/>
      <c r="P288" s="948"/>
      <c r="Q288" s="948"/>
      <c r="R288" s="949"/>
      <c r="S288" s="949"/>
      <c r="T288" s="949"/>
      <c r="U288" s="949"/>
      <c r="V288" s="949"/>
      <c r="W288" s="949"/>
      <c r="X288" s="951"/>
      <c r="Y288" s="951"/>
      <c r="Z288" s="952"/>
      <c r="AA288" s="953"/>
      <c r="AB288" s="948"/>
      <c r="AC288" s="948"/>
      <c r="AD288" s="949"/>
      <c r="AE288" s="949"/>
      <c r="AF288" s="949"/>
      <c r="AG288" s="949"/>
      <c r="AH288" s="949"/>
      <c r="AI288" s="949"/>
      <c r="AJ288" s="949"/>
      <c r="AK288" s="949"/>
      <c r="AL288" s="949"/>
      <c r="AM288" s="949"/>
      <c r="AN288" s="949"/>
      <c r="AO288" s="949"/>
      <c r="AP288" s="949"/>
      <c r="AQ288" s="949"/>
      <c r="AR288" s="949"/>
      <c r="AS288" s="949"/>
      <c r="AT288" s="949"/>
      <c r="AU288" s="949"/>
      <c r="AV288" s="949"/>
      <c r="AW288" s="949"/>
      <c r="AX288" s="949"/>
      <c r="AY288" s="949"/>
      <c r="AZ288" s="949"/>
      <c r="BA288" s="949"/>
      <c r="BB288" s="949"/>
      <c r="BC288" s="949"/>
      <c r="BD288" s="949"/>
      <c r="BE288" s="949"/>
      <c r="BF288" s="949"/>
      <c r="BG288" s="948"/>
      <c r="BH288" s="948"/>
      <c r="BI288" s="948"/>
      <c r="BJ288" s="948"/>
      <c r="BK288" s="948"/>
      <c r="BL288" s="948"/>
      <c r="BM288" s="948"/>
      <c r="BN288" s="948"/>
      <c r="BO288" s="948"/>
      <c r="BP288" s="948"/>
      <c r="BQ288" s="948"/>
      <c r="BR288" s="948"/>
      <c r="BS288" s="948"/>
      <c r="BT288" s="948"/>
      <c r="BU288" s="954"/>
    </row>
    <row r="289" spans="1:73" ht="15.75" customHeight="1" x14ac:dyDescent="0.2">
      <c r="A289" s="947"/>
      <c r="B289" s="947"/>
      <c r="C289" s="947"/>
      <c r="D289" s="948"/>
      <c r="E289" s="948"/>
      <c r="F289" s="948"/>
      <c r="G289" s="948"/>
      <c r="H289" s="948"/>
      <c r="I289" s="948"/>
      <c r="J289" s="948"/>
      <c r="K289" s="949"/>
      <c r="L289" s="949"/>
      <c r="M289" s="949"/>
      <c r="N289" s="950"/>
      <c r="O289" s="948"/>
      <c r="P289" s="948"/>
      <c r="Q289" s="948"/>
      <c r="R289" s="949"/>
      <c r="S289" s="949"/>
      <c r="T289" s="949"/>
      <c r="U289" s="949"/>
      <c r="V289" s="949"/>
      <c r="W289" s="949"/>
      <c r="X289" s="951"/>
      <c r="Y289" s="951"/>
      <c r="Z289" s="952"/>
      <c r="AA289" s="953"/>
      <c r="AB289" s="948"/>
      <c r="AC289" s="948"/>
      <c r="AD289" s="949"/>
      <c r="AE289" s="949"/>
      <c r="AF289" s="949"/>
      <c r="AG289" s="949"/>
      <c r="AH289" s="949"/>
      <c r="AI289" s="949"/>
      <c r="AJ289" s="949"/>
      <c r="AK289" s="949"/>
      <c r="AL289" s="949"/>
      <c r="AM289" s="949"/>
      <c r="AN289" s="949"/>
      <c r="AO289" s="949"/>
      <c r="AP289" s="949"/>
      <c r="AQ289" s="949"/>
      <c r="AR289" s="949"/>
      <c r="AS289" s="949"/>
      <c r="AT289" s="949"/>
      <c r="AU289" s="949"/>
      <c r="AV289" s="949"/>
      <c r="AW289" s="949"/>
      <c r="AX289" s="949"/>
      <c r="AY289" s="949"/>
      <c r="AZ289" s="949"/>
      <c r="BA289" s="949"/>
      <c r="BB289" s="949"/>
      <c r="BC289" s="949"/>
      <c r="BD289" s="949"/>
      <c r="BE289" s="949"/>
      <c r="BF289" s="949"/>
      <c r="BG289" s="948"/>
      <c r="BH289" s="948"/>
      <c r="BI289" s="948"/>
      <c r="BJ289" s="948"/>
      <c r="BK289" s="948"/>
      <c r="BL289" s="948"/>
      <c r="BM289" s="948"/>
      <c r="BN289" s="948"/>
      <c r="BO289" s="948"/>
      <c r="BP289" s="948"/>
      <c r="BQ289" s="948"/>
      <c r="BR289" s="948"/>
      <c r="BS289" s="948"/>
      <c r="BT289" s="948"/>
      <c r="BU289" s="954"/>
    </row>
    <row r="290" spans="1:73" ht="15.75" customHeight="1" x14ac:dyDescent="0.2">
      <c r="A290" s="947"/>
      <c r="B290" s="947"/>
      <c r="C290" s="947"/>
      <c r="D290" s="948"/>
      <c r="E290" s="948"/>
      <c r="F290" s="948"/>
      <c r="G290" s="948"/>
      <c r="H290" s="948"/>
      <c r="I290" s="948"/>
      <c r="J290" s="948"/>
      <c r="K290" s="949"/>
      <c r="L290" s="949"/>
      <c r="M290" s="949"/>
      <c r="N290" s="950"/>
      <c r="O290" s="948"/>
      <c r="P290" s="948"/>
      <c r="Q290" s="948"/>
      <c r="R290" s="949"/>
      <c r="S290" s="949"/>
      <c r="T290" s="949"/>
      <c r="U290" s="949"/>
      <c r="V290" s="949"/>
      <c r="W290" s="949"/>
      <c r="X290" s="951"/>
      <c r="Y290" s="951"/>
      <c r="Z290" s="952"/>
      <c r="AA290" s="953"/>
      <c r="AB290" s="948"/>
      <c r="AC290" s="948"/>
      <c r="AD290" s="949"/>
      <c r="AE290" s="949"/>
      <c r="AF290" s="949"/>
      <c r="AG290" s="949"/>
      <c r="AH290" s="949"/>
      <c r="AI290" s="949"/>
      <c r="AJ290" s="949"/>
      <c r="AK290" s="949"/>
      <c r="AL290" s="949"/>
      <c r="AM290" s="949"/>
      <c r="AN290" s="949"/>
      <c r="AO290" s="949"/>
      <c r="AP290" s="949"/>
      <c r="AQ290" s="949"/>
      <c r="AR290" s="949"/>
      <c r="AS290" s="949"/>
      <c r="AT290" s="949"/>
      <c r="AU290" s="949"/>
      <c r="AV290" s="949"/>
      <c r="AW290" s="949"/>
      <c r="AX290" s="949"/>
      <c r="AY290" s="949"/>
      <c r="AZ290" s="949"/>
      <c r="BA290" s="949"/>
      <c r="BB290" s="949"/>
      <c r="BC290" s="949"/>
      <c r="BD290" s="949"/>
      <c r="BE290" s="949"/>
      <c r="BF290" s="949"/>
      <c r="BG290" s="948"/>
      <c r="BH290" s="948"/>
      <c r="BI290" s="948"/>
      <c r="BJ290" s="948"/>
      <c r="BK290" s="948"/>
      <c r="BL290" s="948"/>
      <c r="BM290" s="948"/>
      <c r="BN290" s="948"/>
      <c r="BO290" s="948"/>
      <c r="BP290" s="948"/>
      <c r="BQ290" s="948"/>
      <c r="BR290" s="948"/>
      <c r="BS290" s="948"/>
      <c r="BT290" s="948"/>
      <c r="BU290" s="954"/>
    </row>
    <row r="291" spans="1:73" ht="15.75" customHeight="1" x14ac:dyDescent="0.2">
      <c r="A291" s="947"/>
      <c r="B291" s="947"/>
      <c r="C291" s="947"/>
      <c r="D291" s="948"/>
      <c r="E291" s="948"/>
      <c r="F291" s="948"/>
      <c r="G291" s="948"/>
      <c r="H291" s="948"/>
      <c r="I291" s="948"/>
      <c r="J291" s="948"/>
      <c r="K291" s="949"/>
      <c r="L291" s="949"/>
      <c r="M291" s="949"/>
      <c r="N291" s="950"/>
      <c r="O291" s="948"/>
      <c r="P291" s="948"/>
      <c r="Q291" s="948"/>
      <c r="R291" s="949"/>
      <c r="S291" s="949"/>
      <c r="T291" s="949"/>
      <c r="U291" s="949"/>
      <c r="V291" s="949"/>
      <c r="W291" s="949"/>
      <c r="X291" s="951"/>
      <c r="Y291" s="951"/>
      <c r="Z291" s="952"/>
      <c r="AA291" s="953"/>
      <c r="AB291" s="948"/>
      <c r="AC291" s="948"/>
      <c r="AD291" s="949"/>
      <c r="AE291" s="949"/>
      <c r="AF291" s="949"/>
      <c r="AG291" s="949"/>
      <c r="AH291" s="949"/>
      <c r="AI291" s="949"/>
      <c r="AJ291" s="949"/>
      <c r="AK291" s="949"/>
      <c r="AL291" s="949"/>
      <c r="AM291" s="949"/>
      <c r="AN291" s="949"/>
      <c r="AO291" s="949"/>
      <c r="AP291" s="949"/>
      <c r="AQ291" s="949"/>
      <c r="AR291" s="949"/>
      <c r="AS291" s="949"/>
      <c r="AT291" s="949"/>
      <c r="AU291" s="949"/>
      <c r="AV291" s="949"/>
      <c r="AW291" s="949"/>
      <c r="AX291" s="949"/>
      <c r="AY291" s="949"/>
      <c r="AZ291" s="949"/>
      <c r="BA291" s="949"/>
      <c r="BB291" s="949"/>
      <c r="BC291" s="949"/>
      <c r="BD291" s="949"/>
      <c r="BE291" s="949"/>
      <c r="BF291" s="949"/>
      <c r="BG291" s="948"/>
      <c r="BH291" s="948"/>
      <c r="BI291" s="948"/>
      <c r="BJ291" s="948"/>
      <c r="BK291" s="948"/>
      <c r="BL291" s="948"/>
      <c r="BM291" s="948"/>
      <c r="BN291" s="948"/>
      <c r="BO291" s="948"/>
      <c r="BP291" s="948"/>
      <c r="BQ291" s="948"/>
      <c r="BR291" s="948"/>
      <c r="BS291" s="948"/>
      <c r="BT291" s="948"/>
      <c r="BU291" s="954"/>
    </row>
    <row r="292" spans="1:73" ht="15.75" customHeight="1" x14ac:dyDescent="0.2">
      <c r="A292" s="947"/>
      <c r="B292" s="947"/>
      <c r="C292" s="947"/>
      <c r="D292" s="948"/>
      <c r="E292" s="948"/>
      <c r="F292" s="948"/>
      <c r="G292" s="948"/>
      <c r="H292" s="948"/>
      <c r="I292" s="948"/>
      <c r="J292" s="948"/>
      <c r="K292" s="949"/>
      <c r="L292" s="949"/>
      <c r="M292" s="949"/>
      <c r="N292" s="950"/>
      <c r="O292" s="948"/>
      <c r="P292" s="948"/>
      <c r="Q292" s="948"/>
      <c r="R292" s="949"/>
      <c r="S292" s="949"/>
      <c r="T292" s="949"/>
      <c r="U292" s="949"/>
      <c r="V292" s="949"/>
      <c r="W292" s="949"/>
      <c r="X292" s="951"/>
      <c r="Y292" s="951"/>
      <c r="Z292" s="952"/>
      <c r="AA292" s="953"/>
      <c r="AB292" s="948"/>
      <c r="AC292" s="948"/>
      <c r="AD292" s="949"/>
      <c r="AE292" s="949"/>
      <c r="AF292" s="949"/>
      <c r="AG292" s="949"/>
      <c r="AH292" s="949"/>
      <c r="AI292" s="949"/>
      <c r="AJ292" s="949"/>
      <c r="AK292" s="949"/>
      <c r="AL292" s="949"/>
      <c r="AM292" s="949"/>
      <c r="AN292" s="949"/>
      <c r="AO292" s="949"/>
      <c r="AP292" s="949"/>
      <c r="AQ292" s="949"/>
      <c r="AR292" s="949"/>
      <c r="AS292" s="949"/>
      <c r="AT292" s="949"/>
      <c r="AU292" s="949"/>
      <c r="AV292" s="949"/>
      <c r="AW292" s="949"/>
      <c r="AX292" s="949"/>
      <c r="AY292" s="949"/>
      <c r="AZ292" s="949"/>
      <c r="BA292" s="949"/>
      <c r="BB292" s="949"/>
      <c r="BC292" s="949"/>
      <c r="BD292" s="949"/>
      <c r="BE292" s="949"/>
      <c r="BF292" s="949"/>
      <c r="BG292" s="948"/>
      <c r="BH292" s="948"/>
      <c r="BI292" s="948"/>
      <c r="BJ292" s="948"/>
      <c r="BK292" s="948"/>
      <c r="BL292" s="948"/>
      <c r="BM292" s="948"/>
      <c r="BN292" s="948"/>
      <c r="BO292" s="948"/>
      <c r="BP292" s="948"/>
      <c r="BQ292" s="948"/>
      <c r="BR292" s="948"/>
      <c r="BS292" s="948"/>
      <c r="BT292" s="948"/>
      <c r="BU292" s="954"/>
    </row>
    <row r="293" spans="1:73" ht="15.75" customHeight="1" x14ac:dyDescent="0.2">
      <c r="A293" s="947"/>
      <c r="B293" s="947"/>
      <c r="C293" s="947"/>
      <c r="D293" s="948"/>
      <c r="E293" s="948"/>
      <c r="F293" s="948"/>
      <c r="G293" s="948"/>
      <c r="H293" s="948"/>
      <c r="I293" s="948"/>
      <c r="J293" s="948"/>
      <c r="K293" s="949"/>
      <c r="L293" s="949"/>
      <c r="M293" s="949"/>
      <c r="N293" s="950"/>
      <c r="O293" s="948"/>
      <c r="P293" s="948"/>
      <c r="Q293" s="948"/>
      <c r="R293" s="949"/>
      <c r="S293" s="949"/>
      <c r="T293" s="949"/>
      <c r="U293" s="949"/>
      <c r="V293" s="949"/>
      <c r="W293" s="949"/>
      <c r="X293" s="951"/>
      <c r="Y293" s="951"/>
      <c r="Z293" s="952"/>
      <c r="AA293" s="953"/>
      <c r="AB293" s="948"/>
      <c r="AC293" s="948"/>
      <c r="AD293" s="949"/>
      <c r="AE293" s="949"/>
      <c r="AF293" s="949"/>
      <c r="AG293" s="949"/>
      <c r="AH293" s="949"/>
      <c r="AI293" s="949"/>
      <c r="AJ293" s="949"/>
      <c r="AK293" s="949"/>
      <c r="AL293" s="949"/>
      <c r="AM293" s="949"/>
      <c r="AN293" s="949"/>
      <c r="AO293" s="949"/>
      <c r="AP293" s="949"/>
      <c r="AQ293" s="949"/>
      <c r="AR293" s="949"/>
      <c r="AS293" s="949"/>
      <c r="AT293" s="949"/>
      <c r="AU293" s="949"/>
      <c r="AV293" s="949"/>
      <c r="AW293" s="949"/>
      <c r="AX293" s="949"/>
      <c r="AY293" s="949"/>
      <c r="AZ293" s="949"/>
      <c r="BA293" s="949"/>
      <c r="BB293" s="949"/>
      <c r="BC293" s="949"/>
      <c r="BD293" s="949"/>
      <c r="BE293" s="949"/>
      <c r="BF293" s="949"/>
      <c r="BG293" s="948"/>
      <c r="BH293" s="948"/>
      <c r="BI293" s="948"/>
      <c r="BJ293" s="948"/>
      <c r="BK293" s="948"/>
      <c r="BL293" s="948"/>
      <c r="BM293" s="948"/>
      <c r="BN293" s="948"/>
      <c r="BO293" s="948"/>
      <c r="BP293" s="948"/>
      <c r="BQ293" s="948"/>
      <c r="BR293" s="948"/>
      <c r="BS293" s="948"/>
      <c r="BT293" s="948"/>
      <c r="BU293" s="954"/>
    </row>
    <row r="294" spans="1:73" ht="15.75" customHeight="1" x14ac:dyDescent="0.2">
      <c r="A294" s="947"/>
      <c r="B294" s="947"/>
      <c r="C294" s="947"/>
      <c r="D294" s="948"/>
      <c r="E294" s="948"/>
      <c r="F294" s="948"/>
      <c r="G294" s="948"/>
      <c r="H294" s="948"/>
      <c r="I294" s="948"/>
      <c r="J294" s="948"/>
      <c r="K294" s="949"/>
      <c r="L294" s="949"/>
      <c r="M294" s="949"/>
      <c r="N294" s="950"/>
      <c r="O294" s="948"/>
      <c r="P294" s="948"/>
      <c r="Q294" s="948"/>
      <c r="R294" s="949"/>
      <c r="S294" s="949"/>
      <c r="T294" s="949"/>
      <c r="U294" s="949"/>
      <c r="V294" s="949"/>
      <c r="W294" s="949"/>
      <c r="X294" s="951"/>
      <c r="Y294" s="951"/>
      <c r="Z294" s="952"/>
      <c r="AA294" s="953"/>
      <c r="AB294" s="948"/>
      <c r="AC294" s="948"/>
      <c r="AD294" s="949"/>
      <c r="AE294" s="949"/>
      <c r="AF294" s="949"/>
      <c r="AG294" s="949"/>
      <c r="AH294" s="949"/>
      <c r="AI294" s="949"/>
      <c r="AJ294" s="949"/>
      <c r="AK294" s="949"/>
      <c r="AL294" s="949"/>
      <c r="AM294" s="949"/>
      <c r="AN294" s="949"/>
      <c r="AO294" s="949"/>
      <c r="AP294" s="949"/>
      <c r="AQ294" s="949"/>
      <c r="AR294" s="949"/>
      <c r="AS294" s="949"/>
      <c r="AT294" s="949"/>
      <c r="AU294" s="949"/>
      <c r="AV294" s="949"/>
      <c r="AW294" s="949"/>
      <c r="AX294" s="949"/>
      <c r="AY294" s="949"/>
      <c r="AZ294" s="949"/>
      <c r="BA294" s="949"/>
      <c r="BB294" s="949"/>
      <c r="BC294" s="949"/>
      <c r="BD294" s="949"/>
      <c r="BE294" s="949"/>
      <c r="BF294" s="949"/>
      <c r="BG294" s="948"/>
      <c r="BH294" s="948"/>
      <c r="BI294" s="948"/>
      <c r="BJ294" s="948"/>
      <c r="BK294" s="948"/>
      <c r="BL294" s="948"/>
      <c r="BM294" s="948"/>
      <c r="BN294" s="948"/>
      <c r="BO294" s="948"/>
      <c r="BP294" s="948"/>
      <c r="BQ294" s="948"/>
      <c r="BR294" s="948"/>
      <c r="BS294" s="948"/>
      <c r="BT294" s="948"/>
      <c r="BU294" s="954"/>
    </row>
    <row r="295" spans="1:73" ht="15.75" customHeight="1" x14ac:dyDescent="0.2">
      <c r="A295" s="947"/>
      <c r="B295" s="947"/>
      <c r="C295" s="947"/>
      <c r="D295" s="948"/>
      <c r="E295" s="948"/>
      <c r="F295" s="948"/>
      <c r="G295" s="948"/>
      <c r="H295" s="948"/>
      <c r="I295" s="948"/>
      <c r="J295" s="948"/>
      <c r="K295" s="949"/>
      <c r="L295" s="949"/>
      <c r="M295" s="949"/>
      <c r="N295" s="950"/>
      <c r="O295" s="948"/>
      <c r="P295" s="948"/>
      <c r="Q295" s="948"/>
      <c r="R295" s="949"/>
      <c r="S295" s="949"/>
      <c r="T295" s="949"/>
      <c r="U295" s="949"/>
      <c r="V295" s="949"/>
      <c r="W295" s="949"/>
      <c r="X295" s="951"/>
      <c r="Y295" s="951"/>
      <c r="Z295" s="952"/>
      <c r="AA295" s="953"/>
      <c r="AB295" s="948"/>
      <c r="AC295" s="948"/>
      <c r="AD295" s="949"/>
      <c r="AE295" s="949"/>
      <c r="AF295" s="949"/>
      <c r="AG295" s="949"/>
      <c r="AH295" s="949"/>
      <c r="AI295" s="949"/>
      <c r="AJ295" s="949"/>
      <c r="AK295" s="949"/>
      <c r="AL295" s="949"/>
      <c r="AM295" s="949"/>
      <c r="AN295" s="949"/>
      <c r="AO295" s="949"/>
      <c r="AP295" s="949"/>
      <c r="AQ295" s="949"/>
      <c r="AR295" s="949"/>
      <c r="AS295" s="949"/>
      <c r="AT295" s="949"/>
      <c r="AU295" s="949"/>
      <c r="AV295" s="949"/>
      <c r="AW295" s="949"/>
      <c r="AX295" s="949"/>
      <c r="AY295" s="949"/>
      <c r="AZ295" s="949"/>
      <c r="BA295" s="949"/>
      <c r="BB295" s="949"/>
      <c r="BC295" s="949"/>
      <c r="BD295" s="949"/>
      <c r="BE295" s="949"/>
      <c r="BF295" s="949"/>
      <c r="BG295" s="948"/>
      <c r="BH295" s="948"/>
      <c r="BI295" s="948"/>
      <c r="BJ295" s="948"/>
      <c r="BK295" s="948"/>
      <c r="BL295" s="948"/>
      <c r="BM295" s="948"/>
      <c r="BN295" s="948"/>
      <c r="BO295" s="948"/>
      <c r="BP295" s="948"/>
      <c r="BQ295" s="948"/>
      <c r="BR295" s="948"/>
      <c r="BS295" s="948"/>
      <c r="BT295" s="948"/>
      <c r="BU295" s="954"/>
    </row>
    <row r="296" spans="1:73" ht="15.75" customHeight="1" x14ac:dyDescent="0.2">
      <c r="A296" s="947"/>
      <c r="B296" s="947"/>
      <c r="C296" s="947"/>
      <c r="D296" s="948"/>
      <c r="E296" s="948"/>
      <c r="F296" s="948"/>
      <c r="G296" s="948"/>
      <c r="H296" s="948"/>
      <c r="I296" s="948"/>
      <c r="J296" s="948"/>
      <c r="K296" s="949"/>
      <c r="L296" s="949"/>
      <c r="M296" s="949"/>
      <c r="N296" s="950"/>
      <c r="O296" s="948"/>
      <c r="P296" s="948"/>
      <c r="Q296" s="948"/>
      <c r="R296" s="949"/>
      <c r="S296" s="949"/>
      <c r="T296" s="949"/>
      <c r="U296" s="949"/>
      <c r="V296" s="949"/>
      <c r="W296" s="949"/>
      <c r="X296" s="951"/>
      <c r="Y296" s="951"/>
      <c r="Z296" s="952"/>
      <c r="AA296" s="953"/>
      <c r="AB296" s="948"/>
      <c r="AC296" s="948"/>
      <c r="AD296" s="949"/>
      <c r="AE296" s="949"/>
      <c r="AF296" s="949"/>
      <c r="AG296" s="949"/>
      <c r="AH296" s="949"/>
      <c r="AI296" s="949"/>
      <c r="AJ296" s="949"/>
      <c r="AK296" s="949"/>
      <c r="AL296" s="949"/>
      <c r="AM296" s="949"/>
      <c r="AN296" s="949"/>
      <c r="AO296" s="949"/>
      <c r="AP296" s="949"/>
      <c r="AQ296" s="949"/>
      <c r="AR296" s="949"/>
      <c r="AS296" s="949"/>
      <c r="AT296" s="949"/>
      <c r="AU296" s="949"/>
      <c r="AV296" s="949"/>
      <c r="AW296" s="949"/>
      <c r="AX296" s="949"/>
      <c r="AY296" s="949"/>
      <c r="AZ296" s="949"/>
      <c r="BA296" s="949"/>
      <c r="BB296" s="949"/>
      <c r="BC296" s="949"/>
      <c r="BD296" s="949"/>
      <c r="BE296" s="949"/>
      <c r="BF296" s="949"/>
      <c r="BG296" s="948"/>
      <c r="BH296" s="948"/>
      <c r="BI296" s="948"/>
      <c r="BJ296" s="948"/>
      <c r="BK296" s="948"/>
      <c r="BL296" s="948"/>
      <c r="BM296" s="948"/>
      <c r="BN296" s="948"/>
      <c r="BO296" s="948"/>
      <c r="BP296" s="948"/>
      <c r="BQ296" s="948"/>
      <c r="BR296" s="948"/>
      <c r="BS296" s="948"/>
      <c r="BT296" s="948"/>
      <c r="BU296" s="954"/>
    </row>
    <row r="297" spans="1:73" ht="15.75" customHeight="1" x14ac:dyDescent="0.2">
      <c r="A297" s="947"/>
      <c r="B297" s="947"/>
      <c r="C297" s="947"/>
      <c r="D297" s="948"/>
      <c r="E297" s="948"/>
      <c r="F297" s="948"/>
      <c r="G297" s="948"/>
      <c r="H297" s="948"/>
      <c r="I297" s="948"/>
      <c r="J297" s="948"/>
      <c r="K297" s="949"/>
      <c r="L297" s="949"/>
      <c r="M297" s="949"/>
      <c r="N297" s="950"/>
      <c r="O297" s="948"/>
      <c r="P297" s="948"/>
      <c r="Q297" s="948"/>
      <c r="R297" s="949"/>
      <c r="S297" s="949"/>
      <c r="T297" s="949"/>
      <c r="U297" s="949"/>
      <c r="V297" s="949"/>
      <c r="W297" s="949"/>
      <c r="X297" s="951"/>
      <c r="Y297" s="951"/>
      <c r="Z297" s="952"/>
      <c r="AA297" s="953"/>
      <c r="AB297" s="948"/>
      <c r="AC297" s="948"/>
      <c r="AD297" s="949"/>
      <c r="AE297" s="949"/>
      <c r="AF297" s="949"/>
      <c r="AG297" s="949"/>
      <c r="AH297" s="949"/>
      <c r="AI297" s="949"/>
      <c r="AJ297" s="949"/>
      <c r="AK297" s="949"/>
      <c r="AL297" s="949"/>
      <c r="AM297" s="949"/>
      <c r="AN297" s="949"/>
      <c r="AO297" s="949"/>
      <c r="AP297" s="949"/>
      <c r="AQ297" s="949"/>
      <c r="AR297" s="949"/>
      <c r="AS297" s="949"/>
      <c r="AT297" s="949"/>
      <c r="AU297" s="949"/>
      <c r="AV297" s="949"/>
      <c r="AW297" s="949"/>
      <c r="AX297" s="949"/>
      <c r="AY297" s="949"/>
      <c r="AZ297" s="949"/>
      <c r="BA297" s="949"/>
      <c r="BB297" s="949"/>
      <c r="BC297" s="949"/>
      <c r="BD297" s="949"/>
      <c r="BE297" s="949"/>
      <c r="BF297" s="949"/>
      <c r="BG297" s="948"/>
      <c r="BH297" s="948"/>
      <c r="BI297" s="948"/>
      <c r="BJ297" s="948"/>
      <c r="BK297" s="948"/>
      <c r="BL297" s="948"/>
      <c r="BM297" s="948"/>
      <c r="BN297" s="948"/>
      <c r="BO297" s="948"/>
      <c r="BP297" s="948"/>
      <c r="BQ297" s="948"/>
      <c r="BR297" s="948"/>
      <c r="BS297" s="948"/>
      <c r="BT297" s="948"/>
      <c r="BU297" s="954"/>
    </row>
    <row r="298" spans="1:73" ht="15.75" customHeight="1" x14ac:dyDescent="0.2">
      <c r="A298" s="947"/>
      <c r="B298" s="947"/>
      <c r="C298" s="947"/>
      <c r="D298" s="948"/>
      <c r="E298" s="948"/>
      <c r="F298" s="948"/>
      <c r="G298" s="948"/>
      <c r="H298" s="948"/>
      <c r="I298" s="948"/>
      <c r="J298" s="948"/>
      <c r="K298" s="949"/>
      <c r="L298" s="949"/>
      <c r="M298" s="949"/>
      <c r="N298" s="950"/>
      <c r="O298" s="948"/>
      <c r="P298" s="948"/>
      <c r="Q298" s="948"/>
      <c r="R298" s="949"/>
      <c r="S298" s="949"/>
      <c r="T298" s="949"/>
      <c r="U298" s="949"/>
      <c r="V298" s="949"/>
      <c r="W298" s="949"/>
      <c r="X298" s="951"/>
      <c r="Y298" s="951"/>
      <c r="Z298" s="952"/>
      <c r="AA298" s="953"/>
      <c r="AB298" s="948"/>
      <c r="AC298" s="948"/>
      <c r="AD298" s="949"/>
      <c r="AE298" s="949"/>
      <c r="AF298" s="949"/>
      <c r="AG298" s="949"/>
      <c r="AH298" s="949"/>
      <c r="AI298" s="949"/>
      <c r="AJ298" s="949"/>
      <c r="AK298" s="949"/>
      <c r="AL298" s="949"/>
      <c r="AM298" s="949"/>
      <c r="AN298" s="949"/>
      <c r="AO298" s="949"/>
      <c r="AP298" s="949"/>
      <c r="AQ298" s="949"/>
      <c r="AR298" s="949"/>
      <c r="AS298" s="949"/>
      <c r="AT298" s="949"/>
      <c r="AU298" s="949"/>
      <c r="AV298" s="949"/>
      <c r="AW298" s="949"/>
      <c r="AX298" s="949"/>
      <c r="AY298" s="949"/>
      <c r="AZ298" s="949"/>
      <c r="BA298" s="949"/>
      <c r="BB298" s="949"/>
      <c r="BC298" s="949"/>
      <c r="BD298" s="949"/>
      <c r="BE298" s="949"/>
      <c r="BF298" s="949"/>
      <c r="BG298" s="948"/>
      <c r="BH298" s="948"/>
      <c r="BI298" s="948"/>
      <c r="BJ298" s="948"/>
      <c r="BK298" s="948"/>
      <c r="BL298" s="948"/>
      <c r="BM298" s="948"/>
      <c r="BN298" s="948"/>
      <c r="BO298" s="948"/>
      <c r="BP298" s="948"/>
      <c r="BQ298" s="948"/>
      <c r="BR298" s="948"/>
      <c r="BS298" s="948"/>
      <c r="BT298" s="948"/>
      <c r="BU298" s="954"/>
    </row>
    <row r="299" spans="1:73" ht="15.75" customHeight="1" x14ac:dyDescent="0.2">
      <c r="A299" s="947"/>
      <c r="B299" s="947"/>
      <c r="C299" s="947"/>
      <c r="D299" s="948"/>
      <c r="E299" s="948"/>
      <c r="F299" s="948"/>
      <c r="G299" s="948"/>
      <c r="H299" s="948"/>
      <c r="I299" s="948"/>
      <c r="J299" s="948"/>
      <c r="K299" s="949"/>
      <c r="L299" s="949"/>
      <c r="M299" s="949"/>
      <c r="N299" s="950"/>
      <c r="O299" s="948"/>
      <c r="P299" s="948"/>
      <c r="Q299" s="948"/>
      <c r="R299" s="949"/>
      <c r="S299" s="949"/>
      <c r="T299" s="949"/>
      <c r="U299" s="949"/>
      <c r="V299" s="949"/>
      <c r="W299" s="949"/>
      <c r="X299" s="951"/>
      <c r="Y299" s="951"/>
      <c r="Z299" s="952"/>
      <c r="AA299" s="953"/>
      <c r="AB299" s="948"/>
      <c r="AC299" s="948"/>
      <c r="AD299" s="949"/>
      <c r="AE299" s="949"/>
      <c r="AF299" s="949"/>
      <c r="AG299" s="949"/>
      <c r="AH299" s="949"/>
      <c r="AI299" s="949"/>
      <c r="AJ299" s="949"/>
      <c r="AK299" s="949"/>
      <c r="AL299" s="949"/>
      <c r="AM299" s="949"/>
      <c r="AN299" s="949"/>
      <c r="AO299" s="949"/>
      <c r="AP299" s="949"/>
      <c r="AQ299" s="949"/>
      <c r="AR299" s="949"/>
      <c r="AS299" s="949"/>
      <c r="AT299" s="949"/>
      <c r="AU299" s="949"/>
      <c r="AV299" s="949"/>
      <c r="AW299" s="949"/>
      <c r="AX299" s="949"/>
      <c r="AY299" s="949"/>
      <c r="AZ299" s="949"/>
      <c r="BA299" s="949"/>
      <c r="BB299" s="949"/>
      <c r="BC299" s="949"/>
      <c r="BD299" s="949"/>
      <c r="BE299" s="949"/>
      <c r="BF299" s="949"/>
      <c r="BG299" s="948"/>
      <c r="BH299" s="948"/>
      <c r="BI299" s="948"/>
      <c r="BJ299" s="948"/>
      <c r="BK299" s="948"/>
      <c r="BL299" s="948"/>
      <c r="BM299" s="948"/>
      <c r="BN299" s="948"/>
      <c r="BO299" s="948"/>
      <c r="BP299" s="948"/>
      <c r="BQ299" s="948"/>
      <c r="BR299" s="948"/>
      <c r="BS299" s="948"/>
      <c r="BT299" s="948"/>
      <c r="BU299" s="954"/>
    </row>
    <row r="300" spans="1:73" ht="15.75" customHeight="1" x14ac:dyDescent="0.2">
      <c r="A300" s="947"/>
      <c r="B300" s="947"/>
      <c r="C300" s="947"/>
      <c r="D300" s="948"/>
      <c r="E300" s="948"/>
      <c r="F300" s="948"/>
      <c r="G300" s="948"/>
      <c r="H300" s="948"/>
      <c r="I300" s="948"/>
      <c r="J300" s="948"/>
      <c r="K300" s="949"/>
      <c r="L300" s="949"/>
      <c r="M300" s="949"/>
      <c r="N300" s="950"/>
      <c r="O300" s="948"/>
      <c r="P300" s="948"/>
      <c r="Q300" s="948"/>
      <c r="R300" s="949"/>
      <c r="S300" s="949"/>
      <c r="T300" s="949"/>
      <c r="U300" s="949"/>
      <c r="V300" s="949"/>
      <c r="W300" s="949"/>
      <c r="X300" s="951"/>
      <c r="Y300" s="951"/>
      <c r="Z300" s="952"/>
      <c r="AA300" s="953"/>
      <c r="AB300" s="948"/>
      <c r="AC300" s="948"/>
      <c r="AD300" s="949"/>
      <c r="AE300" s="949"/>
      <c r="AF300" s="949"/>
      <c r="AG300" s="949"/>
      <c r="AH300" s="949"/>
      <c r="AI300" s="949"/>
      <c r="AJ300" s="949"/>
      <c r="AK300" s="949"/>
      <c r="AL300" s="949"/>
      <c r="AM300" s="949"/>
      <c r="AN300" s="949"/>
      <c r="AO300" s="949"/>
      <c r="AP300" s="949"/>
      <c r="AQ300" s="949"/>
      <c r="AR300" s="949"/>
      <c r="AS300" s="949"/>
      <c r="AT300" s="949"/>
      <c r="AU300" s="949"/>
      <c r="AV300" s="949"/>
      <c r="AW300" s="949"/>
      <c r="AX300" s="949"/>
      <c r="AY300" s="949"/>
      <c r="AZ300" s="949"/>
      <c r="BA300" s="949"/>
      <c r="BB300" s="949"/>
      <c r="BC300" s="949"/>
      <c r="BD300" s="949"/>
      <c r="BE300" s="949"/>
      <c r="BF300" s="949"/>
      <c r="BG300" s="948"/>
      <c r="BH300" s="948"/>
      <c r="BI300" s="948"/>
      <c r="BJ300" s="948"/>
      <c r="BK300" s="948"/>
      <c r="BL300" s="948"/>
      <c r="BM300" s="948"/>
      <c r="BN300" s="948"/>
      <c r="BO300" s="948"/>
      <c r="BP300" s="948"/>
      <c r="BQ300" s="948"/>
      <c r="BR300" s="948"/>
      <c r="BS300" s="948"/>
      <c r="BT300" s="948"/>
      <c r="BU300" s="954"/>
    </row>
    <row r="301" spans="1:73" ht="15.75" customHeight="1" x14ac:dyDescent="0.2">
      <c r="A301" s="947"/>
      <c r="B301" s="947"/>
      <c r="C301" s="947"/>
      <c r="D301" s="948"/>
      <c r="E301" s="948"/>
      <c r="F301" s="948"/>
      <c r="G301" s="948"/>
      <c r="H301" s="948"/>
      <c r="I301" s="948"/>
      <c r="J301" s="948"/>
      <c r="K301" s="949"/>
      <c r="L301" s="949"/>
      <c r="M301" s="949"/>
      <c r="N301" s="950"/>
      <c r="O301" s="948"/>
      <c r="P301" s="948"/>
      <c r="Q301" s="948"/>
      <c r="R301" s="949"/>
      <c r="S301" s="949"/>
      <c r="T301" s="949"/>
      <c r="U301" s="949"/>
      <c r="V301" s="949"/>
      <c r="W301" s="949"/>
      <c r="X301" s="951"/>
      <c r="Y301" s="951"/>
      <c r="Z301" s="952"/>
      <c r="AA301" s="953"/>
      <c r="AB301" s="948"/>
      <c r="AC301" s="948"/>
      <c r="AD301" s="949"/>
      <c r="AE301" s="949"/>
      <c r="AF301" s="949"/>
      <c r="AG301" s="949"/>
      <c r="AH301" s="949"/>
      <c r="AI301" s="949"/>
      <c r="AJ301" s="949"/>
      <c r="AK301" s="949"/>
      <c r="AL301" s="949"/>
      <c r="AM301" s="949"/>
      <c r="AN301" s="949"/>
      <c r="AO301" s="949"/>
      <c r="AP301" s="949"/>
      <c r="AQ301" s="949"/>
      <c r="AR301" s="949"/>
      <c r="AS301" s="949"/>
      <c r="AT301" s="949"/>
      <c r="AU301" s="949"/>
      <c r="AV301" s="949"/>
      <c r="AW301" s="949"/>
      <c r="AX301" s="949"/>
      <c r="AY301" s="949"/>
      <c r="AZ301" s="949"/>
      <c r="BA301" s="949"/>
      <c r="BB301" s="949"/>
      <c r="BC301" s="949"/>
      <c r="BD301" s="949"/>
      <c r="BE301" s="949"/>
      <c r="BF301" s="949"/>
      <c r="BG301" s="948"/>
      <c r="BH301" s="948"/>
      <c r="BI301" s="948"/>
      <c r="BJ301" s="948"/>
      <c r="BK301" s="948"/>
      <c r="BL301" s="948"/>
      <c r="BM301" s="948"/>
      <c r="BN301" s="948"/>
      <c r="BO301" s="948"/>
      <c r="BP301" s="948"/>
      <c r="BQ301" s="948"/>
      <c r="BR301" s="948"/>
      <c r="BS301" s="948"/>
      <c r="BT301" s="948"/>
      <c r="BU301" s="954"/>
    </row>
    <row r="302" spans="1:73" ht="15.75" customHeight="1" x14ac:dyDescent="0.2">
      <c r="A302" s="947"/>
      <c r="B302" s="947"/>
      <c r="C302" s="947"/>
      <c r="D302" s="948"/>
      <c r="E302" s="948"/>
      <c r="F302" s="948"/>
      <c r="G302" s="948"/>
      <c r="H302" s="948"/>
      <c r="I302" s="948"/>
      <c r="J302" s="948"/>
      <c r="K302" s="949"/>
      <c r="L302" s="949"/>
      <c r="M302" s="949"/>
      <c r="N302" s="950"/>
      <c r="O302" s="948"/>
      <c r="P302" s="948"/>
      <c r="Q302" s="948"/>
      <c r="R302" s="949"/>
      <c r="S302" s="949"/>
      <c r="T302" s="949"/>
      <c r="U302" s="949"/>
      <c r="V302" s="949"/>
      <c r="W302" s="949"/>
      <c r="X302" s="951"/>
      <c r="Y302" s="951"/>
      <c r="Z302" s="952"/>
      <c r="AA302" s="953"/>
      <c r="AB302" s="948"/>
      <c r="AC302" s="948"/>
      <c r="AD302" s="949"/>
      <c r="AE302" s="949"/>
      <c r="AF302" s="949"/>
      <c r="AG302" s="949"/>
      <c r="AH302" s="949"/>
      <c r="AI302" s="949"/>
      <c r="AJ302" s="949"/>
      <c r="AK302" s="949"/>
      <c r="AL302" s="949"/>
      <c r="AM302" s="949"/>
      <c r="AN302" s="949"/>
      <c r="AO302" s="949"/>
      <c r="AP302" s="949"/>
      <c r="AQ302" s="949"/>
      <c r="AR302" s="949"/>
      <c r="AS302" s="949"/>
      <c r="AT302" s="949"/>
      <c r="AU302" s="949"/>
      <c r="AV302" s="949"/>
      <c r="AW302" s="949"/>
      <c r="AX302" s="949"/>
      <c r="AY302" s="949"/>
      <c r="AZ302" s="949"/>
      <c r="BA302" s="949"/>
      <c r="BB302" s="949"/>
      <c r="BC302" s="949"/>
      <c r="BD302" s="949"/>
      <c r="BE302" s="949"/>
      <c r="BF302" s="949"/>
      <c r="BG302" s="948"/>
      <c r="BH302" s="948"/>
      <c r="BI302" s="948"/>
      <c r="BJ302" s="948"/>
      <c r="BK302" s="948"/>
      <c r="BL302" s="948"/>
      <c r="BM302" s="948"/>
      <c r="BN302" s="948"/>
      <c r="BO302" s="948"/>
      <c r="BP302" s="948"/>
      <c r="BQ302" s="948"/>
      <c r="BR302" s="948"/>
      <c r="BS302" s="948"/>
      <c r="BT302" s="948"/>
      <c r="BU302" s="954"/>
    </row>
    <row r="303" spans="1:73" ht="15.75" customHeight="1" x14ac:dyDescent="0.2">
      <c r="A303" s="947"/>
      <c r="B303" s="947"/>
      <c r="C303" s="947"/>
      <c r="D303" s="948"/>
      <c r="E303" s="948"/>
      <c r="F303" s="948"/>
      <c r="G303" s="948"/>
      <c r="H303" s="948"/>
      <c r="I303" s="948"/>
      <c r="J303" s="948"/>
      <c r="K303" s="949"/>
      <c r="L303" s="949"/>
      <c r="M303" s="949"/>
      <c r="N303" s="950"/>
      <c r="O303" s="948"/>
      <c r="P303" s="948"/>
      <c r="Q303" s="948"/>
      <c r="R303" s="949"/>
      <c r="S303" s="949"/>
      <c r="T303" s="949"/>
      <c r="U303" s="949"/>
      <c r="V303" s="949"/>
      <c r="W303" s="949"/>
      <c r="X303" s="951"/>
      <c r="Y303" s="951"/>
      <c r="Z303" s="952"/>
      <c r="AA303" s="953"/>
      <c r="AB303" s="948"/>
      <c r="AC303" s="948"/>
      <c r="AD303" s="949"/>
      <c r="AE303" s="949"/>
      <c r="AF303" s="949"/>
      <c r="AG303" s="949"/>
      <c r="AH303" s="949"/>
      <c r="AI303" s="949"/>
      <c r="AJ303" s="949"/>
      <c r="AK303" s="949"/>
      <c r="AL303" s="949"/>
      <c r="AM303" s="949"/>
      <c r="AN303" s="949"/>
      <c r="AO303" s="949"/>
      <c r="AP303" s="949"/>
      <c r="AQ303" s="949"/>
      <c r="AR303" s="949"/>
      <c r="AS303" s="949"/>
      <c r="AT303" s="949"/>
      <c r="AU303" s="949"/>
      <c r="AV303" s="949"/>
      <c r="AW303" s="949"/>
      <c r="AX303" s="949"/>
      <c r="AY303" s="949"/>
      <c r="AZ303" s="949"/>
      <c r="BA303" s="949"/>
      <c r="BB303" s="949"/>
      <c r="BC303" s="949"/>
      <c r="BD303" s="949"/>
      <c r="BE303" s="949"/>
      <c r="BF303" s="949"/>
      <c r="BG303" s="948"/>
      <c r="BH303" s="948"/>
      <c r="BI303" s="948"/>
      <c r="BJ303" s="948"/>
      <c r="BK303" s="948"/>
      <c r="BL303" s="948"/>
      <c r="BM303" s="948"/>
      <c r="BN303" s="948"/>
      <c r="BO303" s="948"/>
      <c r="BP303" s="948"/>
      <c r="BQ303" s="948"/>
      <c r="BR303" s="948"/>
      <c r="BS303" s="948"/>
      <c r="BT303" s="948"/>
      <c r="BU303" s="954"/>
    </row>
    <row r="304" spans="1:73" ht="15.75" customHeight="1" x14ac:dyDescent="0.2">
      <c r="A304" s="947"/>
      <c r="B304" s="947"/>
      <c r="C304" s="947"/>
      <c r="D304" s="948"/>
      <c r="E304" s="948"/>
      <c r="F304" s="948"/>
      <c r="G304" s="948"/>
      <c r="H304" s="948"/>
      <c r="I304" s="948"/>
      <c r="J304" s="948"/>
      <c r="K304" s="949"/>
      <c r="L304" s="949"/>
      <c r="M304" s="949"/>
      <c r="N304" s="950"/>
      <c r="O304" s="948"/>
      <c r="P304" s="948"/>
      <c r="Q304" s="948"/>
      <c r="R304" s="949"/>
      <c r="S304" s="949"/>
      <c r="T304" s="949"/>
      <c r="U304" s="949"/>
      <c r="V304" s="949"/>
      <c r="W304" s="949"/>
      <c r="X304" s="951"/>
      <c r="Y304" s="951"/>
      <c r="Z304" s="952"/>
      <c r="AA304" s="953"/>
      <c r="AB304" s="948"/>
      <c r="AC304" s="948"/>
      <c r="AD304" s="949"/>
      <c r="AE304" s="949"/>
      <c r="AF304" s="949"/>
      <c r="AG304" s="949"/>
      <c r="AH304" s="949"/>
      <c r="AI304" s="949"/>
      <c r="AJ304" s="949"/>
      <c r="AK304" s="949"/>
      <c r="AL304" s="949"/>
      <c r="AM304" s="949"/>
      <c r="AN304" s="949"/>
      <c r="AO304" s="949"/>
      <c r="AP304" s="949"/>
      <c r="AQ304" s="949"/>
      <c r="AR304" s="949"/>
      <c r="AS304" s="949"/>
      <c r="AT304" s="949"/>
      <c r="AU304" s="949"/>
      <c r="AV304" s="949"/>
      <c r="AW304" s="949"/>
      <c r="AX304" s="949"/>
      <c r="AY304" s="949"/>
      <c r="AZ304" s="949"/>
      <c r="BA304" s="949"/>
      <c r="BB304" s="949"/>
      <c r="BC304" s="949"/>
      <c r="BD304" s="949"/>
      <c r="BE304" s="949"/>
      <c r="BF304" s="949"/>
      <c r="BG304" s="948"/>
      <c r="BH304" s="948"/>
      <c r="BI304" s="948"/>
      <c r="BJ304" s="948"/>
      <c r="BK304" s="948"/>
      <c r="BL304" s="948"/>
      <c r="BM304" s="948"/>
      <c r="BN304" s="948"/>
      <c r="BO304" s="948"/>
      <c r="BP304" s="948"/>
      <c r="BQ304" s="948"/>
      <c r="BR304" s="948"/>
      <c r="BS304" s="948"/>
      <c r="BT304" s="948"/>
      <c r="BU304" s="954"/>
    </row>
    <row r="305" spans="1:73" ht="15.75" customHeight="1" x14ac:dyDescent="0.2">
      <c r="A305" s="947"/>
      <c r="B305" s="947"/>
      <c r="C305" s="947"/>
      <c r="D305" s="948"/>
      <c r="E305" s="948"/>
      <c r="F305" s="948"/>
      <c r="G305" s="948"/>
      <c r="H305" s="948"/>
      <c r="I305" s="948"/>
      <c r="J305" s="948"/>
      <c r="K305" s="949"/>
      <c r="L305" s="949"/>
      <c r="M305" s="949"/>
      <c r="N305" s="950"/>
      <c r="O305" s="948"/>
      <c r="P305" s="948"/>
      <c r="Q305" s="948"/>
      <c r="R305" s="949"/>
      <c r="S305" s="949"/>
      <c r="T305" s="949"/>
      <c r="U305" s="949"/>
      <c r="V305" s="949"/>
      <c r="W305" s="949"/>
      <c r="X305" s="951"/>
      <c r="Y305" s="951"/>
      <c r="Z305" s="952"/>
      <c r="AA305" s="953"/>
      <c r="AB305" s="948"/>
      <c r="AC305" s="948"/>
      <c r="AD305" s="949"/>
      <c r="AE305" s="949"/>
      <c r="AF305" s="949"/>
      <c r="AG305" s="949"/>
      <c r="AH305" s="949"/>
      <c r="AI305" s="949"/>
      <c r="AJ305" s="949"/>
      <c r="AK305" s="949"/>
      <c r="AL305" s="949"/>
      <c r="AM305" s="949"/>
      <c r="AN305" s="949"/>
      <c r="AO305" s="949"/>
      <c r="AP305" s="949"/>
      <c r="AQ305" s="949"/>
      <c r="AR305" s="949"/>
      <c r="AS305" s="949"/>
      <c r="AT305" s="949"/>
      <c r="AU305" s="949"/>
      <c r="AV305" s="949"/>
      <c r="AW305" s="949"/>
      <c r="AX305" s="949"/>
      <c r="AY305" s="949"/>
      <c r="AZ305" s="949"/>
      <c r="BA305" s="949"/>
      <c r="BB305" s="949"/>
      <c r="BC305" s="949"/>
      <c r="BD305" s="949"/>
      <c r="BE305" s="949"/>
      <c r="BF305" s="949"/>
      <c r="BG305" s="948"/>
      <c r="BH305" s="948"/>
      <c r="BI305" s="948"/>
      <c r="BJ305" s="948"/>
      <c r="BK305" s="948"/>
      <c r="BL305" s="948"/>
      <c r="BM305" s="948"/>
      <c r="BN305" s="948"/>
      <c r="BO305" s="948"/>
      <c r="BP305" s="948"/>
      <c r="BQ305" s="948"/>
      <c r="BR305" s="948"/>
      <c r="BS305" s="948"/>
      <c r="BT305" s="948"/>
      <c r="BU305" s="954"/>
    </row>
    <row r="306" spans="1:73" ht="15.75" customHeight="1" x14ac:dyDescent="0.2">
      <c r="A306" s="947"/>
      <c r="B306" s="947"/>
      <c r="C306" s="947"/>
      <c r="D306" s="948"/>
      <c r="E306" s="948"/>
      <c r="F306" s="948"/>
      <c r="G306" s="948"/>
      <c r="H306" s="948"/>
      <c r="I306" s="948"/>
      <c r="J306" s="948"/>
      <c r="K306" s="949"/>
      <c r="L306" s="949"/>
      <c r="M306" s="949"/>
      <c r="N306" s="950"/>
      <c r="O306" s="948"/>
      <c r="P306" s="948"/>
      <c r="Q306" s="948"/>
      <c r="R306" s="949"/>
      <c r="S306" s="949"/>
      <c r="T306" s="949"/>
      <c r="U306" s="949"/>
      <c r="V306" s="949"/>
      <c r="W306" s="949"/>
      <c r="X306" s="951"/>
      <c r="Y306" s="951"/>
      <c r="Z306" s="952"/>
      <c r="AA306" s="953"/>
      <c r="AB306" s="948"/>
      <c r="AC306" s="948"/>
      <c r="AD306" s="949"/>
      <c r="AE306" s="949"/>
      <c r="AF306" s="949"/>
      <c r="AG306" s="949"/>
      <c r="AH306" s="949"/>
      <c r="AI306" s="949"/>
      <c r="AJ306" s="949"/>
      <c r="AK306" s="949"/>
      <c r="AL306" s="949"/>
      <c r="AM306" s="949"/>
      <c r="AN306" s="949"/>
      <c r="AO306" s="949"/>
      <c r="AP306" s="949"/>
      <c r="AQ306" s="949"/>
      <c r="AR306" s="949"/>
      <c r="AS306" s="949"/>
      <c r="AT306" s="949"/>
      <c r="AU306" s="949"/>
      <c r="AV306" s="949"/>
      <c r="AW306" s="949"/>
      <c r="AX306" s="949"/>
      <c r="AY306" s="949"/>
      <c r="AZ306" s="949"/>
      <c r="BA306" s="949"/>
      <c r="BB306" s="949"/>
      <c r="BC306" s="949"/>
      <c r="BD306" s="949"/>
      <c r="BE306" s="949"/>
      <c r="BF306" s="949"/>
      <c r="BG306" s="948"/>
      <c r="BH306" s="948"/>
      <c r="BI306" s="948"/>
      <c r="BJ306" s="948"/>
      <c r="BK306" s="948"/>
      <c r="BL306" s="948"/>
      <c r="BM306" s="948"/>
      <c r="BN306" s="948"/>
      <c r="BO306" s="948"/>
      <c r="BP306" s="948"/>
      <c r="BQ306" s="948"/>
      <c r="BR306" s="948"/>
      <c r="BS306" s="948"/>
      <c r="BT306" s="948"/>
      <c r="BU306" s="954"/>
    </row>
    <row r="307" spans="1:73" ht="15.75" customHeight="1" x14ac:dyDescent="0.2">
      <c r="A307" s="947"/>
      <c r="B307" s="947"/>
      <c r="C307" s="947"/>
      <c r="D307" s="948"/>
      <c r="E307" s="948"/>
      <c r="F307" s="948"/>
      <c r="G307" s="948"/>
      <c r="H307" s="948"/>
      <c r="I307" s="948"/>
      <c r="J307" s="948"/>
      <c r="K307" s="949"/>
      <c r="L307" s="949"/>
      <c r="M307" s="949"/>
      <c r="N307" s="950"/>
      <c r="O307" s="948"/>
      <c r="P307" s="948"/>
      <c r="Q307" s="948"/>
      <c r="R307" s="949"/>
      <c r="S307" s="949"/>
      <c r="T307" s="949"/>
      <c r="U307" s="949"/>
      <c r="V307" s="949"/>
      <c r="W307" s="949"/>
      <c r="X307" s="951"/>
      <c r="Y307" s="951"/>
      <c r="Z307" s="952"/>
      <c r="AA307" s="953"/>
      <c r="AB307" s="948"/>
      <c r="AC307" s="948"/>
      <c r="AD307" s="949"/>
      <c r="AE307" s="949"/>
      <c r="AF307" s="949"/>
      <c r="AG307" s="949"/>
      <c r="AH307" s="949"/>
      <c r="AI307" s="949"/>
      <c r="AJ307" s="949"/>
      <c r="AK307" s="949"/>
      <c r="AL307" s="949"/>
      <c r="AM307" s="949"/>
      <c r="AN307" s="949"/>
      <c r="AO307" s="949"/>
      <c r="AP307" s="949"/>
      <c r="AQ307" s="949"/>
      <c r="AR307" s="949"/>
      <c r="AS307" s="949"/>
      <c r="AT307" s="949"/>
      <c r="AU307" s="949"/>
      <c r="AV307" s="949"/>
      <c r="AW307" s="949"/>
      <c r="AX307" s="949"/>
      <c r="AY307" s="949"/>
      <c r="AZ307" s="949"/>
      <c r="BA307" s="949"/>
      <c r="BB307" s="949"/>
      <c r="BC307" s="949"/>
      <c r="BD307" s="949"/>
      <c r="BE307" s="949"/>
      <c r="BF307" s="949"/>
      <c r="BG307" s="948"/>
      <c r="BH307" s="948"/>
      <c r="BI307" s="948"/>
      <c r="BJ307" s="948"/>
      <c r="BK307" s="948"/>
      <c r="BL307" s="948"/>
      <c r="BM307" s="948"/>
      <c r="BN307" s="948"/>
      <c r="BO307" s="948"/>
      <c r="BP307" s="948"/>
      <c r="BQ307" s="948"/>
      <c r="BR307" s="948"/>
      <c r="BS307" s="948"/>
      <c r="BT307" s="948"/>
      <c r="BU307" s="954"/>
    </row>
    <row r="308" spans="1:73" ht="15.75" customHeight="1" x14ac:dyDescent="0.2">
      <c r="A308" s="947"/>
      <c r="B308" s="947"/>
      <c r="C308" s="947"/>
      <c r="D308" s="948"/>
      <c r="E308" s="948"/>
      <c r="F308" s="948"/>
      <c r="G308" s="948"/>
      <c r="H308" s="948"/>
      <c r="I308" s="948"/>
      <c r="J308" s="948"/>
      <c r="K308" s="949"/>
      <c r="L308" s="949"/>
      <c r="M308" s="949"/>
      <c r="N308" s="950"/>
      <c r="O308" s="948"/>
      <c r="P308" s="948"/>
      <c r="Q308" s="948"/>
      <c r="R308" s="949"/>
      <c r="S308" s="949"/>
      <c r="T308" s="949"/>
      <c r="U308" s="949"/>
      <c r="V308" s="949"/>
      <c r="W308" s="949"/>
      <c r="X308" s="951"/>
      <c r="Y308" s="951"/>
      <c r="Z308" s="952"/>
      <c r="AA308" s="953"/>
      <c r="AB308" s="948"/>
      <c r="AC308" s="948"/>
      <c r="AD308" s="949"/>
      <c r="AE308" s="949"/>
      <c r="AF308" s="949"/>
      <c r="AG308" s="949"/>
      <c r="AH308" s="949"/>
      <c r="AI308" s="949"/>
      <c r="AJ308" s="949"/>
      <c r="AK308" s="949"/>
      <c r="AL308" s="949"/>
      <c r="AM308" s="949"/>
      <c r="AN308" s="949"/>
      <c r="AO308" s="949"/>
      <c r="AP308" s="949"/>
      <c r="AQ308" s="949"/>
      <c r="AR308" s="949"/>
      <c r="AS308" s="949"/>
      <c r="AT308" s="949"/>
      <c r="AU308" s="949"/>
      <c r="AV308" s="949"/>
      <c r="AW308" s="949"/>
      <c r="AX308" s="949"/>
      <c r="AY308" s="949"/>
      <c r="AZ308" s="949"/>
      <c r="BA308" s="949"/>
      <c r="BB308" s="949"/>
      <c r="BC308" s="949"/>
      <c r="BD308" s="949"/>
      <c r="BE308" s="949"/>
      <c r="BF308" s="949"/>
      <c r="BG308" s="948"/>
      <c r="BH308" s="948"/>
      <c r="BI308" s="948"/>
      <c r="BJ308" s="948"/>
      <c r="BK308" s="948"/>
      <c r="BL308" s="948"/>
      <c r="BM308" s="948"/>
      <c r="BN308" s="948"/>
      <c r="BO308" s="948"/>
      <c r="BP308" s="948"/>
      <c r="BQ308" s="948"/>
      <c r="BR308" s="948"/>
      <c r="BS308" s="948"/>
      <c r="BT308" s="948"/>
      <c r="BU308" s="954"/>
    </row>
    <row r="309" spans="1:73" ht="15.75" customHeight="1" x14ac:dyDescent="0.2">
      <c r="A309" s="947"/>
      <c r="B309" s="947"/>
      <c r="C309" s="947"/>
      <c r="D309" s="948"/>
      <c r="E309" s="948"/>
      <c r="F309" s="948"/>
      <c r="G309" s="948"/>
      <c r="H309" s="948"/>
      <c r="I309" s="948"/>
      <c r="J309" s="948"/>
      <c r="K309" s="949"/>
      <c r="L309" s="949"/>
      <c r="M309" s="949"/>
      <c r="N309" s="950"/>
      <c r="O309" s="948"/>
      <c r="P309" s="948"/>
      <c r="Q309" s="948"/>
      <c r="R309" s="949"/>
      <c r="S309" s="949"/>
      <c r="T309" s="949"/>
      <c r="U309" s="949"/>
      <c r="V309" s="949"/>
      <c r="W309" s="949"/>
      <c r="X309" s="951"/>
      <c r="Y309" s="951"/>
      <c r="Z309" s="952"/>
      <c r="AA309" s="953"/>
      <c r="AB309" s="948"/>
      <c r="AC309" s="948"/>
      <c r="AD309" s="949"/>
      <c r="AE309" s="949"/>
      <c r="AF309" s="949"/>
      <c r="AG309" s="949"/>
      <c r="AH309" s="949"/>
      <c r="AI309" s="949"/>
      <c r="AJ309" s="949"/>
      <c r="AK309" s="949"/>
      <c r="AL309" s="949"/>
      <c r="AM309" s="949"/>
      <c r="AN309" s="949"/>
      <c r="AO309" s="949"/>
      <c r="AP309" s="949"/>
      <c r="AQ309" s="949"/>
      <c r="AR309" s="949"/>
      <c r="AS309" s="949"/>
      <c r="AT309" s="949"/>
      <c r="AU309" s="949"/>
      <c r="AV309" s="949"/>
      <c r="AW309" s="949"/>
      <c r="AX309" s="949"/>
      <c r="AY309" s="949"/>
      <c r="AZ309" s="949"/>
      <c r="BA309" s="949"/>
      <c r="BB309" s="949"/>
      <c r="BC309" s="949"/>
      <c r="BD309" s="949"/>
      <c r="BE309" s="949"/>
      <c r="BF309" s="949"/>
      <c r="BG309" s="948"/>
      <c r="BH309" s="948"/>
      <c r="BI309" s="948"/>
      <c r="BJ309" s="948"/>
      <c r="BK309" s="948"/>
      <c r="BL309" s="948"/>
      <c r="BM309" s="948"/>
      <c r="BN309" s="948"/>
      <c r="BO309" s="948"/>
      <c r="BP309" s="948"/>
      <c r="BQ309" s="948"/>
      <c r="BR309" s="948"/>
      <c r="BS309" s="948"/>
      <c r="BT309" s="948"/>
      <c r="BU309" s="954"/>
    </row>
    <row r="310" spans="1:73" ht="15.75" customHeight="1" x14ac:dyDescent="0.2">
      <c r="A310" s="947"/>
      <c r="B310" s="947"/>
      <c r="C310" s="947"/>
      <c r="D310" s="948"/>
      <c r="E310" s="948"/>
      <c r="F310" s="948"/>
      <c r="G310" s="948"/>
      <c r="H310" s="948"/>
      <c r="I310" s="948"/>
      <c r="J310" s="948"/>
      <c r="K310" s="949"/>
      <c r="L310" s="949"/>
      <c r="M310" s="949"/>
      <c r="N310" s="950"/>
      <c r="O310" s="948"/>
      <c r="P310" s="948"/>
      <c r="Q310" s="948"/>
      <c r="R310" s="949"/>
      <c r="S310" s="949"/>
      <c r="T310" s="949"/>
      <c r="U310" s="949"/>
      <c r="V310" s="949"/>
      <c r="W310" s="949"/>
      <c r="X310" s="951"/>
      <c r="Y310" s="951"/>
      <c r="Z310" s="952"/>
      <c r="AA310" s="953"/>
      <c r="AB310" s="948"/>
      <c r="AC310" s="948"/>
      <c r="AD310" s="949"/>
      <c r="AE310" s="949"/>
      <c r="AF310" s="949"/>
      <c r="AG310" s="949"/>
      <c r="AH310" s="949"/>
      <c r="AI310" s="949"/>
      <c r="AJ310" s="949"/>
      <c r="AK310" s="949"/>
      <c r="AL310" s="949"/>
      <c r="AM310" s="949"/>
      <c r="AN310" s="949"/>
      <c r="AO310" s="949"/>
      <c r="AP310" s="949"/>
      <c r="AQ310" s="949"/>
      <c r="AR310" s="949"/>
      <c r="AS310" s="949"/>
      <c r="AT310" s="949"/>
      <c r="AU310" s="949"/>
      <c r="AV310" s="949"/>
      <c r="AW310" s="949"/>
      <c r="AX310" s="949"/>
      <c r="AY310" s="949"/>
      <c r="AZ310" s="949"/>
      <c r="BA310" s="949"/>
      <c r="BB310" s="949"/>
      <c r="BC310" s="949"/>
      <c r="BD310" s="949"/>
      <c r="BE310" s="949"/>
      <c r="BF310" s="949"/>
      <c r="BG310" s="948"/>
      <c r="BH310" s="948"/>
      <c r="BI310" s="948"/>
      <c r="BJ310" s="948"/>
      <c r="BK310" s="948"/>
      <c r="BL310" s="948"/>
      <c r="BM310" s="948"/>
      <c r="BN310" s="948"/>
      <c r="BO310" s="948"/>
      <c r="BP310" s="948"/>
      <c r="BQ310" s="948"/>
      <c r="BR310" s="948"/>
      <c r="BS310" s="948"/>
      <c r="BT310" s="948"/>
      <c r="BU310" s="954"/>
    </row>
    <row r="311" spans="1:73" ht="15.75" customHeight="1" x14ac:dyDescent="0.2">
      <c r="A311" s="947"/>
      <c r="B311" s="947"/>
      <c r="C311" s="947"/>
      <c r="D311" s="948"/>
      <c r="E311" s="948"/>
      <c r="F311" s="948"/>
      <c r="G311" s="948"/>
      <c r="H311" s="948"/>
      <c r="I311" s="948"/>
      <c r="J311" s="948"/>
      <c r="K311" s="949"/>
      <c r="L311" s="949"/>
      <c r="M311" s="949"/>
      <c r="N311" s="950"/>
      <c r="O311" s="948"/>
      <c r="P311" s="948"/>
      <c r="Q311" s="948"/>
      <c r="R311" s="949"/>
      <c r="S311" s="949"/>
      <c r="T311" s="949"/>
      <c r="U311" s="949"/>
      <c r="V311" s="949"/>
      <c r="W311" s="949"/>
      <c r="X311" s="951"/>
      <c r="Y311" s="951"/>
      <c r="Z311" s="952"/>
      <c r="AA311" s="953"/>
      <c r="AB311" s="948"/>
      <c r="AC311" s="948"/>
      <c r="AD311" s="949"/>
      <c r="AE311" s="949"/>
      <c r="AF311" s="949"/>
      <c r="AG311" s="949"/>
      <c r="AH311" s="949"/>
      <c r="AI311" s="949"/>
      <c r="AJ311" s="949"/>
      <c r="AK311" s="949"/>
      <c r="AL311" s="949"/>
      <c r="AM311" s="949"/>
      <c r="AN311" s="949"/>
      <c r="AO311" s="949"/>
      <c r="AP311" s="949"/>
      <c r="AQ311" s="949"/>
      <c r="AR311" s="949"/>
      <c r="AS311" s="949"/>
      <c r="AT311" s="949"/>
      <c r="AU311" s="949"/>
      <c r="AV311" s="949"/>
      <c r="AW311" s="949"/>
      <c r="AX311" s="949"/>
      <c r="AY311" s="949"/>
      <c r="AZ311" s="949"/>
      <c r="BA311" s="949"/>
      <c r="BB311" s="949"/>
      <c r="BC311" s="949"/>
      <c r="BD311" s="949"/>
      <c r="BE311" s="949"/>
      <c r="BF311" s="949"/>
      <c r="BG311" s="948"/>
      <c r="BH311" s="948"/>
      <c r="BI311" s="948"/>
      <c r="BJ311" s="948"/>
      <c r="BK311" s="948"/>
      <c r="BL311" s="948"/>
      <c r="BM311" s="948"/>
      <c r="BN311" s="948"/>
      <c r="BO311" s="948"/>
      <c r="BP311" s="948"/>
      <c r="BQ311" s="948"/>
      <c r="BR311" s="948"/>
      <c r="BS311" s="948"/>
      <c r="BT311" s="948"/>
      <c r="BU311" s="954"/>
    </row>
    <row r="312" spans="1:73" ht="15.75" customHeight="1" x14ac:dyDescent="0.2">
      <c r="A312" s="947"/>
      <c r="B312" s="947"/>
      <c r="C312" s="947"/>
      <c r="D312" s="948"/>
      <c r="E312" s="948"/>
      <c r="F312" s="948"/>
      <c r="G312" s="948"/>
      <c r="H312" s="948"/>
      <c r="I312" s="948"/>
      <c r="J312" s="948"/>
      <c r="K312" s="949"/>
      <c r="L312" s="949"/>
      <c r="M312" s="949"/>
      <c r="N312" s="950"/>
      <c r="O312" s="948"/>
      <c r="P312" s="948"/>
      <c r="Q312" s="948"/>
      <c r="R312" s="949"/>
      <c r="S312" s="949"/>
      <c r="T312" s="949"/>
      <c r="U312" s="949"/>
      <c r="V312" s="949"/>
      <c r="W312" s="949"/>
      <c r="X312" s="951"/>
      <c r="Y312" s="951"/>
      <c r="Z312" s="952"/>
      <c r="AA312" s="953"/>
      <c r="AB312" s="948"/>
      <c r="AC312" s="948"/>
      <c r="AD312" s="949"/>
      <c r="AE312" s="949"/>
      <c r="AF312" s="949"/>
      <c r="AG312" s="949"/>
      <c r="AH312" s="949"/>
      <c r="AI312" s="949"/>
      <c r="AJ312" s="949"/>
      <c r="AK312" s="949"/>
      <c r="AL312" s="949"/>
      <c r="AM312" s="949"/>
      <c r="AN312" s="949"/>
      <c r="AO312" s="949"/>
      <c r="AP312" s="949"/>
      <c r="AQ312" s="949"/>
      <c r="AR312" s="949"/>
      <c r="AS312" s="949"/>
      <c r="AT312" s="949"/>
      <c r="AU312" s="949"/>
      <c r="AV312" s="949"/>
      <c r="AW312" s="949"/>
      <c r="AX312" s="949"/>
      <c r="AY312" s="949"/>
      <c r="AZ312" s="949"/>
      <c r="BA312" s="949"/>
      <c r="BB312" s="949"/>
      <c r="BC312" s="949"/>
      <c r="BD312" s="949"/>
      <c r="BE312" s="949"/>
      <c r="BF312" s="949"/>
      <c r="BG312" s="948"/>
      <c r="BH312" s="948"/>
      <c r="BI312" s="948"/>
      <c r="BJ312" s="948"/>
      <c r="BK312" s="948"/>
      <c r="BL312" s="948"/>
      <c r="BM312" s="948"/>
      <c r="BN312" s="948"/>
      <c r="BO312" s="948"/>
      <c r="BP312" s="948"/>
      <c r="BQ312" s="948"/>
      <c r="BR312" s="948"/>
      <c r="BS312" s="948"/>
      <c r="BT312" s="948"/>
      <c r="BU312" s="954"/>
    </row>
    <row r="313" spans="1:73" ht="15.75" customHeight="1" x14ac:dyDescent="0.2">
      <c r="A313" s="947"/>
      <c r="B313" s="947"/>
      <c r="C313" s="947"/>
      <c r="D313" s="948"/>
      <c r="E313" s="948"/>
      <c r="F313" s="948"/>
      <c r="G313" s="948"/>
      <c r="H313" s="948"/>
      <c r="I313" s="948"/>
      <c r="J313" s="948"/>
      <c r="K313" s="949"/>
      <c r="L313" s="949"/>
      <c r="M313" s="949"/>
      <c r="N313" s="950"/>
      <c r="O313" s="948"/>
      <c r="P313" s="948"/>
      <c r="Q313" s="948"/>
      <c r="R313" s="949"/>
      <c r="S313" s="949"/>
      <c r="T313" s="949"/>
      <c r="U313" s="949"/>
      <c r="V313" s="949"/>
      <c r="W313" s="949"/>
      <c r="X313" s="951"/>
      <c r="Y313" s="951"/>
      <c r="Z313" s="952"/>
      <c r="AA313" s="953"/>
      <c r="AB313" s="948"/>
      <c r="AC313" s="948"/>
      <c r="AD313" s="949"/>
      <c r="AE313" s="949"/>
      <c r="AF313" s="949"/>
      <c r="AG313" s="949"/>
      <c r="AH313" s="949"/>
      <c r="AI313" s="949"/>
      <c r="AJ313" s="949"/>
      <c r="AK313" s="949"/>
      <c r="AL313" s="949"/>
      <c r="AM313" s="949"/>
      <c r="AN313" s="949"/>
      <c r="AO313" s="949"/>
      <c r="AP313" s="949"/>
      <c r="AQ313" s="949"/>
      <c r="AR313" s="949"/>
      <c r="AS313" s="949"/>
      <c r="AT313" s="949"/>
      <c r="AU313" s="949"/>
      <c r="AV313" s="949"/>
      <c r="AW313" s="949"/>
      <c r="AX313" s="949"/>
      <c r="AY313" s="949"/>
      <c r="AZ313" s="949"/>
      <c r="BA313" s="949"/>
      <c r="BB313" s="949"/>
      <c r="BC313" s="949"/>
      <c r="BD313" s="949"/>
      <c r="BE313" s="949"/>
      <c r="BF313" s="949"/>
      <c r="BG313" s="948"/>
      <c r="BH313" s="948"/>
      <c r="BI313" s="948"/>
      <c r="BJ313" s="948"/>
      <c r="BK313" s="948"/>
      <c r="BL313" s="948"/>
      <c r="BM313" s="948"/>
      <c r="BN313" s="948"/>
      <c r="BO313" s="948"/>
      <c r="BP313" s="948"/>
      <c r="BQ313" s="948"/>
      <c r="BR313" s="948"/>
      <c r="BS313" s="948"/>
      <c r="BT313" s="948"/>
      <c r="BU313" s="954"/>
    </row>
    <row r="314" spans="1:73" ht="15.75" customHeight="1" x14ac:dyDescent="0.2">
      <c r="A314" s="947"/>
      <c r="B314" s="947"/>
      <c r="C314" s="947"/>
      <c r="D314" s="948"/>
      <c r="E314" s="948"/>
      <c r="F314" s="948"/>
      <c r="G314" s="948"/>
      <c r="H314" s="948"/>
      <c r="I314" s="948"/>
      <c r="J314" s="948"/>
      <c r="K314" s="949"/>
      <c r="L314" s="949"/>
      <c r="M314" s="949"/>
      <c r="N314" s="950"/>
      <c r="O314" s="948"/>
      <c r="P314" s="948"/>
      <c r="Q314" s="948"/>
      <c r="R314" s="949"/>
      <c r="S314" s="949"/>
      <c r="T314" s="949"/>
      <c r="U314" s="949"/>
      <c r="V314" s="949"/>
      <c r="W314" s="949"/>
      <c r="X314" s="951"/>
      <c r="Y314" s="951"/>
      <c r="Z314" s="952"/>
      <c r="AA314" s="953"/>
      <c r="AB314" s="948"/>
      <c r="AC314" s="948"/>
      <c r="AD314" s="949"/>
      <c r="AE314" s="949"/>
      <c r="AF314" s="949"/>
      <c r="AG314" s="949"/>
      <c r="AH314" s="949"/>
      <c r="AI314" s="949"/>
      <c r="AJ314" s="949"/>
      <c r="AK314" s="949"/>
      <c r="AL314" s="949"/>
      <c r="AM314" s="949"/>
      <c r="AN314" s="949"/>
      <c r="AO314" s="949"/>
      <c r="AP314" s="949"/>
      <c r="AQ314" s="949"/>
      <c r="AR314" s="949"/>
      <c r="AS314" s="949"/>
      <c r="AT314" s="949"/>
      <c r="AU314" s="949"/>
      <c r="AV314" s="949"/>
      <c r="AW314" s="949"/>
      <c r="AX314" s="949"/>
      <c r="AY314" s="949"/>
      <c r="AZ314" s="949"/>
      <c r="BA314" s="949"/>
      <c r="BB314" s="949"/>
      <c r="BC314" s="949"/>
      <c r="BD314" s="949"/>
      <c r="BE314" s="949"/>
      <c r="BF314" s="949"/>
      <c r="BG314" s="948"/>
      <c r="BH314" s="948"/>
      <c r="BI314" s="948"/>
      <c r="BJ314" s="948"/>
      <c r="BK314" s="948"/>
      <c r="BL314" s="948"/>
      <c r="BM314" s="948"/>
      <c r="BN314" s="948"/>
      <c r="BO314" s="948"/>
      <c r="BP314" s="948"/>
      <c r="BQ314" s="948"/>
      <c r="BR314" s="948"/>
      <c r="BS314" s="948"/>
      <c r="BT314" s="948"/>
      <c r="BU314" s="954"/>
    </row>
    <row r="315" spans="1:73" ht="15.75" customHeight="1" x14ac:dyDescent="0.2">
      <c r="A315" s="947"/>
      <c r="B315" s="947"/>
      <c r="C315" s="947"/>
      <c r="D315" s="948"/>
      <c r="E315" s="948"/>
      <c r="F315" s="948"/>
      <c r="G315" s="948"/>
      <c r="H315" s="948"/>
      <c r="I315" s="948"/>
      <c r="J315" s="948"/>
      <c r="K315" s="949"/>
      <c r="L315" s="949"/>
      <c r="M315" s="949"/>
      <c r="N315" s="950"/>
      <c r="O315" s="948"/>
      <c r="P315" s="948"/>
      <c r="Q315" s="948"/>
      <c r="R315" s="949"/>
      <c r="S315" s="949"/>
      <c r="T315" s="949"/>
      <c r="U315" s="949"/>
      <c r="V315" s="949"/>
      <c r="W315" s="949"/>
      <c r="X315" s="951"/>
      <c r="Y315" s="951"/>
      <c r="Z315" s="952"/>
      <c r="AA315" s="953"/>
      <c r="AB315" s="948"/>
      <c r="AC315" s="948"/>
      <c r="AD315" s="949"/>
      <c r="AE315" s="949"/>
      <c r="AF315" s="949"/>
      <c r="AG315" s="949"/>
      <c r="AH315" s="949"/>
      <c r="AI315" s="949"/>
      <c r="AJ315" s="949"/>
      <c r="AK315" s="949"/>
      <c r="AL315" s="949"/>
      <c r="AM315" s="949"/>
      <c r="AN315" s="949"/>
      <c r="AO315" s="949"/>
      <c r="AP315" s="949"/>
      <c r="AQ315" s="949"/>
      <c r="AR315" s="949"/>
      <c r="AS315" s="949"/>
      <c r="AT315" s="949"/>
      <c r="AU315" s="949"/>
      <c r="AV315" s="949"/>
      <c r="AW315" s="949"/>
      <c r="AX315" s="949"/>
      <c r="AY315" s="949"/>
      <c r="AZ315" s="949"/>
      <c r="BA315" s="949"/>
      <c r="BB315" s="949"/>
      <c r="BC315" s="949"/>
      <c r="BD315" s="949"/>
      <c r="BE315" s="949"/>
      <c r="BF315" s="949"/>
      <c r="BG315" s="948"/>
      <c r="BH315" s="948"/>
      <c r="BI315" s="948"/>
      <c r="BJ315" s="948"/>
      <c r="BK315" s="948"/>
      <c r="BL315" s="948"/>
      <c r="BM315" s="948"/>
      <c r="BN315" s="948"/>
      <c r="BO315" s="948"/>
      <c r="BP315" s="948"/>
      <c r="BQ315" s="948"/>
      <c r="BR315" s="948"/>
      <c r="BS315" s="948"/>
      <c r="BT315" s="948"/>
      <c r="BU315" s="954"/>
    </row>
    <row r="316" spans="1:73" ht="15.75" customHeight="1" x14ac:dyDescent="0.2">
      <c r="A316" s="947"/>
      <c r="B316" s="947"/>
      <c r="C316" s="947"/>
      <c r="D316" s="948"/>
      <c r="E316" s="948"/>
      <c r="F316" s="948"/>
      <c r="G316" s="948"/>
      <c r="H316" s="948"/>
      <c r="I316" s="948"/>
      <c r="J316" s="948"/>
      <c r="K316" s="949"/>
      <c r="L316" s="949"/>
      <c r="M316" s="949"/>
      <c r="N316" s="950"/>
      <c r="O316" s="948"/>
      <c r="P316" s="948"/>
      <c r="Q316" s="948"/>
      <c r="R316" s="949"/>
      <c r="S316" s="949"/>
      <c r="T316" s="949"/>
      <c r="U316" s="949"/>
      <c r="V316" s="949"/>
      <c r="W316" s="949"/>
      <c r="X316" s="951"/>
      <c r="Y316" s="951"/>
      <c r="Z316" s="952"/>
      <c r="AA316" s="953"/>
      <c r="AB316" s="948"/>
      <c r="AC316" s="948"/>
      <c r="AD316" s="949"/>
      <c r="AE316" s="949"/>
      <c r="AF316" s="949"/>
      <c r="AG316" s="949"/>
      <c r="AH316" s="949"/>
      <c r="AI316" s="949"/>
      <c r="AJ316" s="949"/>
      <c r="AK316" s="949"/>
      <c r="AL316" s="949"/>
      <c r="AM316" s="949"/>
      <c r="AN316" s="949"/>
      <c r="AO316" s="949"/>
      <c r="AP316" s="949"/>
      <c r="AQ316" s="949"/>
      <c r="AR316" s="949"/>
      <c r="AS316" s="949"/>
      <c r="AT316" s="949"/>
      <c r="AU316" s="949"/>
      <c r="AV316" s="949"/>
      <c r="AW316" s="949"/>
      <c r="AX316" s="949"/>
      <c r="AY316" s="949"/>
      <c r="AZ316" s="949"/>
      <c r="BA316" s="949"/>
      <c r="BB316" s="949"/>
      <c r="BC316" s="949"/>
      <c r="BD316" s="949"/>
      <c r="BE316" s="949"/>
      <c r="BF316" s="949"/>
      <c r="BG316" s="948"/>
      <c r="BH316" s="948"/>
      <c r="BI316" s="948"/>
      <c r="BJ316" s="948"/>
      <c r="BK316" s="948"/>
      <c r="BL316" s="948"/>
      <c r="BM316" s="948"/>
      <c r="BN316" s="948"/>
      <c r="BO316" s="948"/>
      <c r="BP316" s="948"/>
      <c r="BQ316" s="948"/>
      <c r="BR316" s="948"/>
      <c r="BS316" s="948"/>
      <c r="BT316" s="948"/>
      <c r="BU316" s="954"/>
    </row>
    <row r="317" spans="1:73" ht="15.75" customHeight="1" x14ac:dyDescent="0.2">
      <c r="A317" s="947"/>
      <c r="B317" s="947"/>
      <c r="C317" s="947"/>
      <c r="D317" s="948"/>
      <c r="E317" s="948"/>
      <c r="F317" s="948"/>
      <c r="G317" s="948"/>
      <c r="H317" s="948"/>
      <c r="I317" s="948"/>
      <c r="J317" s="948"/>
      <c r="K317" s="949"/>
      <c r="L317" s="949"/>
      <c r="M317" s="949"/>
      <c r="N317" s="950"/>
      <c r="O317" s="948"/>
      <c r="P317" s="948"/>
      <c r="Q317" s="948"/>
      <c r="R317" s="949"/>
      <c r="S317" s="949"/>
      <c r="T317" s="949"/>
      <c r="U317" s="949"/>
      <c r="V317" s="949"/>
      <c r="W317" s="949"/>
      <c r="X317" s="951"/>
      <c r="Y317" s="951"/>
      <c r="Z317" s="952"/>
      <c r="AA317" s="953"/>
      <c r="AB317" s="948"/>
      <c r="AC317" s="948"/>
      <c r="AD317" s="949"/>
      <c r="AE317" s="949"/>
      <c r="AF317" s="949"/>
      <c r="AG317" s="949"/>
      <c r="AH317" s="949"/>
      <c r="AI317" s="949"/>
      <c r="AJ317" s="949"/>
      <c r="AK317" s="949"/>
      <c r="AL317" s="949"/>
      <c r="AM317" s="949"/>
      <c r="AN317" s="949"/>
      <c r="AO317" s="949"/>
      <c r="AP317" s="949"/>
      <c r="AQ317" s="949"/>
      <c r="AR317" s="949"/>
      <c r="AS317" s="949"/>
      <c r="AT317" s="949"/>
      <c r="AU317" s="949"/>
      <c r="AV317" s="949"/>
      <c r="AW317" s="949"/>
      <c r="AX317" s="949"/>
      <c r="AY317" s="949"/>
      <c r="AZ317" s="949"/>
      <c r="BA317" s="949"/>
      <c r="BB317" s="949"/>
      <c r="BC317" s="949"/>
      <c r="BD317" s="949"/>
      <c r="BE317" s="949"/>
      <c r="BF317" s="949"/>
      <c r="BG317" s="948"/>
      <c r="BH317" s="948"/>
      <c r="BI317" s="948"/>
      <c r="BJ317" s="948"/>
      <c r="BK317" s="948"/>
      <c r="BL317" s="948"/>
      <c r="BM317" s="948"/>
      <c r="BN317" s="948"/>
      <c r="BO317" s="948"/>
      <c r="BP317" s="948"/>
      <c r="BQ317" s="948"/>
      <c r="BR317" s="948"/>
      <c r="BS317" s="948"/>
      <c r="BT317" s="948"/>
      <c r="BU317" s="954"/>
    </row>
    <row r="318" spans="1:73" ht="15.75" customHeight="1" x14ac:dyDescent="0.2">
      <c r="A318" s="947"/>
      <c r="B318" s="947"/>
      <c r="C318" s="947"/>
      <c r="D318" s="948"/>
      <c r="E318" s="948"/>
      <c r="F318" s="948"/>
      <c r="G318" s="948"/>
      <c r="H318" s="948"/>
      <c r="I318" s="948"/>
      <c r="J318" s="948"/>
      <c r="K318" s="949"/>
      <c r="L318" s="949"/>
      <c r="M318" s="949"/>
      <c r="N318" s="950"/>
      <c r="O318" s="948"/>
      <c r="P318" s="948"/>
      <c r="Q318" s="948"/>
      <c r="R318" s="949"/>
      <c r="S318" s="949"/>
      <c r="T318" s="949"/>
      <c r="U318" s="949"/>
      <c r="V318" s="949"/>
      <c r="W318" s="949"/>
      <c r="X318" s="951"/>
      <c r="Y318" s="951"/>
      <c r="Z318" s="952"/>
      <c r="AA318" s="953"/>
      <c r="AB318" s="948"/>
      <c r="AC318" s="948"/>
      <c r="AD318" s="949"/>
      <c r="AE318" s="949"/>
      <c r="AF318" s="949"/>
      <c r="AG318" s="949"/>
      <c r="AH318" s="949"/>
      <c r="AI318" s="949"/>
      <c r="AJ318" s="949"/>
      <c r="AK318" s="949"/>
      <c r="AL318" s="949"/>
      <c r="AM318" s="949"/>
      <c r="AN318" s="949"/>
      <c r="AO318" s="949"/>
      <c r="AP318" s="949"/>
      <c r="AQ318" s="949"/>
      <c r="AR318" s="949"/>
      <c r="AS318" s="949"/>
      <c r="AT318" s="949"/>
      <c r="AU318" s="949"/>
      <c r="AV318" s="949"/>
      <c r="AW318" s="949"/>
      <c r="AX318" s="949"/>
      <c r="AY318" s="949"/>
      <c r="AZ318" s="949"/>
      <c r="BA318" s="949"/>
      <c r="BB318" s="949"/>
      <c r="BC318" s="949"/>
      <c r="BD318" s="949"/>
      <c r="BE318" s="949"/>
      <c r="BF318" s="949"/>
      <c r="BG318" s="948"/>
      <c r="BH318" s="948"/>
      <c r="BI318" s="948"/>
      <c r="BJ318" s="948"/>
      <c r="BK318" s="948"/>
      <c r="BL318" s="948"/>
      <c r="BM318" s="948"/>
      <c r="BN318" s="948"/>
      <c r="BO318" s="948"/>
      <c r="BP318" s="948"/>
      <c r="BQ318" s="948"/>
      <c r="BR318" s="948"/>
      <c r="BS318" s="948"/>
      <c r="BT318" s="948"/>
      <c r="BU318" s="954"/>
    </row>
    <row r="319" spans="1:73" ht="15.75" customHeight="1" x14ac:dyDescent="0.2">
      <c r="A319" s="947"/>
      <c r="B319" s="947"/>
      <c r="C319" s="947"/>
      <c r="D319" s="948"/>
      <c r="E319" s="948"/>
      <c r="F319" s="948"/>
      <c r="G319" s="948"/>
      <c r="H319" s="948"/>
      <c r="I319" s="948"/>
      <c r="J319" s="948"/>
      <c r="K319" s="949"/>
      <c r="L319" s="949"/>
      <c r="M319" s="949"/>
      <c r="N319" s="950"/>
      <c r="O319" s="948"/>
      <c r="P319" s="948"/>
      <c r="Q319" s="948"/>
      <c r="R319" s="949"/>
      <c r="S319" s="949"/>
      <c r="T319" s="949"/>
      <c r="U319" s="949"/>
      <c r="V319" s="949"/>
      <c r="W319" s="949"/>
      <c r="X319" s="951"/>
      <c r="Y319" s="951"/>
      <c r="Z319" s="952"/>
      <c r="AA319" s="953"/>
      <c r="AB319" s="948"/>
      <c r="AC319" s="948"/>
      <c r="AD319" s="949"/>
      <c r="AE319" s="949"/>
      <c r="AF319" s="949"/>
      <c r="AG319" s="949"/>
      <c r="AH319" s="949"/>
      <c r="AI319" s="949"/>
      <c r="AJ319" s="949"/>
      <c r="AK319" s="949"/>
      <c r="AL319" s="949"/>
      <c r="AM319" s="949"/>
      <c r="AN319" s="949"/>
      <c r="AO319" s="949"/>
      <c r="AP319" s="949"/>
      <c r="AQ319" s="949"/>
      <c r="AR319" s="949"/>
      <c r="AS319" s="949"/>
      <c r="AT319" s="949"/>
      <c r="AU319" s="949"/>
      <c r="AV319" s="949"/>
      <c r="AW319" s="949"/>
      <c r="AX319" s="949"/>
      <c r="AY319" s="949"/>
      <c r="AZ319" s="949"/>
      <c r="BA319" s="949"/>
      <c r="BB319" s="949"/>
      <c r="BC319" s="949"/>
      <c r="BD319" s="949"/>
      <c r="BE319" s="949"/>
      <c r="BF319" s="949"/>
      <c r="BG319" s="948"/>
      <c r="BH319" s="948"/>
      <c r="BI319" s="948"/>
      <c r="BJ319" s="948"/>
      <c r="BK319" s="948"/>
      <c r="BL319" s="948"/>
      <c r="BM319" s="948"/>
      <c r="BN319" s="948"/>
      <c r="BO319" s="948"/>
      <c r="BP319" s="948"/>
      <c r="BQ319" s="948"/>
      <c r="BR319" s="948"/>
      <c r="BS319" s="948"/>
      <c r="BT319" s="948"/>
      <c r="BU319" s="954"/>
    </row>
    <row r="320" spans="1:73" ht="15.75" customHeight="1" x14ac:dyDescent="0.2">
      <c r="A320" s="947"/>
      <c r="B320" s="947"/>
      <c r="C320" s="947"/>
      <c r="D320" s="948"/>
      <c r="E320" s="948"/>
      <c r="F320" s="948"/>
      <c r="G320" s="948"/>
      <c r="H320" s="948"/>
      <c r="I320" s="948"/>
      <c r="J320" s="948"/>
      <c r="K320" s="949"/>
      <c r="L320" s="949"/>
      <c r="M320" s="949"/>
      <c r="N320" s="950"/>
      <c r="O320" s="948"/>
      <c r="P320" s="948"/>
      <c r="Q320" s="948"/>
      <c r="R320" s="949"/>
      <c r="S320" s="949"/>
      <c r="T320" s="949"/>
      <c r="U320" s="949"/>
      <c r="V320" s="949"/>
      <c r="W320" s="949"/>
      <c r="X320" s="951"/>
      <c r="Y320" s="951"/>
      <c r="Z320" s="952"/>
      <c r="AA320" s="953"/>
      <c r="AB320" s="948"/>
      <c r="AC320" s="948"/>
      <c r="AD320" s="949"/>
      <c r="AE320" s="949"/>
      <c r="AF320" s="949"/>
      <c r="AG320" s="949"/>
      <c r="AH320" s="949"/>
      <c r="AI320" s="949"/>
      <c r="AJ320" s="949"/>
      <c r="AK320" s="949"/>
      <c r="AL320" s="949"/>
      <c r="AM320" s="949"/>
      <c r="AN320" s="949"/>
      <c r="AO320" s="949"/>
      <c r="AP320" s="949"/>
      <c r="AQ320" s="949"/>
      <c r="AR320" s="949"/>
      <c r="AS320" s="949"/>
      <c r="AT320" s="949"/>
      <c r="AU320" s="949"/>
      <c r="AV320" s="949"/>
      <c r="AW320" s="949"/>
      <c r="AX320" s="949"/>
      <c r="AY320" s="949"/>
      <c r="AZ320" s="949"/>
      <c r="BA320" s="949"/>
      <c r="BB320" s="949"/>
      <c r="BC320" s="949"/>
      <c r="BD320" s="949"/>
      <c r="BE320" s="949"/>
      <c r="BF320" s="949"/>
      <c r="BG320" s="948"/>
      <c r="BH320" s="948"/>
      <c r="BI320" s="948"/>
      <c r="BJ320" s="948"/>
      <c r="BK320" s="948"/>
      <c r="BL320" s="948"/>
      <c r="BM320" s="948"/>
      <c r="BN320" s="948"/>
      <c r="BO320" s="948"/>
      <c r="BP320" s="948"/>
      <c r="BQ320" s="948"/>
      <c r="BR320" s="948"/>
      <c r="BS320" s="948"/>
      <c r="BT320" s="948"/>
      <c r="BU320" s="954"/>
    </row>
    <row r="321" spans="1:73" ht="15.75" customHeight="1" x14ac:dyDescent="0.2">
      <c r="A321" s="947"/>
      <c r="B321" s="947"/>
      <c r="C321" s="947"/>
      <c r="D321" s="948"/>
      <c r="E321" s="948"/>
      <c r="F321" s="948"/>
      <c r="G321" s="948"/>
      <c r="H321" s="948"/>
      <c r="I321" s="948"/>
      <c r="J321" s="948"/>
      <c r="K321" s="949"/>
      <c r="L321" s="949"/>
      <c r="M321" s="949"/>
      <c r="N321" s="950"/>
      <c r="O321" s="948"/>
      <c r="P321" s="948"/>
      <c r="Q321" s="948"/>
      <c r="R321" s="949"/>
      <c r="S321" s="949"/>
      <c r="T321" s="949"/>
      <c r="U321" s="949"/>
      <c r="V321" s="949"/>
      <c r="W321" s="949"/>
      <c r="X321" s="951"/>
      <c r="Y321" s="951"/>
      <c r="Z321" s="952"/>
      <c r="AA321" s="953"/>
      <c r="AB321" s="948"/>
      <c r="AC321" s="948"/>
      <c r="AD321" s="949"/>
      <c r="AE321" s="949"/>
      <c r="AF321" s="949"/>
      <c r="AG321" s="949"/>
      <c r="AH321" s="949"/>
      <c r="AI321" s="949"/>
      <c r="AJ321" s="949"/>
      <c r="AK321" s="949"/>
      <c r="AL321" s="949"/>
      <c r="AM321" s="949"/>
      <c r="AN321" s="949"/>
      <c r="AO321" s="949"/>
      <c r="AP321" s="949"/>
      <c r="AQ321" s="949"/>
      <c r="AR321" s="949"/>
      <c r="AS321" s="949"/>
      <c r="AT321" s="949"/>
      <c r="AU321" s="949"/>
      <c r="AV321" s="949"/>
      <c r="AW321" s="949"/>
      <c r="AX321" s="949"/>
      <c r="AY321" s="949"/>
      <c r="AZ321" s="949"/>
      <c r="BA321" s="949"/>
      <c r="BB321" s="949"/>
      <c r="BC321" s="949"/>
      <c r="BD321" s="949"/>
      <c r="BE321" s="949"/>
      <c r="BF321" s="949"/>
      <c r="BG321" s="948"/>
      <c r="BH321" s="948"/>
      <c r="BI321" s="948"/>
      <c r="BJ321" s="948"/>
      <c r="BK321" s="948"/>
      <c r="BL321" s="948"/>
      <c r="BM321" s="948"/>
      <c r="BN321" s="948"/>
      <c r="BO321" s="948"/>
      <c r="BP321" s="948"/>
      <c r="BQ321" s="948"/>
      <c r="BR321" s="948"/>
      <c r="BS321" s="948"/>
      <c r="BT321" s="948"/>
      <c r="BU321" s="954"/>
    </row>
    <row r="322" spans="1:73" ht="15.75" customHeight="1" x14ac:dyDescent="0.2">
      <c r="A322" s="947"/>
      <c r="B322" s="947"/>
      <c r="C322" s="947"/>
      <c r="D322" s="948"/>
      <c r="E322" s="948"/>
      <c r="F322" s="948"/>
      <c r="G322" s="948"/>
      <c r="H322" s="948"/>
      <c r="I322" s="948"/>
      <c r="J322" s="948"/>
      <c r="K322" s="949"/>
      <c r="L322" s="949"/>
      <c r="M322" s="949"/>
      <c r="N322" s="950"/>
      <c r="O322" s="948"/>
      <c r="P322" s="948"/>
      <c r="Q322" s="948"/>
      <c r="R322" s="949"/>
      <c r="S322" s="949"/>
      <c r="T322" s="949"/>
      <c r="U322" s="949"/>
      <c r="V322" s="949"/>
      <c r="W322" s="949"/>
      <c r="X322" s="951"/>
      <c r="Y322" s="951"/>
      <c r="Z322" s="952"/>
      <c r="AA322" s="953"/>
      <c r="AB322" s="948"/>
      <c r="AC322" s="948"/>
      <c r="AD322" s="949"/>
      <c r="AE322" s="949"/>
      <c r="AF322" s="949"/>
      <c r="AG322" s="949"/>
      <c r="AH322" s="949"/>
      <c r="AI322" s="949"/>
      <c r="AJ322" s="949"/>
      <c r="AK322" s="949"/>
      <c r="AL322" s="949"/>
      <c r="AM322" s="949"/>
      <c r="AN322" s="949"/>
      <c r="AO322" s="949"/>
      <c r="AP322" s="949"/>
      <c r="AQ322" s="949"/>
      <c r="AR322" s="949"/>
      <c r="AS322" s="949"/>
      <c r="AT322" s="949"/>
      <c r="AU322" s="949"/>
      <c r="AV322" s="949"/>
      <c r="AW322" s="949"/>
      <c r="AX322" s="949"/>
      <c r="AY322" s="949"/>
      <c r="AZ322" s="949"/>
      <c r="BA322" s="949"/>
      <c r="BB322" s="949"/>
      <c r="BC322" s="949"/>
      <c r="BD322" s="949"/>
      <c r="BE322" s="949"/>
      <c r="BF322" s="949"/>
      <c r="BG322" s="948"/>
      <c r="BH322" s="948"/>
      <c r="BI322" s="948"/>
      <c r="BJ322" s="948"/>
      <c r="BK322" s="948"/>
      <c r="BL322" s="948"/>
      <c r="BM322" s="948"/>
      <c r="BN322" s="948"/>
      <c r="BO322" s="948"/>
      <c r="BP322" s="948"/>
      <c r="BQ322" s="948"/>
      <c r="BR322" s="948"/>
      <c r="BS322" s="948"/>
      <c r="BT322" s="948"/>
      <c r="BU322" s="954"/>
    </row>
    <row r="323" spans="1:73" ht="15.75" customHeight="1" x14ac:dyDescent="0.2">
      <c r="A323" s="947"/>
      <c r="B323" s="947"/>
      <c r="C323" s="947"/>
      <c r="D323" s="948"/>
      <c r="E323" s="948"/>
      <c r="F323" s="948"/>
      <c r="G323" s="948"/>
      <c r="H323" s="948"/>
      <c r="I323" s="948"/>
      <c r="J323" s="948"/>
      <c r="K323" s="949"/>
      <c r="L323" s="949"/>
      <c r="M323" s="949"/>
      <c r="N323" s="950"/>
      <c r="O323" s="948"/>
      <c r="P323" s="948"/>
      <c r="Q323" s="948"/>
      <c r="R323" s="949"/>
      <c r="S323" s="949"/>
      <c r="T323" s="949"/>
      <c r="U323" s="949"/>
      <c r="V323" s="949"/>
      <c r="W323" s="949"/>
      <c r="X323" s="951"/>
      <c r="Y323" s="951"/>
      <c r="Z323" s="952"/>
      <c r="AA323" s="953"/>
      <c r="AB323" s="948"/>
      <c r="AC323" s="948"/>
      <c r="AD323" s="949"/>
      <c r="AE323" s="949"/>
      <c r="AF323" s="949"/>
      <c r="AG323" s="949"/>
      <c r="AH323" s="949"/>
      <c r="AI323" s="949"/>
      <c r="AJ323" s="949"/>
      <c r="AK323" s="949"/>
      <c r="AL323" s="949"/>
      <c r="AM323" s="949"/>
      <c r="AN323" s="949"/>
      <c r="AO323" s="949"/>
      <c r="AP323" s="949"/>
      <c r="AQ323" s="949"/>
      <c r="AR323" s="949"/>
      <c r="AS323" s="949"/>
      <c r="AT323" s="949"/>
      <c r="AU323" s="949"/>
      <c r="AV323" s="949"/>
      <c r="AW323" s="949"/>
      <c r="AX323" s="949"/>
      <c r="AY323" s="949"/>
      <c r="AZ323" s="949"/>
      <c r="BA323" s="949"/>
      <c r="BB323" s="949"/>
      <c r="BC323" s="949"/>
      <c r="BD323" s="949"/>
      <c r="BE323" s="949"/>
      <c r="BF323" s="949"/>
      <c r="BG323" s="948"/>
      <c r="BH323" s="948"/>
      <c r="BI323" s="948"/>
      <c r="BJ323" s="948"/>
      <c r="BK323" s="948"/>
      <c r="BL323" s="948"/>
      <c r="BM323" s="948"/>
      <c r="BN323" s="948"/>
      <c r="BO323" s="948"/>
      <c r="BP323" s="948"/>
      <c r="BQ323" s="948"/>
      <c r="BR323" s="948"/>
      <c r="BS323" s="948"/>
      <c r="BT323" s="948"/>
      <c r="BU323" s="954"/>
    </row>
    <row r="324" spans="1:73" ht="15.75" customHeight="1" x14ac:dyDescent="0.2">
      <c r="A324" s="947"/>
      <c r="B324" s="947"/>
      <c r="C324" s="947"/>
      <c r="D324" s="948"/>
      <c r="E324" s="948"/>
      <c r="F324" s="948"/>
      <c r="G324" s="948"/>
      <c r="H324" s="948"/>
      <c r="I324" s="948"/>
      <c r="J324" s="948"/>
      <c r="K324" s="949"/>
      <c r="L324" s="949"/>
      <c r="M324" s="949"/>
      <c r="N324" s="950"/>
      <c r="O324" s="948"/>
      <c r="P324" s="948"/>
      <c r="Q324" s="948"/>
      <c r="R324" s="949"/>
      <c r="S324" s="949"/>
      <c r="T324" s="949"/>
      <c r="U324" s="949"/>
      <c r="V324" s="949"/>
      <c r="W324" s="949"/>
      <c r="X324" s="951"/>
      <c r="Y324" s="951"/>
      <c r="Z324" s="952"/>
      <c r="AA324" s="953"/>
      <c r="AB324" s="948"/>
      <c r="AC324" s="948"/>
      <c r="AD324" s="949"/>
      <c r="AE324" s="949"/>
      <c r="AF324" s="949"/>
      <c r="AG324" s="949"/>
      <c r="AH324" s="949"/>
      <c r="AI324" s="949"/>
      <c r="AJ324" s="949"/>
      <c r="AK324" s="949"/>
      <c r="AL324" s="949"/>
      <c r="AM324" s="949"/>
      <c r="AN324" s="949"/>
      <c r="AO324" s="949"/>
      <c r="AP324" s="949"/>
      <c r="AQ324" s="949"/>
      <c r="AR324" s="949"/>
      <c r="AS324" s="949"/>
      <c r="AT324" s="949"/>
      <c r="AU324" s="949"/>
      <c r="AV324" s="949"/>
      <c r="AW324" s="949"/>
      <c r="AX324" s="949"/>
      <c r="AY324" s="949"/>
      <c r="AZ324" s="949"/>
      <c r="BA324" s="949"/>
      <c r="BB324" s="949"/>
      <c r="BC324" s="949"/>
      <c r="BD324" s="949"/>
      <c r="BE324" s="949"/>
      <c r="BF324" s="949"/>
      <c r="BG324" s="948"/>
      <c r="BH324" s="948"/>
      <c r="BI324" s="948"/>
      <c r="BJ324" s="948"/>
      <c r="BK324" s="948"/>
      <c r="BL324" s="948"/>
      <c r="BM324" s="948"/>
      <c r="BN324" s="948"/>
      <c r="BO324" s="948"/>
      <c r="BP324" s="948"/>
      <c r="BQ324" s="948"/>
      <c r="BR324" s="948"/>
      <c r="BS324" s="948"/>
      <c r="BT324" s="948"/>
      <c r="BU324" s="954"/>
    </row>
    <row r="325" spans="1:73" ht="15.75" customHeight="1" x14ac:dyDescent="0.2">
      <c r="A325" s="947"/>
      <c r="B325" s="947"/>
      <c r="C325" s="947"/>
      <c r="D325" s="948"/>
      <c r="E325" s="948"/>
      <c r="F325" s="948"/>
      <c r="G325" s="948"/>
      <c r="H325" s="948"/>
      <c r="I325" s="948"/>
      <c r="J325" s="948"/>
      <c r="K325" s="949"/>
      <c r="L325" s="949"/>
      <c r="M325" s="949"/>
      <c r="N325" s="950"/>
      <c r="O325" s="948"/>
      <c r="P325" s="948"/>
      <c r="Q325" s="948"/>
      <c r="R325" s="949"/>
      <c r="S325" s="949"/>
      <c r="T325" s="949"/>
      <c r="U325" s="949"/>
      <c r="V325" s="949"/>
      <c r="W325" s="949"/>
      <c r="X325" s="951"/>
      <c r="Y325" s="951"/>
      <c r="Z325" s="952"/>
      <c r="AA325" s="953"/>
      <c r="AB325" s="948"/>
      <c r="AC325" s="948"/>
      <c r="AD325" s="949"/>
      <c r="AE325" s="949"/>
      <c r="AF325" s="949"/>
      <c r="AG325" s="949"/>
      <c r="AH325" s="949"/>
      <c r="AI325" s="949"/>
      <c r="AJ325" s="949"/>
      <c r="AK325" s="949"/>
      <c r="AL325" s="949"/>
      <c r="AM325" s="949"/>
      <c r="AN325" s="949"/>
      <c r="AO325" s="949"/>
      <c r="AP325" s="949"/>
      <c r="AQ325" s="949"/>
      <c r="AR325" s="949"/>
      <c r="AS325" s="949"/>
      <c r="AT325" s="949"/>
      <c r="AU325" s="949"/>
      <c r="AV325" s="949"/>
      <c r="AW325" s="949"/>
      <c r="AX325" s="949"/>
      <c r="AY325" s="949"/>
      <c r="AZ325" s="949"/>
      <c r="BA325" s="949"/>
      <c r="BB325" s="949"/>
      <c r="BC325" s="949"/>
      <c r="BD325" s="949"/>
      <c r="BE325" s="949"/>
      <c r="BF325" s="949"/>
      <c r="BG325" s="948"/>
      <c r="BH325" s="948"/>
      <c r="BI325" s="948"/>
      <c r="BJ325" s="948"/>
      <c r="BK325" s="948"/>
      <c r="BL325" s="948"/>
      <c r="BM325" s="948"/>
      <c r="BN325" s="948"/>
      <c r="BO325" s="948"/>
      <c r="BP325" s="948"/>
      <c r="BQ325" s="948"/>
      <c r="BR325" s="948"/>
      <c r="BS325" s="948"/>
      <c r="BT325" s="948"/>
      <c r="BU325" s="954"/>
    </row>
    <row r="326" spans="1:73" ht="15.75" customHeight="1" x14ac:dyDescent="0.2">
      <c r="A326" s="947"/>
      <c r="B326" s="947"/>
      <c r="C326" s="947"/>
      <c r="D326" s="948"/>
      <c r="E326" s="948"/>
      <c r="F326" s="948"/>
      <c r="G326" s="948"/>
      <c r="H326" s="948"/>
      <c r="I326" s="948"/>
      <c r="J326" s="948"/>
      <c r="K326" s="949"/>
      <c r="L326" s="949"/>
      <c r="M326" s="949"/>
      <c r="N326" s="950"/>
      <c r="O326" s="948"/>
      <c r="P326" s="948"/>
      <c r="Q326" s="948"/>
      <c r="R326" s="949"/>
      <c r="S326" s="949"/>
      <c r="T326" s="949"/>
      <c r="U326" s="949"/>
      <c r="V326" s="949"/>
      <c r="W326" s="949"/>
      <c r="X326" s="951"/>
      <c r="Y326" s="951"/>
      <c r="Z326" s="952"/>
      <c r="AA326" s="953"/>
      <c r="AB326" s="948"/>
      <c r="AC326" s="948"/>
      <c r="AD326" s="949"/>
      <c r="AE326" s="949"/>
      <c r="AF326" s="949"/>
      <c r="AG326" s="949"/>
      <c r="AH326" s="949"/>
      <c r="AI326" s="949"/>
      <c r="AJ326" s="949"/>
      <c r="AK326" s="949"/>
      <c r="AL326" s="949"/>
      <c r="AM326" s="949"/>
      <c r="AN326" s="949"/>
      <c r="AO326" s="949"/>
      <c r="AP326" s="949"/>
      <c r="AQ326" s="949"/>
      <c r="AR326" s="949"/>
      <c r="AS326" s="949"/>
      <c r="AT326" s="949"/>
      <c r="AU326" s="949"/>
      <c r="AV326" s="949"/>
      <c r="AW326" s="949"/>
      <c r="AX326" s="949"/>
      <c r="AY326" s="949"/>
      <c r="AZ326" s="949"/>
      <c r="BA326" s="949"/>
      <c r="BB326" s="949"/>
      <c r="BC326" s="949"/>
      <c r="BD326" s="949"/>
      <c r="BE326" s="949"/>
      <c r="BF326" s="949"/>
      <c r="BG326" s="948"/>
      <c r="BH326" s="948"/>
      <c r="BI326" s="948"/>
      <c r="BJ326" s="948"/>
      <c r="BK326" s="948"/>
      <c r="BL326" s="948"/>
      <c r="BM326" s="948"/>
      <c r="BN326" s="948"/>
      <c r="BO326" s="948"/>
      <c r="BP326" s="948"/>
      <c r="BQ326" s="948"/>
      <c r="BR326" s="948"/>
      <c r="BS326" s="948"/>
      <c r="BT326" s="948"/>
      <c r="BU326" s="954"/>
    </row>
    <row r="327" spans="1:73" ht="15.75" customHeight="1" x14ac:dyDescent="0.2">
      <c r="A327" s="947"/>
      <c r="B327" s="947"/>
      <c r="C327" s="947"/>
      <c r="D327" s="948"/>
      <c r="E327" s="948"/>
      <c r="F327" s="948"/>
      <c r="G327" s="948"/>
      <c r="H327" s="948"/>
      <c r="I327" s="948"/>
      <c r="J327" s="948"/>
      <c r="K327" s="949"/>
      <c r="L327" s="949"/>
      <c r="M327" s="949"/>
      <c r="N327" s="950"/>
      <c r="O327" s="948"/>
      <c r="P327" s="948"/>
      <c r="Q327" s="948"/>
      <c r="R327" s="949"/>
      <c r="S327" s="949"/>
      <c r="T327" s="949"/>
      <c r="U327" s="949"/>
      <c r="V327" s="949"/>
      <c r="W327" s="949"/>
      <c r="X327" s="951"/>
      <c r="Y327" s="951"/>
      <c r="Z327" s="952"/>
      <c r="AA327" s="953"/>
      <c r="AB327" s="948"/>
      <c r="AC327" s="948"/>
      <c r="AD327" s="949"/>
      <c r="AE327" s="949"/>
      <c r="AF327" s="949"/>
      <c r="AG327" s="949"/>
      <c r="AH327" s="949"/>
      <c r="AI327" s="949"/>
      <c r="AJ327" s="949"/>
      <c r="AK327" s="949"/>
      <c r="AL327" s="949"/>
      <c r="AM327" s="949"/>
      <c r="AN327" s="949"/>
      <c r="AO327" s="949"/>
      <c r="AP327" s="949"/>
      <c r="AQ327" s="949"/>
      <c r="AR327" s="949"/>
      <c r="AS327" s="949"/>
      <c r="AT327" s="949"/>
      <c r="AU327" s="949"/>
      <c r="AV327" s="949"/>
      <c r="AW327" s="949"/>
      <c r="AX327" s="949"/>
      <c r="AY327" s="949"/>
      <c r="AZ327" s="949"/>
      <c r="BA327" s="949"/>
      <c r="BB327" s="949"/>
      <c r="BC327" s="949"/>
      <c r="BD327" s="949"/>
      <c r="BE327" s="949"/>
      <c r="BF327" s="949"/>
      <c r="BG327" s="948"/>
      <c r="BH327" s="948"/>
      <c r="BI327" s="948"/>
      <c r="BJ327" s="948"/>
      <c r="BK327" s="948"/>
      <c r="BL327" s="948"/>
      <c r="BM327" s="948"/>
      <c r="BN327" s="948"/>
      <c r="BO327" s="948"/>
      <c r="BP327" s="948"/>
      <c r="BQ327" s="948"/>
      <c r="BR327" s="948"/>
      <c r="BS327" s="948"/>
      <c r="BT327" s="948"/>
      <c r="BU327" s="954"/>
    </row>
    <row r="328" spans="1:73" ht="15.75" customHeight="1" x14ac:dyDescent="0.2">
      <c r="A328" s="947"/>
      <c r="B328" s="947"/>
      <c r="C328" s="947"/>
      <c r="D328" s="948"/>
      <c r="E328" s="948"/>
      <c r="F328" s="948"/>
      <c r="G328" s="948"/>
      <c r="H328" s="948"/>
      <c r="I328" s="948"/>
      <c r="J328" s="948"/>
      <c r="K328" s="949"/>
      <c r="L328" s="949"/>
      <c r="M328" s="949"/>
      <c r="N328" s="950"/>
      <c r="O328" s="948"/>
      <c r="P328" s="948"/>
      <c r="Q328" s="948"/>
      <c r="R328" s="949"/>
      <c r="S328" s="949"/>
      <c r="T328" s="949"/>
      <c r="U328" s="949"/>
      <c r="V328" s="949"/>
      <c r="W328" s="949"/>
      <c r="X328" s="951"/>
      <c r="Y328" s="951"/>
      <c r="Z328" s="952"/>
      <c r="AA328" s="953"/>
      <c r="AB328" s="948"/>
      <c r="AC328" s="948"/>
      <c r="AD328" s="949"/>
      <c r="AE328" s="949"/>
      <c r="AF328" s="949"/>
      <c r="AG328" s="949"/>
      <c r="AH328" s="949"/>
      <c r="AI328" s="949"/>
      <c r="AJ328" s="949"/>
      <c r="AK328" s="949"/>
      <c r="AL328" s="949"/>
      <c r="AM328" s="949"/>
      <c r="AN328" s="949"/>
      <c r="AO328" s="949"/>
      <c r="AP328" s="949"/>
      <c r="AQ328" s="949"/>
      <c r="AR328" s="949"/>
      <c r="AS328" s="949"/>
      <c r="AT328" s="949"/>
      <c r="AU328" s="949"/>
      <c r="AV328" s="949"/>
      <c r="AW328" s="949"/>
      <c r="AX328" s="949"/>
      <c r="AY328" s="949"/>
      <c r="AZ328" s="949"/>
      <c r="BA328" s="949"/>
      <c r="BB328" s="949"/>
      <c r="BC328" s="949"/>
      <c r="BD328" s="949"/>
      <c r="BE328" s="949"/>
      <c r="BF328" s="949"/>
      <c r="BG328" s="948"/>
      <c r="BH328" s="948"/>
      <c r="BI328" s="948"/>
      <c r="BJ328" s="948"/>
      <c r="BK328" s="948"/>
      <c r="BL328" s="948"/>
      <c r="BM328" s="948"/>
      <c r="BN328" s="948"/>
      <c r="BO328" s="948"/>
      <c r="BP328" s="948"/>
      <c r="BQ328" s="948"/>
      <c r="BR328" s="948"/>
      <c r="BS328" s="948"/>
      <c r="BT328" s="948"/>
      <c r="BU328" s="954"/>
    </row>
    <row r="329" spans="1:73" ht="15.75" customHeight="1" x14ac:dyDescent="0.2">
      <c r="A329" s="947"/>
      <c r="B329" s="947"/>
      <c r="C329" s="947"/>
      <c r="D329" s="948"/>
      <c r="E329" s="948"/>
      <c r="F329" s="948"/>
      <c r="G329" s="948"/>
      <c r="H329" s="948"/>
      <c r="I329" s="948"/>
      <c r="J329" s="948"/>
      <c r="K329" s="949"/>
      <c r="L329" s="949"/>
      <c r="M329" s="949"/>
      <c r="N329" s="950"/>
      <c r="O329" s="948"/>
      <c r="P329" s="948"/>
      <c r="Q329" s="948"/>
      <c r="R329" s="949"/>
      <c r="S329" s="949"/>
      <c r="T329" s="949"/>
      <c r="U329" s="949"/>
      <c r="V329" s="949"/>
      <c r="W329" s="949"/>
      <c r="X329" s="951"/>
      <c r="Y329" s="951"/>
      <c r="Z329" s="952"/>
      <c r="AA329" s="953"/>
      <c r="AB329" s="948"/>
      <c r="AC329" s="948"/>
      <c r="AD329" s="949"/>
      <c r="AE329" s="949"/>
      <c r="AF329" s="949"/>
      <c r="AG329" s="949"/>
      <c r="AH329" s="949"/>
      <c r="AI329" s="949"/>
      <c r="AJ329" s="949"/>
      <c r="AK329" s="949"/>
      <c r="AL329" s="949"/>
      <c r="AM329" s="949"/>
      <c r="AN329" s="949"/>
      <c r="AO329" s="949"/>
      <c r="AP329" s="949"/>
      <c r="AQ329" s="949"/>
      <c r="AR329" s="949"/>
      <c r="AS329" s="949"/>
      <c r="AT329" s="949"/>
      <c r="AU329" s="949"/>
      <c r="AV329" s="949"/>
      <c r="AW329" s="949"/>
      <c r="AX329" s="949"/>
      <c r="AY329" s="949"/>
      <c r="AZ329" s="949"/>
      <c r="BA329" s="949"/>
      <c r="BB329" s="949"/>
      <c r="BC329" s="949"/>
      <c r="BD329" s="949"/>
      <c r="BE329" s="949"/>
      <c r="BF329" s="949"/>
      <c r="BG329" s="948"/>
      <c r="BH329" s="948"/>
      <c r="BI329" s="948"/>
      <c r="BJ329" s="948"/>
      <c r="BK329" s="948"/>
      <c r="BL329" s="948"/>
      <c r="BM329" s="948"/>
      <c r="BN329" s="948"/>
      <c r="BO329" s="948"/>
      <c r="BP329" s="948"/>
      <c r="BQ329" s="948"/>
      <c r="BR329" s="948"/>
      <c r="BS329" s="948"/>
      <c r="BT329" s="948"/>
      <c r="BU329" s="954"/>
    </row>
    <row r="330" spans="1:73" ht="15.75" customHeight="1" x14ac:dyDescent="0.2">
      <c r="A330" s="947"/>
      <c r="B330" s="947"/>
      <c r="C330" s="947"/>
      <c r="D330" s="948"/>
      <c r="E330" s="948"/>
      <c r="F330" s="948"/>
      <c r="G330" s="948"/>
      <c r="H330" s="948"/>
      <c r="I330" s="948"/>
      <c r="J330" s="948"/>
      <c r="K330" s="949"/>
      <c r="L330" s="949"/>
      <c r="M330" s="949"/>
      <c r="N330" s="950"/>
      <c r="O330" s="948"/>
      <c r="P330" s="948"/>
      <c r="Q330" s="948"/>
      <c r="R330" s="949"/>
      <c r="S330" s="949"/>
      <c r="T330" s="949"/>
      <c r="U330" s="949"/>
      <c r="V330" s="949"/>
      <c r="W330" s="949"/>
      <c r="X330" s="951"/>
      <c r="Y330" s="951"/>
      <c r="Z330" s="952"/>
      <c r="AA330" s="953"/>
      <c r="AB330" s="948"/>
      <c r="AC330" s="948"/>
      <c r="AD330" s="949"/>
      <c r="AE330" s="949"/>
      <c r="AF330" s="949"/>
      <c r="AG330" s="949"/>
      <c r="AH330" s="949"/>
      <c r="AI330" s="949"/>
      <c r="AJ330" s="949"/>
      <c r="AK330" s="949"/>
      <c r="AL330" s="949"/>
      <c r="AM330" s="949"/>
      <c r="AN330" s="949"/>
      <c r="AO330" s="949"/>
      <c r="AP330" s="949"/>
      <c r="AQ330" s="949"/>
      <c r="AR330" s="949"/>
      <c r="AS330" s="949"/>
      <c r="AT330" s="949"/>
      <c r="AU330" s="949"/>
      <c r="AV330" s="949"/>
      <c r="AW330" s="949"/>
      <c r="AX330" s="949"/>
      <c r="AY330" s="949"/>
      <c r="AZ330" s="949"/>
      <c r="BA330" s="949"/>
      <c r="BB330" s="949"/>
      <c r="BC330" s="949"/>
      <c r="BD330" s="949"/>
      <c r="BE330" s="949"/>
      <c r="BF330" s="949"/>
      <c r="BG330" s="948"/>
      <c r="BH330" s="948"/>
      <c r="BI330" s="948"/>
      <c r="BJ330" s="948"/>
      <c r="BK330" s="948"/>
      <c r="BL330" s="948"/>
      <c r="BM330" s="948"/>
      <c r="BN330" s="948"/>
      <c r="BO330" s="948"/>
      <c r="BP330" s="948"/>
      <c r="BQ330" s="948"/>
      <c r="BR330" s="948"/>
      <c r="BS330" s="948"/>
      <c r="BT330" s="948"/>
      <c r="BU330" s="954"/>
    </row>
    <row r="331" spans="1:73" ht="15.75" customHeight="1" x14ac:dyDescent="0.2">
      <c r="A331" s="947"/>
      <c r="B331" s="947"/>
      <c r="C331" s="947"/>
      <c r="D331" s="948"/>
      <c r="E331" s="948"/>
      <c r="F331" s="948"/>
      <c r="G331" s="948"/>
      <c r="H331" s="948"/>
      <c r="I331" s="948"/>
      <c r="J331" s="948"/>
      <c r="K331" s="949"/>
      <c r="L331" s="949"/>
      <c r="M331" s="949"/>
      <c r="N331" s="950"/>
      <c r="O331" s="948"/>
      <c r="P331" s="948"/>
      <c r="Q331" s="948"/>
      <c r="R331" s="949"/>
      <c r="S331" s="949"/>
      <c r="T331" s="949"/>
      <c r="U331" s="949"/>
      <c r="V331" s="949"/>
      <c r="W331" s="949"/>
      <c r="X331" s="951"/>
      <c r="Y331" s="951"/>
      <c r="Z331" s="952"/>
      <c r="AA331" s="953"/>
      <c r="AB331" s="948"/>
      <c r="AC331" s="948"/>
      <c r="AD331" s="949"/>
      <c r="AE331" s="949"/>
      <c r="AF331" s="949"/>
      <c r="AG331" s="949"/>
      <c r="AH331" s="949"/>
      <c r="AI331" s="949"/>
      <c r="AJ331" s="949"/>
      <c r="AK331" s="949"/>
      <c r="AL331" s="949"/>
      <c r="AM331" s="949"/>
      <c r="AN331" s="949"/>
      <c r="AO331" s="949"/>
      <c r="AP331" s="949"/>
      <c r="AQ331" s="949"/>
      <c r="AR331" s="949"/>
      <c r="AS331" s="949"/>
      <c r="AT331" s="949"/>
      <c r="AU331" s="949"/>
      <c r="AV331" s="949"/>
      <c r="AW331" s="949"/>
      <c r="AX331" s="949"/>
      <c r="AY331" s="949"/>
      <c r="AZ331" s="949"/>
      <c r="BA331" s="949"/>
      <c r="BB331" s="949"/>
      <c r="BC331" s="949"/>
      <c r="BD331" s="949"/>
      <c r="BE331" s="949"/>
      <c r="BF331" s="949"/>
      <c r="BG331" s="948"/>
      <c r="BH331" s="948"/>
      <c r="BI331" s="948"/>
      <c r="BJ331" s="948"/>
      <c r="BK331" s="948"/>
      <c r="BL331" s="948"/>
      <c r="BM331" s="948"/>
      <c r="BN331" s="948"/>
      <c r="BO331" s="948"/>
      <c r="BP331" s="948"/>
      <c r="BQ331" s="948"/>
      <c r="BR331" s="948"/>
      <c r="BS331" s="948"/>
      <c r="BT331" s="948"/>
      <c r="BU331" s="954"/>
    </row>
    <row r="332" spans="1:73" ht="15.75" customHeight="1" x14ac:dyDescent="0.2">
      <c r="A332" s="947"/>
      <c r="B332" s="947"/>
      <c r="C332" s="947"/>
      <c r="D332" s="948"/>
      <c r="E332" s="948"/>
      <c r="F332" s="948"/>
      <c r="G332" s="948"/>
      <c r="H332" s="948"/>
      <c r="I332" s="948"/>
      <c r="J332" s="948"/>
      <c r="K332" s="949"/>
      <c r="L332" s="949"/>
      <c r="M332" s="949"/>
      <c r="N332" s="950"/>
      <c r="O332" s="948"/>
      <c r="P332" s="948"/>
      <c r="Q332" s="948"/>
      <c r="R332" s="949"/>
      <c r="S332" s="949"/>
      <c r="T332" s="949"/>
      <c r="U332" s="949"/>
      <c r="V332" s="949"/>
      <c r="W332" s="949"/>
      <c r="X332" s="951"/>
      <c r="Y332" s="951"/>
      <c r="Z332" s="952"/>
      <c r="AA332" s="953"/>
      <c r="AB332" s="948"/>
      <c r="AC332" s="948"/>
      <c r="AD332" s="949"/>
      <c r="AE332" s="949"/>
      <c r="AF332" s="949"/>
      <c r="AG332" s="949"/>
      <c r="AH332" s="949"/>
      <c r="AI332" s="949"/>
      <c r="AJ332" s="949"/>
      <c r="AK332" s="949"/>
      <c r="AL332" s="949"/>
      <c r="AM332" s="949"/>
      <c r="AN332" s="949"/>
      <c r="AO332" s="949"/>
      <c r="AP332" s="949"/>
      <c r="AQ332" s="949"/>
      <c r="AR332" s="949"/>
      <c r="AS332" s="949"/>
      <c r="AT332" s="949"/>
      <c r="AU332" s="949"/>
      <c r="AV332" s="949"/>
      <c r="AW332" s="949"/>
      <c r="AX332" s="949"/>
      <c r="AY332" s="949"/>
      <c r="AZ332" s="949"/>
      <c r="BA332" s="949"/>
      <c r="BB332" s="949"/>
      <c r="BC332" s="949"/>
      <c r="BD332" s="949"/>
      <c r="BE332" s="949"/>
      <c r="BF332" s="949"/>
      <c r="BG332" s="948"/>
      <c r="BH332" s="948"/>
      <c r="BI332" s="948"/>
      <c r="BJ332" s="948"/>
      <c r="BK332" s="948"/>
      <c r="BL332" s="948"/>
      <c r="BM332" s="948"/>
      <c r="BN332" s="948"/>
      <c r="BO332" s="948"/>
      <c r="BP332" s="948"/>
      <c r="BQ332" s="948"/>
      <c r="BR332" s="948"/>
      <c r="BS332" s="948"/>
      <c r="BT332" s="948"/>
      <c r="BU332" s="954"/>
    </row>
    <row r="333" spans="1:73" ht="15.75" customHeight="1" x14ac:dyDescent="0.2">
      <c r="A333" s="947"/>
      <c r="B333" s="947"/>
      <c r="C333" s="947"/>
      <c r="D333" s="948"/>
      <c r="E333" s="948"/>
      <c r="F333" s="948"/>
      <c r="G333" s="948"/>
      <c r="H333" s="948"/>
      <c r="I333" s="948"/>
      <c r="J333" s="948"/>
      <c r="K333" s="949"/>
      <c r="L333" s="949"/>
      <c r="M333" s="949"/>
      <c r="N333" s="950"/>
      <c r="O333" s="948"/>
      <c r="P333" s="948"/>
      <c r="Q333" s="948"/>
      <c r="R333" s="949"/>
      <c r="S333" s="949"/>
      <c r="T333" s="949"/>
      <c r="U333" s="949"/>
      <c r="V333" s="949"/>
      <c r="W333" s="949"/>
      <c r="X333" s="951"/>
      <c r="Y333" s="951"/>
      <c r="Z333" s="952"/>
      <c r="AA333" s="953"/>
      <c r="AB333" s="948"/>
      <c r="AC333" s="948"/>
      <c r="AD333" s="949"/>
      <c r="AE333" s="949"/>
      <c r="AF333" s="949"/>
      <c r="AG333" s="949"/>
      <c r="AH333" s="949"/>
      <c r="AI333" s="949"/>
      <c r="AJ333" s="949"/>
      <c r="AK333" s="949"/>
      <c r="AL333" s="949"/>
      <c r="AM333" s="949"/>
      <c r="AN333" s="949"/>
      <c r="AO333" s="949"/>
      <c r="AP333" s="949"/>
      <c r="AQ333" s="949"/>
      <c r="AR333" s="949"/>
      <c r="AS333" s="949"/>
      <c r="AT333" s="949"/>
      <c r="AU333" s="949"/>
      <c r="AV333" s="949"/>
      <c r="AW333" s="949"/>
      <c r="AX333" s="949"/>
      <c r="AY333" s="949"/>
      <c r="AZ333" s="949"/>
      <c r="BA333" s="949"/>
      <c r="BB333" s="949"/>
      <c r="BC333" s="949"/>
      <c r="BD333" s="949"/>
      <c r="BE333" s="949"/>
      <c r="BF333" s="949"/>
      <c r="BG333" s="948"/>
      <c r="BH333" s="948"/>
      <c r="BI333" s="948"/>
      <c r="BJ333" s="948"/>
      <c r="BK333" s="948"/>
      <c r="BL333" s="948"/>
      <c r="BM333" s="948"/>
      <c r="BN333" s="948"/>
      <c r="BO333" s="948"/>
      <c r="BP333" s="948"/>
      <c r="BQ333" s="948"/>
      <c r="BR333" s="948"/>
      <c r="BS333" s="948"/>
      <c r="BT333" s="948"/>
      <c r="BU333" s="954"/>
    </row>
    <row r="334" spans="1:73" ht="15.75" customHeight="1" x14ac:dyDescent="0.2">
      <c r="A334" s="947"/>
      <c r="B334" s="947"/>
      <c r="C334" s="947"/>
      <c r="D334" s="948"/>
      <c r="E334" s="948"/>
      <c r="F334" s="948"/>
      <c r="G334" s="948"/>
      <c r="H334" s="948"/>
      <c r="I334" s="948"/>
      <c r="J334" s="948"/>
      <c r="K334" s="949"/>
      <c r="L334" s="949"/>
      <c r="M334" s="949"/>
      <c r="N334" s="950"/>
      <c r="O334" s="948"/>
      <c r="P334" s="948"/>
      <c r="Q334" s="948"/>
      <c r="R334" s="949"/>
      <c r="S334" s="949"/>
      <c r="T334" s="949"/>
      <c r="U334" s="949"/>
      <c r="V334" s="949"/>
      <c r="W334" s="949"/>
      <c r="X334" s="951"/>
      <c r="Y334" s="951"/>
      <c r="Z334" s="952"/>
      <c r="AA334" s="953"/>
      <c r="AB334" s="948"/>
      <c r="AC334" s="948"/>
      <c r="AD334" s="949"/>
      <c r="AE334" s="949"/>
      <c r="AF334" s="949"/>
      <c r="AG334" s="949"/>
      <c r="AH334" s="949"/>
      <c r="AI334" s="949"/>
      <c r="AJ334" s="949"/>
      <c r="AK334" s="949"/>
      <c r="AL334" s="949"/>
      <c r="AM334" s="949"/>
      <c r="AN334" s="949"/>
      <c r="AO334" s="949"/>
      <c r="AP334" s="949"/>
      <c r="AQ334" s="949"/>
      <c r="AR334" s="949"/>
      <c r="AS334" s="949"/>
      <c r="AT334" s="949"/>
      <c r="AU334" s="949"/>
      <c r="AV334" s="949"/>
      <c r="AW334" s="949"/>
      <c r="AX334" s="949"/>
      <c r="AY334" s="949"/>
      <c r="AZ334" s="949"/>
      <c r="BA334" s="949"/>
      <c r="BB334" s="949"/>
      <c r="BC334" s="949"/>
      <c r="BD334" s="949"/>
      <c r="BE334" s="949"/>
      <c r="BF334" s="949"/>
      <c r="BG334" s="948"/>
      <c r="BH334" s="948"/>
      <c r="BI334" s="948"/>
      <c r="BJ334" s="948"/>
      <c r="BK334" s="948"/>
      <c r="BL334" s="948"/>
      <c r="BM334" s="948"/>
      <c r="BN334" s="948"/>
      <c r="BO334" s="948"/>
      <c r="BP334" s="948"/>
      <c r="BQ334" s="948"/>
      <c r="BR334" s="948"/>
      <c r="BS334" s="948"/>
      <c r="BT334" s="948"/>
      <c r="BU334" s="954"/>
    </row>
    <row r="335" spans="1:73" ht="15.75" customHeight="1" x14ac:dyDescent="0.2">
      <c r="A335" s="947"/>
      <c r="B335" s="947"/>
      <c r="C335" s="947"/>
      <c r="D335" s="948"/>
      <c r="E335" s="948"/>
      <c r="F335" s="948"/>
      <c r="G335" s="948"/>
      <c r="H335" s="948"/>
      <c r="I335" s="948"/>
      <c r="J335" s="948"/>
      <c r="K335" s="949"/>
      <c r="L335" s="949"/>
      <c r="M335" s="949"/>
      <c r="N335" s="950"/>
      <c r="O335" s="948"/>
      <c r="P335" s="948"/>
      <c r="Q335" s="948"/>
      <c r="R335" s="949"/>
      <c r="S335" s="949"/>
      <c r="T335" s="949"/>
      <c r="U335" s="949"/>
      <c r="V335" s="949"/>
      <c r="W335" s="949"/>
      <c r="X335" s="951"/>
      <c r="Y335" s="951"/>
      <c r="Z335" s="952"/>
      <c r="AA335" s="953"/>
      <c r="AB335" s="948"/>
      <c r="AC335" s="948"/>
      <c r="AD335" s="949"/>
      <c r="AE335" s="949"/>
      <c r="AF335" s="949"/>
      <c r="AG335" s="949"/>
      <c r="AH335" s="949"/>
      <c r="AI335" s="949"/>
      <c r="AJ335" s="949"/>
      <c r="AK335" s="949"/>
      <c r="AL335" s="949"/>
      <c r="AM335" s="949"/>
      <c r="AN335" s="949"/>
      <c r="AO335" s="949"/>
      <c r="AP335" s="949"/>
      <c r="AQ335" s="949"/>
      <c r="AR335" s="949"/>
      <c r="AS335" s="949"/>
      <c r="AT335" s="949"/>
      <c r="AU335" s="949"/>
      <c r="AV335" s="949"/>
      <c r="AW335" s="949"/>
      <c r="AX335" s="949"/>
      <c r="AY335" s="949"/>
      <c r="AZ335" s="949"/>
      <c r="BA335" s="949"/>
      <c r="BB335" s="949"/>
      <c r="BC335" s="949"/>
      <c r="BD335" s="949"/>
      <c r="BE335" s="949"/>
      <c r="BF335" s="949"/>
      <c r="BG335" s="948"/>
      <c r="BH335" s="948"/>
      <c r="BI335" s="948"/>
      <c r="BJ335" s="948"/>
      <c r="BK335" s="948"/>
      <c r="BL335" s="948"/>
      <c r="BM335" s="948"/>
      <c r="BN335" s="948"/>
      <c r="BO335" s="948"/>
      <c r="BP335" s="948"/>
      <c r="BQ335" s="948"/>
      <c r="BR335" s="948"/>
      <c r="BS335" s="948"/>
      <c r="BT335" s="948"/>
      <c r="BU335" s="954"/>
    </row>
    <row r="336" spans="1:73" ht="15.75" customHeight="1" x14ac:dyDescent="0.2">
      <c r="A336" s="947"/>
      <c r="B336" s="947"/>
      <c r="C336" s="947"/>
      <c r="D336" s="948"/>
      <c r="E336" s="948"/>
      <c r="F336" s="948"/>
      <c r="G336" s="948"/>
      <c r="H336" s="948"/>
      <c r="I336" s="948"/>
      <c r="J336" s="948"/>
      <c r="K336" s="949"/>
      <c r="L336" s="949"/>
      <c r="M336" s="949"/>
      <c r="N336" s="950"/>
      <c r="O336" s="948"/>
      <c r="P336" s="948"/>
      <c r="Q336" s="948"/>
      <c r="R336" s="949"/>
      <c r="S336" s="949"/>
      <c r="T336" s="949"/>
      <c r="U336" s="949"/>
      <c r="V336" s="949"/>
      <c r="W336" s="949"/>
      <c r="X336" s="951"/>
      <c r="Y336" s="951"/>
      <c r="Z336" s="952"/>
      <c r="AA336" s="953"/>
      <c r="AB336" s="948"/>
      <c r="AC336" s="948"/>
      <c r="AD336" s="949"/>
      <c r="AE336" s="949"/>
      <c r="AF336" s="949"/>
      <c r="AG336" s="949"/>
      <c r="AH336" s="949"/>
      <c r="AI336" s="949"/>
      <c r="AJ336" s="949"/>
      <c r="AK336" s="949"/>
      <c r="AL336" s="949"/>
      <c r="AM336" s="949"/>
      <c r="AN336" s="949"/>
      <c r="AO336" s="949"/>
      <c r="AP336" s="949"/>
      <c r="AQ336" s="949"/>
      <c r="AR336" s="949"/>
      <c r="AS336" s="949"/>
      <c r="AT336" s="949"/>
      <c r="AU336" s="949"/>
      <c r="AV336" s="949"/>
      <c r="AW336" s="949"/>
      <c r="AX336" s="949"/>
      <c r="AY336" s="949"/>
      <c r="AZ336" s="949"/>
      <c r="BA336" s="949"/>
      <c r="BB336" s="949"/>
      <c r="BC336" s="949"/>
      <c r="BD336" s="949"/>
      <c r="BE336" s="949"/>
      <c r="BF336" s="949"/>
      <c r="BG336" s="948"/>
      <c r="BH336" s="948"/>
      <c r="BI336" s="948"/>
      <c r="BJ336" s="948"/>
      <c r="BK336" s="948"/>
      <c r="BL336" s="948"/>
      <c r="BM336" s="948"/>
      <c r="BN336" s="948"/>
      <c r="BO336" s="948"/>
      <c r="BP336" s="948"/>
      <c r="BQ336" s="948"/>
      <c r="BR336" s="948"/>
      <c r="BS336" s="948"/>
      <c r="BT336" s="948"/>
      <c r="BU336" s="954"/>
    </row>
    <row r="337" spans="1:73" ht="15.75" customHeight="1" x14ac:dyDescent="0.2">
      <c r="A337" s="947"/>
      <c r="B337" s="947"/>
      <c r="C337" s="947"/>
      <c r="D337" s="948"/>
      <c r="E337" s="948"/>
      <c r="F337" s="948"/>
      <c r="G337" s="948"/>
      <c r="H337" s="948"/>
      <c r="I337" s="948"/>
      <c r="J337" s="948"/>
      <c r="K337" s="949"/>
      <c r="L337" s="949"/>
      <c r="M337" s="949"/>
      <c r="N337" s="950"/>
      <c r="O337" s="948"/>
      <c r="P337" s="948"/>
      <c r="Q337" s="948"/>
      <c r="R337" s="949"/>
      <c r="S337" s="949"/>
      <c r="T337" s="949"/>
      <c r="U337" s="949"/>
      <c r="V337" s="949"/>
      <c r="W337" s="949"/>
      <c r="X337" s="951"/>
      <c r="Y337" s="951"/>
      <c r="Z337" s="952"/>
      <c r="AA337" s="953"/>
      <c r="AB337" s="948"/>
      <c r="AC337" s="948"/>
      <c r="AD337" s="949"/>
      <c r="AE337" s="949"/>
      <c r="AF337" s="949"/>
      <c r="AG337" s="949"/>
      <c r="AH337" s="949"/>
      <c r="AI337" s="949"/>
      <c r="AJ337" s="949"/>
      <c r="AK337" s="949"/>
      <c r="AL337" s="949"/>
      <c r="AM337" s="949"/>
      <c r="AN337" s="949"/>
      <c r="AO337" s="949"/>
      <c r="AP337" s="949"/>
      <c r="AQ337" s="949"/>
      <c r="AR337" s="949"/>
      <c r="AS337" s="949"/>
      <c r="AT337" s="949"/>
      <c r="AU337" s="949"/>
      <c r="AV337" s="949"/>
      <c r="AW337" s="949"/>
      <c r="AX337" s="949"/>
      <c r="AY337" s="949"/>
      <c r="AZ337" s="949"/>
      <c r="BA337" s="949"/>
      <c r="BB337" s="949"/>
      <c r="BC337" s="949"/>
      <c r="BD337" s="949"/>
      <c r="BE337" s="949"/>
      <c r="BF337" s="949"/>
      <c r="BG337" s="948"/>
      <c r="BH337" s="948"/>
      <c r="BI337" s="948"/>
      <c r="BJ337" s="948"/>
      <c r="BK337" s="948"/>
      <c r="BL337" s="948"/>
      <c r="BM337" s="948"/>
      <c r="BN337" s="948"/>
      <c r="BO337" s="948"/>
      <c r="BP337" s="948"/>
      <c r="BQ337" s="948"/>
      <c r="BR337" s="948"/>
      <c r="BS337" s="948"/>
      <c r="BT337" s="948"/>
      <c r="BU337" s="954"/>
    </row>
    <row r="338" spans="1:73" ht="15.75" customHeight="1" x14ac:dyDescent="0.2">
      <c r="A338" s="947"/>
      <c r="B338" s="947"/>
      <c r="C338" s="947"/>
      <c r="D338" s="948"/>
      <c r="E338" s="948"/>
      <c r="F338" s="948"/>
      <c r="G338" s="948"/>
      <c r="H338" s="948"/>
      <c r="I338" s="948"/>
      <c r="J338" s="948"/>
      <c r="K338" s="949"/>
      <c r="L338" s="949"/>
      <c r="M338" s="949"/>
      <c r="N338" s="950"/>
      <c r="O338" s="948"/>
      <c r="P338" s="948"/>
      <c r="Q338" s="948"/>
      <c r="R338" s="949"/>
      <c r="S338" s="949"/>
      <c r="T338" s="949"/>
      <c r="U338" s="949"/>
      <c r="V338" s="949"/>
      <c r="W338" s="949"/>
      <c r="X338" s="951"/>
      <c r="Y338" s="951"/>
      <c r="Z338" s="952"/>
      <c r="AA338" s="953"/>
      <c r="AB338" s="948"/>
      <c r="AC338" s="948"/>
      <c r="AD338" s="949"/>
      <c r="AE338" s="949"/>
      <c r="AF338" s="949"/>
      <c r="AG338" s="949"/>
      <c r="AH338" s="949"/>
      <c r="AI338" s="949"/>
      <c r="AJ338" s="949"/>
      <c r="AK338" s="949"/>
      <c r="AL338" s="949"/>
      <c r="AM338" s="949"/>
      <c r="AN338" s="949"/>
      <c r="AO338" s="949"/>
      <c r="AP338" s="949"/>
      <c r="AQ338" s="949"/>
      <c r="AR338" s="949"/>
      <c r="AS338" s="949"/>
      <c r="AT338" s="949"/>
      <c r="AU338" s="949"/>
      <c r="AV338" s="949"/>
      <c r="AW338" s="949"/>
      <c r="AX338" s="949"/>
      <c r="AY338" s="949"/>
      <c r="AZ338" s="949"/>
      <c r="BA338" s="949"/>
      <c r="BB338" s="949"/>
      <c r="BC338" s="949"/>
      <c r="BD338" s="949"/>
      <c r="BE338" s="949"/>
      <c r="BF338" s="949"/>
      <c r="BG338" s="948"/>
      <c r="BH338" s="948"/>
      <c r="BI338" s="948"/>
      <c r="BJ338" s="948"/>
      <c r="BK338" s="948"/>
      <c r="BL338" s="948"/>
      <c r="BM338" s="948"/>
      <c r="BN338" s="948"/>
      <c r="BO338" s="948"/>
      <c r="BP338" s="948"/>
      <c r="BQ338" s="948"/>
      <c r="BR338" s="948"/>
      <c r="BS338" s="948"/>
      <c r="BT338" s="948"/>
      <c r="BU338" s="954"/>
    </row>
    <row r="339" spans="1:73" ht="15.75" customHeight="1" x14ac:dyDescent="0.2">
      <c r="A339" s="947"/>
      <c r="B339" s="947"/>
      <c r="C339" s="947"/>
      <c r="D339" s="948"/>
      <c r="E339" s="948"/>
      <c r="F339" s="948"/>
      <c r="G339" s="948"/>
      <c r="H339" s="948"/>
      <c r="I339" s="948"/>
      <c r="J339" s="948"/>
      <c r="K339" s="949"/>
      <c r="L339" s="949"/>
      <c r="M339" s="949"/>
      <c r="N339" s="950"/>
      <c r="O339" s="948"/>
      <c r="P339" s="948"/>
      <c r="Q339" s="948"/>
      <c r="R339" s="949"/>
      <c r="S339" s="949"/>
      <c r="T339" s="949"/>
      <c r="U339" s="949"/>
      <c r="V339" s="949"/>
      <c r="W339" s="949"/>
      <c r="X339" s="951"/>
      <c r="Y339" s="951"/>
      <c r="Z339" s="952"/>
      <c r="AA339" s="953"/>
      <c r="AB339" s="948"/>
      <c r="AC339" s="948"/>
      <c r="AD339" s="949"/>
      <c r="AE339" s="949"/>
      <c r="AF339" s="949"/>
      <c r="AG339" s="949"/>
      <c r="AH339" s="949"/>
      <c r="AI339" s="949"/>
      <c r="AJ339" s="949"/>
      <c r="AK339" s="949"/>
      <c r="AL339" s="949"/>
      <c r="AM339" s="949"/>
      <c r="AN339" s="949"/>
      <c r="AO339" s="949"/>
      <c r="AP339" s="949"/>
      <c r="AQ339" s="949"/>
      <c r="AR339" s="949"/>
      <c r="AS339" s="949"/>
      <c r="AT339" s="949"/>
      <c r="AU339" s="949"/>
      <c r="AV339" s="949"/>
      <c r="AW339" s="949"/>
      <c r="AX339" s="949"/>
      <c r="AY339" s="949"/>
      <c r="AZ339" s="949"/>
      <c r="BA339" s="949"/>
      <c r="BB339" s="949"/>
      <c r="BC339" s="949"/>
      <c r="BD339" s="949"/>
      <c r="BE339" s="949"/>
      <c r="BF339" s="949"/>
      <c r="BG339" s="948"/>
      <c r="BH339" s="948"/>
      <c r="BI339" s="948"/>
      <c r="BJ339" s="948"/>
      <c r="BK339" s="948"/>
      <c r="BL339" s="948"/>
      <c r="BM339" s="948"/>
      <c r="BN339" s="948"/>
      <c r="BO339" s="948"/>
      <c r="BP339" s="948"/>
      <c r="BQ339" s="948"/>
      <c r="BR339" s="948"/>
      <c r="BS339" s="948"/>
      <c r="BT339" s="948"/>
      <c r="BU339" s="954"/>
    </row>
    <row r="340" spans="1:73" ht="15.75" customHeight="1" x14ac:dyDescent="0.2">
      <c r="A340" s="947"/>
      <c r="B340" s="947"/>
      <c r="C340" s="947"/>
      <c r="D340" s="948"/>
      <c r="E340" s="948"/>
      <c r="F340" s="948"/>
      <c r="G340" s="948"/>
      <c r="H340" s="948"/>
      <c r="I340" s="948"/>
      <c r="J340" s="948"/>
      <c r="K340" s="949"/>
      <c r="L340" s="949"/>
      <c r="M340" s="949"/>
      <c r="N340" s="950"/>
      <c r="O340" s="948"/>
      <c r="P340" s="948"/>
      <c r="Q340" s="948"/>
      <c r="R340" s="949"/>
      <c r="S340" s="949"/>
      <c r="T340" s="949"/>
      <c r="U340" s="949"/>
      <c r="V340" s="949"/>
      <c r="W340" s="949"/>
      <c r="X340" s="951"/>
      <c r="Y340" s="951"/>
      <c r="Z340" s="952"/>
      <c r="AA340" s="953"/>
      <c r="AB340" s="948"/>
      <c r="AC340" s="948"/>
      <c r="AD340" s="949"/>
      <c r="AE340" s="949"/>
      <c r="AF340" s="949"/>
      <c r="AG340" s="949"/>
      <c r="AH340" s="949"/>
      <c r="AI340" s="949"/>
      <c r="AJ340" s="949"/>
      <c r="AK340" s="949"/>
      <c r="AL340" s="949"/>
      <c r="AM340" s="949"/>
      <c r="AN340" s="949"/>
      <c r="AO340" s="949"/>
      <c r="AP340" s="949"/>
      <c r="AQ340" s="949"/>
      <c r="AR340" s="949"/>
      <c r="AS340" s="949"/>
      <c r="AT340" s="949"/>
      <c r="AU340" s="949"/>
      <c r="AV340" s="949"/>
      <c r="AW340" s="949"/>
      <c r="AX340" s="949"/>
      <c r="AY340" s="949"/>
      <c r="AZ340" s="949"/>
      <c r="BA340" s="949"/>
      <c r="BB340" s="949"/>
      <c r="BC340" s="949"/>
      <c r="BD340" s="949"/>
      <c r="BE340" s="949"/>
      <c r="BF340" s="949"/>
      <c r="BG340" s="948"/>
      <c r="BH340" s="948"/>
      <c r="BI340" s="948"/>
      <c r="BJ340" s="948"/>
      <c r="BK340" s="948"/>
      <c r="BL340" s="948"/>
      <c r="BM340" s="948"/>
      <c r="BN340" s="948"/>
      <c r="BO340" s="948"/>
      <c r="BP340" s="948"/>
      <c r="BQ340" s="948"/>
      <c r="BR340" s="948"/>
      <c r="BS340" s="948"/>
      <c r="BT340" s="948"/>
      <c r="BU340" s="954"/>
    </row>
    <row r="341" spans="1:73" ht="15.75" customHeight="1" x14ac:dyDescent="0.2">
      <c r="A341" s="947"/>
      <c r="B341" s="947"/>
      <c r="C341" s="947"/>
      <c r="D341" s="948"/>
      <c r="E341" s="948"/>
      <c r="F341" s="948"/>
      <c r="G341" s="948"/>
      <c r="H341" s="948"/>
      <c r="I341" s="948"/>
      <c r="J341" s="948"/>
      <c r="K341" s="949"/>
      <c r="L341" s="949"/>
      <c r="M341" s="949"/>
      <c r="N341" s="950"/>
      <c r="O341" s="948"/>
      <c r="P341" s="948"/>
      <c r="Q341" s="948"/>
      <c r="R341" s="949"/>
      <c r="S341" s="949"/>
      <c r="T341" s="949"/>
      <c r="U341" s="949"/>
      <c r="V341" s="949"/>
      <c r="W341" s="949"/>
      <c r="X341" s="951"/>
      <c r="Y341" s="951"/>
      <c r="Z341" s="952"/>
      <c r="AA341" s="953"/>
      <c r="AB341" s="948"/>
      <c r="AC341" s="948"/>
      <c r="AD341" s="949"/>
      <c r="AE341" s="949"/>
      <c r="AF341" s="949"/>
      <c r="AG341" s="949"/>
      <c r="AH341" s="949"/>
      <c r="AI341" s="949"/>
      <c r="AJ341" s="949"/>
      <c r="AK341" s="949"/>
      <c r="AL341" s="949"/>
      <c r="AM341" s="949"/>
      <c r="AN341" s="949"/>
      <c r="AO341" s="949"/>
      <c r="AP341" s="949"/>
      <c r="AQ341" s="949"/>
      <c r="AR341" s="949"/>
      <c r="AS341" s="949"/>
      <c r="AT341" s="949"/>
      <c r="AU341" s="949"/>
      <c r="AV341" s="949"/>
      <c r="AW341" s="949"/>
      <c r="AX341" s="949"/>
      <c r="AY341" s="949"/>
      <c r="AZ341" s="949"/>
      <c r="BA341" s="949"/>
      <c r="BB341" s="949"/>
      <c r="BC341" s="949"/>
      <c r="BD341" s="949"/>
      <c r="BE341" s="949"/>
      <c r="BF341" s="949"/>
      <c r="BG341" s="948"/>
      <c r="BH341" s="948"/>
      <c r="BI341" s="948"/>
      <c r="BJ341" s="948"/>
      <c r="BK341" s="948"/>
      <c r="BL341" s="948"/>
      <c r="BM341" s="948"/>
      <c r="BN341" s="948"/>
      <c r="BO341" s="948"/>
      <c r="BP341" s="948"/>
      <c r="BQ341" s="948"/>
      <c r="BR341" s="948"/>
      <c r="BS341" s="948"/>
      <c r="BT341" s="948"/>
      <c r="BU341" s="954"/>
    </row>
    <row r="342" spans="1:73" ht="15.75" customHeight="1" x14ac:dyDescent="0.2">
      <c r="A342" s="947"/>
      <c r="B342" s="947"/>
      <c r="C342" s="947"/>
      <c r="D342" s="948"/>
      <c r="E342" s="948"/>
      <c r="F342" s="948"/>
      <c r="G342" s="948"/>
      <c r="H342" s="948"/>
      <c r="I342" s="948"/>
      <c r="J342" s="948"/>
      <c r="K342" s="949"/>
      <c r="L342" s="949"/>
      <c r="M342" s="949"/>
      <c r="N342" s="950"/>
      <c r="O342" s="948"/>
      <c r="P342" s="948"/>
      <c r="Q342" s="948"/>
      <c r="R342" s="949"/>
      <c r="S342" s="949"/>
      <c r="T342" s="949"/>
      <c r="U342" s="949"/>
      <c r="V342" s="949"/>
      <c r="W342" s="949"/>
      <c r="X342" s="951"/>
      <c r="Y342" s="951"/>
      <c r="Z342" s="952"/>
      <c r="AA342" s="953"/>
      <c r="AB342" s="948"/>
      <c r="AC342" s="948"/>
      <c r="AD342" s="949"/>
      <c r="AE342" s="949"/>
      <c r="AF342" s="949"/>
      <c r="AG342" s="949"/>
      <c r="AH342" s="949"/>
      <c r="AI342" s="949"/>
      <c r="AJ342" s="949"/>
      <c r="AK342" s="949"/>
      <c r="AL342" s="949"/>
      <c r="AM342" s="949"/>
      <c r="AN342" s="949"/>
      <c r="AO342" s="949"/>
      <c r="AP342" s="949"/>
      <c r="AQ342" s="949"/>
      <c r="AR342" s="949"/>
      <c r="AS342" s="949"/>
      <c r="AT342" s="949"/>
      <c r="AU342" s="949"/>
      <c r="AV342" s="949"/>
      <c r="AW342" s="949"/>
      <c r="AX342" s="949"/>
      <c r="AY342" s="949"/>
      <c r="AZ342" s="949"/>
      <c r="BA342" s="949"/>
      <c r="BB342" s="949"/>
      <c r="BC342" s="949"/>
      <c r="BD342" s="949"/>
      <c r="BE342" s="949"/>
      <c r="BF342" s="949"/>
      <c r="BG342" s="948"/>
      <c r="BH342" s="948"/>
      <c r="BI342" s="948"/>
      <c r="BJ342" s="948"/>
      <c r="BK342" s="948"/>
      <c r="BL342" s="948"/>
      <c r="BM342" s="948"/>
      <c r="BN342" s="948"/>
      <c r="BO342" s="948"/>
      <c r="BP342" s="948"/>
      <c r="BQ342" s="948"/>
      <c r="BR342" s="948"/>
      <c r="BS342" s="948"/>
      <c r="BT342" s="948"/>
      <c r="BU342" s="954"/>
    </row>
    <row r="343" spans="1:73" ht="15.75" customHeight="1" x14ac:dyDescent="0.2">
      <c r="A343" s="947"/>
      <c r="B343" s="947"/>
      <c r="C343" s="947"/>
      <c r="D343" s="948"/>
      <c r="E343" s="948"/>
      <c r="F343" s="948"/>
      <c r="G343" s="948"/>
      <c r="H343" s="948"/>
      <c r="I343" s="948"/>
      <c r="J343" s="948"/>
      <c r="K343" s="949"/>
      <c r="L343" s="949"/>
      <c r="M343" s="949"/>
      <c r="N343" s="950"/>
      <c r="O343" s="948"/>
      <c r="P343" s="948"/>
      <c r="Q343" s="948"/>
      <c r="R343" s="949"/>
      <c r="S343" s="949"/>
      <c r="T343" s="949"/>
      <c r="U343" s="949"/>
      <c r="V343" s="949"/>
      <c r="W343" s="949"/>
      <c r="X343" s="951"/>
      <c r="Y343" s="951"/>
      <c r="Z343" s="952"/>
      <c r="AA343" s="953"/>
      <c r="AB343" s="948"/>
      <c r="AC343" s="948"/>
      <c r="AD343" s="949"/>
      <c r="AE343" s="949"/>
      <c r="AF343" s="949"/>
      <c r="AG343" s="949"/>
      <c r="AH343" s="949"/>
      <c r="AI343" s="949"/>
      <c r="AJ343" s="949"/>
      <c r="AK343" s="949"/>
      <c r="AL343" s="949"/>
      <c r="AM343" s="949"/>
      <c r="AN343" s="949"/>
      <c r="AO343" s="949"/>
      <c r="AP343" s="949"/>
      <c r="AQ343" s="949"/>
      <c r="AR343" s="949"/>
      <c r="AS343" s="949"/>
      <c r="AT343" s="949"/>
      <c r="AU343" s="949"/>
      <c r="AV343" s="949"/>
      <c r="AW343" s="949"/>
      <c r="AX343" s="949"/>
      <c r="AY343" s="949"/>
      <c r="AZ343" s="949"/>
      <c r="BA343" s="949"/>
      <c r="BB343" s="949"/>
      <c r="BC343" s="949"/>
      <c r="BD343" s="949"/>
      <c r="BE343" s="949"/>
      <c r="BF343" s="949"/>
      <c r="BG343" s="948"/>
      <c r="BH343" s="948"/>
      <c r="BI343" s="948"/>
      <c r="BJ343" s="948"/>
      <c r="BK343" s="948"/>
      <c r="BL343" s="948"/>
      <c r="BM343" s="948"/>
      <c r="BN343" s="948"/>
      <c r="BO343" s="948"/>
      <c r="BP343" s="948"/>
      <c r="BQ343" s="948"/>
      <c r="BR343" s="948"/>
      <c r="BS343" s="948"/>
      <c r="BT343" s="948"/>
      <c r="BU343" s="954"/>
    </row>
    <row r="344" spans="1:73" ht="15.75" customHeight="1" x14ac:dyDescent="0.2">
      <c r="A344" s="947"/>
      <c r="B344" s="947"/>
      <c r="C344" s="947"/>
      <c r="D344" s="948"/>
      <c r="E344" s="948"/>
      <c r="F344" s="948"/>
      <c r="G344" s="948"/>
      <c r="H344" s="948"/>
      <c r="I344" s="948"/>
      <c r="J344" s="948"/>
      <c r="K344" s="949"/>
      <c r="L344" s="949"/>
      <c r="M344" s="949"/>
      <c r="N344" s="950"/>
      <c r="O344" s="948"/>
      <c r="P344" s="948"/>
      <c r="Q344" s="948"/>
      <c r="R344" s="949"/>
      <c r="S344" s="949"/>
      <c r="T344" s="949"/>
      <c r="U344" s="949"/>
      <c r="V344" s="949"/>
      <c r="W344" s="949"/>
      <c r="X344" s="951"/>
      <c r="Y344" s="951"/>
      <c r="Z344" s="952"/>
      <c r="AA344" s="953"/>
      <c r="AB344" s="948"/>
      <c r="AC344" s="948"/>
      <c r="AD344" s="949"/>
      <c r="AE344" s="949"/>
      <c r="AF344" s="949"/>
      <c r="AG344" s="949"/>
      <c r="AH344" s="949"/>
      <c r="AI344" s="949"/>
      <c r="AJ344" s="949"/>
      <c r="AK344" s="949"/>
      <c r="AL344" s="949"/>
      <c r="AM344" s="949"/>
      <c r="AN344" s="949"/>
      <c r="AO344" s="949"/>
      <c r="AP344" s="949"/>
      <c r="AQ344" s="949"/>
      <c r="AR344" s="949"/>
      <c r="AS344" s="949"/>
      <c r="AT344" s="949"/>
      <c r="AU344" s="949"/>
      <c r="AV344" s="949"/>
      <c r="AW344" s="949"/>
      <c r="AX344" s="949"/>
      <c r="AY344" s="949"/>
      <c r="AZ344" s="949"/>
      <c r="BA344" s="949"/>
      <c r="BB344" s="949"/>
      <c r="BC344" s="949"/>
      <c r="BD344" s="949"/>
      <c r="BE344" s="949"/>
      <c r="BF344" s="949"/>
      <c r="BG344" s="948"/>
      <c r="BH344" s="948"/>
      <c r="BI344" s="948"/>
      <c r="BJ344" s="948"/>
      <c r="BK344" s="948"/>
      <c r="BL344" s="948"/>
      <c r="BM344" s="948"/>
      <c r="BN344" s="948"/>
      <c r="BO344" s="948"/>
      <c r="BP344" s="948"/>
      <c r="BQ344" s="948"/>
      <c r="BR344" s="948"/>
      <c r="BS344" s="948"/>
      <c r="BT344" s="948"/>
      <c r="BU344" s="954"/>
    </row>
    <row r="345" spans="1:73" ht="15.75" customHeight="1" x14ac:dyDescent="0.2">
      <c r="A345" s="947"/>
      <c r="B345" s="947"/>
      <c r="C345" s="947"/>
      <c r="D345" s="948"/>
      <c r="E345" s="948"/>
      <c r="F345" s="948"/>
      <c r="G345" s="948"/>
      <c r="H345" s="948"/>
      <c r="I345" s="948"/>
      <c r="J345" s="948"/>
      <c r="K345" s="949"/>
      <c r="L345" s="949"/>
      <c r="M345" s="949"/>
      <c r="N345" s="950"/>
      <c r="O345" s="948"/>
      <c r="P345" s="948"/>
      <c r="Q345" s="948"/>
      <c r="R345" s="949"/>
      <c r="S345" s="949"/>
      <c r="T345" s="949"/>
      <c r="U345" s="949"/>
      <c r="V345" s="949"/>
      <c r="W345" s="949"/>
      <c r="X345" s="951"/>
      <c r="Y345" s="951"/>
      <c r="Z345" s="952"/>
      <c r="AA345" s="953"/>
      <c r="AB345" s="948"/>
      <c r="AC345" s="948"/>
      <c r="AD345" s="949"/>
      <c r="AE345" s="949"/>
      <c r="AF345" s="949"/>
      <c r="AG345" s="949"/>
      <c r="AH345" s="949"/>
      <c r="AI345" s="949"/>
      <c r="AJ345" s="949"/>
      <c r="AK345" s="949"/>
      <c r="AL345" s="949"/>
      <c r="AM345" s="949"/>
      <c r="AN345" s="949"/>
      <c r="AO345" s="949"/>
      <c r="AP345" s="949"/>
      <c r="AQ345" s="949"/>
      <c r="AR345" s="949"/>
      <c r="AS345" s="949"/>
      <c r="AT345" s="949"/>
      <c r="AU345" s="949"/>
      <c r="AV345" s="949"/>
      <c r="AW345" s="949"/>
      <c r="AX345" s="949"/>
      <c r="AY345" s="949"/>
      <c r="AZ345" s="949"/>
      <c r="BA345" s="949"/>
      <c r="BB345" s="949"/>
      <c r="BC345" s="949"/>
      <c r="BD345" s="949"/>
      <c r="BE345" s="949"/>
      <c r="BF345" s="949"/>
      <c r="BG345" s="948"/>
      <c r="BH345" s="948"/>
      <c r="BI345" s="948"/>
      <c r="BJ345" s="948"/>
      <c r="BK345" s="948"/>
      <c r="BL345" s="948"/>
      <c r="BM345" s="948"/>
      <c r="BN345" s="948"/>
      <c r="BO345" s="948"/>
      <c r="BP345" s="948"/>
      <c r="BQ345" s="948"/>
      <c r="BR345" s="948"/>
      <c r="BS345" s="948"/>
      <c r="BT345" s="948"/>
      <c r="BU345" s="954"/>
    </row>
    <row r="346" spans="1:73" ht="15.75" customHeight="1" x14ac:dyDescent="0.2">
      <c r="A346" s="947"/>
      <c r="B346" s="947"/>
      <c r="C346" s="947"/>
      <c r="D346" s="948"/>
      <c r="E346" s="948"/>
      <c r="F346" s="948"/>
      <c r="G346" s="948"/>
      <c r="H346" s="948"/>
      <c r="I346" s="948"/>
      <c r="J346" s="948"/>
      <c r="K346" s="949"/>
      <c r="L346" s="949"/>
      <c r="M346" s="949"/>
      <c r="N346" s="950"/>
      <c r="O346" s="948"/>
      <c r="P346" s="948"/>
      <c r="Q346" s="948"/>
      <c r="R346" s="949"/>
      <c r="S346" s="949"/>
      <c r="T346" s="949"/>
      <c r="U346" s="949"/>
      <c r="V346" s="949"/>
      <c r="W346" s="949"/>
      <c r="X346" s="951"/>
      <c r="Y346" s="951"/>
      <c r="Z346" s="952"/>
      <c r="AA346" s="953"/>
      <c r="AB346" s="948"/>
      <c r="AC346" s="948"/>
      <c r="AD346" s="949"/>
      <c r="AE346" s="949"/>
      <c r="AF346" s="949"/>
      <c r="AG346" s="949"/>
      <c r="AH346" s="949"/>
      <c r="AI346" s="949"/>
      <c r="AJ346" s="949"/>
      <c r="AK346" s="949"/>
      <c r="AL346" s="949"/>
      <c r="AM346" s="949"/>
      <c r="AN346" s="949"/>
      <c r="AO346" s="949"/>
      <c r="AP346" s="949"/>
      <c r="AQ346" s="949"/>
      <c r="AR346" s="949"/>
      <c r="AS346" s="949"/>
      <c r="AT346" s="949"/>
      <c r="AU346" s="949"/>
      <c r="AV346" s="949"/>
      <c r="AW346" s="949"/>
      <c r="AX346" s="949"/>
      <c r="AY346" s="949"/>
      <c r="AZ346" s="949"/>
      <c r="BA346" s="949"/>
      <c r="BB346" s="949"/>
      <c r="BC346" s="949"/>
      <c r="BD346" s="949"/>
      <c r="BE346" s="949"/>
      <c r="BF346" s="949"/>
      <c r="BG346" s="948"/>
      <c r="BH346" s="948"/>
      <c r="BI346" s="948"/>
      <c r="BJ346" s="948"/>
      <c r="BK346" s="948"/>
      <c r="BL346" s="948"/>
      <c r="BM346" s="948"/>
      <c r="BN346" s="948"/>
      <c r="BO346" s="948"/>
      <c r="BP346" s="948"/>
      <c r="BQ346" s="948"/>
      <c r="BR346" s="948"/>
      <c r="BS346" s="948"/>
      <c r="BT346" s="948"/>
      <c r="BU346" s="954"/>
    </row>
    <row r="347" spans="1:73" ht="15.75" customHeight="1" x14ac:dyDescent="0.2">
      <c r="A347" s="947"/>
      <c r="B347" s="947"/>
      <c r="C347" s="947"/>
      <c r="D347" s="948"/>
      <c r="E347" s="948"/>
      <c r="F347" s="948"/>
      <c r="G347" s="948"/>
      <c r="H347" s="948"/>
      <c r="I347" s="948"/>
      <c r="J347" s="948"/>
      <c r="K347" s="949"/>
      <c r="L347" s="949"/>
      <c r="M347" s="949"/>
      <c r="N347" s="950"/>
      <c r="O347" s="948"/>
      <c r="P347" s="948"/>
      <c r="Q347" s="948"/>
      <c r="R347" s="949"/>
      <c r="S347" s="949"/>
      <c r="T347" s="949"/>
      <c r="U347" s="949"/>
      <c r="V347" s="949"/>
      <c r="W347" s="949"/>
      <c r="X347" s="951"/>
      <c r="Y347" s="951"/>
      <c r="Z347" s="952"/>
      <c r="AA347" s="953"/>
      <c r="AB347" s="948"/>
      <c r="AC347" s="948"/>
      <c r="AD347" s="949"/>
      <c r="AE347" s="949"/>
      <c r="AF347" s="949"/>
      <c r="AG347" s="949"/>
      <c r="AH347" s="949"/>
      <c r="AI347" s="949"/>
      <c r="AJ347" s="949"/>
      <c r="AK347" s="949"/>
      <c r="AL347" s="949"/>
      <c r="AM347" s="949"/>
      <c r="AN347" s="949"/>
      <c r="AO347" s="949"/>
      <c r="AP347" s="949"/>
      <c r="AQ347" s="949"/>
      <c r="AR347" s="949"/>
      <c r="AS347" s="949"/>
      <c r="AT347" s="949"/>
      <c r="AU347" s="949"/>
      <c r="AV347" s="949"/>
      <c r="AW347" s="949"/>
      <c r="AX347" s="949"/>
      <c r="AY347" s="949"/>
      <c r="AZ347" s="949"/>
      <c r="BA347" s="949"/>
      <c r="BB347" s="949"/>
      <c r="BC347" s="949"/>
      <c r="BD347" s="949"/>
      <c r="BE347" s="949"/>
      <c r="BF347" s="949"/>
      <c r="BG347" s="948"/>
      <c r="BH347" s="948"/>
      <c r="BI347" s="948"/>
      <c r="BJ347" s="948"/>
      <c r="BK347" s="948"/>
      <c r="BL347" s="948"/>
      <c r="BM347" s="948"/>
      <c r="BN347" s="948"/>
      <c r="BO347" s="948"/>
      <c r="BP347" s="948"/>
      <c r="BQ347" s="948"/>
      <c r="BR347" s="948"/>
      <c r="BS347" s="948"/>
      <c r="BT347" s="948"/>
      <c r="BU347" s="954"/>
    </row>
    <row r="348" spans="1:73" ht="15.75" customHeight="1" x14ac:dyDescent="0.2">
      <c r="A348" s="947"/>
      <c r="B348" s="947"/>
      <c r="C348" s="947"/>
      <c r="D348" s="948"/>
      <c r="E348" s="948"/>
      <c r="F348" s="948"/>
      <c r="G348" s="948"/>
      <c r="H348" s="948"/>
      <c r="I348" s="948"/>
      <c r="J348" s="948"/>
      <c r="K348" s="949"/>
      <c r="L348" s="949"/>
      <c r="M348" s="949"/>
      <c r="N348" s="950"/>
      <c r="O348" s="948"/>
      <c r="P348" s="948"/>
      <c r="Q348" s="948"/>
      <c r="R348" s="949"/>
      <c r="S348" s="949"/>
      <c r="T348" s="949"/>
      <c r="U348" s="949"/>
      <c r="V348" s="949"/>
      <c r="W348" s="949"/>
      <c r="X348" s="951"/>
      <c r="Y348" s="951"/>
      <c r="Z348" s="952"/>
      <c r="AA348" s="953"/>
      <c r="AB348" s="948"/>
      <c r="AC348" s="948"/>
      <c r="AD348" s="949"/>
      <c r="AE348" s="949"/>
      <c r="AF348" s="949"/>
      <c r="AG348" s="949"/>
      <c r="AH348" s="949"/>
      <c r="AI348" s="949"/>
      <c r="AJ348" s="949"/>
      <c r="AK348" s="949"/>
      <c r="AL348" s="949"/>
      <c r="AM348" s="949"/>
      <c r="AN348" s="949"/>
      <c r="AO348" s="949"/>
      <c r="AP348" s="949"/>
      <c r="AQ348" s="949"/>
      <c r="AR348" s="949"/>
      <c r="AS348" s="949"/>
      <c r="AT348" s="949"/>
      <c r="AU348" s="949"/>
      <c r="AV348" s="949"/>
      <c r="AW348" s="949"/>
      <c r="AX348" s="949"/>
      <c r="AY348" s="949"/>
      <c r="AZ348" s="949"/>
      <c r="BA348" s="949"/>
      <c r="BB348" s="949"/>
      <c r="BC348" s="949"/>
      <c r="BD348" s="949"/>
      <c r="BE348" s="949"/>
      <c r="BF348" s="949"/>
      <c r="BG348" s="948"/>
      <c r="BH348" s="948"/>
      <c r="BI348" s="948"/>
      <c r="BJ348" s="948"/>
      <c r="BK348" s="948"/>
      <c r="BL348" s="948"/>
      <c r="BM348" s="948"/>
      <c r="BN348" s="948"/>
      <c r="BO348" s="948"/>
      <c r="BP348" s="948"/>
      <c r="BQ348" s="948"/>
      <c r="BR348" s="948"/>
      <c r="BS348" s="948"/>
      <c r="BT348" s="948"/>
      <c r="BU348" s="954"/>
    </row>
    <row r="349" spans="1:73" ht="15.75" customHeight="1" x14ac:dyDescent="0.2">
      <c r="A349" s="947"/>
      <c r="B349" s="947"/>
      <c r="C349" s="947"/>
      <c r="D349" s="948"/>
      <c r="E349" s="948"/>
      <c r="F349" s="948"/>
      <c r="G349" s="948"/>
      <c r="H349" s="948"/>
      <c r="I349" s="948"/>
      <c r="J349" s="948"/>
      <c r="K349" s="949"/>
      <c r="L349" s="949"/>
      <c r="M349" s="949"/>
      <c r="N349" s="950"/>
      <c r="O349" s="948"/>
      <c r="P349" s="948"/>
      <c r="Q349" s="948"/>
      <c r="R349" s="949"/>
      <c r="S349" s="949"/>
      <c r="T349" s="949"/>
      <c r="U349" s="949"/>
      <c r="V349" s="949"/>
      <c r="W349" s="949"/>
      <c r="X349" s="951"/>
      <c r="Y349" s="951"/>
      <c r="Z349" s="952"/>
      <c r="AA349" s="953"/>
      <c r="AB349" s="948"/>
      <c r="AC349" s="948"/>
      <c r="AD349" s="949"/>
      <c r="AE349" s="949"/>
      <c r="AF349" s="949"/>
      <c r="AG349" s="949"/>
      <c r="AH349" s="949"/>
      <c r="AI349" s="949"/>
      <c r="AJ349" s="949"/>
      <c r="AK349" s="949"/>
      <c r="AL349" s="949"/>
      <c r="AM349" s="949"/>
      <c r="AN349" s="949"/>
      <c r="AO349" s="949"/>
      <c r="AP349" s="949"/>
      <c r="AQ349" s="949"/>
      <c r="AR349" s="949"/>
      <c r="AS349" s="949"/>
      <c r="AT349" s="949"/>
      <c r="AU349" s="949"/>
      <c r="AV349" s="949"/>
      <c r="AW349" s="949"/>
      <c r="AX349" s="949"/>
      <c r="AY349" s="949"/>
      <c r="AZ349" s="949"/>
      <c r="BA349" s="949"/>
      <c r="BB349" s="949"/>
      <c r="BC349" s="949"/>
      <c r="BD349" s="949"/>
      <c r="BE349" s="949"/>
      <c r="BF349" s="949"/>
      <c r="BG349" s="948"/>
      <c r="BH349" s="948"/>
      <c r="BI349" s="948"/>
      <c r="BJ349" s="948"/>
      <c r="BK349" s="948"/>
      <c r="BL349" s="948"/>
      <c r="BM349" s="948"/>
      <c r="BN349" s="948"/>
      <c r="BO349" s="948"/>
      <c r="BP349" s="948"/>
      <c r="BQ349" s="948"/>
      <c r="BR349" s="948"/>
      <c r="BS349" s="948"/>
      <c r="BT349" s="948"/>
      <c r="BU349" s="954"/>
    </row>
    <row r="350" spans="1:73" ht="15.75" customHeight="1" x14ac:dyDescent="0.2">
      <c r="A350" s="947"/>
      <c r="B350" s="947"/>
      <c r="C350" s="947"/>
      <c r="D350" s="948"/>
      <c r="E350" s="948"/>
      <c r="F350" s="948"/>
      <c r="G350" s="948"/>
      <c r="H350" s="948"/>
      <c r="I350" s="948"/>
      <c r="J350" s="948"/>
      <c r="K350" s="949"/>
      <c r="L350" s="949"/>
      <c r="M350" s="949"/>
      <c r="N350" s="950"/>
      <c r="O350" s="948"/>
      <c r="P350" s="948"/>
      <c r="Q350" s="948"/>
      <c r="R350" s="949"/>
      <c r="S350" s="949"/>
      <c r="T350" s="949"/>
      <c r="U350" s="949"/>
      <c r="V350" s="949"/>
      <c r="W350" s="949"/>
      <c r="X350" s="951"/>
      <c r="Y350" s="951"/>
      <c r="Z350" s="952"/>
      <c r="AA350" s="953"/>
      <c r="AB350" s="948"/>
      <c r="AC350" s="948"/>
      <c r="AD350" s="949"/>
      <c r="AE350" s="949"/>
      <c r="AF350" s="949"/>
      <c r="AG350" s="949"/>
      <c r="AH350" s="949"/>
      <c r="AI350" s="949"/>
      <c r="AJ350" s="949"/>
      <c r="AK350" s="949"/>
      <c r="AL350" s="949"/>
      <c r="AM350" s="949"/>
      <c r="AN350" s="949"/>
      <c r="AO350" s="949"/>
      <c r="AP350" s="949"/>
      <c r="AQ350" s="949"/>
      <c r="AR350" s="949"/>
      <c r="AS350" s="949"/>
      <c r="AT350" s="949"/>
      <c r="AU350" s="949"/>
      <c r="AV350" s="949"/>
      <c r="AW350" s="949"/>
      <c r="AX350" s="949"/>
      <c r="AY350" s="949"/>
      <c r="AZ350" s="949"/>
      <c r="BA350" s="949"/>
      <c r="BB350" s="949"/>
      <c r="BC350" s="949"/>
      <c r="BD350" s="949"/>
      <c r="BE350" s="949"/>
      <c r="BF350" s="949"/>
      <c r="BG350" s="948"/>
      <c r="BH350" s="948"/>
      <c r="BI350" s="948"/>
      <c r="BJ350" s="948"/>
      <c r="BK350" s="948"/>
      <c r="BL350" s="948"/>
      <c r="BM350" s="948"/>
      <c r="BN350" s="948"/>
      <c r="BO350" s="948"/>
      <c r="BP350" s="948"/>
      <c r="BQ350" s="948"/>
      <c r="BR350" s="948"/>
      <c r="BS350" s="948"/>
      <c r="BT350" s="948"/>
      <c r="BU350" s="954"/>
    </row>
    <row r="351" spans="1:73" ht="15.75" customHeight="1" x14ac:dyDescent="0.2">
      <c r="A351" s="947"/>
      <c r="B351" s="947"/>
      <c r="C351" s="947"/>
      <c r="D351" s="948"/>
      <c r="E351" s="948"/>
      <c r="F351" s="948"/>
      <c r="G351" s="948"/>
      <c r="H351" s="948"/>
      <c r="I351" s="948"/>
      <c r="J351" s="948"/>
      <c r="K351" s="949"/>
      <c r="L351" s="949"/>
      <c r="M351" s="949"/>
      <c r="N351" s="950"/>
      <c r="O351" s="948"/>
      <c r="P351" s="948"/>
      <c r="Q351" s="948"/>
      <c r="R351" s="949"/>
      <c r="S351" s="949"/>
      <c r="T351" s="949"/>
      <c r="U351" s="949"/>
      <c r="V351" s="949"/>
      <c r="W351" s="949"/>
      <c r="X351" s="951"/>
      <c r="Y351" s="951"/>
      <c r="Z351" s="952"/>
      <c r="AA351" s="953"/>
      <c r="AB351" s="948"/>
      <c r="AC351" s="948"/>
      <c r="AD351" s="949"/>
      <c r="AE351" s="949"/>
      <c r="AF351" s="949"/>
      <c r="AG351" s="949"/>
      <c r="AH351" s="949"/>
      <c r="AI351" s="949"/>
      <c r="AJ351" s="949"/>
      <c r="AK351" s="949"/>
      <c r="AL351" s="949"/>
      <c r="AM351" s="949"/>
      <c r="AN351" s="949"/>
      <c r="AO351" s="949"/>
      <c r="AP351" s="949"/>
      <c r="AQ351" s="949"/>
      <c r="AR351" s="949"/>
      <c r="AS351" s="949"/>
      <c r="AT351" s="949"/>
      <c r="AU351" s="949"/>
      <c r="AV351" s="949"/>
      <c r="AW351" s="949"/>
      <c r="AX351" s="949"/>
      <c r="AY351" s="949"/>
      <c r="AZ351" s="949"/>
      <c r="BA351" s="949"/>
      <c r="BB351" s="949"/>
      <c r="BC351" s="949"/>
      <c r="BD351" s="949"/>
      <c r="BE351" s="949"/>
      <c r="BF351" s="949"/>
      <c r="BG351" s="948"/>
      <c r="BH351" s="948"/>
      <c r="BI351" s="948"/>
      <c r="BJ351" s="948"/>
      <c r="BK351" s="948"/>
      <c r="BL351" s="948"/>
      <c r="BM351" s="948"/>
      <c r="BN351" s="948"/>
      <c r="BO351" s="948"/>
      <c r="BP351" s="948"/>
      <c r="BQ351" s="948"/>
      <c r="BR351" s="948"/>
      <c r="BS351" s="948"/>
      <c r="BT351" s="948"/>
      <c r="BU351" s="954"/>
    </row>
    <row r="352" spans="1:73" ht="15.75" customHeight="1" x14ac:dyDescent="0.2">
      <c r="A352" s="947"/>
      <c r="B352" s="947"/>
      <c r="C352" s="947"/>
      <c r="D352" s="948"/>
      <c r="E352" s="948"/>
      <c r="F352" s="948"/>
      <c r="G352" s="948"/>
      <c r="H352" s="948"/>
      <c r="I352" s="948"/>
      <c r="J352" s="948"/>
      <c r="K352" s="949"/>
      <c r="L352" s="949"/>
      <c r="M352" s="949"/>
      <c r="N352" s="950"/>
      <c r="O352" s="948"/>
      <c r="P352" s="948"/>
      <c r="Q352" s="948"/>
      <c r="R352" s="949"/>
      <c r="S352" s="949"/>
      <c r="T352" s="949"/>
      <c r="U352" s="949"/>
      <c r="V352" s="949"/>
      <c r="W352" s="949"/>
      <c r="X352" s="951"/>
      <c r="Y352" s="951"/>
      <c r="Z352" s="952"/>
      <c r="AA352" s="953"/>
      <c r="AB352" s="948"/>
      <c r="AC352" s="948"/>
      <c r="AD352" s="949"/>
      <c r="AE352" s="949"/>
      <c r="AF352" s="949"/>
      <c r="AG352" s="949"/>
      <c r="AH352" s="949"/>
      <c r="AI352" s="949"/>
      <c r="AJ352" s="949"/>
      <c r="AK352" s="949"/>
      <c r="AL352" s="949"/>
      <c r="AM352" s="949"/>
      <c r="AN352" s="949"/>
      <c r="AO352" s="949"/>
      <c r="AP352" s="949"/>
      <c r="AQ352" s="949"/>
      <c r="AR352" s="949"/>
      <c r="AS352" s="949"/>
      <c r="AT352" s="949"/>
      <c r="AU352" s="949"/>
      <c r="AV352" s="949"/>
      <c r="AW352" s="949"/>
      <c r="AX352" s="949"/>
      <c r="AY352" s="949"/>
      <c r="AZ352" s="949"/>
      <c r="BA352" s="949"/>
      <c r="BB352" s="949"/>
      <c r="BC352" s="949"/>
      <c r="BD352" s="949"/>
      <c r="BE352" s="949"/>
      <c r="BF352" s="949"/>
      <c r="BG352" s="948"/>
      <c r="BH352" s="948"/>
      <c r="BI352" s="948"/>
      <c r="BJ352" s="948"/>
      <c r="BK352" s="948"/>
      <c r="BL352" s="948"/>
      <c r="BM352" s="948"/>
      <c r="BN352" s="948"/>
      <c r="BO352" s="948"/>
      <c r="BP352" s="948"/>
      <c r="BQ352" s="948"/>
      <c r="BR352" s="948"/>
      <c r="BS352" s="948"/>
      <c r="BT352" s="948"/>
      <c r="BU352" s="954"/>
    </row>
    <row r="353" spans="1:73" ht="15.75" customHeight="1" x14ac:dyDescent="0.2">
      <c r="A353" s="947"/>
      <c r="B353" s="947"/>
      <c r="C353" s="947"/>
      <c r="D353" s="948"/>
      <c r="E353" s="948"/>
      <c r="F353" s="948"/>
      <c r="G353" s="948"/>
      <c r="H353" s="948"/>
      <c r="I353" s="948"/>
      <c r="J353" s="948"/>
      <c r="K353" s="949"/>
      <c r="L353" s="949"/>
      <c r="M353" s="949"/>
      <c r="N353" s="950"/>
      <c r="O353" s="948"/>
      <c r="P353" s="948"/>
      <c r="Q353" s="948"/>
      <c r="R353" s="949"/>
      <c r="S353" s="949"/>
      <c r="T353" s="949"/>
      <c r="U353" s="949"/>
      <c r="V353" s="949"/>
      <c r="W353" s="949"/>
      <c r="X353" s="951"/>
      <c r="Y353" s="951"/>
      <c r="Z353" s="952"/>
      <c r="AA353" s="953"/>
      <c r="AB353" s="948"/>
      <c r="AC353" s="948"/>
      <c r="AD353" s="949"/>
      <c r="AE353" s="949"/>
      <c r="AF353" s="949"/>
      <c r="AG353" s="949"/>
      <c r="AH353" s="949"/>
      <c r="AI353" s="949"/>
      <c r="AJ353" s="949"/>
      <c r="AK353" s="949"/>
      <c r="AL353" s="949"/>
      <c r="AM353" s="949"/>
      <c r="AN353" s="949"/>
      <c r="AO353" s="949"/>
      <c r="AP353" s="949"/>
      <c r="AQ353" s="949"/>
      <c r="AR353" s="949"/>
      <c r="AS353" s="949"/>
      <c r="AT353" s="949"/>
      <c r="AU353" s="949"/>
      <c r="AV353" s="949"/>
      <c r="AW353" s="949"/>
      <c r="AX353" s="949"/>
      <c r="AY353" s="949"/>
      <c r="AZ353" s="949"/>
      <c r="BA353" s="949"/>
      <c r="BB353" s="949"/>
      <c r="BC353" s="949"/>
      <c r="BD353" s="949"/>
      <c r="BE353" s="949"/>
      <c r="BF353" s="949"/>
      <c r="BG353" s="948"/>
      <c r="BH353" s="948"/>
      <c r="BI353" s="948"/>
      <c r="BJ353" s="948"/>
      <c r="BK353" s="948"/>
      <c r="BL353" s="948"/>
      <c r="BM353" s="948"/>
      <c r="BN353" s="948"/>
      <c r="BO353" s="948"/>
      <c r="BP353" s="948"/>
      <c r="BQ353" s="948"/>
      <c r="BR353" s="948"/>
      <c r="BS353" s="948"/>
      <c r="BT353" s="948"/>
      <c r="BU353" s="954"/>
    </row>
    <row r="354" spans="1:73" ht="15.75" customHeight="1" x14ac:dyDescent="0.2">
      <c r="A354" s="947"/>
      <c r="B354" s="947"/>
      <c r="C354" s="947"/>
      <c r="D354" s="948"/>
      <c r="E354" s="948"/>
      <c r="F354" s="948"/>
      <c r="G354" s="948"/>
      <c r="H354" s="948"/>
      <c r="I354" s="948"/>
      <c r="J354" s="948"/>
      <c r="K354" s="949"/>
      <c r="L354" s="949"/>
      <c r="M354" s="949"/>
      <c r="N354" s="950"/>
      <c r="O354" s="948"/>
      <c r="P354" s="948"/>
      <c r="Q354" s="948"/>
      <c r="R354" s="949"/>
      <c r="S354" s="949"/>
      <c r="T354" s="949"/>
      <c r="U354" s="949"/>
      <c r="V354" s="949"/>
      <c r="W354" s="949"/>
      <c r="X354" s="951"/>
      <c r="Y354" s="951"/>
      <c r="Z354" s="952"/>
      <c r="AA354" s="953"/>
      <c r="AB354" s="948"/>
      <c r="AC354" s="948"/>
      <c r="AD354" s="949"/>
      <c r="AE354" s="949"/>
      <c r="AF354" s="949"/>
      <c r="AG354" s="949"/>
      <c r="AH354" s="949"/>
      <c r="AI354" s="949"/>
      <c r="AJ354" s="949"/>
      <c r="AK354" s="949"/>
      <c r="AL354" s="949"/>
      <c r="AM354" s="949"/>
      <c r="AN354" s="949"/>
      <c r="AO354" s="949"/>
      <c r="AP354" s="949"/>
      <c r="AQ354" s="949"/>
      <c r="AR354" s="949"/>
      <c r="AS354" s="949"/>
      <c r="AT354" s="949"/>
      <c r="AU354" s="949"/>
      <c r="AV354" s="949"/>
      <c r="AW354" s="949"/>
      <c r="AX354" s="949"/>
      <c r="AY354" s="949"/>
      <c r="AZ354" s="949"/>
      <c r="BA354" s="949"/>
      <c r="BB354" s="949"/>
      <c r="BC354" s="949"/>
      <c r="BD354" s="949"/>
      <c r="BE354" s="949"/>
      <c r="BF354" s="949"/>
      <c r="BG354" s="948"/>
      <c r="BH354" s="948"/>
      <c r="BI354" s="948"/>
      <c r="BJ354" s="948"/>
      <c r="BK354" s="948"/>
      <c r="BL354" s="948"/>
      <c r="BM354" s="948"/>
      <c r="BN354" s="948"/>
      <c r="BO354" s="948"/>
      <c r="BP354" s="948"/>
      <c r="BQ354" s="948"/>
      <c r="BR354" s="948"/>
      <c r="BS354" s="948"/>
      <c r="BT354" s="948"/>
      <c r="BU354" s="954"/>
    </row>
    <row r="355" spans="1:73" ht="15.75" customHeight="1" x14ac:dyDescent="0.2">
      <c r="A355" s="947"/>
      <c r="B355" s="947"/>
      <c r="C355" s="947"/>
      <c r="D355" s="948"/>
      <c r="E355" s="948"/>
      <c r="F355" s="948"/>
      <c r="G355" s="948"/>
      <c r="H355" s="948"/>
      <c r="I355" s="948"/>
      <c r="J355" s="948"/>
      <c r="K355" s="949"/>
      <c r="L355" s="949"/>
      <c r="M355" s="949"/>
      <c r="N355" s="950"/>
      <c r="O355" s="948"/>
      <c r="P355" s="948"/>
      <c r="Q355" s="948"/>
      <c r="R355" s="949"/>
      <c r="S355" s="949"/>
      <c r="T355" s="949"/>
      <c r="U355" s="949"/>
      <c r="V355" s="949"/>
      <c r="W355" s="949"/>
      <c r="X355" s="951"/>
      <c r="Y355" s="951"/>
      <c r="Z355" s="952"/>
      <c r="AA355" s="953"/>
      <c r="AB355" s="948"/>
      <c r="AC355" s="948"/>
      <c r="AD355" s="949"/>
      <c r="AE355" s="949"/>
      <c r="AF355" s="949"/>
      <c r="AG355" s="949"/>
      <c r="AH355" s="949"/>
      <c r="AI355" s="949"/>
      <c r="AJ355" s="949"/>
      <c r="AK355" s="949"/>
      <c r="AL355" s="949"/>
      <c r="AM355" s="949"/>
      <c r="AN355" s="949"/>
      <c r="AO355" s="949"/>
      <c r="AP355" s="949"/>
      <c r="AQ355" s="949"/>
      <c r="AR355" s="949"/>
      <c r="AS355" s="949"/>
      <c r="AT355" s="949"/>
      <c r="AU355" s="949"/>
      <c r="AV355" s="949"/>
      <c r="AW355" s="949"/>
      <c r="AX355" s="949"/>
      <c r="AY355" s="949"/>
      <c r="AZ355" s="949"/>
      <c r="BA355" s="949"/>
      <c r="BB355" s="949"/>
      <c r="BC355" s="949"/>
      <c r="BD355" s="949"/>
      <c r="BE355" s="949"/>
      <c r="BF355" s="949"/>
      <c r="BG355" s="948"/>
      <c r="BH355" s="948"/>
      <c r="BI355" s="948"/>
      <c r="BJ355" s="948"/>
      <c r="BK355" s="948"/>
      <c r="BL355" s="948"/>
      <c r="BM355" s="948"/>
      <c r="BN355" s="948"/>
      <c r="BO355" s="948"/>
      <c r="BP355" s="948"/>
      <c r="BQ355" s="948"/>
      <c r="BR355" s="948"/>
      <c r="BS355" s="948"/>
      <c r="BT355" s="948"/>
      <c r="BU355" s="954"/>
    </row>
    <row r="356" spans="1:73" ht="15.75" customHeight="1" x14ac:dyDescent="0.2">
      <c r="A356" s="947"/>
      <c r="B356" s="947"/>
      <c r="C356" s="947"/>
      <c r="D356" s="948"/>
      <c r="E356" s="948"/>
      <c r="F356" s="948"/>
      <c r="G356" s="948"/>
      <c r="H356" s="948"/>
      <c r="I356" s="948"/>
      <c r="J356" s="948"/>
      <c r="K356" s="949"/>
      <c r="L356" s="949"/>
      <c r="M356" s="949"/>
      <c r="N356" s="950"/>
      <c r="O356" s="948"/>
      <c r="P356" s="948"/>
      <c r="Q356" s="948"/>
      <c r="R356" s="949"/>
      <c r="S356" s="949"/>
      <c r="T356" s="949"/>
      <c r="U356" s="949"/>
      <c r="V356" s="949"/>
      <c r="W356" s="949"/>
      <c r="X356" s="951"/>
      <c r="Y356" s="951"/>
      <c r="Z356" s="952"/>
      <c r="AA356" s="953"/>
      <c r="AB356" s="948"/>
      <c r="AC356" s="948"/>
      <c r="AD356" s="949"/>
      <c r="AE356" s="949"/>
      <c r="AF356" s="949"/>
      <c r="AG356" s="949"/>
      <c r="AH356" s="949"/>
      <c r="AI356" s="949"/>
      <c r="AJ356" s="949"/>
      <c r="AK356" s="949"/>
      <c r="AL356" s="949"/>
      <c r="AM356" s="949"/>
      <c r="AN356" s="949"/>
      <c r="AO356" s="949"/>
      <c r="AP356" s="949"/>
      <c r="AQ356" s="949"/>
      <c r="AR356" s="949"/>
      <c r="AS356" s="949"/>
      <c r="AT356" s="949"/>
      <c r="AU356" s="949"/>
      <c r="AV356" s="949"/>
      <c r="AW356" s="949"/>
      <c r="AX356" s="949"/>
      <c r="AY356" s="949"/>
      <c r="AZ356" s="949"/>
      <c r="BA356" s="949"/>
      <c r="BB356" s="949"/>
      <c r="BC356" s="949"/>
      <c r="BD356" s="949"/>
      <c r="BE356" s="949"/>
      <c r="BF356" s="949"/>
      <c r="BG356" s="948"/>
      <c r="BH356" s="948"/>
      <c r="BI356" s="948"/>
      <c r="BJ356" s="948"/>
      <c r="BK356" s="948"/>
      <c r="BL356" s="948"/>
      <c r="BM356" s="948"/>
      <c r="BN356" s="948"/>
      <c r="BO356" s="948"/>
      <c r="BP356" s="948"/>
      <c r="BQ356" s="948"/>
      <c r="BR356" s="948"/>
      <c r="BS356" s="948"/>
      <c r="BT356" s="948"/>
      <c r="BU356" s="954"/>
    </row>
    <row r="357" spans="1:73" ht="15.75" customHeight="1" x14ac:dyDescent="0.2">
      <c r="A357" s="947"/>
      <c r="B357" s="947"/>
      <c r="C357" s="947"/>
      <c r="D357" s="948"/>
      <c r="E357" s="948"/>
      <c r="F357" s="948"/>
      <c r="G357" s="948"/>
      <c r="H357" s="948"/>
      <c r="I357" s="948"/>
      <c r="J357" s="948"/>
      <c r="K357" s="949"/>
      <c r="L357" s="949"/>
      <c r="M357" s="949"/>
      <c r="N357" s="950"/>
      <c r="O357" s="948"/>
      <c r="P357" s="948"/>
      <c r="Q357" s="948"/>
      <c r="R357" s="949"/>
      <c r="S357" s="949"/>
      <c r="T357" s="949"/>
      <c r="U357" s="949"/>
      <c r="V357" s="949"/>
      <c r="W357" s="949"/>
      <c r="X357" s="951"/>
      <c r="Y357" s="951"/>
      <c r="Z357" s="952"/>
      <c r="AA357" s="953"/>
      <c r="AB357" s="948"/>
      <c r="AC357" s="948"/>
      <c r="AD357" s="949"/>
      <c r="AE357" s="949"/>
      <c r="AF357" s="949"/>
      <c r="AG357" s="949"/>
      <c r="AH357" s="949"/>
      <c r="AI357" s="949"/>
      <c r="AJ357" s="949"/>
      <c r="AK357" s="949"/>
      <c r="AL357" s="949"/>
      <c r="AM357" s="949"/>
      <c r="AN357" s="949"/>
      <c r="AO357" s="949"/>
      <c r="AP357" s="949"/>
      <c r="AQ357" s="949"/>
      <c r="AR357" s="949"/>
      <c r="AS357" s="949"/>
      <c r="AT357" s="949"/>
      <c r="AU357" s="949"/>
      <c r="AV357" s="949"/>
      <c r="AW357" s="949"/>
      <c r="AX357" s="949"/>
      <c r="AY357" s="949"/>
      <c r="AZ357" s="949"/>
      <c r="BA357" s="949"/>
      <c r="BB357" s="949"/>
      <c r="BC357" s="949"/>
      <c r="BD357" s="949"/>
      <c r="BE357" s="949"/>
      <c r="BF357" s="949"/>
      <c r="BG357" s="948"/>
      <c r="BH357" s="948"/>
      <c r="BI357" s="948"/>
      <c r="BJ357" s="948"/>
      <c r="BK357" s="948"/>
      <c r="BL357" s="948"/>
      <c r="BM357" s="948"/>
      <c r="BN357" s="948"/>
      <c r="BO357" s="948"/>
      <c r="BP357" s="948"/>
      <c r="BQ357" s="948"/>
      <c r="BR357" s="948"/>
      <c r="BS357" s="948"/>
      <c r="BT357" s="948"/>
      <c r="BU357" s="954"/>
    </row>
    <row r="358" spans="1:73" ht="15.75" customHeight="1" x14ac:dyDescent="0.2">
      <c r="A358" s="947"/>
      <c r="B358" s="947"/>
      <c r="C358" s="947"/>
      <c r="D358" s="948"/>
      <c r="E358" s="948"/>
      <c r="F358" s="948"/>
      <c r="G358" s="948"/>
      <c r="H358" s="948"/>
      <c r="I358" s="948"/>
      <c r="J358" s="948"/>
      <c r="K358" s="949"/>
      <c r="L358" s="949"/>
      <c r="M358" s="949"/>
      <c r="N358" s="950"/>
      <c r="O358" s="948"/>
      <c r="P358" s="948"/>
      <c r="Q358" s="948"/>
      <c r="R358" s="949"/>
      <c r="S358" s="949"/>
      <c r="T358" s="949"/>
      <c r="U358" s="949"/>
      <c r="V358" s="949"/>
      <c r="W358" s="949"/>
      <c r="X358" s="951"/>
      <c r="Y358" s="951"/>
      <c r="Z358" s="952"/>
      <c r="AA358" s="953"/>
      <c r="AB358" s="948"/>
      <c r="AC358" s="948"/>
      <c r="AD358" s="949"/>
      <c r="AE358" s="949"/>
      <c r="AF358" s="949"/>
      <c r="AG358" s="949"/>
      <c r="AH358" s="949"/>
      <c r="AI358" s="949"/>
      <c r="AJ358" s="949"/>
      <c r="AK358" s="949"/>
      <c r="AL358" s="949"/>
      <c r="AM358" s="949"/>
      <c r="AN358" s="949"/>
      <c r="AO358" s="949"/>
      <c r="AP358" s="949"/>
      <c r="AQ358" s="949"/>
      <c r="AR358" s="949"/>
      <c r="AS358" s="949"/>
      <c r="AT358" s="949"/>
      <c r="AU358" s="949"/>
      <c r="AV358" s="949"/>
      <c r="AW358" s="949"/>
      <c r="AX358" s="949"/>
      <c r="AY358" s="949"/>
      <c r="AZ358" s="949"/>
      <c r="BA358" s="949"/>
      <c r="BB358" s="949"/>
      <c r="BC358" s="949"/>
      <c r="BD358" s="949"/>
      <c r="BE358" s="949"/>
      <c r="BF358" s="949"/>
      <c r="BG358" s="948"/>
      <c r="BH358" s="948"/>
      <c r="BI358" s="948"/>
      <c r="BJ358" s="948"/>
      <c r="BK358" s="948"/>
      <c r="BL358" s="948"/>
      <c r="BM358" s="948"/>
      <c r="BN358" s="948"/>
      <c r="BO358" s="948"/>
      <c r="BP358" s="948"/>
      <c r="BQ358" s="948"/>
      <c r="BR358" s="948"/>
      <c r="BS358" s="948"/>
      <c r="BT358" s="948"/>
      <c r="BU358" s="954"/>
    </row>
    <row r="359" spans="1:73" ht="15.75" customHeight="1" x14ac:dyDescent="0.2">
      <c r="A359" s="947"/>
      <c r="B359" s="947"/>
      <c r="C359" s="947"/>
      <c r="D359" s="948"/>
      <c r="E359" s="948"/>
      <c r="F359" s="948"/>
      <c r="G359" s="948"/>
      <c r="H359" s="948"/>
      <c r="I359" s="948"/>
      <c r="J359" s="948"/>
      <c r="K359" s="949"/>
      <c r="L359" s="949"/>
      <c r="M359" s="949"/>
      <c r="N359" s="950"/>
      <c r="O359" s="948"/>
      <c r="P359" s="948"/>
      <c r="Q359" s="948"/>
      <c r="R359" s="949"/>
      <c r="S359" s="949"/>
      <c r="T359" s="949"/>
      <c r="U359" s="949"/>
      <c r="V359" s="949"/>
      <c r="W359" s="949"/>
      <c r="X359" s="951"/>
      <c r="Y359" s="951"/>
      <c r="Z359" s="952"/>
      <c r="AA359" s="953"/>
      <c r="AB359" s="948"/>
      <c r="AC359" s="948"/>
      <c r="AD359" s="949"/>
      <c r="AE359" s="949"/>
      <c r="AF359" s="949"/>
      <c r="AG359" s="949"/>
      <c r="AH359" s="949"/>
      <c r="AI359" s="949"/>
      <c r="AJ359" s="949"/>
      <c r="AK359" s="949"/>
      <c r="AL359" s="949"/>
      <c r="AM359" s="949"/>
      <c r="AN359" s="949"/>
      <c r="AO359" s="949"/>
      <c r="AP359" s="949"/>
      <c r="AQ359" s="949"/>
      <c r="AR359" s="949"/>
      <c r="AS359" s="949"/>
      <c r="AT359" s="949"/>
      <c r="AU359" s="949"/>
      <c r="AV359" s="949"/>
      <c r="AW359" s="949"/>
      <c r="AX359" s="949"/>
      <c r="AY359" s="949"/>
      <c r="AZ359" s="949"/>
      <c r="BA359" s="949"/>
      <c r="BB359" s="949"/>
      <c r="BC359" s="949"/>
      <c r="BD359" s="949"/>
      <c r="BE359" s="949"/>
      <c r="BF359" s="949"/>
      <c r="BG359" s="948"/>
      <c r="BH359" s="948"/>
      <c r="BI359" s="948"/>
      <c r="BJ359" s="948"/>
      <c r="BK359" s="948"/>
      <c r="BL359" s="948"/>
      <c r="BM359" s="948"/>
      <c r="BN359" s="948"/>
      <c r="BO359" s="948"/>
      <c r="BP359" s="948"/>
      <c r="BQ359" s="948"/>
      <c r="BR359" s="948"/>
      <c r="BS359" s="948"/>
      <c r="BT359" s="948"/>
      <c r="BU359" s="954"/>
    </row>
    <row r="360" spans="1:73" ht="15.75" customHeight="1" x14ac:dyDescent="0.2">
      <c r="A360" s="947"/>
      <c r="B360" s="947"/>
      <c r="C360" s="947"/>
      <c r="D360" s="948"/>
      <c r="E360" s="948"/>
      <c r="F360" s="948"/>
      <c r="G360" s="948"/>
      <c r="H360" s="948"/>
      <c r="I360" s="948"/>
      <c r="J360" s="948"/>
      <c r="K360" s="949"/>
      <c r="L360" s="949"/>
      <c r="M360" s="949"/>
      <c r="N360" s="950"/>
      <c r="O360" s="948"/>
      <c r="P360" s="948"/>
      <c r="Q360" s="948"/>
      <c r="R360" s="949"/>
      <c r="S360" s="949"/>
      <c r="T360" s="949"/>
      <c r="U360" s="949"/>
      <c r="V360" s="949"/>
      <c r="W360" s="949"/>
      <c r="X360" s="951"/>
      <c r="Y360" s="951"/>
      <c r="Z360" s="952"/>
      <c r="AA360" s="953"/>
      <c r="AB360" s="948"/>
      <c r="AC360" s="948"/>
      <c r="AD360" s="949"/>
      <c r="AE360" s="949"/>
      <c r="AF360" s="949"/>
      <c r="AG360" s="949"/>
      <c r="AH360" s="949"/>
      <c r="AI360" s="949"/>
      <c r="AJ360" s="949"/>
      <c r="AK360" s="949"/>
      <c r="AL360" s="949"/>
      <c r="AM360" s="949"/>
      <c r="AN360" s="949"/>
      <c r="AO360" s="949"/>
      <c r="AP360" s="949"/>
      <c r="AQ360" s="949"/>
      <c r="AR360" s="949"/>
      <c r="AS360" s="949"/>
      <c r="AT360" s="949"/>
      <c r="AU360" s="949"/>
      <c r="AV360" s="949"/>
      <c r="AW360" s="949"/>
      <c r="AX360" s="949"/>
      <c r="AY360" s="949"/>
      <c r="AZ360" s="949"/>
      <c r="BA360" s="949"/>
      <c r="BB360" s="949"/>
      <c r="BC360" s="949"/>
      <c r="BD360" s="949"/>
      <c r="BE360" s="949"/>
      <c r="BF360" s="949"/>
      <c r="BG360" s="948"/>
      <c r="BH360" s="948"/>
      <c r="BI360" s="948"/>
      <c r="BJ360" s="948"/>
      <c r="BK360" s="948"/>
      <c r="BL360" s="948"/>
      <c r="BM360" s="948"/>
      <c r="BN360" s="948"/>
      <c r="BO360" s="948"/>
      <c r="BP360" s="948"/>
      <c r="BQ360" s="948"/>
      <c r="BR360" s="948"/>
      <c r="BS360" s="948"/>
      <c r="BT360" s="948"/>
      <c r="BU360" s="954"/>
    </row>
    <row r="361" spans="1:73" ht="15.75" customHeight="1" x14ac:dyDescent="0.2">
      <c r="A361" s="947"/>
      <c r="B361" s="947"/>
      <c r="C361" s="947"/>
      <c r="D361" s="948"/>
      <c r="E361" s="948"/>
      <c r="F361" s="948"/>
      <c r="G361" s="948"/>
      <c r="H361" s="948"/>
      <c r="I361" s="948"/>
      <c r="J361" s="948"/>
      <c r="K361" s="949"/>
      <c r="L361" s="949"/>
      <c r="M361" s="949"/>
      <c r="N361" s="950"/>
      <c r="O361" s="948"/>
      <c r="P361" s="948"/>
      <c r="Q361" s="948"/>
      <c r="R361" s="949"/>
      <c r="S361" s="949"/>
      <c r="T361" s="949"/>
      <c r="U361" s="949"/>
      <c r="V361" s="949"/>
      <c r="W361" s="949"/>
      <c r="X361" s="951"/>
      <c r="Y361" s="951"/>
      <c r="Z361" s="952"/>
      <c r="AA361" s="953"/>
      <c r="AB361" s="948"/>
      <c r="AC361" s="948"/>
      <c r="AD361" s="949"/>
      <c r="AE361" s="949"/>
      <c r="AF361" s="949"/>
      <c r="AG361" s="949"/>
      <c r="AH361" s="949"/>
      <c r="AI361" s="949"/>
      <c r="AJ361" s="949"/>
      <c r="AK361" s="949"/>
      <c r="AL361" s="949"/>
      <c r="AM361" s="949"/>
      <c r="AN361" s="949"/>
      <c r="AO361" s="949"/>
      <c r="AP361" s="949"/>
      <c r="AQ361" s="949"/>
      <c r="AR361" s="949"/>
      <c r="AS361" s="949"/>
      <c r="AT361" s="949"/>
      <c r="AU361" s="949"/>
      <c r="AV361" s="949"/>
      <c r="AW361" s="949"/>
      <c r="AX361" s="949"/>
      <c r="AY361" s="949"/>
      <c r="AZ361" s="949"/>
      <c r="BA361" s="949"/>
      <c r="BB361" s="949"/>
      <c r="BC361" s="949"/>
      <c r="BD361" s="949"/>
      <c r="BE361" s="949"/>
      <c r="BF361" s="949"/>
      <c r="BG361" s="948"/>
      <c r="BH361" s="948"/>
      <c r="BI361" s="948"/>
      <c r="BJ361" s="948"/>
      <c r="BK361" s="948"/>
      <c r="BL361" s="948"/>
      <c r="BM361" s="948"/>
      <c r="BN361" s="948"/>
      <c r="BO361" s="948"/>
      <c r="BP361" s="948"/>
      <c r="BQ361" s="948"/>
      <c r="BR361" s="948"/>
      <c r="BS361" s="948"/>
      <c r="BT361" s="948"/>
      <c r="BU361" s="954"/>
    </row>
    <row r="362" spans="1:73" ht="15.75" customHeight="1" x14ac:dyDescent="0.2">
      <c r="A362" s="947"/>
      <c r="B362" s="947"/>
      <c r="C362" s="947"/>
      <c r="D362" s="948"/>
      <c r="E362" s="948"/>
      <c r="F362" s="948"/>
      <c r="G362" s="948"/>
      <c r="H362" s="948"/>
      <c r="I362" s="948"/>
      <c r="J362" s="948"/>
      <c r="K362" s="949"/>
      <c r="L362" s="949"/>
      <c r="M362" s="949"/>
      <c r="N362" s="950"/>
      <c r="O362" s="948"/>
      <c r="P362" s="948"/>
      <c r="Q362" s="948"/>
      <c r="R362" s="949"/>
      <c r="S362" s="949"/>
      <c r="T362" s="949"/>
      <c r="U362" s="949"/>
      <c r="V362" s="949"/>
      <c r="W362" s="949"/>
      <c r="X362" s="951"/>
      <c r="Y362" s="951"/>
      <c r="Z362" s="952"/>
      <c r="AA362" s="953"/>
      <c r="AB362" s="948"/>
      <c r="AC362" s="948"/>
      <c r="AD362" s="949"/>
      <c r="AE362" s="949"/>
      <c r="AF362" s="949"/>
      <c r="AG362" s="949"/>
      <c r="AH362" s="949"/>
      <c r="AI362" s="949"/>
      <c r="AJ362" s="949"/>
      <c r="AK362" s="949"/>
      <c r="AL362" s="949"/>
      <c r="AM362" s="949"/>
      <c r="AN362" s="949"/>
      <c r="AO362" s="949"/>
      <c r="AP362" s="949"/>
      <c r="AQ362" s="949"/>
      <c r="AR362" s="949"/>
      <c r="AS362" s="949"/>
      <c r="AT362" s="949"/>
      <c r="AU362" s="949"/>
      <c r="AV362" s="949"/>
      <c r="AW362" s="949"/>
      <c r="AX362" s="949"/>
      <c r="AY362" s="949"/>
      <c r="AZ362" s="949"/>
      <c r="BA362" s="949"/>
      <c r="BB362" s="949"/>
      <c r="BC362" s="949"/>
      <c r="BD362" s="949"/>
      <c r="BE362" s="949"/>
      <c r="BF362" s="949"/>
      <c r="BG362" s="948"/>
      <c r="BH362" s="948"/>
      <c r="BI362" s="948"/>
      <c r="BJ362" s="948"/>
      <c r="BK362" s="948"/>
      <c r="BL362" s="948"/>
      <c r="BM362" s="948"/>
      <c r="BN362" s="948"/>
      <c r="BO362" s="948"/>
      <c r="BP362" s="948"/>
      <c r="BQ362" s="948"/>
      <c r="BR362" s="948"/>
      <c r="BS362" s="948"/>
      <c r="BT362" s="948"/>
      <c r="BU362" s="954"/>
    </row>
    <row r="363" spans="1:73" ht="15.75" customHeight="1" x14ac:dyDescent="0.2">
      <c r="A363" s="947"/>
      <c r="B363" s="947"/>
      <c r="C363" s="947"/>
      <c r="D363" s="948"/>
      <c r="E363" s="948"/>
      <c r="F363" s="948"/>
      <c r="G363" s="948"/>
      <c r="H363" s="948"/>
      <c r="I363" s="948"/>
      <c r="J363" s="948"/>
      <c r="K363" s="949"/>
      <c r="L363" s="949"/>
      <c r="M363" s="949"/>
      <c r="N363" s="950"/>
      <c r="O363" s="948"/>
      <c r="P363" s="948"/>
      <c r="Q363" s="948"/>
      <c r="R363" s="949"/>
      <c r="S363" s="949"/>
      <c r="T363" s="949"/>
      <c r="U363" s="949"/>
      <c r="V363" s="949"/>
      <c r="W363" s="949"/>
      <c r="X363" s="951"/>
      <c r="Y363" s="951"/>
      <c r="Z363" s="952"/>
      <c r="AA363" s="953"/>
      <c r="AB363" s="948"/>
      <c r="AC363" s="948"/>
      <c r="AD363" s="949"/>
      <c r="AE363" s="949"/>
      <c r="AF363" s="949"/>
      <c r="AG363" s="949"/>
      <c r="AH363" s="949"/>
      <c r="AI363" s="949"/>
      <c r="AJ363" s="949"/>
      <c r="AK363" s="949"/>
      <c r="AL363" s="949"/>
      <c r="AM363" s="949"/>
      <c r="AN363" s="949"/>
      <c r="AO363" s="949"/>
      <c r="AP363" s="949"/>
      <c r="AQ363" s="949"/>
      <c r="AR363" s="949"/>
      <c r="AS363" s="949"/>
      <c r="AT363" s="949"/>
      <c r="AU363" s="949"/>
      <c r="AV363" s="949"/>
      <c r="AW363" s="949"/>
      <c r="AX363" s="949"/>
      <c r="AY363" s="949"/>
      <c r="AZ363" s="949"/>
      <c r="BA363" s="949"/>
      <c r="BB363" s="949"/>
      <c r="BC363" s="949"/>
      <c r="BD363" s="949"/>
      <c r="BE363" s="949"/>
      <c r="BF363" s="949"/>
      <c r="BG363" s="948"/>
      <c r="BH363" s="948"/>
      <c r="BI363" s="948"/>
      <c r="BJ363" s="948"/>
      <c r="BK363" s="948"/>
      <c r="BL363" s="948"/>
      <c r="BM363" s="948"/>
      <c r="BN363" s="948"/>
      <c r="BO363" s="948"/>
      <c r="BP363" s="948"/>
      <c r="BQ363" s="948"/>
      <c r="BR363" s="948"/>
      <c r="BS363" s="948"/>
      <c r="BT363" s="948"/>
      <c r="BU363" s="954"/>
    </row>
    <row r="364" spans="1:73" ht="15.75" customHeight="1" x14ac:dyDescent="0.2">
      <c r="A364" s="947"/>
      <c r="B364" s="947"/>
      <c r="C364" s="947"/>
      <c r="D364" s="948"/>
      <c r="E364" s="948"/>
      <c r="F364" s="948"/>
      <c r="G364" s="948"/>
      <c r="H364" s="948"/>
      <c r="I364" s="948"/>
      <c r="J364" s="948"/>
      <c r="K364" s="949"/>
      <c r="L364" s="949"/>
      <c r="M364" s="949"/>
      <c r="N364" s="950"/>
      <c r="O364" s="948"/>
      <c r="P364" s="948"/>
      <c r="Q364" s="948"/>
      <c r="R364" s="949"/>
      <c r="S364" s="949"/>
      <c r="T364" s="949"/>
      <c r="U364" s="949"/>
      <c r="V364" s="949"/>
      <c r="W364" s="949"/>
      <c r="X364" s="951"/>
      <c r="Y364" s="951"/>
      <c r="Z364" s="952"/>
      <c r="AA364" s="953"/>
      <c r="AB364" s="948"/>
      <c r="AC364" s="948"/>
      <c r="AD364" s="949"/>
      <c r="AE364" s="949"/>
      <c r="AF364" s="949"/>
      <c r="AG364" s="949"/>
      <c r="AH364" s="949"/>
      <c r="AI364" s="949"/>
      <c r="AJ364" s="949"/>
      <c r="AK364" s="949"/>
      <c r="AL364" s="949"/>
      <c r="AM364" s="949"/>
      <c r="AN364" s="949"/>
      <c r="AO364" s="949"/>
      <c r="AP364" s="949"/>
      <c r="AQ364" s="949"/>
      <c r="AR364" s="949"/>
      <c r="AS364" s="949"/>
      <c r="AT364" s="949"/>
      <c r="AU364" s="949"/>
      <c r="AV364" s="949"/>
      <c r="AW364" s="949"/>
      <c r="AX364" s="949"/>
      <c r="AY364" s="949"/>
      <c r="AZ364" s="949"/>
      <c r="BA364" s="949"/>
      <c r="BB364" s="949"/>
      <c r="BC364" s="949"/>
      <c r="BD364" s="949"/>
      <c r="BE364" s="949"/>
      <c r="BF364" s="949"/>
      <c r="BG364" s="948"/>
      <c r="BH364" s="948"/>
      <c r="BI364" s="948"/>
      <c r="BJ364" s="948"/>
      <c r="BK364" s="948"/>
      <c r="BL364" s="948"/>
      <c r="BM364" s="948"/>
      <c r="BN364" s="948"/>
      <c r="BO364" s="948"/>
      <c r="BP364" s="948"/>
      <c r="BQ364" s="948"/>
      <c r="BR364" s="948"/>
      <c r="BS364" s="948"/>
      <c r="BT364" s="948"/>
      <c r="BU364" s="954"/>
    </row>
    <row r="365" spans="1:73" ht="15.75" customHeight="1" x14ac:dyDescent="0.2">
      <c r="A365" s="947"/>
      <c r="B365" s="947"/>
      <c r="C365" s="947"/>
      <c r="D365" s="948"/>
      <c r="E365" s="948"/>
      <c r="F365" s="948"/>
      <c r="G365" s="948"/>
      <c r="H365" s="948"/>
      <c r="I365" s="948"/>
      <c r="J365" s="948"/>
      <c r="K365" s="949"/>
      <c r="L365" s="949"/>
      <c r="M365" s="949"/>
      <c r="N365" s="950"/>
      <c r="O365" s="948"/>
      <c r="P365" s="948"/>
      <c r="Q365" s="948"/>
      <c r="R365" s="949"/>
      <c r="S365" s="949"/>
      <c r="T365" s="949"/>
      <c r="U365" s="949"/>
      <c r="V365" s="949"/>
      <c r="W365" s="949"/>
      <c r="X365" s="951"/>
      <c r="Y365" s="951"/>
      <c r="Z365" s="952"/>
      <c r="AA365" s="953"/>
      <c r="AB365" s="948"/>
      <c r="AC365" s="948"/>
      <c r="AD365" s="949"/>
      <c r="AE365" s="949"/>
      <c r="AF365" s="949"/>
      <c r="AG365" s="949"/>
      <c r="AH365" s="949"/>
      <c r="AI365" s="949"/>
      <c r="AJ365" s="949"/>
      <c r="AK365" s="949"/>
      <c r="AL365" s="949"/>
      <c r="AM365" s="949"/>
      <c r="AN365" s="949"/>
      <c r="AO365" s="949"/>
      <c r="AP365" s="949"/>
      <c r="AQ365" s="949"/>
      <c r="AR365" s="949"/>
      <c r="AS365" s="949"/>
      <c r="AT365" s="949"/>
      <c r="AU365" s="949"/>
      <c r="AV365" s="949"/>
      <c r="AW365" s="949"/>
      <c r="AX365" s="949"/>
      <c r="AY365" s="949"/>
      <c r="AZ365" s="949"/>
      <c r="BA365" s="949"/>
      <c r="BB365" s="949"/>
      <c r="BC365" s="949"/>
      <c r="BD365" s="949"/>
      <c r="BE365" s="949"/>
      <c r="BF365" s="949"/>
      <c r="BG365" s="948"/>
      <c r="BH365" s="948"/>
      <c r="BI365" s="948"/>
      <c r="BJ365" s="948"/>
      <c r="BK365" s="948"/>
      <c r="BL365" s="948"/>
      <c r="BM365" s="948"/>
      <c r="BN365" s="948"/>
      <c r="BO365" s="948"/>
      <c r="BP365" s="948"/>
      <c r="BQ365" s="948"/>
      <c r="BR365" s="948"/>
      <c r="BS365" s="948"/>
      <c r="BT365" s="948"/>
      <c r="BU365" s="954"/>
    </row>
    <row r="366" spans="1:73" ht="15.75" customHeight="1" x14ac:dyDescent="0.2">
      <c r="A366" s="947"/>
      <c r="B366" s="947"/>
      <c r="C366" s="947"/>
      <c r="D366" s="948"/>
      <c r="E366" s="948"/>
      <c r="F366" s="948"/>
      <c r="G366" s="948"/>
      <c r="H366" s="948"/>
      <c r="I366" s="948"/>
      <c r="J366" s="948"/>
      <c r="K366" s="949"/>
      <c r="L366" s="949"/>
      <c r="M366" s="949"/>
      <c r="N366" s="950"/>
      <c r="O366" s="948"/>
      <c r="P366" s="948"/>
      <c r="Q366" s="948"/>
      <c r="R366" s="949"/>
      <c r="S366" s="949"/>
      <c r="T366" s="949"/>
      <c r="U366" s="949"/>
      <c r="V366" s="949"/>
      <c r="W366" s="949"/>
      <c r="X366" s="951"/>
      <c r="Y366" s="951"/>
      <c r="Z366" s="952"/>
      <c r="AA366" s="953"/>
      <c r="AB366" s="948"/>
      <c r="AC366" s="948"/>
      <c r="AD366" s="949"/>
      <c r="AE366" s="949"/>
      <c r="AF366" s="949"/>
      <c r="AG366" s="949"/>
      <c r="AH366" s="949"/>
      <c r="AI366" s="949"/>
      <c r="AJ366" s="949"/>
      <c r="AK366" s="949"/>
      <c r="AL366" s="949"/>
      <c r="AM366" s="949"/>
      <c r="AN366" s="949"/>
      <c r="AO366" s="949"/>
      <c r="AP366" s="949"/>
      <c r="AQ366" s="949"/>
      <c r="AR366" s="949"/>
      <c r="AS366" s="949"/>
      <c r="AT366" s="949"/>
      <c r="AU366" s="949"/>
      <c r="AV366" s="949"/>
      <c r="AW366" s="949"/>
      <c r="AX366" s="949"/>
      <c r="AY366" s="949"/>
      <c r="AZ366" s="949"/>
      <c r="BA366" s="949"/>
      <c r="BB366" s="949"/>
      <c r="BC366" s="949"/>
      <c r="BD366" s="949"/>
      <c r="BE366" s="949"/>
      <c r="BF366" s="949"/>
      <c r="BG366" s="948"/>
      <c r="BH366" s="948"/>
      <c r="BI366" s="948"/>
      <c r="BJ366" s="948"/>
      <c r="BK366" s="948"/>
      <c r="BL366" s="948"/>
      <c r="BM366" s="948"/>
      <c r="BN366" s="948"/>
      <c r="BO366" s="948"/>
      <c r="BP366" s="948"/>
      <c r="BQ366" s="948"/>
      <c r="BR366" s="948"/>
      <c r="BS366" s="948"/>
      <c r="BT366" s="948"/>
      <c r="BU366" s="954"/>
    </row>
    <row r="367" spans="1:73" ht="15.75" customHeight="1" x14ac:dyDescent="0.2">
      <c r="A367" s="947"/>
      <c r="B367" s="947"/>
      <c r="C367" s="947"/>
      <c r="D367" s="948"/>
      <c r="E367" s="948"/>
      <c r="F367" s="948"/>
      <c r="G367" s="948"/>
      <c r="H367" s="948"/>
      <c r="I367" s="948"/>
      <c r="J367" s="948"/>
      <c r="K367" s="949"/>
      <c r="L367" s="949"/>
      <c r="M367" s="949"/>
      <c r="N367" s="950"/>
      <c r="O367" s="948"/>
      <c r="P367" s="948"/>
      <c r="Q367" s="948"/>
      <c r="R367" s="949"/>
      <c r="S367" s="949"/>
      <c r="T367" s="949"/>
      <c r="U367" s="949"/>
      <c r="V367" s="949"/>
      <c r="W367" s="949"/>
      <c r="X367" s="951"/>
      <c r="Y367" s="951"/>
      <c r="Z367" s="952"/>
      <c r="AA367" s="953"/>
      <c r="AB367" s="948"/>
      <c r="AC367" s="948"/>
      <c r="AD367" s="949"/>
      <c r="AE367" s="949"/>
      <c r="AF367" s="949"/>
      <c r="AG367" s="949"/>
      <c r="AH367" s="949"/>
      <c r="AI367" s="949"/>
      <c r="AJ367" s="949"/>
      <c r="AK367" s="949"/>
      <c r="AL367" s="949"/>
      <c r="AM367" s="949"/>
      <c r="AN367" s="949"/>
      <c r="AO367" s="949"/>
      <c r="AP367" s="949"/>
      <c r="AQ367" s="949"/>
      <c r="AR367" s="949"/>
      <c r="AS367" s="949"/>
      <c r="AT367" s="949"/>
      <c r="AU367" s="949"/>
      <c r="AV367" s="949"/>
      <c r="AW367" s="949"/>
      <c r="AX367" s="949"/>
      <c r="AY367" s="949"/>
      <c r="AZ367" s="949"/>
      <c r="BA367" s="949"/>
      <c r="BB367" s="949"/>
      <c r="BC367" s="949"/>
      <c r="BD367" s="949"/>
      <c r="BE367" s="949"/>
      <c r="BF367" s="949"/>
      <c r="BG367" s="948"/>
      <c r="BH367" s="948"/>
      <c r="BI367" s="948"/>
      <c r="BJ367" s="948"/>
      <c r="BK367" s="948"/>
      <c r="BL367" s="948"/>
      <c r="BM367" s="948"/>
      <c r="BN367" s="948"/>
      <c r="BO367" s="948"/>
      <c r="BP367" s="948"/>
      <c r="BQ367" s="948"/>
      <c r="BR367" s="948"/>
      <c r="BS367" s="948"/>
      <c r="BT367" s="948"/>
      <c r="BU367" s="954"/>
    </row>
    <row r="368" spans="1:73" ht="15.75" customHeight="1" x14ac:dyDescent="0.2">
      <c r="A368" s="947"/>
      <c r="B368" s="947"/>
      <c r="C368" s="947"/>
      <c r="D368" s="948"/>
      <c r="E368" s="948"/>
      <c r="F368" s="948"/>
      <c r="G368" s="948"/>
      <c r="H368" s="948"/>
      <c r="I368" s="948"/>
      <c r="J368" s="948"/>
      <c r="K368" s="949"/>
      <c r="L368" s="949"/>
      <c r="M368" s="949"/>
      <c r="N368" s="950"/>
      <c r="O368" s="948"/>
      <c r="P368" s="948"/>
      <c r="Q368" s="948"/>
      <c r="R368" s="949"/>
      <c r="S368" s="949"/>
      <c r="T368" s="949"/>
      <c r="U368" s="949"/>
      <c r="V368" s="949"/>
      <c r="W368" s="949"/>
      <c r="X368" s="951"/>
      <c r="Y368" s="951"/>
      <c r="Z368" s="952"/>
      <c r="AA368" s="953"/>
      <c r="AB368" s="948"/>
      <c r="AC368" s="948"/>
      <c r="AD368" s="949"/>
      <c r="AE368" s="949"/>
      <c r="AF368" s="949"/>
      <c r="AG368" s="949"/>
      <c r="AH368" s="949"/>
      <c r="AI368" s="949"/>
      <c r="AJ368" s="949"/>
      <c r="AK368" s="949"/>
      <c r="AL368" s="949"/>
      <c r="AM368" s="949"/>
      <c r="AN368" s="949"/>
      <c r="AO368" s="949"/>
      <c r="AP368" s="949"/>
      <c r="AQ368" s="949"/>
      <c r="AR368" s="949"/>
      <c r="AS368" s="949"/>
      <c r="AT368" s="949"/>
      <c r="AU368" s="949"/>
      <c r="AV368" s="949"/>
      <c r="AW368" s="949"/>
      <c r="AX368" s="949"/>
      <c r="AY368" s="949"/>
      <c r="AZ368" s="949"/>
      <c r="BA368" s="949"/>
      <c r="BB368" s="949"/>
      <c r="BC368" s="949"/>
      <c r="BD368" s="949"/>
      <c r="BE368" s="949"/>
      <c r="BF368" s="949"/>
      <c r="BG368" s="948"/>
      <c r="BH368" s="948"/>
      <c r="BI368" s="948"/>
      <c r="BJ368" s="948"/>
      <c r="BK368" s="948"/>
      <c r="BL368" s="948"/>
      <c r="BM368" s="948"/>
      <c r="BN368" s="948"/>
      <c r="BO368" s="948"/>
      <c r="BP368" s="948"/>
      <c r="BQ368" s="948"/>
      <c r="BR368" s="948"/>
      <c r="BS368" s="948"/>
      <c r="BT368" s="948"/>
      <c r="BU368" s="954"/>
    </row>
    <row r="369" spans="1:73" ht="15.75" customHeight="1" x14ac:dyDescent="0.2">
      <c r="A369" s="947"/>
      <c r="B369" s="947"/>
      <c r="C369" s="947"/>
      <c r="D369" s="948"/>
      <c r="E369" s="948"/>
      <c r="F369" s="948"/>
      <c r="G369" s="948"/>
      <c r="H369" s="948"/>
      <c r="I369" s="948"/>
      <c r="J369" s="948"/>
      <c r="K369" s="949"/>
      <c r="L369" s="949"/>
      <c r="M369" s="949"/>
      <c r="N369" s="950"/>
      <c r="O369" s="948"/>
      <c r="P369" s="948"/>
      <c r="Q369" s="948"/>
      <c r="R369" s="949"/>
      <c r="S369" s="949"/>
      <c r="T369" s="949"/>
      <c r="U369" s="949"/>
      <c r="V369" s="949"/>
      <c r="W369" s="949"/>
      <c r="X369" s="951"/>
      <c r="Y369" s="951"/>
      <c r="Z369" s="952"/>
      <c r="AA369" s="953"/>
      <c r="AB369" s="948"/>
      <c r="AC369" s="948"/>
      <c r="AD369" s="949"/>
      <c r="AE369" s="949"/>
      <c r="AF369" s="949"/>
      <c r="AG369" s="949"/>
      <c r="AH369" s="949"/>
      <c r="AI369" s="949"/>
      <c r="AJ369" s="949"/>
      <c r="AK369" s="949"/>
      <c r="AL369" s="949"/>
      <c r="AM369" s="949"/>
      <c r="AN369" s="949"/>
      <c r="AO369" s="949"/>
      <c r="AP369" s="949"/>
      <c r="AQ369" s="949"/>
      <c r="AR369" s="949"/>
      <c r="AS369" s="949"/>
      <c r="AT369" s="949"/>
      <c r="AU369" s="949"/>
      <c r="AV369" s="949"/>
      <c r="AW369" s="949"/>
      <c r="AX369" s="949"/>
      <c r="AY369" s="949"/>
      <c r="AZ369" s="949"/>
      <c r="BA369" s="949"/>
      <c r="BB369" s="949"/>
      <c r="BC369" s="949"/>
      <c r="BD369" s="949"/>
      <c r="BE369" s="949"/>
      <c r="BF369" s="949"/>
      <c r="BG369" s="948"/>
      <c r="BH369" s="948"/>
      <c r="BI369" s="948"/>
      <c r="BJ369" s="948"/>
      <c r="BK369" s="948"/>
      <c r="BL369" s="948"/>
      <c r="BM369" s="948"/>
      <c r="BN369" s="948"/>
      <c r="BO369" s="948"/>
      <c r="BP369" s="948"/>
      <c r="BQ369" s="948"/>
      <c r="BR369" s="948"/>
      <c r="BS369" s="948"/>
      <c r="BT369" s="948"/>
      <c r="BU369" s="954"/>
    </row>
    <row r="370" spans="1:73" ht="15.75" customHeight="1" x14ac:dyDescent="0.2">
      <c r="A370" s="947"/>
      <c r="B370" s="947"/>
      <c r="C370" s="947"/>
      <c r="D370" s="948"/>
      <c r="E370" s="948"/>
      <c r="F370" s="948"/>
      <c r="G370" s="948"/>
      <c r="H370" s="948"/>
      <c r="I370" s="948"/>
      <c r="J370" s="948"/>
      <c r="K370" s="949"/>
      <c r="L370" s="949"/>
      <c r="M370" s="949"/>
      <c r="N370" s="950"/>
      <c r="O370" s="948"/>
      <c r="P370" s="948"/>
      <c r="Q370" s="948"/>
      <c r="R370" s="949"/>
      <c r="S370" s="949"/>
      <c r="T370" s="949"/>
      <c r="U370" s="949"/>
      <c r="V370" s="949"/>
      <c r="W370" s="949"/>
      <c r="X370" s="951"/>
      <c r="Y370" s="951"/>
      <c r="Z370" s="952"/>
      <c r="AA370" s="953"/>
      <c r="AB370" s="948"/>
      <c r="AC370" s="948"/>
      <c r="AD370" s="949"/>
      <c r="AE370" s="949"/>
      <c r="AF370" s="949"/>
      <c r="AG370" s="949"/>
      <c r="AH370" s="949"/>
      <c r="AI370" s="949"/>
      <c r="AJ370" s="949"/>
      <c r="AK370" s="949"/>
      <c r="AL370" s="949"/>
      <c r="AM370" s="949"/>
      <c r="AN370" s="949"/>
      <c r="AO370" s="949"/>
      <c r="AP370" s="949"/>
      <c r="AQ370" s="949"/>
      <c r="AR370" s="949"/>
      <c r="AS370" s="949"/>
      <c r="AT370" s="949"/>
      <c r="AU370" s="949"/>
      <c r="AV370" s="949"/>
      <c r="AW370" s="949"/>
      <c r="AX370" s="949"/>
      <c r="AY370" s="949"/>
      <c r="AZ370" s="949"/>
      <c r="BA370" s="949"/>
      <c r="BB370" s="949"/>
      <c r="BC370" s="949"/>
      <c r="BD370" s="949"/>
      <c r="BE370" s="949"/>
      <c r="BF370" s="949"/>
      <c r="BG370" s="948"/>
      <c r="BH370" s="948"/>
      <c r="BI370" s="948"/>
      <c r="BJ370" s="948"/>
      <c r="BK370" s="948"/>
      <c r="BL370" s="948"/>
      <c r="BM370" s="948"/>
      <c r="BN370" s="948"/>
      <c r="BO370" s="948"/>
      <c r="BP370" s="948"/>
      <c r="BQ370" s="948"/>
      <c r="BR370" s="948"/>
      <c r="BS370" s="948"/>
      <c r="BT370" s="948"/>
      <c r="BU370" s="954"/>
    </row>
    <row r="371" spans="1:73" ht="15.75" customHeight="1" x14ac:dyDescent="0.2">
      <c r="A371" s="947"/>
      <c r="B371" s="947"/>
      <c r="C371" s="947"/>
      <c r="D371" s="948"/>
      <c r="E371" s="948"/>
      <c r="F371" s="948"/>
      <c r="G371" s="948"/>
      <c r="H371" s="948"/>
      <c r="I371" s="948"/>
      <c r="J371" s="948"/>
      <c r="K371" s="949"/>
      <c r="L371" s="949"/>
      <c r="M371" s="949"/>
      <c r="N371" s="950"/>
      <c r="O371" s="948"/>
      <c r="P371" s="948"/>
      <c r="Q371" s="948"/>
      <c r="R371" s="949"/>
      <c r="S371" s="949"/>
      <c r="T371" s="949"/>
      <c r="U371" s="949"/>
      <c r="V371" s="949"/>
      <c r="W371" s="949"/>
      <c r="X371" s="951"/>
      <c r="Y371" s="951"/>
      <c r="Z371" s="952"/>
      <c r="AA371" s="953"/>
      <c r="AB371" s="948"/>
      <c r="AC371" s="948"/>
      <c r="AD371" s="949"/>
      <c r="AE371" s="949"/>
      <c r="AF371" s="949"/>
      <c r="AG371" s="949"/>
      <c r="AH371" s="949"/>
      <c r="AI371" s="949"/>
      <c r="AJ371" s="949"/>
      <c r="AK371" s="949"/>
      <c r="AL371" s="949"/>
      <c r="AM371" s="949"/>
      <c r="AN371" s="949"/>
      <c r="AO371" s="949"/>
      <c r="AP371" s="949"/>
      <c r="AQ371" s="949"/>
      <c r="AR371" s="949"/>
      <c r="AS371" s="949"/>
      <c r="AT371" s="949"/>
      <c r="AU371" s="949"/>
      <c r="AV371" s="949"/>
      <c r="AW371" s="949"/>
      <c r="AX371" s="949"/>
      <c r="AY371" s="949"/>
      <c r="AZ371" s="949"/>
      <c r="BA371" s="949"/>
      <c r="BB371" s="949"/>
      <c r="BC371" s="949"/>
      <c r="BD371" s="949"/>
      <c r="BE371" s="949"/>
      <c r="BF371" s="949"/>
      <c r="BG371" s="948"/>
      <c r="BH371" s="948"/>
      <c r="BI371" s="948"/>
      <c r="BJ371" s="948"/>
      <c r="BK371" s="948"/>
      <c r="BL371" s="948"/>
      <c r="BM371" s="948"/>
      <c r="BN371" s="948"/>
      <c r="BO371" s="948"/>
      <c r="BP371" s="948"/>
      <c r="BQ371" s="948"/>
      <c r="BR371" s="948"/>
      <c r="BS371" s="948"/>
      <c r="BT371" s="948"/>
      <c r="BU371" s="954"/>
    </row>
    <row r="372" spans="1:73" ht="15.75" customHeight="1" x14ac:dyDescent="0.2">
      <c r="A372" s="947"/>
      <c r="B372" s="947"/>
      <c r="C372" s="947"/>
      <c r="D372" s="948"/>
      <c r="E372" s="948"/>
      <c r="F372" s="948"/>
      <c r="G372" s="948"/>
      <c r="H372" s="948"/>
      <c r="I372" s="948"/>
      <c r="J372" s="948"/>
      <c r="K372" s="949"/>
      <c r="L372" s="949"/>
      <c r="M372" s="949"/>
      <c r="N372" s="950"/>
      <c r="O372" s="948"/>
      <c r="P372" s="948"/>
      <c r="Q372" s="948"/>
      <c r="R372" s="949"/>
      <c r="S372" s="949"/>
      <c r="T372" s="949"/>
      <c r="U372" s="949"/>
      <c r="V372" s="949"/>
      <c r="W372" s="949"/>
      <c r="X372" s="951"/>
      <c r="Y372" s="951"/>
      <c r="Z372" s="952"/>
      <c r="AA372" s="953"/>
      <c r="AB372" s="948"/>
      <c r="AC372" s="948"/>
      <c r="AD372" s="949"/>
      <c r="AE372" s="949"/>
      <c r="AF372" s="949"/>
      <c r="AG372" s="949"/>
      <c r="AH372" s="949"/>
      <c r="AI372" s="949"/>
      <c r="AJ372" s="949"/>
      <c r="AK372" s="949"/>
      <c r="AL372" s="949"/>
      <c r="AM372" s="949"/>
      <c r="AN372" s="949"/>
      <c r="AO372" s="949"/>
      <c r="AP372" s="949"/>
      <c r="AQ372" s="949"/>
      <c r="AR372" s="949"/>
      <c r="AS372" s="949"/>
      <c r="AT372" s="949"/>
      <c r="AU372" s="949"/>
      <c r="AV372" s="949"/>
      <c r="AW372" s="949"/>
      <c r="AX372" s="949"/>
      <c r="AY372" s="949"/>
      <c r="AZ372" s="949"/>
      <c r="BA372" s="949"/>
      <c r="BB372" s="949"/>
      <c r="BC372" s="949"/>
      <c r="BD372" s="949"/>
      <c r="BE372" s="949"/>
      <c r="BF372" s="949"/>
      <c r="BG372" s="948"/>
      <c r="BH372" s="948"/>
      <c r="BI372" s="948"/>
      <c r="BJ372" s="948"/>
      <c r="BK372" s="948"/>
      <c r="BL372" s="948"/>
      <c r="BM372" s="948"/>
      <c r="BN372" s="948"/>
      <c r="BO372" s="948"/>
      <c r="BP372" s="948"/>
      <c r="BQ372" s="948"/>
      <c r="BR372" s="948"/>
      <c r="BS372" s="948"/>
      <c r="BT372" s="948"/>
      <c r="BU372" s="954"/>
    </row>
    <row r="373" spans="1:73" ht="15.75" customHeight="1" x14ac:dyDescent="0.2">
      <c r="A373" s="947"/>
      <c r="B373" s="947"/>
      <c r="C373" s="947"/>
      <c r="D373" s="948"/>
      <c r="E373" s="948"/>
      <c r="F373" s="948"/>
      <c r="G373" s="948"/>
      <c r="H373" s="948"/>
      <c r="I373" s="948"/>
      <c r="J373" s="948"/>
      <c r="K373" s="949"/>
      <c r="L373" s="949"/>
      <c r="M373" s="949"/>
      <c r="N373" s="950"/>
      <c r="O373" s="948"/>
      <c r="P373" s="948"/>
      <c r="Q373" s="948"/>
      <c r="R373" s="949"/>
      <c r="S373" s="949"/>
      <c r="T373" s="949"/>
      <c r="U373" s="949"/>
      <c r="V373" s="949"/>
      <c r="W373" s="949"/>
      <c r="X373" s="951"/>
      <c r="Y373" s="951"/>
      <c r="Z373" s="952"/>
      <c r="AA373" s="953"/>
      <c r="AB373" s="948"/>
      <c r="AC373" s="948"/>
      <c r="AD373" s="949"/>
      <c r="AE373" s="949"/>
      <c r="AF373" s="949"/>
      <c r="AG373" s="949"/>
      <c r="AH373" s="949"/>
      <c r="AI373" s="949"/>
      <c r="AJ373" s="949"/>
      <c r="AK373" s="949"/>
      <c r="AL373" s="949"/>
      <c r="AM373" s="949"/>
      <c r="AN373" s="949"/>
      <c r="AO373" s="949"/>
      <c r="AP373" s="949"/>
      <c r="AQ373" s="949"/>
      <c r="AR373" s="949"/>
      <c r="AS373" s="949"/>
      <c r="AT373" s="949"/>
      <c r="AU373" s="949"/>
      <c r="AV373" s="949"/>
      <c r="AW373" s="949"/>
      <c r="AX373" s="949"/>
      <c r="AY373" s="949"/>
      <c r="AZ373" s="949"/>
      <c r="BA373" s="949"/>
      <c r="BB373" s="949"/>
      <c r="BC373" s="949"/>
      <c r="BD373" s="949"/>
      <c r="BE373" s="949"/>
      <c r="BF373" s="949"/>
      <c r="BG373" s="948"/>
      <c r="BH373" s="948"/>
      <c r="BI373" s="948"/>
      <c r="BJ373" s="948"/>
      <c r="BK373" s="948"/>
      <c r="BL373" s="948"/>
      <c r="BM373" s="948"/>
      <c r="BN373" s="948"/>
      <c r="BO373" s="948"/>
      <c r="BP373" s="948"/>
      <c r="BQ373" s="948"/>
      <c r="BR373" s="948"/>
      <c r="BS373" s="948"/>
      <c r="BT373" s="948"/>
      <c r="BU373" s="954"/>
    </row>
    <row r="374" spans="1:73" ht="15.75" customHeight="1" x14ac:dyDescent="0.2">
      <c r="A374" s="947"/>
      <c r="B374" s="947"/>
      <c r="C374" s="947"/>
      <c r="D374" s="948"/>
      <c r="E374" s="948"/>
      <c r="F374" s="948"/>
      <c r="G374" s="948"/>
      <c r="H374" s="948"/>
      <c r="I374" s="948"/>
      <c r="J374" s="948"/>
      <c r="K374" s="949"/>
      <c r="L374" s="949"/>
      <c r="M374" s="949"/>
      <c r="N374" s="950"/>
      <c r="O374" s="948"/>
      <c r="P374" s="948"/>
      <c r="Q374" s="948"/>
      <c r="R374" s="949"/>
      <c r="S374" s="949"/>
      <c r="T374" s="949"/>
      <c r="U374" s="949"/>
      <c r="V374" s="949"/>
      <c r="W374" s="949"/>
      <c r="X374" s="951"/>
      <c r="Y374" s="951"/>
      <c r="Z374" s="952"/>
      <c r="AA374" s="953"/>
      <c r="AB374" s="948"/>
      <c r="AC374" s="948"/>
      <c r="AD374" s="949"/>
      <c r="AE374" s="949"/>
      <c r="AF374" s="949"/>
      <c r="AG374" s="949"/>
      <c r="AH374" s="949"/>
      <c r="AI374" s="949"/>
      <c r="AJ374" s="949"/>
      <c r="AK374" s="949"/>
      <c r="AL374" s="949"/>
      <c r="AM374" s="949"/>
      <c r="AN374" s="949"/>
      <c r="AO374" s="949"/>
      <c r="AP374" s="949"/>
      <c r="AQ374" s="949"/>
      <c r="AR374" s="949"/>
      <c r="AS374" s="949"/>
      <c r="AT374" s="949"/>
      <c r="AU374" s="949"/>
      <c r="AV374" s="949"/>
      <c r="AW374" s="949"/>
      <c r="AX374" s="949"/>
      <c r="AY374" s="949"/>
      <c r="AZ374" s="949"/>
      <c r="BA374" s="949"/>
      <c r="BB374" s="949"/>
      <c r="BC374" s="949"/>
      <c r="BD374" s="949"/>
      <c r="BE374" s="949"/>
      <c r="BF374" s="949"/>
      <c r="BG374" s="948"/>
      <c r="BH374" s="948"/>
      <c r="BI374" s="948"/>
      <c r="BJ374" s="948"/>
      <c r="BK374" s="948"/>
      <c r="BL374" s="948"/>
      <c r="BM374" s="948"/>
      <c r="BN374" s="948"/>
      <c r="BO374" s="948"/>
      <c r="BP374" s="948"/>
      <c r="BQ374" s="948"/>
      <c r="BR374" s="948"/>
      <c r="BS374" s="948"/>
      <c r="BT374" s="948"/>
      <c r="BU374" s="954"/>
    </row>
    <row r="375" spans="1:73" ht="15.75" customHeight="1" x14ac:dyDescent="0.2">
      <c r="A375" s="947"/>
      <c r="B375" s="947"/>
      <c r="C375" s="947"/>
      <c r="D375" s="948"/>
      <c r="E375" s="948"/>
      <c r="F375" s="948"/>
      <c r="G375" s="948"/>
      <c r="H375" s="948"/>
      <c r="I375" s="948"/>
      <c r="J375" s="948"/>
      <c r="K375" s="949"/>
      <c r="L375" s="949"/>
      <c r="M375" s="949"/>
      <c r="N375" s="950"/>
      <c r="O375" s="948"/>
      <c r="P375" s="948"/>
      <c r="Q375" s="948"/>
      <c r="R375" s="949"/>
      <c r="S375" s="949"/>
      <c r="T375" s="949"/>
      <c r="U375" s="949"/>
      <c r="V375" s="949"/>
      <c r="W375" s="949"/>
      <c r="X375" s="951"/>
      <c r="Y375" s="951"/>
      <c r="Z375" s="952"/>
      <c r="AA375" s="953"/>
      <c r="AB375" s="948"/>
      <c r="AC375" s="948"/>
      <c r="AD375" s="949"/>
      <c r="AE375" s="949"/>
      <c r="AF375" s="949"/>
      <c r="AG375" s="949"/>
      <c r="AH375" s="949"/>
      <c r="AI375" s="949"/>
      <c r="AJ375" s="949"/>
      <c r="AK375" s="949"/>
      <c r="AL375" s="949"/>
      <c r="AM375" s="949"/>
      <c r="AN375" s="949"/>
      <c r="AO375" s="949"/>
      <c r="AP375" s="949"/>
      <c r="AQ375" s="949"/>
      <c r="AR375" s="949"/>
      <c r="AS375" s="949"/>
      <c r="AT375" s="949"/>
      <c r="AU375" s="949"/>
      <c r="AV375" s="949"/>
      <c r="AW375" s="949"/>
      <c r="AX375" s="949"/>
      <c r="AY375" s="949"/>
      <c r="AZ375" s="949"/>
      <c r="BA375" s="949"/>
      <c r="BB375" s="949"/>
      <c r="BC375" s="949"/>
      <c r="BD375" s="949"/>
      <c r="BE375" s="949"/>
      <c r="BF375" s="949"/>
      <c r="BG375" s="948"/>
      <c r="BH375" s="948"/>
      <c r="BI375" s="948"/>
      <c r="BJ375" s="948"/>
      <c r="BK375" s="948"/>
      <c r="BL375" s="948"/>
      <c r="BM375" s="948"/>
      <c r="BN375" s="948"/>
      <c r="BO375" s="948"/>
      <c r="BP375" s="948"/>
      <c r="BQ375" s="948"/>
      <c r="BR375" s="948"/>
      <c r="BS375" s="948"/>
      <c r="BT375" s="948"/>
      <c r="BU375" s="954"/>
    </row>
    <row r="376" spans="1:73" ht="15.75" customHeight="1" x14ac:dyDescent="0.2">
      <c r="A376" s="947"/>
      <c r="B376" s="947"/>
      <c r="C376" s="947"/>
      <c r="D376" s="948"/>
      <c r="E376" s="948"/>
      <c r="F376" s="948"/>
      <c r="G376" s="948"/>
      <c r="H376" s="948"/>
      <c r="I376" s="948"/>
      <c r="J376" s="948"/>
      <c r="K376" s="949"/>
      <c r="L376" s="949"/>
      <c r="M376" s="949"/>
      <c r="N376" s="950"/>
      <c r="O376" s="948"/>
      <c r="P376" s="948"/>
      <c r="Q376" s="948"/>
      <c r="R376" s="949"/>
      <c r="S376" s="949"/>
      <c r="T376" s="949"/>
      <c r="U376" s="949"/>
      <c r="V376" s="949"/>
      <c r="W376" s="949"/>
      <c r="X376" s="951"/>
      <c r="Y376" s="951"/>
      <c r="Z376" s="952"/>
      <c r="AA376" s="953"/>
      <c r="AB376" s="948"/>
      <c r="AC376" s="948"/>
      <c r="AD376" s="949"/>
      <c r="AE376" s="949"/>
      <c r="AF376" s="949"/>
      <c r="AG376" s="949"/>
      <c r="AH376" s="949"/>
      <c r="AI376" s="949"/>
      <c r="AJ376" s="949"/>
      <c r="AK376" s="949"/>
      <c r="AL376" s="949"/>
      <c r="AM376" s="949"/>
      <c r="AN376" s="949"/>
      <c r="AO376" s="949"/>
      <c r="AP376" s="949"/>
      <c r="AQ376" s="949"/>
      <c r="AR376" s="949"/>
      <c r="AS376" s="949"/>
      <c r="AT376" s="949"/>
      <c r="AU376" s="949"/>
      <c r="AV376" s="949"/>
      <c r="AW376" s="949"/>
      <c r="AX376" s="949"/>
      <c r="AY376" s="949"/>
      <c r="AZ376" s="949"/>
      <c r="BA376" s="949"/>
      <c r="BB376" s="949"/>
      <c r="BC376" s="949"/>
      <c r="BD376" s="949"/>
      <c r="BE376" s="949"/>
      <c r="BF376" s="949"/>
      <c r="BG376" s="948"/>
      <c r="BH376" s="948"/>
      <c r="BI376" s="948"/>
      <c r="BJ376" s="948"/>
      <c r="BK376" s="948"/>
      <c r="BL376" s="948"/>
      <c r="BM376" s="948"/>
      <c r="BN376" s="948"/>
      <c r="BO376" s="948"/>
      <c r="BP376" s="948"/>
      <c r="BQ376" s="948"/>
      <c r="BR376" s="948"/>
      <c r="BS376" s="948"/>
      <c r="BT376" s="948"/>
      <c r="BU376" s="954"/>
    </row>
    <row r="377" spans="1:73" ht="15.75" customHeight="1" x14ac:dyDescent="0.2">
      <c r="A377" s="947"/>
      <c r="B377" s="947"/>
      <c r="C377" s="947"/>
      <c r="D377" s="948"/>
      <c r="E377" s="948"/>
      <c r="F377" s="948"/>
      <c r="G377" s="948"/>
      <c r="H377" s="948"/>
      <c r="I377" s="948"/>
      <c r="J377" s="948"/>
      <c r="K377" s="949"/>
      <c r="L377" s="949"/>
      <c r="M377" s="949"/>
      <c r="N377" s="950"/>
      <c r="O377" s="948"/>
      <c r="P377" s="948"/>
      <c r="Q377" s="948"/>
      <c r="R377" s="949"/>
      <c r="S377" s="949"/>
      <c r="T377" s="949"/>
      <c r="U377" s="949"/>
      <c r="V377" s="949"/>
      <c r="W377" s="949"/>
      <c r="X377" s="951"/>
      <c r="Y377" s="951"/>
      <c r="Z377" s="952"/>
      <c r="AA377" s="953"/>
      <c r="AB377" s="948"/>
      <c r="AC377" s="948"/>
      <c r="AD377" s="949"/>
      <c r="AE377" s="949"/>
      <c r="AF377" s="949"/>
      <c r="AG377" s="949"/>
      <c r="AH377" s="949"/>
      <c r="AI377" s="949"/>
      <c r="AJ377" s="949"/>
      <c r="AK377" s="949"/>
      <c r="AL377" s="949"/>
      <c r="AM377" s="949"/>
      <c r="AN377" s="949"/>
      <c r="AO377" s="949"/>
      <c r="AP377" s="949"/>
      <c r="AQ377" s="949"/>
      <c r="AR377" s="949"/>
      <c r="AS377" s="949"/>
      <c r="AT377" s="949"/>
      <c r="AU377" s="949"/>
      <c r="AV377" s="949"/>
      <c r="AW377" s="949"/>
      <c r="AX377" s="949"/>
      <c r="AY377" s="949"/>
      <c r="AZ377" s="949"/>
      <c r="BA377" s="949"/>
      <c r="BB377" s="949"/>
      <c r="BC377" s="949"/>
      <c r="BD377" s="949"/>
      <c r="BE377" s="949"/>
      <c r="BF377" s="949"/>
      <c r="BG377" s="948"/>
      <c r="BH377" s="948"/>
      <c r="BI377" s="948"/>
      <c r="BJ377" s="948"/>
      <c r="BK377" s="948"/>
      <c r="BL377" s="948"/>
      <c r="BM377" s="948"/>
      <c r="BN377" s="948"/>
      <c r="BO377" s="948"/>
      <c r="BP377" s="948"/>
      <c r="BQ377" s="948"/>
      <c r="BR377" s="948"/>
      <c r="BS377" s="948"/>
      <c r="BT377" s="948"/>
      <c r="BU377" s="954"/>
    </row>
    <row r="378" spans="1:73" ht="15.75" customHeight="1" x14ac:dyDescent="0.2">
      <c r="A378" s="947"/>
      <c r="B378" s="947"/>
      <c r="C378" s="947"/>
      <c r="D378" s="948"/>
      <c r="E378" s="948"/>
      <c r="F378" s="948"/>
      <c r="G378" s="948"/>
      <c r="H378" s="948"/>
      <c r="I378" s="948"/>
      <c r="J378" s="948"/>
      <c r="K378" s="949"/>
      <c r="L378" s="949"/>
      <c r="M378" s="949"/>
      <c r="N378" s="950"/>
      <c r="O378" s="948"/>
      <c r="P378" s="948"/>
      <c r="Q378" s="948"/>
      <c r="R378" s="949"/>
      <c r="S378" s="949"/>
      <c r="T378" s="949"/>
      <c r="U378" s="949"/>
      <c r="V378" s="949"/>
      <c r="W378" s="949"/>
      <c r="X378" s="951"/>
      <c r="Y378" s="951"/>
      <c r="Z378" s="952"/>
      <c r="AA378" s="953"/>
      <c r="AB378" s="948"/>
      <c r="AC378" s="948"/>
      <c r="AD378" s="949"/>
      <c r="AE378" s="949"/>
      <c r="AF378" s="949"/>
      <c r="AG378" s="949"/>
      <c r="AH378" s="949"/>
      <c r="AI378" s="949"/>
      <c r="AJ378" s="949"/>
      <c r="AK378" s="949"/>
      <c r="AL378" s="949"/>
      <c r="AM378" s="949"/>
      <c r="AN378" s="949"/>
      <c r="AO378" s="949"/>
      <c r="AP378" s="949"/>
      <c r="AQ378" s="949"/>
      <c r="AR378" s="949"/>
      <c r="AS378" s="949"/>
      <c r="AT378" s="949"/>
      <c r="AU378" s="949"/>
      <c r="AV378" s="949"/>
      <c r="AW378" s="949"/>
      <c r="AX378" s="949"/>
      <c r="AY378" s="949"/>
      <c r="AZ378" s="949"/>
      <c r="BA378" s="949"/>
      <c r="BB378" s="949"/>
      <c r="BC378" s="949"/>
      <c r="BD378" s="949"/>
      <c r="BE378" s="949"/>
      <c r="BF378" s="949"/>
      <c r="BG378" s="948"/>
      <c r="BH378" s="948"/>
      <c r="BI378" s="948"/>
      <c r="BJ378" s="948"/>
      <c r="BK378" s="948"/>
      <c r="BL378" s="948"/>
      <c r="BM378" s="948"/>
      <c r="BN378" s="948"/>
      <c r="BO378" s="948"/>
      <c r="BP378" s="948"/>
      <c r="BQ378" s="948"/>
      <c r="BR378" s="948"/>
      <c r="BS378" s="948"/>
      <c r="BT378" s="948"/>
      <c r="BU378" s="954"/>
    </row>
    <row r="379" spans="1:73" ht="15.75" customHeight="1" x14ac:dyDescent="0.2">
      <c r="A379" s="947"/>
      <c r="B379" s="947"/>
      <c r="C379" s="947"/>
      <c r="D379" s="948"/>
      <c r="E379" s="948"/>
      <c r="F379" s="948"/>
      <c r="G379" s="948"/>
      <c r="H379" s="948"/>
      <c r="I379" s="948"/>
      <c r="J379" s="948"/>
      <c r="K379" s="949"/>
      <c r="L379" s="949"/>
      <c r="M379" s="949"/>
      <c r="N379" s="950"/>
      <c r="O379" s="948"/>
      <c r="P379" s="948"/>
      <c r="Q379" s="948"/>
      <c r="R379" s="949"/>
      <c r="S379" s="949"/>
      <c r="T379" s="949"/>
      <c r="U379" s="949"/>
      <c r="V379" s="949"/>
      <c r="W379" s="949"/>
      <c r="X379" s="951"/>
      <c r="Y379" s="951"/>
      <c r="Z379" s="952"/>
      <c r="AA379" s="953"/>
      <c r="AB379" s="948"/>
      <c r="AC379" s="948"/>
      <c r="AD379" s="949"/>
      <c r="AE379" s="949"/>
      <c r="AF379" s="949"/>
      <c r="AG379" s="949"/>
      <c r="AH379" s="949"/>
      <c r="AI379" s="949"/>
      <c r="AJ379" s="949"/>
      <c r="AK379" s="949"/>
      <c r="AL379" s="949"/>
      <c r="AM379" s="949"/>
      <c r="AN379" s="949"/>
      <c r="AO379" s="949"/>
      <c r="AP379" s="949"/>
      <c r="AQ379" s="949"/>
      <c r="AR379" s="949"/>
      <c r="AS379" s="949"/>
      <c r="AT379" s="949"/>
      <c r="AU379" s="949"/>
      <c r="AV379" s="949"/>
      <c r="AW379" s="949"/>
      <c r="AX379" s="949"/>
      <c r="AY379" s="949"/>
      <c r="AZ379" s="949"/>
      <c r="BA379" s="949"/>
      <c r="BB379" s="949"/>
      <c r="BC379" s="949"/>
      <c r="BD379" s="949"/>
      <c r="BE379" s="949"/>
      <c r="BF379" s="949"/>
      <c r="BG379" s="948"/>
      <c r="BH379" s="948"/>
      <c r="BI379" s="948"/>
      <c r="BJ379" s="948"/>
      <c r="BK379" s="948"/>
      <c r="BL379" s="948"/>
      <c r="BM379" s="948"/>
      <c r="BN379" s="948"/>
      <c r="BO379" s="948"/>
      <c r="BP379" s="948"/>
      <c r="BQ379" s="948"/>
      <c r="BR379" s="948"/>
      <c r="BS379" s="948"/>
      <c r="BT379" s="948"/>
      <c r="BU379" s="954"/>
    </row>
    <row r="380" spans="1:73" ht="15.75" customHeight="1" x14ac:dyDescent="0.2">
      <c r="A380" s="947"/>
      <c r="B380" s="947"/>
      <c r="C380" s="947"/>
      <c r="D380" s="948"/>
      <c r="E380" s="948"/>
      <c r="F380" s="948"/>
      <c r="G380" s="948"/>
      <c r="H380" s="948"/>
      <c r="I380" s="948"/>
      <c r="J380" s="948"/>
      <c r="K380" s="949"/>
      <c r="L380" s="949"/>
      <c r="M380" s="949"/>
      <c r="N380" s="950"/>
      <c r="O380" s="948"/>
      <c r="P380" s="948"/>
      <c r="Q380" s="948"/>
      <c r="R380" s="949"/>
      <c r="S380" s="949"/>
      <c r="T380" s="949"/>
      <c r="U380" s="949"/>
      <c r="V380" s="949"/>
      <c r="W380" s="949"/>
      <c r="X380" s="951"/>
      <c r="Y380" s="951"/>
      <c r="Z380" s="952"/>
      <c r="AA380" s="953"/>
      <c r="AB380" s="948"/>
      <c r="AC380" s="948"/>
      <c r="AD380" s="949"/>
      <c r="AE380" s="949"/>
      <c r="AF380" s="949"/>
      <c r="AG380" s="949"/>
      <c r="AH380" s="949"/>
      <c r="AI380" s="949"/>
      <c r="AJ380" s="949"/>
      <c r="AK380" s="949"/>
      <c r="AL380" s="949"/>
      <c r="AM380" s="949"/>
      <c r="AN380" s="949"/>
      <c r="AO380" s="949"/>
      <c r="AP380" s="949"/>
      <c r="AQ380" s="949"/>
      <c r="AR380" s="949"/>
      <c r="AS380" s="949"/>
      <c r="AT380" s="949"/>
      <c r="AU380" s="949"/>
      <c r="AV380" s="949"/>
      <c r="AW380" s="949"/>
      <c r="AX380" s="949"/>
      <c r="AY380" s="949"/>
      <c r="AZ380" s="949"/>
      <c r="BA380" s="949"/>
      <c r="BB380" s="949"/>
      <c r="BC380" s="949"/>
      <c r="BD380" s="949"/>
      <c r="BE380" s="949"/>
      <c r="BF380" s="949"/>
      <c r="BG380" s="948"/>
      <c r="BH380" s="948"/>
      <c r="BI380" s="948"/>
      <c r="BJ380" s="948"/>
      <c r="BK380" s="948"/>
      <c r="BL380" s="948"/>
      <c r="BM380" s="948"/>
      <c r="BN380" s="948"/>
      <c r="BO380" s="948"/>
      <c r="BP380" s="948"/>
      <c r="BQ380" s="948"/>
      <c r="BR380" s="948"/>
      <c r="BS380" s="948"/>
      <c r="BT380" s="948"/>
      <c r="BU380" s="954"/>
    </row>
    <row r="381" spans="1:73" ht="15.75" customHeight="1" x14ac:dyDescent="0.2">
      <c r="A381" s="947"/>
      <c r="B381" s="947"/>
      <c r="C381" s="947"/>
      <c r="D381" s="948"/>
      <c r="E381" s="948"/>
      <c r="F381" s="948"/>
      <c r="G381" s="948"/>
      <c r="H381" s="948"/>
      <c r="I381" s="948"/>
      <c r="J381" s="948"/>
      <c r="K381" s="949"/>
      <c r="L381" s="949"/>
      <c r="M381" s="949"/>
      <c r="N381" s="950"/>
      <c r="O381" s="948"/>
      <c r="P381" s="948"/>
      <c r="Q381" s="948"/>
      <c r="R381" s="949"/>
      <c r="S381" s="949"/>
      <c r="T381" s="949"/>
      <c r="U381" s="949"/>
      <c r="V381" s="949"/>
      <c r="W381" s="949"/>
      <c r="X381" s="951"/>
      <c r="Y381" s="951"/>
      <c r="Z381" s="952"/>
      <c r="AA381" s="953"/>
      <c r="AB381" s="948"/>
      <c r="AC381" s="948"/>
      <c r="AD381" s="949"/>
      <c r="AE381" s="949"/>
      <c r="AF381" s="949"/>
      <c r="AG381" s="949"/>
      <c r="AH381" s="949"/>
      <c r="AI381" s="949"/>
      <c r="AJ381" s="949"/>
      <c r="AK381" s="949"/>
      <c r="AL381" s="949"/>
      <c r="AM381" s="949"/>
      <c r="AN381" s="949"/>
      <c r="AO381" s="949"/>
      <c r="AP381" s="949"/>
      <c r="AQ381" s="949"/>
      <c r="AR381" s="949"/>
      <c r="AS381" s="949"/>
      <c r="AT381" s="949"/>
      <c r="AU381" s="949"/>
      <c r="AV381" s="949"/>
      <c r="AW381" s="949"/>
      <c r="AX381" s="949"/>
      <c r="AY381" s="949"/>
      <c r="AZ381" s="949"/>
      <c r="BA381" s="949"/>
      <c r="BB381" s="949"/>
      <c r="BC381" s="949"/>
      <c r="BD381" s="949"/>
      <c r="BE381" s="949"/>
      <c r="BF381" s="949"/>
      <c r="BG381" s="948"/>
      <c r="BH381" s="948"/>
      <c r="BI381" s="948"/>
      <c r="BJ381" s="948"/>
      <c r="BK381" s="948"/>
      <c r="BL381" s="948"/>
      <c r="BM381" s="948"/>
      <c r="BN381" s="948"/>
      <c r="BO381" s="948"/>
      <c r="BP381" s="948"/>
      <c r="BQ381" s="948"/>
      <c r="BR381" s="948"/>
      <c r="BS381" s="948"/>
      <c r="BT381" s="948"/>
      <c r="BU381" s="954"/>
    </row>
    <row r="382" spans="1:73" ht="15.75" customHeight="1" x14ac:dyDescent="0.2">
      <c r="A382" s="947"/>
      <c r="B382" s="947"/>
      <c r="C382" s="947"/>
      <c r="D382" s="948"/>
      <c r="E382" s="948"/>
      <c r="F382" s="948"/>
      <c r="G382" s="948"/>
      <c r="H382" s="948"/>
      <c r="I382" s="948"/>
      <c r="J382" s="948"/>
      <c r="K382" s="949"/>
      <c r="L382" s="949"/>
      <c r="M382" s="949"/>
      <c r="N382" s="950"/>
      <c r="O382" s="948"/>
      <c r="P382" s="948"/>
      <c r="Q382" s="948"/>
      <c r="R382" s="949"/>
      <c r="S382" s="949"/>
      <c r="T382" s="949"/>
      <c r="U382" s="949"/>
      <c r="V382" s="949"/>
      <c r="W382" s="949"/>
      <c r="X382" s="951"/>
      <c r="Y382" s="951"/>
      <c r="Z382" s="952"/>
      <c r="AA382" s="953"/>
      <c r="AB382" s="948"/>
      <c r="AC382" s="948"/>
      <c r="AD382" s="949"/>
      <c r="AE382" s="949"/>
      <c r="AF382" s="949"/>
      <c r="AG382" s="949"/>
      <c r="AH382" s="949"/>
      <c r="AI382" s="949"/>
      <c r="AJ382" s="949"/>
      <c r="AK382" s="949"/>
      <c r="AL382" s="949"/>
      <c r="AM382" s="949"/>
      <c r="AN382" s="949"/>
      <c r="AO382" s="949"/>
      <c r="AP382" s="949"/>
      <c r="AQ382" s="949"/>
      <c r="AR382" s="949"/>
      <c r="AS382" s="949"/>
      <c r="AT382" s="949"/>
      <c r="AU382" s="949"/>
      <c r="AV382" s="949"/>
      <c r="AW382" s="949"/>
      <c r="AX382" s="949"/>
      <c r="AY382" s="949"/>
      <c r="AZ382" s="949"/>
      <c r="BA382" s="949"/>
      <c r="BB382" s="949"/>
      <c r="BC382" s="949"/>
      <c r="BD382" s="949"/>
      <c r="BE382" s="949"/>
      <c r="BF382" s="949"/>
      <c r="BG382" s="948"/>
      <c r="BH382" s="948"/>
      <c r="BI382" s="948"/>
      <c r="BJ382" s="948"/>
      <c r="BK382" s="948"/>
      <c r="BL382" s="948"/>
      <c r="BM382" s="948"/>
      <c r="BN382" s="948"/>
      <c r="BO382" s="948"/>
      <c r="BP382" s="948"/>
      <c r="BQ382" s="948"/>
      <c r="BR382" s="948"/>
      <c r="BS382" s="948"/>
      <c r="BT382" s="948"/>
      <c r="BU382" s="954"/>
    </row>
    <row r="383" spans="1:73" ht="15.75" customHeight="1" x14ac:dyDescent="0.2">
      <c r="A383" s="947"/>
      <c r="B383" s="947"/>
      <c r="C383" s="947"/>
      <c r="D383" s="948"/>
      <c r="E383" s="948"/>
      <c r="F383" s="948"/>
      <c r="G383" s="948"/>
      <c r="H383" s="948"/>
      <c r="I383" s="948"/>
      <c r="J383" s="948"/>
      <c r="K383" s="949"/>
      <c r="L383" s="949"/>
      <c r="M383" s="949"/>
      <c r="N383" s="950"/>
      <c r="O383" s="948"/>
      <c r="P383" s="948"/>
      <c r="Q383" s="948"/>
      <c r="R383" s="949"/>
      <c r="S383" s="949"/>
      <c r="T383" s="949"/>
      <c r="U383" s="949"/>
      <c r="V383" s="949"/>
      <c r="W383" s="949"/>
      <c r="X383" s="951"/>
      <c r="Y383" s="951"/>
      <c r="Z383" s="952"/>
      <c r="AA383" s="953"/>
      <c r="AB383" s="948"/>
      <c r="AC383" s="948"/>
      <c r="AD383" s="949"/>
      <c r="AE383" s="949"/>
      <c r="AF383" s="949"/>
      <c r="AG383" s="949"/>
      <c r="AH383" s="949"/>
      <c r="AI383" s="949"/>
      <c r="AJ383" s="949"/>
      <c r="AK383" s="949"/>
      <c r="AL383" s="949"/>
      <c r="AM383" s="949"/>
      <c r="AN383" s="949"/>
      <c r="AO383" s="949"/>
      <c r="AP383" s="949"/>
      <c r="AQ383" s="949"/>
      <c r="AR383" s="949"/>
      <c r="AS383" s="949"/>
      <c r="AT383" s="949"/>
      <c r="AU383" s="949"/>
      <c r="AV383" s="949"/>
      <c r="AW383" s="949"/>
      <c r="AX383" s="949"/>
      <c r="AY383" s="949"/>
      <c r="AZ383" s="949"/>
      <c r="BA383" s="949"/>
      <c r="BB383" s="949"/>
      <c r="BC383" s="949"/>
      <c r="BD383" s="949"/>
      <c r="BE383" s="949"/>
      <c r="BF383" s="949"/>
      <c r="BG383" s="948"/>
      <c r="BH383" s="948"/>
      <c r="BI383" s="948"/>
      <c r="BJ383" s="948"/>
      <c r="BK383" s="948"/>
      <c r="BL383" s="948"/>
      <c r="BM383" s="948"/>
      <c r="BN383" s="948"/>
      <c r="BO383" s="948"/>
      <c r="BP383" s="948"/>
      <c r="BQ383" s="948"/>
      <c r="BR383" s="948"/>
      <c r="BS383" s="948"/>
      <c r="BT383" s="948"/>
      <c r="BU383" s="954"/>
    </row>
    <row r="384" spans="1:73" ht="15.75" customHeight="1" x14ac:dyDescent="0.2">
      <c r="A384" s="947"/>
      <c r="B384" s="947"/>
      <c r="C384" s="947"/>
      <c r="D384" s="948"/>
      <c r="E384" s="948"/>
      <c r="F384" s="948"/>
      <c r="G384" s="948"/>
      <c r="H384" s="948"/>
      <c r="I384" s="948"/>
      <c r="J384" s="948"/>
      <c r="K384" s="949"/>
      <c r="L384" s="949"/>
      <c r="M384" s="949"/>
      <c r="N384" s="950"/>
      <c r="O384" s="948"/>
      <c r="P384" s="948"/>
      <c r="Q384" s="948"/>
      <c r="R384" s="949"/>
      <c r="S384" s="949"/>
      <c r="T384" s="949"/>
      <c r="U384" s="949"/>
      <c r="V384" s="949"/>
      <c r="W384" s="949"/>
      <c r="X384" s="951"/>
      <c r="Y384" s="951"/>
      <c r="Z384" s="952"/>
      <c r="AA384" s="953"/>
      <c r="AB384" s="948"/>
      <c r="AC384" s="948"/>
      <c r="AD384" s="949"/>
      <c r="AE384" s="949"/>
      <c r="AF384" s="949"/>
      <c r="AG384" s="949"/>
      <c r="AH384" s="949"/>
      <c r="AI384" s="949"/>
      <c r="AJ384" s="949"/>
      <c r="AK384" s="949"/>
      <c r="AL384" s="949"/>
      <c r="AM384" s="949"/>
      <c r="AN384" s="949"/>
      <c r="AO384" s="949"/>
      <c r="AP384" s="949"/>
      <c r="AQ384" s="949"/>
      <c r="AR384" s="949"/>
      <c r="AS384" s="949"/>
      <c r="AT384" s="949"/>
      <c r="AU384" s="949"/>
      <c r="AV384" s="949"/>
      <c r="AW384" s="949"/>
      <c r="AX384" s="949"/>
      <c r="AY384" s="949"/>
      <c r="AZ384" s="949"/>
      <c r="BA384" s="949"/>
      <c r="BB384" s="949"/>
      <c r="BC384" s="949"/>
      <c r="BD384" s="949"/>
      <c r="BE384" s="949"/>
      <c r="BF384" s="949"/>
      <c r="BG384" s="948"/>
      <c r="BH384" s="948"/>
      <c r="BI384" s="948"/>
      <c r="BJ384" s="948"/>
      <c r="BK384" s="948"/>
      <c r="BL384" s="948"/>
      <c r="BM384" s="948"/>
      <c r="BN384" s="948"/>
      <c r="BO384" s="948"/>
      <c r="BP384" s="948"/>
      <c r="BQ384" s="948"/>
      <c r="BR384" s="948"/>
      <c r="BS384" s="948"/>
      <c r="BT384" s="948"/>
      <c r="BU384" s="954"/>
    </row>
    <row r="385" spans="1:73" ht="15.75" customHeight="1" x14ac:dyDescent="0.2">
      <c r="A385" s="947"/>
      <c r="B385" s="947"/>
      <c r="C385" s="947"/>
      <c r="D385" s="948"/>
      <c r="E385" s="948"/>
      <c r="F385" s="948"/>
      <c r="G385" s="948"/>
      <c r="H385" s="948"/>
      <c r="I385" s="948"/>
      <c r="J385" s="948"/>
      <c r="K385" s="949"/>
      <c r="L385" s="949"/>
      <c r="M385" s="949"/>
      <c r="N385" s="950"/>
      <c r="O385" s="948"/>
      <c r="P385" s="948"/>
      <c r="Q385" s="948"/>
      <c r="R385" s="949"/>
      <c r="S385" s="949"/>
      <c r="T385" s="949"/>
      <c r="U385" s="949"/>
      <c r="V385" s="949"/>
      <c r="W385" s="949"/>
      <c r="X385" s="951"/>
      <c r="Y385" s="951"/>
      <c r="Z385" s="952"/>
      <c r="AA385" s="953"/>
      <c r="AB385" s="948"/>
      <c r="AC385" s="948"/>
      <c r="AD385" s="949"/>
      <c r="AE385" s="949"/>
      <c r="AF385" s="949"/>
      <c r="AG385" s="949"/>
      <c r="AH385" s="949"/>
      <c r="AI385" s="949"/>
      <c r="AJ385" s="949"/>
      <c r="AK385" s="949"/>
      <c r="AL385" s="949"/>
      <c r="AM385" s="949"/>
      <c r="AN385" s="949"/>
      <c r="AO385" s="949"/>
      <c r="AP385" s="949"/>
      <c r="AQ385" s="949"/>
      <c r="AR385" s="949"/>
      <c r="AS385" s="949"/>
      <c r="AT385" s="949"/>
      <c r="AU385" s="949"/>
      <c r="AV385" s="949"/>
      <c r="AW385" s="949"/>
      <c r="AX385" s="949"/>
      <c r="AY385" s="949"/>
      <c r="AZ385" s="949"/>
      <c r="BA385" s="949"/>
      <c r="BB385" s="949"/>
      <c r="BC385" s="949"/>
      <c r="BD385" s="949"/>
      <c r="BE385" s="949"/>
      <c r="BF385" s="949"/>
      <c r="BG385" s="948"/>
      <c r="BH385" s="948"/>
      <c r="BI385" s="948"/>
      <c r="BJ385" s="948"/>
      <c r="BK385" s="948"/>
      <c r="BL385" s="948"/>
      <c r="BM385" s="948"/>
      <c r="BN385" s="948"/>
      <c r="BO385" s="948"/>
      <c r="BP385" s="948"/>
      <c r="BQ385" s="948"/>
      <c r="BR385" s="948"/>
      <c r="BS385" s="948"/>
      <c r="BT385" s="948"/>
      <c r="BU385" s="954"/>
    </row>
    <row r="386" spans="1:73" ht="15.75" customHeight="1" x14ac:dyDescent="0.2">
      <c r="A386" s="947"/>
      <c r="B386" s="947"/>
      <c r="C386" s="947"/>
      <c r="D386" s="948"/>
      <c r="E386" s="948"/>
      <c r="F386" s="948"/>
      <c r="G386" s="948"/>
      <c r="H386" s="948"/>
      <c r="I386" s="948"/>
      <c r="J386" s="948"/>
      <c r="K386" s="949"/>
      <c r="L386" s="949"/>
      <c r="M386" s="949"/>
      <c r="N386" s="950"/>
      <c r="O386" s="948"/>
      <c r="P386" s="948"/>
      <c r="Q386" s="948"/>
      <c r="R386" s="949"/>
      <c r="S386" s="949"/>
      <c r="T386" s="949"/>
      <c r="U386" s="949"/>
      <c r="V386" s="949"/>
      <c r="W386" s="949"/>
      <c r="X386" s="951"/>
      <c r="Y386" s="951"/>
      <c r="Z386" s="952"/>
      <c r="AA386" s="953"/>
      <c r="AB386" s="948"/>
      <c r="AC386" s="948"/>
      <c r="AD386" s="949"/>
      <c r="AE386" s="949"/>
      <c r="AF386" s="949"/>
      <c r="AG386" s="949"/>
      <c r="AH386" s="949"/>
      <c r="AI386" s="949"/>
      <c r="AJ386" s="949"/>
      <c r="AK386" s="949"/>
      <c r="AL386" s="949"/>
      <c r="AM386" s="949"/>
      <c r="AN386" s="949"/>
      <c r="AO386" s="949"/>
      <c r="AP386" s="949"/>
      <c r="AQ386" s="949"/>
      <c r="AR386" s="949"/>
      <c r="AS386" s="949"/>
      <c r="AT386" s="949"/>
      <c r="AU386" s="949"/>
      <c r="AV386" s="949"/>
      <c r="AW386" s="949"/>
      <c r="AX386" s="949"/>
      <c r="AY386" s="949"/>
      <c r="AZ386" s="949"/>
      <c r="BA386" s="949"/>
      <c r="BB386" s="949"/>
      <c r="BC386" s="949"/>
      <c r="BD386" s="949"/>
      <c r="BE386" s="949"/>
      <c r="BF386" s="949"/>
      <c r="BG386" s="948"/>
      <c r="BH386" s="948"/>
      <c r="BI386" s="948"/>
      <c r="BJ386" s="948"/>
      <c r="BK386" s="948"/>
      <c r="BL386" s="948"/>
      <c r="BM386" s="948"/>
      <c r="BN386" s="948"/>
      <c r="BO386" s="948"/>
      <c r="BP386" s="948"/>
      <c r="BQ386" s="948"/>
      <c r="BR386" s="948"/>
      <c r="BS386" s="948"/>
      <c r="BT386" s="948"/>
      <c r="BU386" s="954"/>
    </row>
    <row r="387" spans="1:73" ht="15.75" customHeight="1" x14ac:dyDescent="0.2">
      <c r="A387" s="947"/>
      <c r="B387" s="947"/>
      <c r="C387" s="947"/>
      <c r="D387" s="948"/>
      <c r="E387" s="948"/>
      <c r="F387" s="948"/>
      <c r="G387" s="948"/>
      <c r="H387" s="948"/>
      <c r="I387" s="948"/>
      <c r="J387" s="948"/>
      <c r="K387" s="949"/>
      <c r="L387" s="949"/>
      <c r="M387" s="949"/>
      <c r="N387" s="950"/>
      <c r="O387" s="948"/>
      <c r="P387" s="948"/>
      <c r="Q387" s="948"/>
      <c r="R387" s="949"/>
      <c r="S387" s="949"/>
      <c r="T387" s="949"/>
      <c r="U387" s="949"/>
      <c r="V387" s="949"/>
      <c r="W387" s="949"/>
      <c r="X387" s="951"/>
      <c r="Y387" s="951"/>
      <c r="Z387" s="952"/>
      <c r="AA387" s="953"/>
      <c r="AB387" s="948"/>
      <c r="AC387" s="948"/>
      <c r="AD387" s="949"/>
      <c r="AE387" s="949"/>
      <c r="AF387" s="949"/>
      <c r="AG387" s="949"/>
      <c r="AH387" s="949"/>
      <c r="AI387" s="949"/>
      <c r="AJ387" s="949"/>
      <c r="AK387" s="949"/>
      <c r="AL387" s="949"/>
      <c r="AM387" s="949"/>
      <c r="AN387" s="949"/>
      <c r="AO387" s="949"/>
      <c r="AP387" s="949"/>
      <c r="AQ387" s="949"/>
      <c r="AR387" s="949"/>
      <c r="AS387" s="949"/>
      <c r="AT387" s="949"/>
      <c r="AU387" s="949"/>
      <c r="AV387" s="949"/>
      <c r="AW387" s="949"/>
      <c r="AX387" s="949"/>
      <c r="AY387" s="949"/>
      <c r="AZ387" s="949"/>
      <c r="BA387" s="949"/>
      <c r="BB387" s="949"/>
      <c r="BC387" s="949"/>
      <c r="BD387" s="949"/>
      <c r="BE387" s="949"/>
      <c r="BF387" s="949"/>
      <c r="BG387" s="948"/>
      <c r="BH387" s="948"/>
      <c r="BI387" s="948"/>
      <c r="BJ387" s="948"/>
      <c r="BK387" s="948"/>
      <c r="BL387" s="948"/>
      <c r="BM387" s="948"/>
      <c r="BN387" s="948"/>
      <c r="BO387" s="948"/>
      <c r="BP387" s="948"/>
      <c r="BQ387" s="948"/>
      <c r="BR387" s="948"/>
      <c r="BS387" s="948"/>
      <c r="BT387" s="948"/>
      <c r="BU387" s="954"/>
    </row>
    <row r="388" spans="1:73" ht="15.75" customHeight="1" x14ac:dyDescent="0.2">
      <c r="A388" s="947"/>
      <c r="B388" s="947"/>
      <c r="C388" s="947"/>
      <c r="D388" s="948"/>
      <c r="E388" s="948"/>
      <c r="F388" s="948"/>
      <c r="G388" s="948"/>
      <c r="H388" s="948"/>
      <c r="I388" s="948"/>
      <c r="J388" s="948"/>
      <c r="K388" s="949"/>
      <c r="L388" s="949"/>
      <c r="M388" s="949"/>
      <c r="N388" s="950"/>
      <c r="O388" s="948"/>
      <c r="P388" s="948"/>
      <c r="Q388" s="948"/>
      <c r="R388" s="949"/>
      <c r="S388" s="949"/>
      <c r="T388" s="949"/>
      <c r="U388" s="949"/>
      <c r="V388" s="949"/>
      <c r="W388" s="949"/>
      <c r="X388" s="951"/>
      <c r="Y388" s="951"/>
      <c r="Z388" s="952"/>
      <c r="AA388" s="953"/>
      <c r="AB388" s="948"/>
      <c r="AC388" s="948"/>
      <c r="AD388" s="949"/>
      <c r="AE388" s="949"/>
      <c r="AF388" s="949"/>
      <c r="AG388" s="949"/>
      <c r="AH388" s="949"/>
      <c r="AI388" s="949"/>
      <c r="AJ388" s="949"/>
      <c r="AK388" s="949"/>
      <c r="AL388" s="949"/>
      <c r="AM388" s="949"/>
      <c r="AN388" s="949"/>
      <c r="AO388" s="949"/>
      <c r="AP388" s="949"/>
      <c r="AQ388" s="949"/>
      <c r="AR388" s="949"/>
      <c r="AS388" s="949"/>
      <c r="AT388" s="949"/>
      <c r="AU388" s="949"/>
      <c r="AV388" s="949"/>
      <c r="AW388" s="949"/>
      <c r="AX388" s="949"/>
      <c r="AY388" s="949"/>
      <c r="AZ388" s="949"/>
      <c r="BA388" s="949"/>
      <c r="BB388" s="949"/>
      <c r="BC388" s="949"/>
      <c r="BD388" s="949"/>
      <c r="BE388" s="949"/>
      <c r="BF388" s="949"/>
      <c r="BG388" s="948"/>
      <c r="BH388" s="948"/>
      <c r="BI388" s="948"/>
      <c r="BJ388" s="948"/>
      <c r="BK388" s="948"/>
      <c r="BL388" s="948"/>
      <c r="BM388" s="948"/>
      <c r="BN388" s="948"/>
      <c r="BO388" s="948"/>
      <c r="BP388" s="948"/>
      <c r="BQ388" s="948"/>
      <c r="BR388" s="948"/>
      <c r="BS388" s="948"/>
      <c r="BT388" s="948"/>
      <c r="BU388" s="954"/>
    </row>
    <row r="389" spans="1:73" ht="15.75" customHeight="1" x14ac:dyDescent="0.2">
      <c r="A389" s="947"/>
      <c r="B389" s="947"/>
      <c r="C389" s="947"/>
      <c r="D389" s="948"/>
      <c r="E389" s="948"/>
      <c r="F389" s="948"/>
      <c r="G389" s="948"/>
      <c r="H389" s="948"/>
      <c r="I389" s="948"/>
      <c r="J389" s="948"/>
      <c r="K389" s="949"/>
      <c r="L389" s="949"/>
      <c r="M389" s="949"/>
      <c r="N389" s="950"/>
      <c r="O389" s="948"/>
      <c r="P389" s="948"/>
      <c r="Q389" s="948"/>
      <c r="R389" s="949"/>
      <c r="S389" s="949"/>
      <c r="T389" s="949"/>
      <c r="U389" s="949"/>
      <c r="V389" s="949"/>
      <c r="W389" s="949"/>
      <c r="X389" s="951"/>
      <c r="Y389" s="951"/>
      <c r="Z389" s="952"/>
      <c r="AA389" s="953"/>
      <c r="AB389" s="948"/>
      <c r="AC389" s="948"/>
      <c r="AD389" s="949"/>
      <c r="AE389" s="949"/>
      <c r="AF389" s="949"/>
      <c r="AG389" s="949"/>
      <c r="AH389" s="949"/>
      <c r="AI389" s="949"/>
      <c r="AJ389" s="949"/>
      <c r="AK389" s="949"/>
      <c r="AL389" s="949"/>
      <c r="AM389" s="949"/>
      <c r="AN389" s="949"/>
      <c r="AO389" s="949"/>
      <c r="AP389" s="949"/>
      <c r="AQ389" s="949"/>
      <c r="AR389" s="949"/>
      <c r="AS389" s="949"/>
      <c r="AT389" s="949"/>
      <c r="AU389" s="949"/>
      <c r="AV389" s="949"/>
      <c r="AW389" s="949"/>
      <c r="AX389" s="949"/>
      <c r="AY389" s="949"/>
      <c r="AZ389" s="949"/>
      <c r="BA389" s="949"/>
      <c r="BB389" s="949"/>
      <c r="BC389" s="949"/>
      <c r="BD389" s="949"/>
      <c r="BE389" s="949"/>
      <c r="BF389" s="949"/>
      <c r="BG389" s="948"/>
      <c r="BH389" s="948"/>
      <c r="BI389" s="948"/>
      <c r="BJ389" s="948"/>
      <c r="BK389" s="948"/>
      <c r="BL389" s="948"/>
      <c r="BM389" s="948"/>
      <c r="BN389" s="948"/>
      <c r="BO389" s="948"/>
      <c r="BP389" s="948"/>
      <c r="BQ389" s="948"/>
      <c r="BR389" s="948"/>
      <c r="BS389" s="948"/>
      <c r="BT389" s="948"/>
      <c r="BU389" s="954"/>
    </row>
    <row r="390" spans="1:73" ht="15.75" customHeight="1" x14ac:dyDescent="0.2">
      <c r="A390" s="947"/>
      <c r="B390" s="947"/>
      <c r="C390" s="947"/>
      <c r="D390" s="948"/>
      <c r="E390" s="948"/>
      <c r="F390" s="948"/>
      <c r="G390" s="948"/>
      <c r="H390" s="948"/>
      <c r="I390" s="948"/>
      <c r="J390" s="948"/>
      <c r="K390" s="949"/>
      <c r="L390" s="949"/>
      <c r="M390" s="949"/>
      <c r="N390" s="950"/>
      <c r="O390" s="948"/>
      <c r="P390" s="948"/>
      <c r="Q390" s="948"/>
      <c r="R390" s="949"/>
      <c r="S390" s="949"/>
      <c r="T390" s="949"/>
      <c r="U390" s="949"/>
      <c r="V390" s="949"/>
      <c r="W390" s="949"/>
      <c r="X390" s="951"/>
      <c r="Y390" s="951"/>
      <c r="Z390" s="952"/>
      <c r="AA390" s="953"/>
      <c r="AB390" s="948"/>
      <c r="AC390" s="948"/>
      <c r="AD390" s="949"/>
      <c r="AE390" s="949"/>
      <c r="AF390" s="949"/>
      <c r="AG390" s="949"/>
      <c r="AH390" s="949"/>
      <c r="AI390" s="949"/>
      <c r="AJ390" s="949"/>
      <c r="AK390" s="949"/>
      <c r="AL390" s="949"/>
      <c r="AM390" s="949"/>
      <c r="AN390" s="949"/>
      <c r="AO390" s="949"/>
      <c r="AP390" s="949"/>
      <c r="AQ390" s="949"/>
      <c r="AR390" s="949"/>
      <c r="AS390" s="949"/>
      <c r="AT390" s="949"/>
      <c r="AU390" s="949"/>
      <c r="AV390" s="949"/>
      <c r="AW390" s="949"/>
      <c r="AX390" s="949"/>
      <c r="AY390" s="949"/>
      <c r="AZ390" s="949"/>
      <c r="BA390" s="949"/>
      <c r="BB390" s="949"/>
      <c r="BC390" s="949"/>
      <c r="BD390" s="949"/>
      <c r="BE390" s="949"/>
      <c r="BF390" s="949"/>
      <c r="BG390" s="948"/>
      <c r="BH390" s="948"/>
      <c r="BI390" s="948"/>
      <c r="BJ390" s="948"/>
      <c r="BK390" s="948"/>
      <c r="BL390" s="948"/>
      <c r="BM390" s="948"/>
      <c r="BN390" s="948"/>
      <c r="BO390" s="948"/>
      <c r="BP390" s="948"/>
      <c r="BQ390" s="948"/>
      <c r="BR390" s="948"/>
      <c r="BS390" s="948"/>
      <c r="BT390" s="948"/>
      <c r="BU390" s="954"/>
    </row>
    <row r="391" spans="1:73" ht="15.75" customHeight="1" x14ac:dyDescent="0.2">
      <c r="A391" s="947"/>
      <c r="B391" s="947"/>
      <c r="C391" s="947"/>
      <c r="D391" s="948"/>
      <c r="E391" s="948"/>
      <c r="F391" s="948"/>
      <c r="G391" s="948"/>
      <c r="H391" s="948"/>
      <c r="I391" s="948"/>
      <c r="J391" s="948"/>
      <c r="K391" s="949"/>
      <c r="L391" s="949"/>
      <c r="M391" s="949"/>
      <c r="N391" s="950"/>
      <c r="O391" s="948"/>
      <c r="P391" s="948"/>
      <c r="Q391" s="948"/>
      <c r="R391" s="949"/>
      <c r="S391" s="949"/>
      <c r="T391" s="949"/>
      <c r="U391" s="949"/>
      <c r="V391" s="949"/>
      <c r="W391" s="949"/>
      <c r="X391" s="951"/>
      <c r="Y391" s="951"/>
      <c r="Z391" s="952"/>
      <c r="AA391" s="953"/>
      <c r="AB391" s="948"/>
      <c r="AC391" s="948"/>
      <c r="AD391" s="949"/>
      <c r="AE391" s="949"/>
      <c r="AF391" s="949"/>
      <c r="AG391" s="949"/>
      <c r="AH391" s="949"/>
      <c r="AI391" s="949"/>
      <c r="AJ391" s="949"/>
      <c r="AK391" s="949"/>
      <c r="AL391" s="949"/>
      <c r="AM391" s="949"/>
      <c r="AN391" s="949"/>
      <c r="AO391" s="949"/>
      <c r="AP391" s="949"/>
      <c r="AQ391" s="949"/>
      <c r="AR391" s="949"/>
      <c r="AS391" s="949"/>
      <c r="AT391" s="949"/>
      <c r="AU391" s="949"/>
      <c r="AV391" s="949"/>
      <c r="AW391" s="949"/>
      <c r="AX391" s="949"/>
      <c r="AY391" s="949"/>
      <c r="AZ391" s="949"/>
      <c r="BA391" s="949"/>
      <c r="BB391" s="949"/>
      <c r="BC391" s="949"/>
      <c r="BD391" s="949"/>
      <c r="BE391" s="949"/>
      <c r="BF391" s="949"/>
      <c r="BG391" s="948"/>
      <c r="BH391" s="948"/>
      <c r="BI391" s="948"/>
      <c r="BJ391" s="948"/>
      <c r="BK391" s="948"/>
      <c r="BL391" s="948"/>
      <c r="BM391" s="948"/>
      <c r="BN391" s="948"/>
      <c r="BO391" s="948"/>
      <c r="BP391" s="948"/>
      <c r="BQ391" s="948"/>
      <c r="BR391" s="948"/>
      <c r="BS391" s="948"/>
      <c r="BT391" s="948"/>
      <c r="BU391" s="954"/>
    </row>
    <row r="392" spans="1:73" ht="15.75" customHeight="1" x14ac:dyDescent="0.2">
      <c r="A392" s="947"/>
      <c r="B392" s="947"/>
      <c r="C392" s="947"/>
      <c r="D392" s="948"/>
      <c r="E392" s="948"/>
      <c r="F392" s="948"/>
      <c r="G392" s="948"/>
      <c r="H392" s="948"/>
      <c r="I392" s="948"/>
      <c r="J392" s="948"/>
      <c r="K392" s="949"/>
      <c r="L392" s="949"/>
      <c r="M392" s="949"/>
      <c r="N392" s="950"/>
      <c r="O392" s="948"/>
      <c r="P392" s="948"/>
      <c r="Q392" s="948"/>
      <c r="R392" s="949"/>
      <c r="S392" s="949"/>
      <c r="T392" s="949"/>
      <c r="U392" s="949"/>
      <c r="V392" s="949"/>
      <c r="W392" s="949"/>
      <c r="X392" s="951"/>
      <c r="Y392" s="951"/>
      <c r="Z392" s="952"/>
      <c r="AA392" s="953"/>
      <c r="AB392" s="948"/>
      <c r="AC392" s="948"/>
      <c r="AD392" s="949"/>
      <c r="AE392" s="949"/>
      <c r="AF392" s="949"/>
      <c r="AG392" s="949"/>
      <c r="AH392" s="949"/>
      <c r="AI392" s="949"/>
      <c r="AJ392" s="949"/>
      <c r="AK392" s="949"/>
      <c r="AL392" s="949"/>
      <c r="AM392" s="949"/>
      <c r="AN392" s="949"/>
      <c r="AO392" s="949"/>
      <c r="AP392" s="949"/>
      <c r="AQ392" s="949"/>
      <c r="AR392" s="949"/>
      <c r="AS392" s="949"/>
      <c r="AT392" s="949"/>
      <c r="AU392" s="949"/>
      <c r="AV392" s="949"/>
      <c r="AW392" s="949"/>
      <c r="AX392" s="949"/>
      <c r="AY392" s="949"/>
      <c r="AZ392" s="949"/>
      <c r="BA392" s="949"/>
      <c r="BB392" s="949"/>
      <c r="BC392" s="949"/>
      <c r="BD392" s="949"/>
      <c r="BE392" s="949"/>
      <c r="BF392" s="949"/>
      <c r="BG392" s="948"/>
      <c r="BH392" s="948"/>
      <c r="BI392" s="948"/>
      <c r="BJ392" s="948"/>
      <c r="BK392" s="948"/>
      <c r="BL392" s="948"/>
      <c r="BM392" s="948"/>
      <c r="BN392" s="948"/>
      <c r="BO392" s="948"/>
      <c r="BP392" s="948"/>
      <c r="BQ392" s="948"/>
      <c r="BR392" s="948"/>
      <c r="BS392" s="948"/>
      <c r="BT392" s="948"/>
      <c r="BU392" s="954"/>
    </row>
    <row r="393" spans="1:73" ht="15.75" customHeight="1" x14ac:dyDescent="0.2">
      <c r="A393" s="947"/>
      <c r="B393" s="947"/>
      <c r="C393" s="947"/>
      <c r="D393" s="948"/>
      <c r="E393" s="948"/>
      <c r="F393" s="948"/>
      <c r="G393" s="948"/>
      <c r="H393" s="948"/>
      <c r="I393" s="948"/>
      <c r="J393" s="948"/>
      <c r="K393" s="949"/>
      <c r="L393" s="949"/>
      <c r="M393" s="949"/>
      <c r="N393" s="950"/>
      <c r="O393" s="948"/>
      <c r="P393" s="948"/>
      <c r="Q393" s="948"/>
      <c r="R393" s="949"/>
      <c r="S393" s="949"/>
      <c r="T393" s="949"/>
      <c r="U393" s="949"/>
      <c r="V393" s="949"/>
      <c r="W393" s="949"/>
      <c r="X393" s="951"/>
      <c r="Y393" s="951"/>
      <c r="Z393" s="952"/>
      <c r="AA393" s="953"/>
      <c r="AB393" s="948"/>
      <c r="AC393" s="948"/>
      <c r="AD393" s="949"/>
      <c r="AE393" s="949"/>
      <c r="AF393" s="949"/>
      <c r="AG393" s="949"/>
      <c r="AH393" s="949"/>
      <c r="AI393" s="949"/>
      <c r="AJ393" s="949"/>
      <c r="AK393" s="949"/>
      <c r="AL393" s="949"/>
      <c r="AM393" s="949"/>
      <c r="AN393" s="949"/>
      <c r="AO393" s="949"/>
      <c r="AP393" s="949"/>
      <c r="AQ393" s="949"/>
      <c r="AR393" s="949"/>
      <c r="AS393" s="949"/>
      <c r="AT393" s="949"/>
      <c r="AU393" s="949"/>
      <c r="AV393" s="949"/>
      <c r="AW393" s="949"/>
      <c r="AX393" s="949"/>
      <c r="AY393" s="949"/>
      <c r="AZ393" s="949"/>
      <c r="BA393" s="949"/>
      <c r="BB393" s="949"/>
      <c r="BC393" s="949"/>
      <c r="BD393" s="949"/>
      <c r="BE393" s="949"/>
      <c r="BF393" s="949"/>
      <c r="BG393" s="948"/>
      <c r="BH393" s="948"/>
      <c r="BI393" s="948"/>
      <c r="BJ393" s="948"/>
      <c r="BK393" s="948"/>
      <c r="BL393" s="948"/>
      <c r="BM393" s="948"/>
      <c r="BN393" s="948"/>
      <c r="BO393" s="948"/>
      <c r="BP393" s="948"/>
      <c r="BQ393" s="948"/>
      <c r="BR393" s="948"/>
      <c r="BS393" s="948"/>
      <c r="BT393" s="948"/>
      <c r="BU393" s="954"/>
    </row>
    <row r="394" spans="1:73" ht="15.75" customHeight="1" x14ac:dyDescent="0.2">
      <c r="A394" s="947"/>
      <c r="B394" s="947"/>
      <c r="C394" s="947"/>
      <c r="D394" s="948"/>
      <c r="E394" s="948"/>
      <c r="F394" s="948"/>
      <c r="G394" s="948"/>
      <c r="H394" s="948"/>
      <c r="I394" s="948"/>
      <c r="J394" s="948"/>
      <c r="K394" s="949"/>
      <c r="L394" s="949"/>
      <c r="M394" s="949"/>
      <c r="N394" s="950"/>
      <c r="O394" s="948"/>
      <c r="P394" s="948"/>
      <c r="Q394" s="948"/>
      <c r="R394" s="949"/>
      <c r="S394" s="949"/>
      <c r="T394" s="949"/>
      <c r="U394" s="949"/>
      <c r="V394" s="949"/>
      <c r="W394" s="949"/>
      <c r="X394" s="951"/>
      <c r="Y394" s="951"/>
      <c r="Z394" s="952"/>
      <c r="AA394" s="953"/>
      <c r="AB394" s="948"/>
      <c r="AC394" s="948"/>
      <c r="AD394" s="949"/>
      <c r="AE394" s="949"/>
      <c r="AF394" s="949"/>
      <c r="AG394" s="949"/>
      <c r="AH394" s="949"/>
      <c r="AI394" s="949"/>
      <c r="AJ394" s="949"/>
      <c r="AK394" s="949"/>
      <c r="AL394" s="949"/>
      <c r="AM394" s="949"/>
      <c r="AN394" s="949"/>
      <c r="AO394" s="949"/>
      <c r="AP394" s="949"/>
      <c r="AQ394" s="949"/>
      <c r="AR394" s="949"/>
      <c r="AS394" s="949"/>
      <c r="AT394" s="949"/>
      <c r="AU394" s="949"/>
      <c r="AV394" s="949"/>
      <c r="AW394" s="949"/>
      <c r="AX394" s="949"/>
      <c r="AY394" s="949"/>
      <c r="AZ394" s="949"/>
      <c r="BA394" s="949"/>
      <c r="BB394" s="949"/>
      <c r="BC394" s="949"/>
      <c r="BD394" s="949"/>
      <c r="BE394" s="949"/>
      <c r="BF394" s="949"/>
      <c r="BG394" s="948"/>
      <c r="BH394" s="948"/>
      <c r="BI394" s="948"/>
      <c r="BJ394" s="948"/>
      <c r="BK394" s="948"/>
      <c r="BL394" s="948"/>
      <c r="BM394" s="948"/>
      <c r="BN394" s="948"/>
      <c r="BO394" s="948"/>
      <c r="BP394" s="948"/>
      <c r="BQ394" s="948"/>
      <c r="BR394" s="948"/>
      <c r="BS394" s="948"/>
      <c r="BT394" s="948"/>
      <c r="BU394" s="954"/>
    </row>
    <row r="395" spans="1:73" ht="15.75" customHeight="1" x14ac:dyDescent="0.2">
      <c r="A395" s="947"/>
      <c r="B395" s="947"/>
      <c r="C395" s="947"/>
      <c r="D395" s="948"/>
      <c r="E395" s="948"/>
      <c r="F395" s="948"/>
      <c r="G395" s="948"/>
      <c r="H395" s="948"/>
      <c r="I395" s="948"/>
      <c r="J395" s="948"/>
      <c r="K395" s="949"/>
      <c r="L395" s="949"/>
      <c r="M395" s="949"/>
      <c r="N395" s="950"/>
      <c r="O395" s="948"/>
      <c r="P395" s="948"/>
      <c r="Q395" s="948"/>
      <c r="R395" s="949"/>
      <c r="S395" s="949"/>
      <c r="T395" s="949"/>
      <c r="U395" s="949"/>
      <c r="V395" s="949"/>
      <c r="W395" s="949"/>
      <c r="X395" s="951"/>
      <c r="Y395" s="951"/>
      <c r="Z395" s="952"/>
      <c r="AA395" s="953"/>
      <c r="AB395" s="948"/>
      <c r="AC395" s="948"/>
      <c r="AD395" s="949"/>
      <c r="AE395" s="949"/>
      <c r="AF395" s="949"/>
      <c r="AG395" s="949"/>
      <c r="AH395" s="949"/>
      <c r="AI395" s="949"/>
      <c r="AJ395" s="949"/>
      <c r="AK395" s="949"/>
      <c r="AL395" s="949"/>
      <c r="AM395" s="949"/>
      <c r="AN395" s="949"/>
      <c r="AO395" s="949"/>
      <c r="AP395" s="949"/>
      <c r="AQ395" s="949"/>
      <c r="AR395" s="949"/>
      <c r="AS395" s="949"/>
      <c r="AT395" s="949"/>
      <c r="AU395" s="949"/>
      <c r="AV395" s="949"/>
      <c r="AW395" s="949"/>
      <c r="AX395" s="949"/>
      <c r="AY395" s="949"/>
      <c r="AZ395" s="949"/>
      <c r="BA395" s="949"/>
      <c r="BB395" s="949"/>
      <c r="BC395" s="949"/>
      <c r="BD395" s="949"/>
      <c r="BE395" s="949"/>
      <c r="BF395" s="949"/>
      <c r="BG395" s="948"/>
      <c r="BH395" s="948"/>
      <c r="BI395" s="948"/>
      <c r="BJ395" s="948"/>
      <c r="BK395" s="948"/>
      <c r="BL395" s="948"/>
      <c r="BM395" s="948"/>
      <c r="BN395" s="948"/>
      <c r="BO395" s="948"/>
      <c r="BP395" s="948"/>
      <c r="BQ395" s="948"/>
      <c r="BR395" s="948"/>
      <c r="BS395" s="948"/>
      <c r="BT395" s="948"/>
      <c r="BU395" s="954"/>
    </row>
    <row r="396" spans="1:73" ht="15.75" customHeight="1" x14ac:dyDescent="0.2">
      <c r="A396" s="947"/>
      <c r="B396" s="947"/>
      <c r="C396" s="947"/>
      <c r="D396" s="948"/>
      <c r="E396" s="948"/>
      <c r="F396" s="948"/>
      <c r="G396" s="948"/>
      <c r="H396" s="948"/>
      <c r="I396" s="948"/>
      <c r="J396" s="948"/>
      <c r="K396" s="949"/>
      <c r="L396" s="949"/>
      <c r="M396" s="949"/>
      <c r="N396" s="950"/>
      <c r="O396" s="948"/>
      <c r="P396" s="948"/>
      <c r="Q396" s="948"/>
      <c r="R396" s="949"/>
      <c r="S396" s="949"/>
      <c r="T396" s="949"/>
      <c r="U396" s="949"/>
      <c r="V396" s="949"/>
      <c r="W396" s="949"/>
      <c r="X396" s="951"/>
      <c r="Y396" s="951"/>
      <c r="Z396" s="952"/>
      <c r="AA396" s="953"/>
      <c r="AB396" s="948"/>
      <c r="AC396" s="948"/>
      <c r="AD396" s="949"/>
      <c r="AE396" s="949"/>
      <c r="AF396" s="949"/>
      <c r="AG396" s="949"/>
      <c r="AH396" s="949"/>
      <c r="AI396" s="949"/>
      <c r="AJ396" s="949"/>
      <c r="AK396" s="949"/>
      <c r="AL396" s="949"/>
      <c r="AM396" s="949"/>
      <c r="AN396" s="949"/>
      <c r="AO396" s="949"/>
      <c r="AP396" s="949"/>
      <c r="AQ396" s="949"/>
      <c r="AR396" s="949"/>
      <c r="AS396" s="949"/>
      <c r="AT396" s="949"/>
      <c r="AU396" s="949"/>
      <c r="AV396" s="949"/>
      <c r="AW396" s="949"/>
      <c r="AX396" s="949"/>
      <c r="AY396" s="949"/>
      <c r="AZ396" s="949"/>
      <c r="BA396" s="949"/>
      <c r="BB396" s="949"/>
      <c r="BC396" s="949"/>
      <c r="BD396" s="949"/>
      <c r="BE396" s="949"/>
      <c r="BF396" s="949"/>
      <c r="BG396" s="948"/>
      <c r="BH396" s="948"/>
      <c r="BI396" s="948"/>
      <c r="BJ396" s="948"/>
      <c r="BK396" s="948"/>
      <c r="BL396" s="948"/>
      <c r="BM396" s="948"/>
      <c r="BN396" s="948"/>
      <c r="BO396" s="948"/>
      <c r="BP396" s="948"/>
      <c r="BQ396" s="948"/>
      <c r="BR396" s="948"/>
      <c r="BS396" s="948"/>
      <c r="BT396" s="948"/>
      <c r="BU396" s="954"/>
    </row>
    <row r="397" spans="1:73" ht="15.75" customHeight="1" x14ac:dyDescent="0.2">
      <c r="A397" s="947"/>
      <c r="B397" s="947"/>
      <c r="C397" s="947"/>
      <c r="D397" s="948"/>
      <c r="E397" s="948"/>
      <c r="F397" s="948"/>
      <c r="G397" s="948"/>
      <c r="H397" s="948"/>
      <c r="I397" s="948"/>
      <c r="J397" s="948"/>
      <c r="K397" s="949"/>
      <c r="L397" s="949"/>
      <c r="M397" s="949"/>
      <c r="N397" s="950"/>
      <c r="O397" s="948"/>
      <c r="P397" s="948"/>
      <c r="Q397" s="948"/>
      <c r="R397" s="949"/>
      <c r="S397" s="949"/>
      <c r="T397" s="949"/>
      <c r="U397" s="949"/>
      <c r="V397" s="949"/>
      <c r="W397" s="949"/>
      <c r="X397" s="951"/>
      <c r="Y397" s="951"/>
      <c r="Z397" s="952"/>
      <c r="AA397" s="953"/>
      <c r="AB397" s="948"/>
      <c r="AC397" s="948"/>
      <c r="AD397" s="949"/>
      <c r="AE397" s="949"/>
      <c r="AF397" s="949"/>
      <c r="AG397" s="949"/>
      <c r="AH397" s="949"/>
      <c r="AI397" s="949"/>
      <c r="AJ397" s="949"/>
      <c r="AK397" s="949"/>
      <c r="AL397" s="949"/>
      <c r="AM397" s="949"/>
      <c r="AN397" s="949"/>
      <c r="AO397" s="949"/>
      <c r="AP397" s="949"/>
      <c r="AQ397" s="949"/>
      <c r="AR397" s="949"/>
      <c r="AS397" s="949"/>
      <c r="AT397" s="949"/>
      <c r="AU397" s="949"/>
      <c r="AV397" s="949"/>
      <c r="AW397" s="949"/>
      <c r="AX397" s="949"/>
      <c r="AY397" s="949"/>
      <c r="AZ397" s="949"/>
      <c r="BA397" s="949"/>
      <c r="BB397" s="949"/>
      <c r="BC397" s="949"/>
      <c r="BD397" s="949"/>
      <c r="BE397" s="949"/>
      <c r="BF397" s="949"/>
      <c r="BG397" s="948"/>
      <c r="BH397" s="948"/>
      <c r="BI397" s="948"/>
      <c r="BJ397" s="948"/>
      <c r="BK397" s="948"/>
      <c r="BL397" s="948"/>
      <c r="BM397" s="948"/>
      <c r="BN397" s="948"/>
      <c r="BO397" s="948"/>
      <c r="BP397" s="948"/>
      <c r="BQ397" s="948"/>
      <c r="BR397" s="948"/>
      <c r="BS397" s="948"/>
      <c r="BT397" s="948"/>
      <c r="BU397" s="954"/>
    </row>
    <row r="398" spans="1:73" ht="15.75" customHeight="1" x14ac:dyDescent="0.2">
      <c r="A398" s="947"/>
      <c r="B398" s="947"/>
      <c r="C398" s="947"/>
      <c r="D398" s="948"/>
      <c r="E398" s="948"/>
      <c r="F398" s="948"/>
      <c r="G398" s="948"/>
      <c r="H398" s="948"/>
      <c r="I398" s="948"/>
      <c r="J398" s="948"/>
      <c r="K398" s="949"/>
      <c r="L398" s="949"/>
      <c r="M398" s="949"/>
      <c r="N398" s="950"/>
      <c r="O398" s="948"/>
      <c r="P398" s="948"/>
      <c r="Q398" s="948"/>
      <c r="R398" s="949"/>
      <c r="S398" s="949"/>
      <c r="T398" s="949"/>
      <c r="U398" s="949"/>
      <c r="V398" s="949"/>
      <c r="W398" s="949"/>
      <c r="X398" s="951"/>
      <c r="Y398" s="951"/>
      <c r="Z398" s="952"/>
      <c r="AA398" s="953"/>
      <c r="AB398" s="948"/>
      <c r="AC398" s="948"/>
      <c r="AD398" s="949"/>
      <c r="AE398" s="949"/>
      <c r="AF398" s="949"/>
      <c r="AG398" s="949"/>
      <c r="AH398" s="949"/>
      <c r="AI398" s="949"/>
      <c r="AJ398" s="949"/>
      <c r="AK398" s="949"/>
      <c r="AL398" s="949"/>
      <c r="AM398" s="949"/>
      <c r="AN398" s="949"/>
      <c r="AO398" s="949"/>
      <c r="AP398" s="949"/>
      <c r="AQ398" s="949"/>
      <c r="AR398" s="949"/>
      <c r="AS398" s="949"/>
      <c r="AT398" s="949"/>
      <c r="AU398" s="949"/>
      <c r="AV398" s="949"/>
      <c r="AW398" s="949"/>
      <c r="AX398" s="949"/>
      <c r="AY398" s="949"/>
      <c r="AZ398" s="949"/>
      <c r="BA398" s="949"/>
      <c r="BB398" s="949"/>
      <c r="BC398" s="949"/>
      <c r="BD398" s="949"/>
      <c r="BE398" s="949"/>
      <c r="BF398" s="949"/>
      <c r="BG398" s="948"/>
      <c r="BH398" s="948"/>
      <c r="BI398" s="948"/>
      <c r="BJ398" s="948"/>
      <c r="BK398" s="948"/>
      <c r="BL398" s="948"/>
      <c r="BM398" s="948"/>
      <c r="BN398" s="948"/>
      <c r="BO398" s="948"/>
      <c r="BP398" s="948"/>
      <c r="BQ398" s="948"/>
      <c r="BR398" s="948"/>
      <c r="BS398" s="948"/>
      <c r="BT398" s="948"/>
      <c r="BU398" s="954"/>
    </row>
    <row r="399" spans="1:73" ht="15.75" customHeight="1" x14ac:dyDescent="0.2">
      <c r="A399" s="947"/>
      <c r="B399" s="947"/>
      <c r="C399" s="947"/>
      <c r="D399" s="948"/>
      <c r="E399" s="948"/>
      <c r="F399" s="948"/>
      <c r="G399" s="948"/>
      <c r="H399" s="948"/>
      <c r="I399" s="948"/>
      <c r="J399" s="948"/>
      <c r="K399" s="949"/>
      <c r="L399" s="949"/>
      <c r="M399" s="949"/>
      <c r="N399" s="950"/>
      <c r="O399" s="948"/>
      <c r="P399" s="948"/>
      <c r="Q399" s="948"/>
      <c r="R399" s="949"/>
      <c r="S399" s="949"/>
      <c r="T399" s="949"/>
      <c r="U399" s="949"/>
      <c r="V399" s="949"/>
      <c r="W399" s="949"/>
      <c r="X399" s="951"/>
      <c r="Y399" s="951"/>
      <c r="Z399" s="952"/>
      <c r="AA399" s="953"/>
      <c r="AB399" s="948"/>
      <c r="AC399" s="948"/>
      <c r="AD399" s="949"/>
      <c r="AE399" s="949"/>
      <c r="AF399" s="949"/>
      <c r="AG399" s="949"/>
      <c r="AH399" s="949"/>
      <c r="AI399" s="949"/>
      <c r="AJ399" s="949"/>
      <c r="AK399" s="949"/>
      <c r="AL399" s="949"/>
      <c r="AM399" s="949"/>
      <c r="AN399" s="949"/>
      <c r="AO399" s="949"/>
      <c r="AP399" s="949"/>
      <c r="AQ399" s="949"/>
      <c r="AR399" s="949"/>
      <c r="AS399" s="949"/>
      <c r="AT399" s="949"/>
      <c r="AU399" s="949"/>
      <c r="AV399" s="949"/>
      <c r="AW399" s="949"/>
      <c r="AX399" s="949"/>
      <c r="AY399" s="949"/>
      <c r="AZ399" s="949"/>
      <c r="BA399" s="949"/>
      <c r="BB399" s="949"/>
      <c r="BC399" s="949"/>
      <c r="BD399" s="949"/>
      <c r="BE399" s="949"/>
      <c r="BF399" s="949"/>
      <c r="BG399" s="948"/>
      <c r="BH399" s="948"/>
      <c r="BI399" s="948"/>
      <c r="BJ399" s="948"/>
      <c r="BK399" s="948"/>
      <c r="BL399" s="948"/>
      <c r="BM399" s="948"/>
      <c r="BN399" s="948"/>
      <c r="BO399" s="948"/>
      <c r="BP399" s="948"/>
      <c r="BQ399" s="948"/>
      <c r="BR399" s="948"/>
      <c r="BS399" s="948"/>
      <c r="BT399" s="948"/>
      <c r="BU399" s="954"/>
    </row>
    <row r="400" spans="1:73" ht="15.75" customHeight="1" x14ac:dyDescent="0.2">
      <c r="A400" s="947"/>
      <c r="B400" s="947"/>
      <c r="C400" s="947"/>
      <c r="D400" s="948"/>
      <c r="E400" s="948"/>
      <c r="F400" s="948"/>
      <c r="G400" s="948"/>
      <c r="H400" s="948"/>
      <c r="I400" s="948"/>
      <c r="J400" s="948"/>
      <c r="K400" s="949"/>
      <c r="L400" s="949"/>
      <c r="M400" s="949"/>
      <c r="N400" s="950"/>
      <c r="O400" s="948"/>
      <c r="P400" s="948"/>
      <c r="Q400" s="948"/>
      <c r="R400" s="949"/>
      <c r="S400" s="949"/>
      <c r="T400" s="949"/>
      <c r="U400" s="949"/>
      <c r="V400" s="949"/>
      <c r="W400" s="949"/>
      <c r="X400" s="951"/>
      <c r="Y400" s="951"/>
      <c r="Z400" s="952"/>
      <c r="AA400" s="953"/>
      <c r="AB400" s="948"/>
      <c r="AC400" s="948"/>
      <c r="AD400" s="949"/>
      <c r="AE400" s="949"/>
      <c r="AF400" s="949"/>
      <c r="AG400" s="949"/>
      <c r="AH400" s="949"/>
      <c r="AI400" s="949"/>
      <c r="AJ400" s="949"/>
      <c r="AK400" s="949"/>
      <c r="AL400" s="949"/>
      <c r="AM400" s="949"/>
      <c r="AN400" s="949"/>
      <c r="AO400" s="949"/>
      <c r="AP400" s="949"/>
      <c r="AQ400" s="949"/>
      <c r="AR400" s="949"/>
      <c r="AS400" s="949"/>
      <c r="AT400" s="949"/>
      <c r="AU400" s="949"/>
      <c r="AV400" s="949"/>
      <c r="AW400" s="949"/>
      <c r="AX400" s="949"/>
      <c r="AY400" s="949"/>
      <c r="AZ400" s="949"/>
      <c r="BA400" s="949"/>
      <c r="BB400" s="949"/>
      <c r="BC400" s="949"/>
      <c r="BD400" s="949"/>
      <c r="BE400" s="949"/>
      <c r="BF400" s="949"/>
      <c r="BG400" s="948"/>
      <c r="BH400" s="948"/>
      <c r="BI400" s="948"/>
      <c r="BJ400" s="948"/>
      <c r="BK400" s="948"/>
      <c r="BL400" s="948"/>
      <c r="BM400" s="948"/>
      <c r="BN400" s="948"/>
      <c r="BO400" s="948"/>
      <c r="BP400" s="948"/>
      <c r="BQ400" s="948"/>
      <c r="BR400" s="948"/>
      <c r="BS400" s="948"/>
      <c r="BT400" s="948"/>
      <c r="BU400" s="954"/>
    </row>
    <row r="401" spans="1:73" ht="15.75" customHeight="1" x14ac:dyDescent="0.2">
      <c r="A401" s="947"/>
      <c r="B401" s="947"/>
      <c r="C401" s="947"/>
      <c r="D401" s="948"/>
      <c r="E401" s="948"/>
      <c r="F401" s="948"/>
      <c r="G401" s="948"/>
      <c r="H401" s="948"/>
      <c r="I401" s="948"/>
      <c r="J401" s="948"/>
      <c r="K401" s="949"/>
      <c r="L401" s="949"/>
      <c r="M401" s="949"/>
      <c r="N401" s="950"/>
      <c r="O401" s="948"/>
      <c r="P401" s="948"/>
      <c r="Q401" s="948"/>
      <c r="R401" s="949"/>
      <c r="S401" s="949"/>
      <c r="T401" s="949"/>
      <c r="U401" s="949"/>
      <c r="V401" s="949"/>
      <c r="W401" s="949"/>
      <c r="X401" s="951"/>
      <c r="Y401" s="951"/>
      <c r="Z401" s="952"/>
      <c r="AA401" s="953"/>
      <c r="AB401" s="948"/>
      <c r="AC401" s="948"/>
      <c r="AD401" s="949"/>
      <c r="AE401" s="949"/>
      <c r="AF401" s="949"/>
      <c r="AG401" s="949"/>
      <c r="AH401" s="949"/>
      <c r="AI401" s="949"/>
      <c r="AJ401" s="949"/>
      <c r="AK401" s="949"/>
      <c r="AL401" s="949"/>
      <c r="AM401" s="949"/>
      <c r="AN401" s="949"/>
      <c r="AO401" s="949"/>
      <c r="AP401" s="949"/>
      <c r="AQ401" s="949"/>
      <c r="AR401" s="949"/>
      <c r="AS401" s="949"/>
      <c r="AT401" s="949"/>
      <c r="AU401" s="949"/>
      <c r="AV401" s="949"/>
      <c r="AW401" s="949"/>
      <c r="AX401" s="949"/>
      <c r="AY401" s="949"/>
      <c r="AZ401" s="949"/>
      <c r="BA401" s="949"/>
      <c r="BB401" s="949"/>
      <c r="BC401" s="949"/>
      <c r="BD401" s="949"/>
      <c r="BE401" s="949"/>
      <c r="BF401" s="949"/>
      <c r="BG401" s="948"/>
      <c r="BH401" s="948"/>
      <c r="BI401" s="948"/>
      <c r="BJ401" s="948"/>
      <c r="BK401" s="948"/>
      <c r="BL401" s="948"/>
      <c r="BM401" s="948"/>
      <c r="BN401" s="948"/>
      <c r="BO401" s="948"/>
      <c r="BP401" s="948"/>
      <c r="BQ401" s="948"/>
      <c r="BR401" s="948"/>
      <c r="BS401" s="948"/>
      <c r="BT401" s="948"/>
      <c r="BU401" s="954"/>
    </row>
    <row r="402" spans="1:73" ht="15.75" customHeight="1" x14ac:dyDescent="0.2">
      <c r="A402" s="947"/>
      <c r="B402" s="947"/>
      <c r="C402" s="947"/>
      <c r="D402" s="948"/>
      <c r="E402" s="948"/>
      <c r="F402" s="948"/>
      <c r="G402" s="948"/>
      <c r="H402" s="948"/>
      <c r="I402" s="948"/>
      <c r="J402" s="948"/>
      <c r="K402" s="949"/>
      <c r="L402" s="949"/>
      <c r="M402" s="949"/>
      <c r="N402" s="950"/>
      <c r="O402" s="948"/>
      <c r="P402" s="948"/>
      <c r="Q402" s="948"/>
      <c r="R402" s="949"/>
      <c r="S402" s="949"/>
      <c r="T402" s="949"/>
      <c r="U402" s="949"/>
      <c r="V402" s="949"/>
      <c r="W402" s="949"/>
      <c r="X402" s="951"/>
      <c r="Y402" s="951"/>
      <c r="Z402" s="952"/>
      <c r="AA402" s="953"/>
      <c r="AB402" s="948"/>
      <c r="AC402" s="948"/>
      <c r="AD402" s="949"/>
      <c r="AE402" s="949"/>
      <c r="AF402" s="949"/>
      <c r="AG402" s="949"/>
      <c r="AH402" s="949"/>
      <c r="AI402" s="949"/>
      <c r="AJ402" s="949"/>
      <c r="AK402" s="949"/>
      <c r="AL402" s="949"/>
      <c r="AM402" s="949"/>
      <c r="AN402" s="949"/>
      <c r="AO402" s="949"/>
      <c r="AP402" s="949"/>
      <c r="AQ402" s="949"/>
      <c r="AR402" s="949"/>
      <c r="AS402" s="949"/>
      <c r="AT402" s="949"/>
      <c r="AU402" s="949"/>
      <c r="AV402" s="949"/>
      <c r="AW402" s="949"/>
      <c r="AX402" s="949"/>
      <c r="AY402" s="949"/>
      <c r="AZ402" s="949"/>
      <c r="BA402" s="949"/>
      <c r="BB402" s="949"/>
      <c r="BC402" s="949"/>
      <c r="BD402" s="949"/>
      <c r="BE402" s="949"/>
      <c r="BF402" s="949"/>
      <c r="BG402" s="948"/>
      <c r="BH402" s="948"/>
      <c r="BI402" s="948"/>
      <c r="BJ402" s="948"/>
      <c r="BK402" s="948"/>
      <c r="BL402" s="948"/>
      <c r="BM402" s="948"/>
      <c r="BN402" s="948"/>
      <c r="BO402" s="948"/>
      <c r="BP402" s="948"/>
      <c r="BQ402" s="948"/>
      <c r="BR402" s="948"/>
      <c r="BS402" s="948"/>
      <c r="BT402" s="948"/>
      <c r="BU402" s="954"/>
    </row>
    <row r="403" spans="1:73" ht="15.75" customHeight="1" x14ac:dyDescent="0.2">
      <c r="A403" s="947"/>
      <c r="B403" s="947"/>
      <c r="C403" s="947"/>
      <c r="D403" s="948"/>
      <c r="E403" s="948"/>
      <c r="F403" s="948"/>
      <c r="G403" s="948"/>
      <c r="H403" s="948"/>
      <c r="I403" s="948"/>
      <c r="J403" s="948"/>
      <c r="K403" s="949"/>
      <c r="L403" s="949"/>
      <c r="M403" s="949"/>
      <c r="N403" s="950"/>
      <c r="O403" s="948"/>
      <c r="P403" s="948"/>
      <c r="Q403" s="948"/>
      <c r="R403" s="949"/>
      <c r="S403" s="949"/>
      <c r="T403" s="949"/>
      <c r="U403" s="949"/>
      <c r="V403" s="949"/>
      <c r="W403" s="949"/>
      <c r="X403" s="951"/>
      <c r="Y403" s="951"/>
      <c r="Z403" s="952"/>
      <c r="AA403" s="953"/>
      <c r="AB403" s="948"/>
      <c r="AC403" s="948"/>
      <c r="AD403" s="949"/>
      <c r="AE403" s="949"/>
      <c r="AF403" s="949"/>
      <c r="AG403" s="949"/>
      <c r="AH403" s="949"/>
      <c r="AI403" s="949"/>
      <c r="AJ403" s="949"/>
      <c r="AK403" s="949"/>
      <c r="AL403" s="949"/>
      <c r="AM403" s="949"/>
      <c r="AN403" s="949"/>
      <c r="AO403" s="949"/>
      <c r="AP403" s="949"/>
      <c r="AQ403" s="949"/>
      <c r="AR403" s="949"/>
      <c r="AS403" s="949"/>
      <c r="AT403" s="949"/>
      <c r="AU403" s="949"/>
      <c r="AV403" s="949"/>
      <c r="AW403" s="949"/>
      <c r="AX403" s="949"/>
      <c r="AY403" s="949"/>
      <c r="AZ403" s="949"/>
      <c r="BA403" s="949"/>
      <c r="BB403" s="949"/>
      <c r="BC403" s="949"/>
      <c r="BD403" s="949"/>
      <c r="BE403" s="949"/>
      <c r="BF403" s="949"/>
      <c r="BG403" s="948"/>
      <c r="BH403" s="948"/>
      <c r="BI403" s="948"/>
      <c r="BJ403" s="948"/>
      <c r="BK403" s="948"/>
      <c r="BL403" s="948"/>
      <c r="BM403" s="948"/>
      <c r="BN403" s="948"/>
      <c r="BO403" s="948"/>
      <c r="BP403" s="948"/>
      <c r="BQ403" s="948"/>
      <c r="BR403" s="948"/>
      <c r="BS403" s="948"/>
      <c r="BT403" s="948"/>
      <c r="BU403" s="954"/>
    </row>
    <row r="404" spans="1:73" ht="15.75" customHeight="1" x14ac:dyDescent="0.2">
      <c r="A404" s="947"/>
      <c r="B404" s="947"/>
      <c r="C404" s="947"/>
      <c r="D404" s="948"/>
      <c r="E404" s="948"/>
      <c r="F404" s="948"/>
      <c r="G404" s="948"/>
      <c r="H404" s="948"/>
      <c r="I404" s="948"/>
      <c r="J404" s="948"/>
      <c r="K404" s="949"/>
      <c r="L404" s="949"/>
      <c r="M404" s="949"/>
      <c r="N404" s="950"/>
      <c r="O404" s="948"/>
      <c r="P404" s="948"/>
      <c r="Q404" s="948"/>
      <c r="R404" s="949"/>
      <c r="S404" s="949"/>
      <c r="T404" s="949"/>
      <c r="U404" s="949"/>
      <c r="V404" s="949"/>
      <c r="W404" s="949"/>
      <c r="X404" s="951"/>
      <c r="Y404" s="951"/>
      <c r="Z404" s="952"/>
      <c r="AA404" s="953"/>
      <c r="AB404" s="948"/>
      <c r="AC404" s="948"/>
      <c r="AD404" s="949"/>
      <c r="AE404" s="949"/>
      <c r="AF404" s="949"/>
      <c r="AG404" s="949"/>
      <c r="AH404" s="949"/>
      <c r="AI404" s="949"/>
      <c r="AJ404" s="949"/>
      <c r="AK404" s="949"/>
      <c r="AL404" s="949"/>
      <c r="AM404" s="949"/>
      <c r="AN404" s="949"/>
      <c r="AO404" s="949"/>
      <c r="AP404" s="949"/>
      <c r="AQ404" s="949"/>
      <c r="AR404" s="949"/>
      <c r="AS404" s="949"/>
      <c r="AT404" s="949"/>
      <c r="AU404" s="949"/>
      <c r="AV404" s="949"/>
      <c r="AW404" s="949"/>
      <c r="AX404" s="949"/>
      <c r="AY404" s="949"/>
      <c r="AZ404" s="949"/>
      <c r="BA404" s="949"/>
      <c r="BB404" s="949"/>
      <c r="BC404" s="949"/>
      <c r="BD404" s="949"/>
      <c r="BE404" s="949"/>
      <c r="BF404" s="949"/>
      <c r="BG404" s="948"/>
      <c r="BH404" s="948"/>
      <c r="BI404" s="948"/>
      <c r="BJ404" s="948"/>
      <c r="BK404" s="948"/>
      <c r="BL404" s="948"/>
      <c r="BM404" s="948"/>
      <c r="BN404" s="948"/>
      <c r="BO404" s="948"/>
      <c r="BP404" s="948"/>
      <c r="BQ404" s="948"/>
      <c r="BR404" s="948"/>
      <c r="BS404" s="948"/>
      <c r="BT404" s="948"/>
      <c r="BU404" s="954"/>
    </row>
    <row r="405" spans="1:73" ht="15.75" customHeight="1" x14ac:dyDescent="0.2">
      <c r="A405" s="947"/>
      <c r="B405" s="947"/>
      <c r="C405" s="947"/>
      <c r="D405" s="948"/>
      <c r="E405" s="948"/>
      <c r="F405" s="948"/>
      <c r="G405" s="948"/>
      <c r="H405" s="948"/>
      <c r="I405" s="948"/>
      <c r="J405" s="948"/>
      <c r="K405" s="949"/>
      <c r="L405" s="949"/>
      <c r="M405" s="949"/>
      <c r="N405" s="950"/>
      <c r="O405" s="948"/>
      <c r="P405" s="948"/>
      <c r="Q405" s="948"/>
      <c r="R405" s="949"/>
      <c r="S405" s="949"/>
      <c r="T405" s="949"/>
      <c r="U405" s="949"/>
      <c r="V405" s="949"/>
      <c r="W405" s="949"/>
      <c r="X405" s="951"/>
      <c r="Y405" s="951"/>
      <c r="Z405" s="952"/>
      <c r="AA405" s="953"/>
      <c r="AB405" s="948"/>
      <c r="AC405" s="948"/>
      <c r="AD405" s="949"/>
      <c r="AE405" s="949"/>
      <c r="AF405" s="949"/>
      <c r="AG405" s="949"/>
      <c r="AH405" s="949"/>
      <c r="AI405" s="949"/>
      <c r="AJ405" s="949"/>
      <c r="AK405" s="949"/>
      <c r="AL405" s="949"/>
      <c r="AM405" s="949"/>
      <c r="AN405" s="949"/>
      <c r="AO405" s="949"/>
      <c r="AP405" s="949"/>
      <c r="AQ405" s="949"/>
      <c r="AR405" s="949"/>
      <c r="AS405" s="949"/>
      <c r="AT405" s="949"/>
      <c r="AU405" s="949"/>
      <c r="AV405" s="949"/>
      <c r="AW405" s="949"/>
      <c r="AX405" s="949"/>
      <c r="AY405" s="949"/>
      <c r="AZ405" s="949"/>
      <c r="BA405" s="949"/>
      <c r="BB405" s="949"/>
      <c r="BC405" s="949"/>
      <c r="BD405" s="949"/>
      <c r="BE405" s="949"/>
      <c r="BF405" s="949"/>
      <c r="BG405" s="948"/>
      <c r="BH405" s="948"/>
      <c r="BI405" s="948"/>
      <c r="BJ405" s="948"/>
      <c r="BK405" s="948"/>
      <c r="BL405" s="948"/>
      <c r="BM405" s="948"/>
      <c r="BN405" s="948"/>
      <c r="BO405" s="948"/>
      <c r="BP405" s="948"/>
      <c r="BQ405" s="948"/>
      <c r="BR405" s="948"/>
      <c r="BS405" s="948"/>
      <c r="BT405" s="948"/>
      <c r="BU405" s="954"/>
    </row>
    <row r="406" spans="1:73" ht="15.75" customHeight="1" x14ac:dyDescent="0.2">
      <c r="A406" s="947"/>
      <c r="B406" s="947"/>
      <c r="C406" s="947"/>
      <c r="D406" s="948"/>
      <c r="E406" s="948"/>
      <c r="F406" s="948"/>
      <c r="G406" s="948"/>
      <c r="H406" s="948"/>
      <c r="I406" s="948"/>
      <c r="J406" s="948"/>
      <c r="K406" s="949"/>
      <c r="L406" s="949"/>
      <c r="M406" s="949"/>
      <c r="N406" s="950"/>
      <c r="O406" s="948"/>
      <c r="P406" s="948"/>
      <c r="Q406" s="948"/>
      <c r="R406" s="949"/>
      <c r="S406" s="949"/>
      <c r="T406" s="949"/>
      <c r="U406" s="949"/>
      <c r="V406" s="949"/>
      <c r="W406" s="949"/>
      <c r="X406" s="951"/>
      <c r="Y406" s="951"/>
      <c r="Z406" s="952"/>
      <c r="AA406" s="953"/>
      <c r="AB406" s="948"/>
      <c r="AC406" s="948"/>
      <c r="AD406" s="949"/>
      <c r="AE406" s="949"/>
      <c r="AF406" s="949"/>
      <c r="AG406" s="949"/>
      <c r="AH406" s="949"/>
      <c r="AI406" s="949"/>
      <c r="AJ406" s="949"/>
      <c r="AK406" s="949"/>
      <c r="AL406" s="949"/>
      <c r="AM406" s="949"/>
      <c r="AN406" s="949"/>
      <c r="AO406" s="949"/>
      <c r="AP406" s="949"/>
      <c r="AQ406" s="949"/>
      <c r="AR406" s="949"/>
      <c r="AS406" s="949"/>
      <c r="AT406" s="949"/>
      <c r="AU406" s="949"/>
      <c r="AV406" s="949"/>
      <c r="AW406" s="949"/>
      <c r="AX406" s="949"/>
      <c r="AY406" s="949"/>
      <c r="AZ406" s="949"/>
      <c r="BA406" s="949"/>
      <c r="BB406" s="949"/>
      <c r="BC406" s="949"/>
      <c r="BD406" s="949"/>
      <c r="BE406" s="949"/>
      <c r="BF406" s="949"/>
      <c r="BG406" s="948"/>
      <c r="BH406" s="948"/>
      <c r="BI406" s="948"/>
      <c r="BJ406" s="948"/>
      <c r="BK406" s="948"/>
      <c r="BL406" s="948"/>
      <c r="BM406" s="948"/>
      <c r="BN406" s="948"/>
      <c r="BO406" s="948"/>
      <c r="BP406" s="948"/>
      <c r="BQ406" s="948"/>
      <c r="BR406" s="948"/>
      <c r="BS406" s="948"/>
      <c r="BT406" s="948"/>
      <c r="BU406" s="954"/>
    </row>
    <row r="407" spans="1:73" ht="15.75" customHeight="1" x14ac:dyDescent="0.2">
      <c r="A407" s="947"/>
      <c r="B407" s="947"/>
      <c r="C407" s="947"/>
      <c r="D407" s="948"/>
      <c r="E407" s="948"/>
      <c r="F407" s="948"/>
      <c r="G407" s="948"/>
      <c r="H407" s="948"/>
      <c r="I407" s="948"/>
      <c r="J407" s="948"/>
      <c r="K407" s="949"/>
      <c r="L407" s="949"/>
      <c r="M407" s="949"/>
      <c r="N407" s="950"/>
      <c r="O407" s="948"/>
      <c r="P407" s="948"/>
      <c r="Q407" s="948"/>
      <c r="R407" s="949"/>
      <c r="S407" s="949"/>
      <c r="T407" s="949"/>
      <c r="U407" s="949"/>
      <c r="V407" s="949"/>
      <c r="W407" s="949"/>
      <c r="X407" s="951"/>
      <c r="Y407" s="951"/>
      <c r="Z407" s="952"/>
      <c r="AA407" s="953"/>
      <c r="AB407" s="948"/>
      <c r="AC407" s="948"/>
      <c r="AD407" s="949"/>
      <c r="AE407" s="949"/>
      <c r="AF407" s="949"/>
      <c r="AG407" s="949"/>
      <c r="AH407" s="949"/>
      <c r="AI407" s="949"/>
      <c r="AJ407" s="949"/>
      <c r="AK407" s="949"/>
      <c r="AL407" s="949"/>
      <c r="AM407" s="949"/>
      <c r="AN407" s="949"/>
      <c r="AO407" s="949"/>
      <c r="AP407" s="949"/>
      <c r="AQ407" s="949"/>
      <c r="AR407" s="949"/>
      <c r="AS407" s="949"/>
      <c r="AT407" s="949"/>
      <c r="AU407" s="949"/>
      <c r="AV407" s="949"/>
      <c r="AW407" s="949"/>
      <c r="AX407" s="949"/>
      <c r="AY407" s="949"/>
      <c r="AZ407" s="949"/>
      <c r="BA407" s="949"/>
      <c r="BB407" s="949"/>
      <c r="BC407" s="949"/>
      <c r="BD407" s="949"/>
      <c r="BE407" s="949"/>
      <c r="BF407" s="949"/>
      <c r="BG407" s="948"/>
      <c r="BH407" s="948"/>
      <c r="BI407" s="948"/>
      <c r="BJ407" s="948"/>
      <c r="BK407" s="948"/>
      <c r="BL407" s="948"/>
      <c r="BM407" s="948"/>
      <c r="BN407" s="948"/>
      <c r="BO407" s="948"/>
      <c r="BP407" s="948"/>
      <c r="BQ407" s="948"/>
      <c r="BR407" s="948"/>
      <c r="BS407" s="948"/>
      <c r="BT407" s="948"/>
      <c r="BU407" s="954"/>
    </row>
    <row r="408" spans="1:73" ht="15.75" customHeight="1" x14ac:dyDescent="0.2">
      <c r="A408" s="947"/>
      <c r="B408" s="947"/>
      <c r="C408" s="947"/>
      <c r="D408" s="948"/>
      <c r="E408" s="948"/>
      <c r="F408" s="948"/>
      <c r="G408" s="948"/>
      <c r="H408" s="948"/>
      <c r="I408" s="948"/>
      <c r="J408" s="948"/>
      <c r="K408" s="949"/>
      <c r="L408" s="949"/>
      <c r="M408" s="949"/>
      <c r="N408" s="950"/>
      <c r="O408" s="948"/>
      <c r="P408" s="948"/>
      <c r="Q408" s="948"/>
      <c r="R408" s="949"/>
      <c r="S408" s="949"/>
      <c r="T408" s="949"/>
      <c r="U408" s="949"/>
      <c r="V408" s="949"/>
      <c r="W408" s="949"/>
      <c r="X408" s="951"/>
      <c r="Y408" s="951"/>
      <c r="Z408" s="952"/>
      <c r="AA408" s="953"/>
      <c r="AB408" s="948"/>
      <c r="AC408" s="948"/>
      <c r="AD408" s="949"/>
      <c r="AE408" s="949"/>
      <c r="AF408" s="949"/>
      <c r="AG408" s="949"/>
      <c r="AH408" s="949"/>
      <c r="AI408" s="949"/>
      <c r="AJ408" s="949"/>
      <c r="AK408" s="949"/>
      <c r="AL408" s="949"/>
      <c r="AM408" s="949"/>
      <c r="AN408" s="949"/>
      <c r="AO408" s="949"/>
      <c r="AP408" s="949"/>
      <c r="AQ408" s="949"/>
      <c r="AR408" s="949"/>
      <c r="AS408" s="949"/>
      <c r="AT408" s="949"/>
      <c r="AU408" s="949"/>
      <c r="AV408" s="949"/>
      <c r="AW408" s="949"/>
      <c r="AX408" s="949"/>
      <c r="AY408" s="949"/>
      <c r="AZ408" s="949"/>
      <c r="BA408" s="949"/>
      <c r="BB408" s="949"/>
      <c r="BC408" s="949"/>
      <c r="BD408" s="949"/>
      <c r="BE408" s="949"/>
      <c r="BF408" s="949"/>
      <c r="BG408" s="948"/>
      <c r="BH408" s="948"/>
      <c r="BI408" s="948"/>
      <c r="BJ408" s="948"/>
      <c r="BK408" s="948"/>
      <c r="BL408" s="948"/>
      <c r="BM408" s="948"/>
      <c r="BN408" s="948"/>
      <c r="BO408" s="948"/>
      <c r="BP408" s="948"/>
      <c r="BQ408" s="948"/>
      <c r="BR408" s="948"/>
      <c r="BS408" s="948"/>
      <c r="BT408" s="948"/>
      <c r="BU408" s="954"/>
    </row>
    <row r="409" spans="1:73" ht="15.75" customHeight="1" x14ac:dyDescent="0.2">
      <c r="A409" s="947"/>
      <c r="B409" s="947"/>
      <c r="C409" s="947"/>
      <c r="D409" s="948"/>
      <c r="E409" s="948"/>
      <c r="F409" s="948"/>
      <c r="G409" s="948"/>
      <c r="H409" s="948"/>
      <c r="I409" s="948"/>
      <c r="J409" s="948"/>
      <c r="K409" s="949"/>
      <c r="L409" s="949"/>
      <c r="M409" s="949"/>
      <c r="N409" s="950"/>
      <c r="O409" s="948"/>
      <c r="P409" s="948"/>
      <c r="Q409" s="948"/>
      <c r="R409" s="949"/>
      <c r="S409" s="949"/>
      <c r="T409" s="949"/>
      <c r="U409" s="949"/>
      <c r="V409" s="949"/>
      <c r="W409" s="949"/>
      <c r="X409" s="951"/>
      <c r="Y409" s="951"/>
      <c r="Z409" s="952"/>
      <c r="AA409" s="953"/>
      <c r="AB409" s="948"/>
      <c r="AC409" s="948"/>
      <c r="AD409" s="949"/>
      <c r="AE409" s="949"/>
      <c r="AF409" s="949"/>
      <c r="AG409" s="949"/>
      <c r="AH409" s="949"/>
      <c r="AI409" s="949"/>
      <c r="AJ409" s="949"/>
      <c r="AK409" s="949"/>
      <c r="AL409" s="949"/>
      <c r="AM409" s="949"/>
      <c r="AN409" s="949"/>
      <c r="AO409" s="949"/>
      <c r="AP409" s="949"/>
      <c r="AQ409" s="949"/>
      <c r="AR409" s="949"/>
      <c r="AS409" s="949"/>
      <c r="AT409" s="949"/>
      <c r="AU409" s="949"/>
      <c r="AV409" s="949"/>
      <c r="AW409" s="949"/>
      <c r="AX409" s="949"/>
      <c r="AY409" s="949"/>
      <c r="AZ409" s="949"/>
      <c r="BA409" s="949"/>
      <c r="BB409" s="949"/>
      <c r="BC409" s="949"/>
      <c r="BD409" s="949"/>
      <c r="BE409" s="949"/>
      <c r="BF409" s="949"/>
      <c r="BG409" s="948"/>
      <c r="BH409" s="948"/>
      <c r="BI409" s="948"/>
      <c r="BJ409" s="948"/>
      <c r="BK409" s="948"/>
      <c r="BL409" s="948"/>
      <c r="BM409" s="948"/>
      <c r="BN409" s="948"/>
      <c r="BO409" s="948"/>
      <c r="BP409" s="948"/>
      <c r="BQ409" s="948"/>
      <c r="BR409" s="948"/>
      <c r="BS409" s="948"/>
      <c r="BT409" s="948"/>
      <c r="BU409" s="954"/>
    </row>
    <row r="410" spans="1:73" ht="15.75" customHeight="1" x14ac:dyDescent="0.2">
      <c r="A410" s="947"/>
      <c r="B410" s="947"/>
      <c r="C410" s="947"/>
      <c r="D410" s="948"/>
      <c r="E410" s="948"/>
      <c r="F410" s="948"/>
      <c r="G410" s="948"/>
      <c r="H410" s="948"/>
      <c r="I410" s="948"/>
      <c r="J410" s="948"/>
      <c r="K410" s="949"/>
      <c r="L410" s="949"/>
      <c r="M410" s="949"/>
      <c r="N410" s="950"/>
      <c r="O410" s="948"/>
      <c r="P410" s="948"/>
      <c r="Q410" s="948"/>
      <c r="R410" s="949"/>
      <c r="S410" s="949"/>
      <c r="T410" s="949"/>
      <c r="U410" s="949"/>
      <c r="V410" s="949"/>
      <c r="W410" s="949"/>
      <c r="X410" s="951"/>
      <c r="Y410" s="951"/>
      <c r="Z410" s="952"/>
      <c r="AA410" s="953"/>
      <c r="AB410" s="948"/>
      <c r="AC410" s="948"/>
      <c r="AD410" s="949"/>
      <c r="AE410" s="949"/>
      <c r="AF410" s="949"/>
      <c r="AG410" s="949"/>
      <c r="AH410" s="949"/>
      <c r="AI410" s="949"/>
      <c r="AJ410" s="949"/>
      <c r="AK410" s="949"/>
      <c r="AL410" s="949"/>
      <c r="AM410" s="949"/>
      <c r="AN410" s="949"/>
      <c r="AO410" s="949"/>
      <c r="AP410" s="949"/>
      <c r="AQ410" s="949"/>
      <c r="AR410" s="949"/>
      <c r="AS410" s="949"/>
      <c r="AT410" s="949"/>
      <c r="AU410" s="949"/>
      <c r="AV410" s="949"/>
      <c r="AW410" s="949"/>
      <c r="AX410" s="949"/>
      <c r="AY410" s="949"/>
      <c r="AZ410" s="949"/>
      <c r="BA410" s="949"/>
      <c r="BB410" s="949"/>
      <c r="BC410" s="949"/>
      <c r="BD410" s="949"/>
      <c r="BE410" s="949"/>
      <c r="BF410" s="949"/>
      <c r="BG410" s="948"/>
      <c r="BH410" s="948"/>
      <c r="BI410" s="948"/>
      <c r="BJ410" s="948"/>
      <c r="BK410" s="948"/>
      <c r="BL410" s="948"/>
      <c r="BM410" s="948"/>
      <c r="BN410" s="948"/>
      <c r="BO410" s="948"/>
      <c r="BP410" s="948"/>
      <c r="BQ410" s="948"/>
      <c r="BR410" s="948"/>
      <c r="BS410" s="948"/>
      <c r="BT410" s="948"/>
      <c r="BU410" s="954"/>
    </row>
    <row r="411" spans="1:73" ht="15.75" customHeight="1" x14ac:dyDescent="0.2">
      <c r="A411" s="947"/>
      <c r="B411" s="947"/>
      <c r="C411" s="947"/>
      <c r="D411" s="948"/>
      <c r="E411" s="948"/>
      <c r="F411" s="948"/>
      <c r="G411" s="948"/>
      <c r="H411" s="948"/>
      <c r="I411" s="948"/>
      <c r="J411" s="948"/>
      <c r="K411" s="949"/>
      <c r="L411" s="949"/>
      <c r="M411" s="949"/>
      <c r="N411" s="950"/>
      <c r="O411" s="948"/>
      <c r="P411" s="948"/>
      <c r="Q411" s="948"/>
      <c r="R411" s="949"/>
      <c r="S411" s="949"/>
      <c r="T411" s="949"/>
      <c r="U411" s="949"/>
      <c r="V411" s="949"/>
      <c r="W411" s="949"/>
      <c r="X411" s="951"/>
      <c r="Y411" s="951"/>
      <c r="Z411" s="952"/>
      <c r="AA411" s="953"/>
      <c r="AB411" s="948"/>
      <c r="AC411" s="948"/>
      <c r="AD411" s="949"/>
      <c r="AE411" s="949"/>
      <c r="AF411" s="949"/>
      <c r="AG411" s="949"/>
      <c r="AH411" s="949"/>
      <c r="AI411" s="949"/>
      <c r="AJ411" s="949"/>
      <c r="AK411" s="949"/>
      <c r="AL411" s="949"/>
      <c r="AM411" s="949"/>
      <c r="AN411" s="949"/>
      <c r="AO411" s="949"/>
      <c r="AP411" s="949"/>
      <c r="AQ411" s="949"/>
      <c r="AR411" s="949"/>
      <c r="AS411" s="949"/>
      <c r="AT411" s="949"/>
      <c r="AU411" s="949"/>
      <c r="AV411" s="949"/>
      <c r="AW411" s="949"/>
      <c r="AX411" s="949"/>
      <c r="AY411" s="949"/>
      <c r="AZ411" s="949"/>
      <c r="BA411" s="949"/>
      <c r="BB411" s="949"/>
      <c r="BC411" s="949"/>
      <c r="BD411" s="949"/>
      <c r="BE411" s="949"/>
      <c r="BF411" s="949"/>
      <c r="BG411" s="948"/>
      <c r="BH411" s="948"/>
      <c r="BI411" s="948"/>
      <c r="BJ411" s="948"/>
      <c r="BK411" s="948"/>
      <c r="BL411" s="948"/>
      <c r="BM411" s="948"/>
      <c r="BN411" s="948"/>
      <c r="BO411" s="948"/>
      <c r="BP411" s="948"/>
      <c r="BQ411" s="948"/>
      <c r="BR411" s="948"/>
      <c r="BS411" s="948"/>
      <c r="BT411" s="948"/>
      <c r="BU411" s="954"/>
    </row>
    <row r="412" spans="1:73" ht="15.75" customHeight="1" x14ac:dyDescent="0.2">
      <c r="A412" s="947"/>
      <c r="B412" s="947"/>
      <c r="C412" s="947"/>
      <c r="D412" s="948"/>
      <c r="E412" s="948"/>
      <c r="F412" s="948"/>
      <c r="G412" s="948"/>
      <c r="H412" s="948"/>
      <c r="I412" s="948"/>
      <c r="J412" s="948"/>
      <c r="K412" s="949"/>
      <c r="L412" s="949"/>
      <c r="M412" s="949"/>
      <c r="N412" s="950"/>
      <c r="O412" s="948"/>
      <c r="P412" s="948"/>
      <c r="Q412" s="948"/>
      <c r="R412" s="949"/>
      <c r="S412" s="949"/>
      <c r="T412" s="949"/>
      <c r="U412" s="949"/>
      <c r="V412" s="949"/>
      <c r="W412" s="949"/>
      <c r="X412" s="951"/>
      <c r="Y412" s="951"/>
      <c r="Z412" s="952"/>
      <c r="AA412" s="953"/>
      <c r="AB412" s="948"/>
      <c r="AC412" s="948"/>
      <c r="AD412" s="949"/>
      <c r="AE412" s="949"/>
      <c r="AF412" s="949"/>
      <c r="AG412" s="949"/>
      <c r="AH412" s="949"/>
      <c r="AI412" s="949"/>
      <c r="AJ412" s="949"/>
      <c r="AK412" s="949"/>
      <c r="AL412" s="949"/>
      <c r="AM412" s="949"/>
      <c r="AN412" s="949"/>
      <c r="AO412" s="949"/>
      <c r="AP412" s="949"/>
      <c r="AQ412" s="949"/>
      <c r="AR412" s="949"/>
      <c r="AS412" s="949"/>
      <c r="AT412" s="949"/>
      <c r="AU412" s="949"/>
      <c r="AV412" s="949"/>
      <c r="AW412" s="949"/>
      <c r="AX412" s="949"/>
      <c r="AY412" s="949"/>
      <c r="AZ412" s="949"/>
      <c r="BA412" s="949"/>
      <c r="BB412" s="949"/>
      <c r="BC412" s="949"/>
      <c r="BD412" s="949"/>
      <c r="BE412" s="949"/>
      <c r="BF412" s="949"/>
      <c r="BG412" s="948"/>
      <c r="BH412" s="948"/>
      <c r="BI412" s="948"/>
      <c r="BJ412" s="948"/>
      <c r="BK412" s="948"/>
      <c r="BL412" s="948"/>
      <c r="BM412" s="948"/>
      <c r="BN412" s="948"/>
      <c r="BO412" s="948"/>
      <c r="BP412" s="948"/>
      <c r="BQ412" s="948"/>
      <c r="BR412" s="948"/>
      <c r="BS412" s="948"/>
      <c r="BT412" s="948"/>
      <c r="BU412" s="954"/>
    </row>
    <row r="413" spans="1:73" ht="15.75" customHeight="1" x14ac:dyDescent="0.2">
      <c r="A413" s="947"/>
      <c r="B413" s="947"/>
      <c r="C413" s="947"/>
      <c r="D413" s="948"/>
      <c r="E413" s="948"/>
      <c r="F413" s="948"/>
      <c r="G413" s="948"/>
      <c r="H413" s="948"/>
      <c r="I413" s="948"/>
      <c r="J413" s="948"/>
      <c r="K413" s="949"/>
      <c r="L413" s="949"/>
      <c r="M413" s="949"/>
      <c r="N413" s="950"/>
      <c r="O413" s="948"/>
      <c r="P413" s="948"/>
      <c r="Q413" s="948"/>
      <c r="R413" s="949"/>
      <c r="S413" s="949"/>
      <c r="T413" s="949"/>
      <c r="U413" s="949"/>
      <c r="V413" s="949"/>
      <c r="W413" s="949"/>
      <c r="X413" s="951"/>
      <c r="Y413" s="951"/>
      <c r="Z413" s="952"/>
      <c r="AA413" s="953"/>
      <c r="AB413" s="948"/>
      <c r="AC413" s="948"/>
      <c r="AD413" s="949"/>
      <c r="AE413" s="949"/>
      <c r="AF413" s="949"/>
      <c r="AG413" s="949"/>
      <c r="AH413" s="949"/>
      <c r="AI413" s="949"/>
      <c r="AJ413" s="949"/>
      <c r="AK413" s="949"/>
      <c r="AL413" s="949"/>
      <c r="AM413" s="949"/>
      <c r="AN413" s="949"/>
      <c r="AO413" s="949"/>
      <c r="AP413" s="949"/>
      <c r="AQ413" s="949"/>
      <c r="AR413" s="949"/>
      <c r="AS413" s="949"/>
      <c r="AT413" s="949"/>
      <c r="AU413" s="949"/>
      <c r="AV413" s="949"/>
      <c r="AW413" s="949"/>
      <c r="AX413" s="949"/>
      <c r="AY413" s="949"/>
      <c r="AZ413" s="949"/>
      <c r="BA413" s="949"/>
      <c r="BB413" s="949"/>
      <c r="BC413" s="949"/>
      <c r="BD413" s="949"/>
      <c r="BE413" s="949"/>
      <c r="BF413" s="949"/>
      <c r="BG413" s="948"/>
      <c r="BH413" s="948"/>
      <c r="BI413" s="948"/>
      <c r="BJ413" s="948"/>
      <c r="BK413" s="948"/>
      <c r="BL413" s="948"/>
      <c r="BM413" s="948"/>
      <c r="BN413" s="948"/>
      <c r="BO413" s="948"/>
      <c r="BP413" s="948"/>
      <c r="BQ413" s="948"/>
      <c r="BR413" s="948"/>
      <c r="BS413" s="948"/>
      <c r="BT413" s="948"/>
      <c r="BU413" s="954"/>
    </row>
    <row r="414" spans="1:73" ht="15.75" customHeight="1" x14ac:dyDescent="0.2">
      <c r="A414" s="947"/>
      <c r="B414" s="947"/>
      <c r="C414" s="947"/>
      <c r="D414" s="948"/>
      <c r="E414" s="948"/>
      <c r="F414" s="948"/>
      <c r="G414" s="948"/>
      <c r="H414" s="948"/>
      <c r="I414" s="948"/>
      <c r="J414" s="948"/>
      <c r="K414" s="949"/>
      <c r="L414" s="949"/>
      <c r="M414" s="949"/>
      <c r="N414" s="950"/>
      <c r="O414" s="948"/>
      <c r="P414" s="948"/>
      <c r="Q414" s="948"/>
      <c r="R414" s="949"/>
      <c r="S414" s="949"/>
      <c r="T414" s="949"/>
      <c r="U414" s="949"/>
      <c r="V414" s="949"/>
      <c r="W414" s="949"/>
      <c r="X414" s="951"/>
      <c r="Y414" s="951"/>
      <c r="Z414" s="952"/>
      <c r="AA414" s="953"/>
      <c r="AB414" s="948"/>
      <c r="AC414" s="948"/>
      <c r="AD414" s="949"/>
      <c r="AE414" s="949"/>
      <c r="AF414" s="949"/>
      <c r="AG414" s="949"/>
      <c r="AH414" s="949"/>
      <c r="AI414" s="949"/>
      <c r="AJ414" s="949"/>
      <c r="AK414" s="949"/>
      <c r="AL414" s="949"/>
      <c r="AM414" s="949"/>
      <c r="AN414" s="949"/>
      <c r="AO414" s="949"/>
      <c r="AP414" s="949"/>
      <c r="AQ414" s="949"/>
      <c r="AR414" s="949"/>
      <c r="AS414" s="949"/>
      <c r="AT414" s="949"/>
      <c r="AU414" s="949"/>
      <c r="AV414" s="949"/>
      <c r="AW414" s="949"/>
      <c r="AX414" s="949"/>
      <c r="AY414" s="949"/>
      <c r="AZ414" s="949"/>
      <c r="BA414" s="949"/>
      <c r="BB414" s="949"/>
      <c r="BC414" s="949"/>
      <c r="BD414" s="949"/>
      <c r="BE414" s="949"/>
      <c r="BF414" s="949"/>
      <c r="BG414" s="948"/>
      <c r="BH414" s="948"/>
      <c r="BI414" s="948"/>
      <c r="BJ414" s="948"/>
      <c r="BK414" s="948"/>
      <c r="BL414" s="948"/>
      <c r="BM414" s="948"/>
      <c r="BN414" s="948"/>
      <c r="BO414" s="948"/>
      <c r="BP414" s="948"/>
      <c r="BQ414" s="948"/>
      <c r="BR414" s="948"/>
      <c r="BS414" s="948"/>
      <c r="BT414" s="948"/>
      <c r="BU414" s="954"/>
    </row>
    <row r="415" spans="1:73" ht="15.75" customHeight="1" x14ac:dyDescent="0.2">
      <c r="A415" s="947"/>
      <c r="B415" s="947"/>
      <c r="C415" s="947"/>
      <c r="D415" s="948"/>
      <c r="E415" s="948"/>
      <c r="F415" s="948"/>
      <c r="G415" s="948"/>
      <c r="H415" s="948"/>
      <c r="I415" s="948"/>
      <c r="J415" s="948"/>
      <c r="K415" s="949"/>
      <c r="L415" s="949"/>
      <c r="M415" s="949"/>
      <c r="N415" s="950"/>
      <c r="O415" s="948"/>
      <c r="P415" s="948"/>
      <c r="Q415" s="948"/>
      <c r="R415" s="949"/>
      <c r="S415" s="949"/>
      <c r="T415" s="949"/>
      <c r="U415" s="949"/>
      <c r="V415" s="949"/>
      <c r="W415" s="949"/>
      <c r="X415" s="951"/>
      <c r="Y415" s="951"/>
      <c r="Z415" s="952"/>
      <c r="AA415" s="953"/>
      <c r="AB415" s="948"/>
      <c r="AC415" s="948"/>
      <c r="AD415" s="949"/>
      <c r="AE415" s="949"/>
      <c r="AF415" s="949"/>
      <c r="AG415" s="949"/>
      <c r="AH415" s="949"/>
      <c r="AI415" s="949"/>
      <c r="AJ415" s="949"/>
      <c r="AK415" s="949"/>
      <c r="AL415" s="949"/>
      <c r="AM415" s="949"/>
      <c r="AN415" s="949"/>
      <c r="AO415" s="949"/>
      <c r="AP415" s="949"/>
      <c r="AQ415" s="949"/>
      <c r="AR415" s="949"/>
      <c r="AS415" s="949"/>
      <c r="AT415" s="949"/>
      <c r="AU415" s="949"/>
      <c r="AV415" s="949"/>
      <c r="AW415" s="949"/>
      <c r="AX415" s="949"/>
      <c r="AY415" s="949"/>
      <c r="AZ415" s="949"/>
      <c r="BA415" s="949"/>
      <c r="BB415" s="949"/>
      <c r="BC415" s="949"/>
      <c r="BD415" s="949"/>
      <c r="BE415" s="949"/>
      <c r="BF415" s="949"/>
      <c r="BG415" s="948"/>
      <c r="BH415" s="948"/>
      <c r="BI415" s="948"/>
      <c r="BJ415" s="948"/>
      <c r="BK415" s="948"/>
      <c r="BL415" s="948"/>
      <c r="BM415" s="948"/>
      <c r="BN415" s="948"/>
      <c r="BO415" s="948"/>
      <c r="BP415" s="948"/>
      <c r="BQ415" s="948"/>
      <c r="BR415" s="948"/>
      <c r="BS415" s="948"/>
      <c r="BT415" s="948"/>
      <c r="BU415" s="954"/>
    </row>
    <row r="416" spans="1:73" ht="15.75" customHeight="1" x14ac:dyDescent="0.2">
      <c r="A416" s="947"/>
      <c r="B416" s="947"/>
      <c r="C416" s="947"/>
      <c r="D416" s="948"/>
      <c r="E416" s="948"/>
      <c r="F416" s="948"/>
      <c r="G416" s="948"/>
      <c r="H416" s="948"/>
      <c r="I416" s="948"/>
      <c r="J416" s="948"/>
      <c r="K416" s="949"/>
      <c r="L416" s="949"/>
      <c r="M416" s="949"/>
      <c r="N416" s="950"/>
      <c r="O416" s="948"/>
      <c r="P416" s="948"/>
      <c r="Q416" s="948"/>
      <c r="R416" s="949"/>
      <c r="S416" s="949"/>
      <c r="T416" s="949"/>
      <c r="U416" s="949"/>
      <c r="V416" s="949"/>
      <c r="W416" s="949"/>
      <c r="X416" s="951"/>
      <c r="Y416" s="951"/>
      <c r="Z416" s="952"/>
      <c r="AA416" s="953"/>
      <c r="AB416" s="948"/>
      <c r="AC416" s="948"/>
      <c r="AD416" s="949"/>
      <c r="AE416" s="949"/>
      <c r="AF416" s="949"/>
      <c r="AG416" s="949"/>
      <c r="AH416" s="949"/>
      <c r="AI416" s="949"/>
      <c r="AJ416" s="949"/>
      <c r="AK416" s="949"/>
      <c r="AL416" s="949"/>
      <c r="AM416" s="949"/>
      <c r="AN416" s="949"/>
      <c r="AO416" s="949"/>
      <c r="AP416" s="949"/>
      <c r="AQ416" s="949"/>
      <c r="AR416" s="949"/>
      <c r="AS416" s="949"/>
      <c r="AT416" s="949"/>
      <c r="AU416" s="949"/>
      <c r="AV416" s="949"/>
      <c r="AW416" s="949"/>
      <c r="AX416" s="949"/>
      <c r="AY416" s="949"/>
      <c r="AZ416" s="949"/>
      <c r="BA416" s="949"/>
      <c r="BB416" s="949"/>
      <c r="BC416" s="949"/>
      <c r="BD416" s="949"/>
      <c r="BE416" s="949"/>
      <c r="BF416" s="949"/>
      <c r="BG416" s="948"/>
      <c r="BH416" s="948"/>
      <c r="BI416" s="948"/>
      <c r="BJ416" s="948"/>
      <c r="BK416" s="948"/>
      <c r="BL416" s="948"/>
      <c r="BM416" s="948"/>
      <c r="BN416" s="948"/>
      <c r="BO416" s="948"/>
      <c r="BP416" s="948"/>
      <c r="BQ416" s="948"/>
      <c r="BR416" s="948"/>
      <c r="BS416" s="948"/>
      <c r="BT416" s="948"/>
      <c r="BU416" s="954"/>
    </row>
    <row r="417" spans="1:73" ht="15.75" customHeight="1" x14ac:dyDescent="0.2">
      <c r="A417" s="947"/>
      <c r="B417" s="947"/>
      <c r="C417" s="947"/>
      <c r="D417" s="948"/>
      <c r="E417" s="948"/>
      <c r="F417" s="948"/>
      <c r="G417" s="948"/>
      <c r="H417" s="948"/>
      <c r="I417" s="948"/>
      <c r="J417" s="948"/>
      <c r="K417" s="949"/>
      <c r="L417" s="949"/>
      <c r="M417" s="949"/>
      <c r="N417" s="950"/>
      <c r="O417" s="948"/>
      <c r="P417" s="948"/>
      <c r="Q417" s="948"/>
      <c r="R417" s="949"/>
      <c r="S417" s="949"/>
      <c r="T417" s="949"/>
      <c r="U417" s="949"/>
      <c r="V417" s="949"/>
      <c r="W417" s="949"/>
      <c r="X417" s="951"/>
      <c r="Y417" s="951"/>
      <c r="Z417" s="952"/>
      <c r="AA417" s="953"/>
      <c r="AB417" s="948"/>
      <c r="AC417" s="948"/>
      <c r="AD417" s="949"/>
      <c r="AE417" s="949"/>
      <c r="AF417" s="949"/>
      <c r="AG417" s="949"/>
      <c r="AH417" s="949"/>
      <c r="AI417" s="949"/>
      <c r="AJ417" s="949"/>
      <c r="AK417" s="949"/>
      <c r="AL417" s="949"/>
      <c r="AM417" s="949"/>
      <c r="AN417" s="949"/>
      <c r="AO417" s="949"/>
      <c r="AP417" s="949"/>
      <c r="AQ417" s="949"/>
      <c r="AR417" s="949"/>
      <c r="AS417" s="949"/>
      <c r="AT417" s="949"/>
      <c r="AU417" s="949"/>
      <c r="AV417" s="949"/>
      <c r="AW417" s="949"/>
      <c r="AX417" s="949"/>
      <c r="AY417" s="949"/>
      <c r="AZ417" s="949"/>
      <c r="BA417" s="949"/>
      <c r="BB417" s="949"/>
      <c r="BC417" s="949"/>
      <c r="BD417" s="949"/>
      <c r="BE417" s="949"/>
      <c r="BF417" s="949"/>
      <c r="BG417" s="948"/>
      <c r="BH417" s="948"/>
      <c r="BI417" s="948"/>
      <c r="BJ417" s="948"/>
      <c r="BK417" s="948"/>
      <c r="BL417" s="948"/>
      <c r="BM417" s="948"/>
      <c r="BN417" s="948"/>
      <c r="BO417" s="948"/>
      <c r="BP417" s="948"/>
      <c r="BQ417" s="948"/>
      <c r="BR417" s="948"/>
      <c r="BS417" s="948"/>
      <c r="BT417" s="948"/>
      <c r="BU417" s="954"/>
    </row>
    <row r="418" spans="1:73" ht="15.75" customHeight="1" x14ac:dyDescent="0.2">
      <c r="A418" s="947"/>
      <c r="B418" s="947"/>
      <c r="C418" s="947"/>
      <c r="D418" s="948"/>
      <c r="E418" s="948"/>
      <c r="F418" s="948"/>
      <c r="G418" s="948"/>
      <c r="H418" s="948"/>
      <c r="I418" s="948"/>
      <c r="J418" s="948"/>
      <c r="K418" s="949"/>
      <c r="L418" s="949"/>
      <c r="M418" s="949"/>
      <c r="N418" s="950"/>
      <c r="O418" s="948"/>
      <c r="P418" s="948"/>
      <c r="Q418" s="948"/>
      <c r="R418" s="949"/>
      <c r="S418" s="949"/>
      <c r="T418" s="949"/>
      <c r="U418" s="949"/>
      <c r="V418" s="949"/>
      <c r="W418" s="949"/>
      <c r="X418" s="951"/>
      <c r="Y418" s="951"/>
      <c r="Z418" s="952"/>
      <c r="AA418" s="953"/>
      <c r="AB418" s="948"/>
      <c r="AC418" s="948"/>
      <c r="AD418" s="949"/>
      <c r="AE418" s="949"/>
      <c r="AF418" s="949"/>
      <c r="AG418" s="949"/>
      <c r="AH418" s="949"/>
      <c r="AI418" s="949"/>
      <c r="AJ418" s="949"/>
      <c r="AK418" s="949"/>
      <c r="AL418" s="949"/>
      <c r="AM418" s="949"/>
      <c r="AN418" s="949"/>
      <c r="AO418" s="949"/>
      <c r="AP418" s="949"/>
      <c r="AQ418" s="949"/>
      <c r="AR418" s="949"/>
      <c r="AS418" s="949"/>
      <c r="AT418" s="949"/>
      <c r="AU418" s="949"/>
      <c r="AV418" s="949"/>
      <c r="AW418" s="949"/>
      <c r="AX418" s="949"/>
      <c r="AY418" s="949"/>
      <c r="AZ418" s="949"/>
      <c r="BA418" s="949"/>
      <c r="BB418" s="949"/>
      <c r="BC418" s="949"/>
      <c r="BD418" s="949"/>
      <c r="BE418" s="949"/>
      <c r="BF418" s="949"/>
      <c r="BG418" s="948"/>
      <c r="BH418" s="948"/>
      <c r="BI418" s="948"/>
      <c r="BJ418" s="948"/>
      <c r="BK418" s="948"/>
      <c r="BL418" s="948"/>
      <c r="BM418" s="948"/>
      <c r="BN418" s="948"/>
      <c r="BO418" s="948"/>
      <c r="BP418" s="948"/>
      <c r="BQ418" s="948"/>
      <c r="BR418" s="948"/>
      <c r="BS418" s="948"/>
      <c r="BT418" s="948"/>
      <c r="BU418" s="954"/>
    </row>
    <row r="419" spans="1:73" ht="15.75" customHeight="1" x14ac:dyDescent="0.2">
      <c r="A419" s="947"/>
      <c r="B419" s="947"/>
      <c r="C419" s="947"/>
      <c r="D419" s="948"/>
      <c r="E419" s="948"/>
      <c r="F419" s="948"/>
      <c r="G419" s="948"/>
      <c r="H419" s="948"/>
      <c r="I419" s="948"/>
      <c r="J419" s="948"/>
      <c r="K419" s="949"/>
      <c r="L419" s="949"/>
      <c r="M419" s="949"/>
      <c r="N419" s="950"/>
      <c r="O419" s="948"/>
      <c r="P419" s="948"/>
      <c r="Q419" s="948"/>
      <c r="R419" s="949"/>
      <c r="S419" s="949"/>
      <c r="T419" s="949"/>
      <c r="U419" s="949"/>
      <c r="V419" s="949"/>
      <c r="W419" s="949"/>
      <c r="X419" s="951"/>
      <c r="Y419" s="951"/>
      <c r="Z419" s="952"/>
      <c r="AA419" s="953"/>
      <c r="AB419" s="948"/>
      <c r="AC419" s="948"/>
      <c r="AD419" s="949"/>
      <c r="AE419" s="949"/>
      <c r="AF419" s="949"/>
      <c r="AG419" s="949"/>
      <c r="AH419" s="949"/>
      <c r="AI419" s="949"/>
      <c r="AJ419" s="949"/>
      <c r="AK419" s="949"/>
      <c r="AL419" s="949"/>
      <c r="AM419" s="949"/>
      <c r="AN419" s="949"/>
      <c r="AO419" s="949"/>
      <c r="AP419" s="949"/>
      <c r="AQ419" s="949"/>
      <c r="AR419" s="949"/>
      <c r="AS419" s="949"/>
      <c r="AT419" s="949"/>
      <c r="AU419" s="949"/>
      <c r="AV419" s="949"/>
      <c r="AW419" s="949"/>
      <c r="AX419" s="949"/>
      <c r="AY419" s="949"/>
      <c r="AZ419" s="949"/>
      <c r="BA419" s="949"/>
      <c r="BB419" s="949"/>
      <c r="BC419" s="949"/>
      <c r="BD419" s="949"/>
      <c r="BE419" s="949"/>
      <c r="BF419" s="949"/>
      <c r="BG419" s="948"/>
      <c r="BH419" s="948"/>
      <c r="BI419" s="948"/>
      <c r="BJ419" s="948"/>
      <c r="BK419" s="948"/>
      <c r="BL419" s="948"/>
      <c r="BM419" s="948"/>
      <c r="BN419" s="948"/>
      <c r="BO419" s="948"/>
      <c r="BP419" s="948"/>
      <c r="BQ419" s="948"/>
      <c r="BR419" s="948"/>
      <c r="BS419" s="948"/>
      <c r="BT419" s="948"/>
      <c r="BU419" s="954"/>
    </row>
    <row r="420" spans="1:73" ht="15.75" customHeight="1" x14ac:dyDescent="0.2">
      <c r="A420" s="947"/>
      <c r="B420" s="947"/>
      <c r="C420" s="947"/>
      <c r="D420" s="948"/>
      <c r="E420" s="948"/>
      <c r="F420" s="948"/>
      <c r="G420" s="948"/>
      <c r="H420" s="948"/>
      <c r="I420" s="948"/>
      <c r="J420" s="948"/>
      <c r="K420" s="949"/>
      <c r="L420" s="949"/>
      <c r="M420" s="949"/>
      <c r="N420" s="950"/>
      <c r="O420" s="948"/>
      <c r="P420" s="948"/>
      <c r="Q420" s="948"/>
      <c r="R420" s="949"/>
      <c r="S420" s="949"/>
      <c r="T420" s="949"/>
      <c r="U420" s="949"/>
      <c r="V420" s="949"/>
      <c r="W420" s="949"/>
      <c r="X420" s="951"/>
      <c r="Y420" s="951"/>
      <c r="Z420" s="952"/>
      <c r="AA420" s="953"/>
      <c r="AB420" s="948"/>
      <c r="AC420" s="948"/>
      <c r="AD420" s="949"/>
      <c r="AE420" s="949"/>
      <c r="AF420" s="949"/>
      <c r="AG420" s="949"/>
      <c r="AH420" s="949"/>
      <c r="AI420" s="949"/>
      <c r="AJ420" s="949"/>
      <c r="AK420" s="949"/>
      <c r="AL420" s="949"/>
      <c r="AM420" s="949"/>
      <c r="AN420" s="949"/>
      <c r="AO420" s="949"/>
      <c r="AP420" s="949"/>
      <c r="AQ420" s="949"/>
      <c r="AR420" s="949"/>
      <c r="AS420" s="949"/>
      <c r="AT420" s="949"/>
      <c r="AU420" s="949"/>
      <c r="AV420" s="949"/>
      <c r="AW420" s="949"/>
      <c r="AX420" s="949"/>
      <c r="AY420" s="949"/>
      <c r="AZ420" s="949"/>
      <c r="BA420" s="949"/>
      <c r="BB420" s="949"/>
      <c r="BC420" s="949"/>
      <c r="BD420" s="949"/>
      <c r="BE420" s="949"/>
      <c r="BF420" s="949"/>
      <c r="BG420" s="948"/>
      <c r="BH420" s="948"/>
      <c r="BI420" s="948"/>
      <c r="BJ420" s="948"/>
      <c r="BK420" s="948"/>
      <c r="BL420" s="948"/>
      <c r="BM420" s="948"/>
      <c r="BN420" s="948"/>
      <c r="BO420" s="948"/>
      <c r="BP420" s="948"/>
      <c r="BQ420" s="948"/>
      <c r="BR420" s="948"/>
      <c r="BS420" s="948"/>
      <c r="BT420" s="948"/>
      <c r="BU420" s="954"/>
    </row>
    <row r="421" spans="1:73" ht="15.75" customHeight="1" x14ac:dyDescent="0.2">
      <c r="A421" s="947"/>
      <c r="B421" s="947"/>
      <c r="C421" s="947"/>
      <c r="D421" s="948"/>
      <c r="E421" s="948"/>
      <c r="F421" s="948"/>
      <c r="G421" s="948"/>
      <c r="H421" s="948"/>
      <c r="I421" s="948"/>
      <c r="J421" s="948"/>
      <c r="K421" s="949"/>
      <c r="L421" s="949"/>
      <c r="M421" s="949"/>
      <c r="N421" s="950"/>
      <c r="O421" s="948"/>
      <c r="P421" s="948"/>
      <c r="Q421" s="948"/>
      <c r="R421" s="949"/>
      <c r="S421" s="949"/>
      <c r="T421" s="949"/>
      <c r="U421" s="949"/>
      <c r="V421" s="949"/>
      <c r="W421" s="949"/>
      <c r="X421" s="951"/>
      <c r="Y421" s="951"/>
      <c r="Z421" s="952"/>
      <c r="AA421" s="953"/>
      <c r="AB421" s="948"/>
      <c r="AC421" s="948"/>
      <c r="AD421" s="949"/>
      <c r="AE421" s="949"/>
      <c r="AF421" s="949"/>
      <c r="AG421" s="949"/>
      <c r="AH421" s="949"/>
      <c r="AI421" s="949"/>
      <c r="AJ421" s="949"/>
      <c r="AK421" s="949"/>
      <c r="AL421" s="949"/>
      <c r="AM421" s="949"/>
      <c r="AN421" s="949"/>
      <c r="AO421" s="949"/>
      <c r="AP421" s="949"/>
      <c r="AQ421" s="949"/>
      <c r="AR421" s="949"/>
      <c r="AS421" s="949"/>
      <c r="AT421" s="949"/>
      <c r="AU421" s="949"/>
      <c r="AV421" s="949"/>
      <c r="AW421" s="949"/>
      <c r="AX421" s="949"/>
      <c r="AY421" s="949"/>
      <c r="AZ421" s="949"/>
      <c r="BA421" s="949"/>
      <c r="BB421" s="949"/>
      <c r="BC421" s="949"/>
      <c r="BD421" s="949"/>
      <c r="BE421" s="949"/>
      <c r="BF421" s="949"/>
      <c r="BG421" s="948"/>
      <c r="BH421" s="948"/>
      <c r="BI421" s="948"/>
      <c r="BJ421" s="948"/>
      <c r="BK421" s="948"/>
      <c r="BL421" s="948"/>
      <c r="BM421" s="948"/>
      <c r="BN421" s="948"/>
      <c r="BO421" s="948"/>
      <c r="BP421" s="948"/>
      <c r="BQ421" s="948"/>
      <c r="BR421" s="948"/>
      <c r="BS421" s="948"/>
      <c r="BT421" s="948"/>
      <c r="BU421" s="954"/>
    </row>
    <row r="422" spans="1:73" ht="15.75" customHeight="1" x14ac:dyDescent="0.2">
      <c r="A422" s="947"/>
      <c r="B422" s="947"/>
      <c r="C422" s="947"/>
      <c r="D422" s="948"/>
      <c r="E422" s="948"/>
      <c r="F422" s="948"/>
      <c r="G422" s="948"/>
      <c r="H422" s="948"/>
      <c r="I422" s="948"/>
      <c r="J422" s="948"/>
      <c r="K422" s="949"/>
      <c r="L422" s="949"/>
      <c r="M422" s="949"/>
      <c r="N422" s="950"/>
      <c r="O422" s="948"/>
      <c r="P422" s="948"/>
      <c r="Q422" s="948"/>
      <c r="R422" s="949"/>
      <c r="S422" s="949"/>
      <c r="T422" s="949"/>
      <c r="U422" s="949"/>
      <c r="V422" s="949"/>
      <c r="W422" s="949"/>
      <c r="X422" s="951"/>
      <c r="Y422" s="951"/>
      <c r="Z422" s="952"/>
      <c r="AA422" s="953"/>
      <c r="AB422" s="948"/>
      <c r="AC422" s="948"/>
      <c r="AD422" s="949"/>
      <c r="AE422" s="949"/>
      <c r="AF422" s="949"/>
      <c r="AG422" s="949"/>
      <c r="AH422" s="949"/>
      <c r="AI422" s="949"/>
      <c r="AJ422" s="949"/>
      <c r="AK422" s="949"/>
      <c r="AL422" s="949"/>
      <c r="AM422" s="949"/>
      <c r="AN422" s="949"/>
      <c r="AO422" s="949"/>
      <c r="AP422" s="949"/>
      <c r="AQ422" s="949"/>
      <c r="AR422" s="949"/>
      <c r="AS422" s="949"/>
      <c r="AT422" s="949"/>
      <c r="AU422" s="949"/>
      <c r="AV422" s="949"/>
      <c r="AW422" s="949"/>
      <c r="AX422" s="949"/>
      <c r="AY422" s="949"/>
      <c r="AZ422" s="949"/>
      <c r="BA422" s="949"/>
      <c r="BB422" s="949"/>
      <c r="BC422" s="949"/>
      <c r="BD422" s="949"/>
      <c r="BE422" s="949"/>
      <c r="BF422" s="949"/>
      <c r="BG422" s="948"/>
      <c r="BH422" s="948"/>
      <c r="BI422" s="948"/>
      <c r="BJ422" s="948"/>
      <c r="BK422" s="948"/>
      <c r="BL422" s="948"/>
      <c r="BM422" s="948"/>
      <c r="BN422" s="948"/>
      <c r="BO422" s="948"/>
      <c r="BP422" s="948"/>
      <c r="BQ422" s="948"/>
      <c r="BR422" s="948"/>
      <c r="BS422" s="948"/>
      <c r="BT422" s="948"/>
      <c r="BU422" s="954"/>
    </row>
    <row r="423" spans="1:73" ht="15.75" customHeight="1" x14ac:dyDescent="0.2">
      <c r="A423" s="947"/>
      <c r="B423" s="947"/>
      <c r="C423" s="947"/>
      <c r="D423" s="948"/>
      <c r="E423" s="948"/>
      <c r="F423" s="948"/>
      <c r="G423" s="948"/>
      <c r="H423" s="948"/>
      <c r="I423" s="948"/>
      <c r="J423" s="948"/>
      <c r="K423" s="949"/>
      <c r="L423" s="949"/>
      <c r="M423" s="949"/>
      <c r="N423" s="950"/>
      <c r="O423" s="948"/>
      <c r="P423" s="948"/>
      <c r="Q423" s="948"/>
      <c r="R423" s="949"/>
      <c r="S423" s="949"/>
      <c r="T423" s="949"/>
      <c r="U423" s="949"/>
      <c r="V423" s="949"/>
      <c r="W423" s="949"/>
      <c r="X423" s="951"/>
      <c r="Y423" s="951"/>
      <c r="Z423" s="952"/>
      <c r="AA423" s="953"/>
      <c r="AB423" s="948"/>
      <c r="AC423" s="948"/>
      <c r="AD423" s="949"/>
      <c r="AE423" s="949"/>
      <c r="AF423" s="949"/>
      <c r="AG423" s="949"/>
      <c r="AH423" s="949"/>
      <c r="AI423" s="949"/>
      <c r="AJ423" s="949"/>
      <c r="AK423" s="949"/>
      <c r="AL423" s="949"/>
      <c r="AM423" s="949"/>
      <c r="AN423" s="949"/>
      <c r="AO423" s="949"/>
      <c r="AP423" s="949"/>
      <c r="AQ423" s="949"/>
      <c r="AR423" s="949"/>
      <c r="AS423" s="949"/>
      <c r="AT423" s="949"/>
      <c r="AU423" s="949"/>
      <c r="AV423" s="949"/>
      <c r="AW423" s="949"/>
      <c r="AX423" s="949"/>
      <c r="AY423" s="949"/>
      <c r="AZ423" s="949"/>
      <c r="BA423" s="949"/>
      <c r="BB423" s="949"/>
      <c r="BC423" s="949"/>
      <c r="BD423" s="949"/>
      <c r="BE423" s="949"/>
      <c r="BF423" s="949"/>
      <c r="BG423" s="948"/>
      <c r="BH423" s="948"/>
      <c r="BI423" s="948"/>
      <c r="BJ423" s="948"/>
      <c r="BK423" s="948"/>
      <c r="BL423" s="948"/>
      <c r="BM423" s="948"/>
      <c r="BN423" s="948"/>
      <c r="BO423" s="948"/>
      <c r="BP423" s="948"/>
      <c r="BQ423" s="948"/>
      <c r="BR423" s="948"/>
      <c r="BS423" s="948"/>
      <c r="BT423" s="948"/>
      <c r="BU423" s="954"/>
    </row>
    <row r="424" spans="1:73" ht="15.75" customHeight="1" x14ac:dyDescent="0.2">
      <c r="A424" s="947"/>
      <c r="B424" s="947"/>
      <c r="C424" s="947"/>
      <c r="D424" s="948"/>
      <c r="E424" s="948"/>
      <c r="F424" s="948"/>
      <c r="G424" s="948"/>
      <c r="H424" s="948"/>
      <c r="I424" s="948"/>
      <c r="J424" s="948"/>
      <c r="K424" s="949"/>
      <c r="L424" s="949"/>
      <c r="M424" s="949"/>
      <c r="N424" s="950"/>
      <c r="O424" s="948"/>
      <c r="P424" s="948"/>
      <c r="Q424" s="948"/>
      <c r="R424" s="949"/>
      <c r="S424" s="949"/>
      <c r="T424" s="949"/>
      <c r="U424" s="949"/>
      <c r="V424" s="949"/>
      <c r="W424" s="949"/>
      <c r="X424" s="951"/>
      <c r="Y424" s="951"/>
      <c r="Z424" s="952"/>
      <c r="AA424" s="953"/>
      <c r="AB424" s="948"/>
      <c r="AC424" s="948"/>
      <c r="AD424" s="949"/>
      <c r="AE424" s="949"/>
      <c r="AF424" s="949"/>
      <c r="AG424" s="949"/>
      <c r="AH424" s="949"/>
      <c r="AI424" s="949"/>
      <c r="AJ424" s="949"/>
      <c r="AK424" s="949"/>
      <c r="AL424" s="949"/>
      <c r="AM424" s="949"/>
      <c r="AN424" s="949"/>
      <c r="AO424" s="949"/>
      <c r="AP424" s="949"/>
      <c r="AQ424" s="949"/>
      <c r="AR424" s="949"/>
      <c r="AS424" s="949"/>
      <c r="AT424" s="949"/>
      <c r="AU424" s="949"/>
      <c r="AV424" s="949"/>
      <c r="AW424" s="949"/>
      <c r="AX424" s="949"/>
      <c r="AY424" s="949"/>
      <c r="AZ424" s="949"/>
      <c r="BA424" s="949"/>
      <c r="BB424" s="949"/>
      <c r="BC424" s="949"/>
      <c r="BD424" s="949"/>
      <c r="BE424" s="949"/>
      <c r="BF424" s="949"/>
      <c r="BG424" s="948"/>
      <c r="BH424" s="948"/>
      <c r="BI424" s="948"/>
      <c r="BJ424" s="948"/>
      <c r="BK424" s="948"/>
      <c r="BL424" s="948"/>
      <c r="BM424" s="948"/>
      <c r="BN424" s="948"/>
      <c r="BO424" s="948"/>
      <c r="BP424" s="948"/>
      <c r="BQ424" s="948"/>
      <c r="BR424" s="948"/>
      <c r="BS424" s="948"/>
      <c r="BT424" s="948"/>
      <c r="BU424" s="954"/>
    </row>
    <row r="425" spans="1:73" ht="15.75" customHeight="1" x14ac:dyDescent="0.2">
      <c r="A425" s="947"/>
      <c r="B425" s="947"/>
      <c r="C425" s="947"/>
      <c r="D425" s="948"/>
      <c r="E425" s="948"/>
      <c r="F425" s="948"/>
      <c r="G425" s="948"/>
      <c r="H425" s="948"/>
      <c r="I425" s="948"/>
      <c r="J425" s="948"/>
      <c r="K425" s="949"/>
      <c r="L425" s="949"/>
      <c r="M425" s="949"/>
      <c r="N425" s="950"/>
      <c r="O425" s="948"/>
      <c r="P425" s="948"/>
      <c r="Q425" s="948"/>
      <c r="R425" s="949"/>
      <c r="S425" s="949"/>
      <c r="T425" s="949"/>
      <c r="U425" s="949"/>
      <c r="V425" s="949"/>
      <c r="W425" s="949"/>
      <c r="X425" s="951"/>
      <c r="Y425" s="951"/>
      <c r="Z425" s="952"/>
      <c r="AA425" s="953"/>
      <c r="AB425" s="948"/>
      <c r="AC425" s="948"/>
      <c r="AD425" s="949"/>
      <c r="AE425" s="949"/>
      <c r="AF425" s="949"/>
      <c r="AG425" s="949"/>
      <c r="AH425" s="949"/>
      <c r="AI425" s="949"/>
      <c r="AJ425" s="949"/>
      <c r="AK425" s="949"/>
      <c r="AL425" s="949"/>
      <c r="AM425" s="949"/>
      <c r="AN425" s="949"/>
      <c r="AO425" s="949"/>
      <c r="AP425" s="949"/>
      <c r="AQ425" s="949"/>
      <c r="AR425" s="949"/>
      <c r="AS425" s="949"/>
      <c r="AT425" s="949"/>
      <c r="AU425" s="949"/>
      <c r="AV425" s="949"/>
      <c r="AW425" s="949"/>
      <c r="AX425" s="949"/>
      <c r="AY425" s="949"/>
      <c r="AZ425" s="949"/>
      <c r="BA425" s="949"/>
      <c r="BB425" s="949"/>
      <c r="BC425" s="949"/>
      <c r="BD425" s="949"/>
      <c r="BE425" s="949"/>
      <c r="BF425" s="949"/>
      <c r="BG425" s="948"/>
      <c r="BH425" s="948"/>
      <c r="BI425" s="948"/>
      <c r="BJ425" s="948"/>
      <c r="BK425" s="948"/>
      <c r="BL425" s="948"/>
      <c r="BM425" s="948"/>
      <c r="BN425" s="948"/>
      <c r="BO425" s="948"/>
      <c r="BP425" s="948"/>
      <c r="BQ425" s="948"/>
      <c r="BR425" s="948"/>
      <c r="BS425" s="948"/>
      <c r="BT425" s="948"/>
      <c r="BU425" s="954"/>
    </row>
    <row r="426" spans="1:73" ht="15.75" customHeight="1" x14ac:dyDescent="0.2">
      <c r="A426" s="947"/>
      <c r="B426" s="947"/>
      <c r="C426" s="947"/>
      <c r="D426" s="948"/>
      <c r="E426" s="948"/>
      <c r="F426" s="948"/>
      <c r="G426" s="948"/>
      <c r="H426" s="948"/>
      <c r="I426" s="948"/>
      <c r="J426" s="948"/>
      <c r="K426" s="949"/>
      <c r="L426" s="949"/>
      <c r="M426" s="949"/>
      <c r="N426" s="950"/>
      <c r="O426" s="948"/>
      <c r="P426" s="948"/>
      <c r="Q426" s="948"/>
      <c r="R426" s="949"/>
      <c r="S426" s="949"/>
      <c r="T426" s="949"/>
      <c r="U426" s="949"/>
      <c r="V426" s="949"/>
      <c r="W426" s="949"/>
      <c r="X426" s="951"/>
      <c r="Y426" s="951"/>
      <c r="Z426" s="952"/>
      <c r="AA426" s="953"/>
      <c r="AB426" s="948"/>
      <c r="AC426" s="948"/>
      <c r="AD426" s="949"/>
      <c r="AE426" s="949"/>
      <c r="AF426" s="949"/>
      <c r="AG426" s="949"/>
      <c r="AH426" s="949"/>
      <c r="AI426" s="949"/>
      <c r="AJ426" s="949"/>
      <c r="AK426" s="949"/>
      <c r="AL426" s="949"/>
      <c r="AM426" s="949"/>
      <c r="AN426" s="949"/>
      <c r="AO426" s="949"/>
      <c r="AP426" s="949"/>
      <c r="AQ426" s="949"/>
      <c r="AR426" s="949"/>
      <c r="AS426" s="949"/>
      <c r="AT426" s="949"/>
      <c r="AU426" s="949"/>
      <c r="AV426" s="949"/>
      <c r="AW426" s="949"/>
      <c r="AX426" s="949"/>
      <c r="AY426" s="949"/>
      <c r="AZ426" s="949"/>
      <c r="BA426" s="949"/>
      <c r="BB426" s="949"/>
      <c r="BC426" s="949"/>
      <c r="BD426" s="949"/>
      <c r="BE426" s="949"/>
      <c r="BF426" s="949"/>
      <c r="BG426" s="948"/>
      <c r="BH426" s="948"/>
      <c r="BI426" s="948"/>
      <c r="BJ426" s="948"/>
      <c r="BK426" s="948"/>
      <c r="BL426" s="948"/>
      <c r="BM426" s="948"/>
      <c r="BN426" s="948"/>
      <c r="BO426" s="948"/>
      <c r="BP426" s="948"/>
      <c r="BQ426" s="948"/>
      <c r="BR426" s="948"/>
      <c r="BS426" s="948"/>
      <c r="BT426" s="948"/>
      <c r="BU426" s="954"/>
    </row>
    <row r="427" spans="1:73" ht="15.75" customHeight="1" x14ac:dyDescent="0.2">
      <c r="A427" s="947"/>
      <c r="B427" s="947"/>
      <c r="C427" s="947"/>
      <c r="D427" s="948"/>
      <c r="E427" s="948"/>
      <c r="F427" s="948"/>
      <c r="G427" s="948"/>
      <c r="H427" s="948"/>
      <c r="I427" s="948"/>
      <c r="J427" s="948"/>
      <c r="K427" s="949"/>
      <c r="L427" s="949"/>
      <c r="M427" s="949"/>
      <c r="N427" s="950"/>
      <c r="O427" s="948"/>
      <c r="P427" s="948"/>
      <c r="Q427" s="948"/>
      <c r="R427" s="949"/>
      <c r="S427" s="949"/>
      <c r="T427" s="949"/>
      <c r="U427" s="949"/>
      <c r="V427" s="949"/>
      <c r="W427" s="949"/>
      <c r="X427" s="951"/>
      <c r="Y427" s="951"/>
      <c r="Z427" s="952"/>
      <c r="AA427" s="953"/>
      <c r="AB427" s="948"/>
      <c r="AC427" s="948"/>
      <c r="AD427" s="949"/>
      <c r="AE427" s="949"/>
      <c r="AF427" s="949"/>
      <c r="AG427" s="949"/>
      <c r="AH427" s="949"/>
      <c r="AI427" s="949"/>
      <c r="AJ427" s="949"/>
      <c r="AK427" s="949"/>
      <c r="AL427" s="949"/>
      <c r="AM427" s="949"/>
      <c r="AN427" s="949"/>
      <c r="AO427" s="949"/>
      <c r="AP427" s="949"/>
      <c r="AQ427" s="949"/>
      <c r="AR427" s="949"/>
      <c r="AS427" s="949"/>
      <c r="AT427" s="949"/>
      <c r="AU427" s="949"/>
      <c r="AV427" s="949"/>
      <c r="AW427" s="949"/>
      <c r="AX427" s="949"/>
      <c r="AY427" s="949"/>
      <c r="AZ427" s="949"/>
      <c r="BA427" s="949"/>
      <c r="BB427" s="949"/>
      <c r="BC427" s="949"/>
      <c r="BD427" s="949"/>
      <c r="BE427" s="949"/>
      <c r="BF427" s="949"/>
      <c r="BG427" s="948"/>
      <c r="BH427" s="948"/>
      <c r="BI427" s="948"/>
      <c r="BJ427" s="948"/>
      <c r="BK427" s="948"/>
      <c r="BL427" s="948"/>
      <c r="BM427" s="948"/>
      <c r="BN427" s="948"/>
      <c r="BO427" s="948"/>
      <c r="BP427" s="948"/>
      <c r="BQ427" s="948"/>
      <c r="BR427" s="948"/>
      <c r="BS427" s="948"/>
      <c r="BT427" s="948"/>
      <c r="BU427" s="954"/>
    </row>
    <row r="428" spans="1:73" ht="15.75" customHeight="1" x14ac:dyDescent="0.2">
      <c r="A428" s="947"/>
      <c r="B428" s="947"/>
      <c r="C428" s="947"/>
      <c r="D428" s="948"/>
      <c r="E428" s="948"/>
      <c r="F428" s="948"/>
      <c r="G428" s="948"/>
      <c r="H428" s="948"/>
      <c r="I428" s="948"/>
      <c r="J428" s="948"/>
      <c r="K428" s="949"/>
      <c r="L428" s="949"/>
      <c r="M428" s="949"/>
      <c r="N428" s="950"/>
      <c r="O428" s="948"/>
      <c r="P428" s="948"/>
      <c r="Q428" s="948"/>
      <c r="R428" s="949"/>
      <c r="S428" s="949"/>
      <c r="T428" s="949"/>
      <c r="U428" s="949"/>
      <c r="V428" s="949"/>
      <c r="W428" s="949"/>
      <c r="X428" s="951"/>
      <c r="Y428" s="951"/>
      <c r="Z428" s="952"/>
      <c r="AA428" s="953"/>
      <c r="AB428" s="948"/>
      <c r="AC428" s="948"/>
      <c r="AD428" s="949"/>
      <c r="AE428" s="949"/>
      <c r="AF428" s="949"/>
      <c r="AG428" s="949"/>
      <c r="AH428" s="949"/>
      <c r="AI428" s="949"/>
      <c r="AJ428" s="949"/>
      <c r="AK428" s="949"/>
      <c r="AL428" s="949"/>
      <c r="AM428" s="949"/>
      <c r="AN428" s="949"/>
      <c r="AO428" s="949"/>
      <c r="AP428" s="949"/>
      <c r="AQ428" s="949"/>
      <c r="AR428" s="949"/>
      <c r="AS428" s="949"/>
      <c r="AT428" s="949"/>
      <c r="AU428" s="949"/>
      <c r="AV428" s="949"/>
      <c r="AW428" s="949"/>
      <c r="AX428" s="949"/>
      <c r="AY428" s="949"/>
      <c r="AZ428" s="949"/>
      <c r="BA428" s="949"/>
      <c r="BB428" s="949"/>
      <c r="BC428" s="949"/>
      <c r="BD428" s="949"/>
      <c r="BE428" s="949"/>
      <c r="BF428" s="949"/>
      <c r="BG428" s="948"/>
      <c r="BH428" s="948"/>
      <c r="BI428" s="948"/>
      <c r="BJ428" s="948"/>
      <c r="BK428" s="948"/>
      <c r="BL428" s="948"/>
      <c r="BM428" s="948"/>
      <c r="BN428" s="948"/>
      <c r="BO428" s="948"/>
      <c r="BP428" s="948"/>
      <c r="BQ428" s="948"/>
      <c r="BR428" s="948"/>
      <c r="BS428" s="948"/>
      <c r="BT428" s="948"/>
      <c r="BU428" s="954"/>
    </row>
    <row r="429" spans="1:73" ht="15.75" customHeight="1" x14ac:dyDescent="0.2">
      <c r="A429" s="947"/>
      <c r="B429" s="947"/>
      <c r="C429" s="947"/>
      <c r="D429" s="948"/>
      <c r="E429" s="948"/>
      <c r="F429" s="948"/>
      <c r="G429" s="948"/>
      <c r="H429" s="948"/>
      <c r="I429" s="948"/>
      <c r="J429" s="948"/>
      <c r="K429" s="949"/>
      <c r="L429" s="949"/>
      <c r="M429" s="949"/>
      <c r="N429" s="950"/>
      <c r="O429" s="948"/>
      <c r="P429" s="948"/>
      <c r="Q429" s="948"/>
      <c r="R429" s="949"/>
      <c r="S429" s="949"/>
      <c r="T429" s="949"/>
      <c r="U429" s="949"/>
      <c r="V429" s="949"/>
      <c r="W429" s="949"/>
      <c r="X429" s="951"/>
      <c r="Y429" s="951"/>
      <c r="Z429" s="952"/>
      <c r="AA429" s="953"/>
      <c r="AB429" s="948"/>
      <c r="AC429" s="948"/>
      <c r="AD429" s="949"/>
      <c r="AE429" s="949"/>
      <c r="AF429" s="949"/>
      <c r="AG429" s="949"/>
      <c r="AH429" s="949"/>
      <c r="AI429" s="949"/>
      <c r="AJ429" s="949"/>
      <c r="AK429" s="949"/>
      <c r="AL429" s="949"/>
      <c r="AM429" s="949"/>
      <c r="AN429" s="949"/>
      <c r="AO429" s="949"/>
      <c r="AP429" s="949"/>
      <c r="AQ429" s="949"/>
      <c r="AR429" s="949"/>
      <c r="AS429" s="949"/>
      <c r="AT429" s="949"/>
      <c r="AU429" s="949"/>
      <c r="AV429" s="949"/>
      <c r="AW429" s="949"/>
      <c r="AX429" s="949"/>
      <c r="AY429" s="949"/>
      <c r="AZ429" s="949"/>
      <c r="BA429" s="949"/>
      <c r="BB429" s="949"/>
      <c r="BC429" s="949"/>
      <c r="BD429" s="949"/>
      <c r="BE429" s="949"/>
      <c r="BF429" s="949"/>
      <c r="BG429" s="948"/>
      <c r="BH429" s="948"/>
      <c r="BI429" s="948"/>
      <c r="BJ429" s="948"/>
      <c r="BK429" s="948"/>
      <c r="BL429" s="948"/>
      <c r="BM429" s="948"/>
      <c r="BN429" s="948"/>
      <c r="BO429" s="948"/>
      <c r="BP429" s="948"/>
      <c r="BQ429" s="948"/>
      <c r="BR429" s="948"/>
      <c r="BS429" s="948"/>
      <c r="BT429" s="948"/>
      <c r="BU429" s="954"/>
    </row>
    <row r="430" spans="1:73" ht="15.75" customHeight="1" x14ac:dyDescent="0.2">
      <c r="A430" s="947"/>
      <c r="B430" s="947"/>
      <c r="C430" s="947"/>
      <c r="D430" s="948"/>
      <c r="E430" s="948"/>
      <c r="F430" s="948"/>
      <c r="G430" s="948"/>
      <c r="H430" s="948"/>
      <c r="I430" s="948"/>
      <c r="J430" s="948"/>
      <c r="K430" s="949"/>
      <c r="L430" s="949"/>
      <c r="M430" s="949"/>
      <c r="N430" s="950"/>
      <c r="O430" s="948"/>
      <c r="P430" s="948"/>
      <c r="Q430" s="948"/>
      <c r="R430" s="949"/>
      <c r="S430" s="949"/>
      <c r="T430" s="949"/>
      <c r="U430" s="949"/>
      <c r="V430" s="949"/>
      <c r="W430" s="949"/>
      <c r="X430" s="951"/>
      <c r="Y430" s="951"/>
      <c r="Z430" s="952"/>
      <c r="AA430" s="953"/>
      <c r="AB430" s="948"/>
      <c r="AC430" s="948"/>
      <c r="AD430" s="949"/>
      <c r="AE430" s="949"/>
      <c r="AF430" s="949"/>
      <c r="AG430" s="949"/>
      <c r="AH430" s="949"/>
      <c r="AI430" s="949"/>
      <c r="AJ430" s="949"/>
      <c r="AK430" s="949"/>
      <c r="AL430" s="949"/>
      <c r="AM430" s="949"/>
      <c r="AN430" s="949"/>
      <c r="AO430" s="949"/>
      <c r="AP430" s="949"/>
      <c r="AQ430" s="949"/>
      <c r="AR430" s="949"/>
      <c r="AS430" s="949"/>
      <c r="AT430" s="949"/>
      <c r="AU430" s="949"/>
      <c r="AV430" s="949"/>
      <c r="AW430" s="949"/>
      <c r="AX430" s="949"/>
      <c r="AY430" s="949"/>
      <c r="AZ430" s="949"/>
      <c r="BA430" s="949"/>
      <c r="BB430" s="949"/>
      <c r="BC430" s="949"/>
      <c r="BD430" s="949"/>
      <c r="BE430" s="949"/>
      <c r="BF430" s="949"/>
      <c r="BG430" s="948"/>
      <c r="BH430" s="948"/>
      <c r="BI430" s="948"/>
      <c r="BJ430" s="948"/>
      <c r="BK430" s="948"/>
      <c r="BL430" s="948"/>
      <c r="BM430" s="948"/>
      <c r="BN430" s="948"/>
      <c r="BO430" s="948"/>
      <c r="BP430" s="948"/>
      <c r="BQ430" s="948"/>
      <c r="BR430" s="948"/>
      <c r="BS430" s="948"/>
      <c r="BT430" s="948"/>
      <c r="BU430" s="954"/>
    </row>
    <row r="431" spans="1:73" ht="15.75" customHeight="1" x14ac:dyDescent="0.2">
      <c r="A431" s="947"/>
      <c r="B431" s="947"/>
      <c r="C431" s="947"/>
      <c r="D431" s="948"/>
      <c r="E431" s="948"/>
      <c r="F431" s="948"/>
      <c r="G431" s="948"/>
      <c r="H431" s="948"/>
      <c r="I431" s="948"/>
      <c r="J431" s="948"/>
      <c r="K431" s="949"/>
      <c r="L431" s="949"/>
      <c r="M431" s="949"/>
      <c r="N431" s="950"/>
      <c r="O431" s="948"/>
      <c r="P431" s="948"/>
      <c r="Q431" s="948"/>
      <c r="R431" s="949"/>
      <c r="S431" s="949"/>
      <c r="T431" s="949"/>
      <c r="U431" s="949"/>
      <c r="V431" s="949"/>
      <c r="W431" s="949"/>
      <c r="X431" s="951"/>
      <c r="Y431" s="951"/>
      <c r="Z431" s="952"/>
      <c r="AA431" s="953"/>
      <c r="AB431" s="948"/>
      <c r="AC431" s="948"/>
      <c r="AD431" s="949"/>
      <c r="AE431" s="949"/>
      <c r="AF431" s="949"/>
      <c r="AG431" s="949"/>
      <c r="AH431" s="949"/>
      <c r="AI431" s="949"/>
      <c r="AJ431" s="949"/>
      <c r="AK431" s="949"/>
      <c r="AL431" s="949"/>
      <c r="AM431" s="949"/>
      <c r="AN431" s="949"/>
      <c r="AO431" s="949"/>
      <c r="AP431" s="949"/>
      <c r="AQ431" s="949"/>
      <c r="AR431" s="949"/>
      <c r="AS431" s="949"/>
      <c r="AT431" s="949"/>
      <c r="AU431" s="949"/>
      <c r="AV431" s="949"/>
      <c r="AW431" s="949"/>
      <c r="AX431" s="949"/>
      <c r="AY431" s="949"/>
      <c r="AZ431" s="949"/>
      <c r="BA431" s="949"/>
      <c r="BB431" s="949"/>
      <c r="BC431" s="949"/>
      <c r="BD431" s="949"/>
      <c r="BE431" s="949"/>
      <c r="BF431" s="949"/>
      <c r="BG431" s="948"/>
      <c r="BH431" s="948"/>
      <c r="BI431" s="948"/>
      <c r="BJ431" s="948"/>
      <c r="BK431" s="948"/>
      <c r="BL431" s="948"/>
      <c r="BM431" s="948"/>
      <c r="BN431" s="948"/>
      <c r="BO431" s="948"/>
      <c r="BP431" s="948"/>
      <c r="BQ431" s="948"/>
      <c r="BR431" s="948"/>
      <c r="BS431" s="948"/>
      <c r="BT431" s="948"/>
      <c r="BU431" s="954"/>
    </row>
    <row r="432" spans="1:73" ht="15.75" customHeight="1" x14ac:dyDescent="0.2">
      <c r="A432" s="947"/>
      <c r="B432" s="947"/>
      <c r="C432" s="947"/>
      <c r="D432" s="948"/>
      <c r="E432" s="948"/>
      <c r="F432" s="948"/>
      <c r="G432" s="948"/>
      <c r="H432" s="948"/>
      <c r="I432" s="948"/>
      <c r="J432" s="948"/>
      <c r="K432" s="949"/>
      <c r="L432" s="949"/>
      <c r="M432" s="949"/>
      <c r="N432" s="950"/>
      <c r="O432" s="948"/>
      <c r="P432" s="948"/>
      <c r="Q432" s="948"/>
      <c r="R432" s="949"/>
      <c r="S432" s="949"/>
      <c r="T432" s="949"/>
      <c r="U432" s="949"/>
      <c r="V432" s="949"/>
      <c r="W432" s="949"/>
      <c r="X432" s="951"/>
      <c r="Y432" s="951"/>
      <c r="Z432" s="952"/>
      <c r="AA432" s="953"/>
      <c r="AB432" s="948"/>
      <c r="AC432" s="948"/>
      <c r="AD432" s="949"/>
      <c r="AE432" s="949"/>
      <c r="AF432" s="949"/>
      <c r="AG432" s="949"/>
      <c r="AH432" s="949"/>
      <c r="AI432" s="949"/>
      <c r="AJ432" s="949"/>
      <c r="AK432" s="949"/>
      <c r="AL432" s="949"/>
      <c r="AM432" s="949"/>
      <c r="AN432" s="949"/>
      <c r="AO432" s="949"/>
      <c r="AP432" s="949"/>
      <c r="AQ432" s="949"/>
      <c r="AR432" s="949"/>
      <c r="AS432" s="949"/>
      <c r="AT432" s="949"/>
      <c r="AU432" s="949"/>
      <c r="AV432" s="949"/>
      <c r="AW432" s="949"/>
      <c r="AX432" s="949"/>
      <c r="AY432" s="949"/>
      <c r="AZ432" s="949"/>
      <c r="BA432" s="949"/>
      <c r="BB432" s="949"/>
      <c r="BC432" s="949"/>
      <c r="BD432" s="949"/>
      <c r="BE432" s="949"/>
      <c r="BF432" s="949"/>
      <c r="BG432" s="948"/>
      <c r="BH432" s="948"/>
      <c r="BI432" s="948"/>
      <c r="BJ432" s="948"/>
      <c r="BK432" s="948"/>
      <c r="BL432" s="948"/>
      <c r="BM432" s="948"/>
      <c r="BN432" s="948"/>
      <c r="BO432" s="948"/>
      <c r="BP432" s="948"/>
      <c r="BQ432" s="948"/>
      <c r="BR432" s="948"/>
      <c r="BS432" s="948"/>
      <c r="BT432" s="948"/>
      <c r="BU432" s="954"/>
    </row>
    <row r="433" spans="1:73" ht="15.75" customHeight="1" x14ac:dyDescent="0.2">
      <c r="A433" s="947"/>
      <c r="B433" s="947"/>
      <c r="C433" s="947"/>
      <c r="D433" s="948"/>
      <c r="E433" s="948"/>
      <c r="F433" s="948"/>
      <c r="G433" s="948"/>
      <c r="H433" s="948"/>
      <c r="I433" s="948"/>
      <c r="J433" s="948"/>
      <c r="K433" s="949"/>
      <c r="L433" s="949"/>
      <c r="M433" s="949"/>
      <c r="N433" s="950"/>
      <c r="O433" s="948"/>
      <c r="P433" s="948"/>
      <c r="Q433" s="948"/>
      <c r="R433" s="949"/>
      <c r="S433" s="949"/>
      <c r="T433" s="949"/>
      <c r="U433" s="949"/>
      <c r="V433" s="949"/>
      <c r="W433" s="949"/>
      <c r="X433" s="951"/>
      <c r="Y433" s="951"/>
      <c r="Z433" s="952"/>
      <c r="AA433" s="953"/>
      <c r="AB433" s="948"/>
      <c r="AC433" s="948"/>
      <c r="AD433" s="949"/>
      <c r="AE433" s="949"/>
      <c r="AF433" s="949"/>
      <c r="AG433" s="949"/>
      <c r="AH433" s="949"/>
      <c r="AI433" s="949"/>
      <c r="AJ433" s="949"/>
      <c r="AK433" s="949"/>
      <c r="AL433" s="949"/>
      <c r="AM433" s="949"/>
      <c r="AN433" s="949"/>
      <c r="AO433" s="949"/>
      <c r="AP433" s="949"/>
      <c r="AQ433" s="949"/>
      <c r="AR433" s="949"/>
      <c r="AS433" s="949"/>
      <c r="AT433" s="949"/>
      <c r="AU433" s="949"/>
      <c r="AV433" s="949"/>
      <c r="AW433" s="949"/>
      <c r="AX433" s="949"/>
      <c r="AY433" s="949"/>
      <c r="AZ433" s="949"/>
      <c r="BA433" s="949"/>
      <c r="BB433" s="949"/>
      <c r="BC433" s="949"/>
      <c r="BD433" s="949"/>
      <c r="BE433" s="949"/>
      <c r="BF433" s="949"/>
      <c r="BG433" s="948"/>
      <c r="BH433" s="948"/>
      <c r="BI433" s="948"/>
      <c r="BJ433" s="948"/>
      <c r="BK433" s="948"/>
      <c r="BL433" s="948"/>
      <c r="BM433" s="948"/>
      <c r="BN433" s="948"/>
      <c r="BO433" s="948"/>
      <c r="BP433" s="948"/>
      <c r="BQ433" s="948"/>
      <c r="BR433" s="948"/>
      <c r="BS433" s="948"/>
      <c r="BT433" s="948"/>
      <c r="BU433" s="954"/>
    </row>
    <row r="434" spans="1:73" ht="15.75" customHeight="1" x14ac:dyDescent="0.2">
      <c r="A434" s="947"/>
      <c r="B434" s="947"/>
      <c r="C434" s="947"/>
      <c r="D434" s="948"/>
      <c r="E434" s="948"/>
      <c r="F434" s="948"/>
      <c r="G434" s="948"/>
      <c r="H434" s="948"/>
      <c r="I434" s="948"/>
      <c r="J434" s="948"/>
      <c r="K434" s="949"/>
      <c r="L434" s="949"/>
      <c r="M434" s="949"/>
      <c r="N434" s="950"/>
      <c r="O434" s="948"/>
      <c r="P434" s="948"/>
      <c r="Q434" s="948"/>
      <c r="R434" s="949"/>
      <c r="S434" s="949"/>
      <c r="T434" s="949"/>
      <c r="U434" s="949"/>
      <c r="V434" s="949"/>
      <c r="W434" s="949"/>
      <c r="X434" s="951"/>
      <c r="Y434" s="951"/>
      <c r="Z434" s="952"/>
      <c r="AA434" s="953"/>
      <c r="AB434" s="948"/>
      <c r="AC434" s="948"/>
      <c r="AD434" s="949"/>
      <c r="AE434" s="949"/>
      <c r="AF434" s="949"/>
      <c r="AG434" s="949"/>
      <c r="AH434" s="949"/>
      <c r="AI434" s="949"/>
      <c r="AJ434" s="949"/>
      <c r="AK434" s="949"/>
      <c r="AL434" s="949"/>
      <c r="AM434" s="949"/>
      <c r="AN434" s="949"/>
      <c r="AO434" s="949"/>
      <c r="AP434" s="949"/>
      <c r="AQ434" s="949"/>
      <c r="AR434" s="949"/>
      <c r="AS434" s="949"/>
      <c r="AT434" s="949"/>
      <c r="AU434" s="949"/>
      <c r="AV434" s="949"/>
      <c r="AW434" s="949"/>
      <c r="AX434" s="949"/>
      <c r="AY434" s="949"/>
      <c r="AZ434" s="949"/>
      <c r="BA434" s="949"/>
      <c r="BB434" s="949"/>
      <c r="BC434" s="949"/>
      <c r="BD434" s="949"/>
      <c r="BE434" s="949"/>
      <c r="BF434" s="949"/>
      <c r="BG434" s="948"/>
      <c r="BH434" s="948"/>
      <c r="BI434" s="948"/>
      <c r="BJ434" s="948"/>
      <c r="BK434" s="948"/>
      <c r="BL434" s="948"/>
      <c r="BM434" s="948"/>
      <c r="BN434" s="948"/>
      <c r="BO434" s="948"/>
      <c r="BP434" s="948"/>
      <c r="BQ434" s="948"/>
      <c r="BR434" s="948"/>
      <c r="BS434" s="948"/>
      <c r="BT434" s="948"/>
      <c r="BU434" s="954"/>
    </row>
    <row r="435" spans="1:73" ht="15.75" customHeight="1" x14ac:dyDescent="0.2">
      <c r="A435" s="947"/>
      <c r="B435" s="947"/>
      <c r="C435" s="947"/>
      <c r="D435" s="948"/>
      <c r="E435" s="948"/>
      <c r="F435" s="948"/>
      <c r="G435" s="948"/>
      <c r="H435" s="948"/>
      <c r="I435" s="948"/>
      <c r="J435" s="948"/>
      <c r="K435" s="949"/>
      <c r="L435" s="949"/>
      <c r="M435" s="949"/>
      <c r="N435" s="950"/>
      <c r="O435" s="948"/>
      <c r="P435" s="948"/>
      <c r="Q435" s="948"/>
      <c r="R435" s="949"/>
      <c r="S435" s="949"/>
      <c r="T435" s="949"/>
      <c r="U435" s="949"/>
      <c r="V435" s="949"/>
      <c r="W435" s="949"/>
      <c r="X435" s="951"/>
      <c r="Y435" s="951"/>
      <c r="Z435" s="952"/>
      <c r="AA435" s="953"/>
      <c r="AB435" s="948"/>
      <c r="AC435" s="948"/>
      <c r="AD435" s="949"/>
      <c r="AE435" s="949"/>
      <c r="AF435" s="949"/>
      <c r="AG435" s="949"/>
      <c r="AH435" s="949"/>
      <c r="AI435" s="949"/>
      <c r="AJ435" s="949"/>
      <c r="AK435" s="949"/>
      <c r="AL435" s="949"/>
      <c r="AM435" s="949"/>
      <c r="AN435" s="949"/>
      <c r="AO435" s="949"/>
      <c r="AP435" s="949"/>
      <c r="AQ435" s="949"/>
      <c r="AR435" s="949"/>
      <c r="AS435" s="949"/>
      <c r="AT435" s="949"/>
      <c r="AU435" s="949"/>
      <c r="AV435" s="949"/>
      <c r="AW435" s="949"/>
      <c r="AX435" s="949"/>
      <c r="AY435" s="949"/>
      <c r="AZ435" s="949"/>
      <c r="BA435" s="949"/>
      <c r="BB435" s="949"/>
      <c r="BC435" s="949"/>
      <c r="BD435" s="949"/>
      <c r="BE435" s="949"/>
      <c r="BF435" s="949"/>
      <c r="BG435" s="948"/>
      <c r="BH435" s="948"/>
      <c r="BI435" s="948"/>
      <c r="BJ435" s="948"/>
      <c r="BK435" s="948"/>
      <c r="BL435" s="948"/>
      <c r="BM435" s="948"/>
      <c r="BN435" s="948"/>
      <c r="BO435" s="948"/>
      <c r="BP435" s="948"/>
      <c r="BQ435" s="948"/>
      <c r="BR435" s="948"/>
      <c r="BS435" s="948"/>
      <c r="BT435" s="948"/>
      <c r="BU435" s="954"/>
    </row>
    <row r="436" spans="1:73" ht="15.75" customHeight="1" x14ac:dyDescent="0.2">
      <c r="A436" s="947"/>
      <c r="B436" s="947"/>
      <c r="C436" s="947"/>
      <c r="D436" s="948"/>
      <c r="E436" s="948"/>
      <c r="F436" s="948"/>
      <c r="G436" s="948"/>
      <c r="H436" s="948"/>
      <c r="I436" s="948"/>
      <c r="J436" s="948"/>
      <c r="K436" s="949"/>
      <c r="L436" s="949"/>
      <c r="M436" s="949"/>
      <c r="N436" s="950"/>
      <c r="O436" s="948"/>
      <c r="P436" s="948"/>
      <c r="Q436" s="948"/>
      <c r="R436" s="949"/>
      <c r="S436" s="949"/>
      <c r="T436" s="949"/>
      <c r="U436" s="949"/>
      <c r="V436" s="949"/>
      <c r="W436" s="949"/>
      <c r="X436" s="951"/>
      <c r="Y436" s="951"/>
      <c r="Z436" s="952"/>
      <c r="AA436" s="953"/>
      <c r="AB436" s="948"/>
      <c r="AC436" s="948"/>
      <c r="AD436" s="949"/>
      <c r="AE436" s="949"/>
      <c r="AF436" s="949"/>
      <c r="AG436" s="949"/>
      <c r="AH436" s="949"/>
      <c r="AI436" s="949"/>
      <c r="AJ436" s="949"/>
      <c r="AK436" s="949"/>
      <c r="AL436" s="949"/>
      <c r="AM436" s="949"/>
      <c r="AN436" s="949"/>
      <c r="AO436" s="949"/>
      <c r="AP436" s="949"/>
      <c r="AQ436" s="949"/>
      <c r="AR436" s="949"/>
      <c r="AS436" s="949"/>
      <c r="AT436" s="949"/>
      <c r="AU436" s="949"/>
      <c r="AV436" s="949"/>
      <c r="AW436" s="949"/>
      <c r="AX436" s="949"/>
      <c r="AY436" s="949"/>
      <c r="AZ436" s="949"/>
      <c r="BA436" s="949"/>
      <c r="BB436" s="949"/>
      <c r="BC436" s="949"/>
      <c r="BD436" s="949"/>
      <c r="BE436" s="949"/>
      <c r="BF436" s="949"/>
      <c r="BG436" s="948"/>
      <c r="BH436" s="948"/>
      <c r="BI436" s="948"/>
      <c r="BJ436" s="948"/>
      <c r="BK436" s="948"/>
      <c r="BL436" s="948"/>
      <c r="BM436" s="948"/>
      <c r="BN436" s="948"/>
      <c r="BO436" s="948"/>
      <c r="BP436" s="948"/>
      <c r="BQ436" s="948"/>
      <c r="BR436" s="948"/>
      <c r="BS436" s="948"/>
      <c r="BT436" s="948"/>
      <c r="BU436" s="954"/>
    </row>
    <row r="437" spans="1:73" ht="15.75" customHeight="1" x14ac:dyDescent="0.2">
      <c r="A437" s="947"/>
      <c r="B437" s="947"/>
      <c r="C437" s="947"/>
      <c r="D437" s="948"/>
      <c r="E437" s="948"/>
      <c r="F437" s="948"/>
      <c r="G437" s="948"/>
      <c r="H437" s="948"/>
      <c r="I437" s="948"/>
      <c r="J437" s="948"/>
      <c r="K437" s="949"/>
      <c r="L437" s="949"/>
      <c r="M437" s="949"/>
      <c r="N437" s="950"/>
      <c r="O437" s="948"/>
      <c r="P437" s="948"/>
      <c r="Q437" s="948"/>
      <c r="R437" s="949"/>
      <c r="S437" s="949"/>
      <c r="T437" s="949"/>
      <c r="U437" s="949"/>
      <c r="V437" s="949"/>
      <c r="W437" s="949"/>
      <c r="X437" s="951"/>
      <c r="Y437" s="951"/>
      <c r="Z437" s="952"/>
      <c r="AA437" s="953"/>
      <c r="AB437" s="948"/>
      <c r="AC437" s="948"/>
      <c r="AD437" s="949"/>
      <c r="AE437" s="949"/>
      <c r="AF437" s="949"/>
      <c r="AG437" s="949"/>
      <c r="AH437" s="949"/>
      <c r="AI437" s="949"/>
      <c r="AJ437" s="949"/>
      <c r="AK437" s="949"/>
      <c r="AL437" s="949"/>
      <c r="AM437" s="949"/>
      <c r="AN437" s="949"/>
      <c r="AO437" s="949"/>
      <c r="AP437" s="949"/>
      <c r="AQ437" s="949"/>
      <c r="AR437" s="949"/>
      <c r="AS437" s="949"/>
      <c r="AT437" s="949"/>
      <c r="AU437" s="949"/>
      <c r="AV437" s="949"/>
      <c r="AW437" s="949"/>
      <c r="AX437" s="949"/>
      <c r="AY437" s="949"/>
      <c r="AZ437" s="949"/>
      <c r="BA437" s="949"/>
      <c r="BB437" s="949"/>
      <c r="BC437" s="949"/>
      <c r="BD437" s="949"/>
      <c r="BE437" s="949"/>
      <c r="BF437" s="949"/>
      <c r="BG437" s="948"/>
      <c r="BH437" s="948"/>
      <c r="BI437" s="948"/>
      <c r="BJ437" s="948"/>
      <c r="BK437" s="948"/>
      <c r="BL437" s="948"/>
      <c r="BM437" s="948"/>
      <c r="BN437" s="948"/>
      <c r="BO437" s="948"/>
      <c r="BP437" s="948"/>
      <c r="BQ437" s="948"/>
      <c r="BR437" s="948"/>
      <c r="BS437" s="948"/>
      <c r="BT437" s="948"/>
      <c r="BU437" s="954"/>
    </row>
    <row r="438" spans="1:73" ht="15.75" customHeight="1" x14ac:dyDescent="0.2">
      <c r="A438" s="947"/>
      <c r="B438" s="947"/>
      <c r="C438" s="947"/>
      <c r="D438" s="948"/>
      <c r="E438" s="948"/>
      <c r="F438" s="948"/>
      <c r="G438" s="948"/>
      <c r="H438" s="948"/>
      <c r="I438" s="948"/>
      <c r="J438" s="948"/>
      <c r="K438" s="949"/>
      <c r="L438" s="949"/>
      <c r="M438" s="949"/>
      <c r="N438" s="950"/>
      <c r="O438" s="948"/>
      <c r="P438" s="948"/>
      <c r="Q438" s="948"/>
      <c r="R438" s="949"/>
      <c r="S438" s="949"/>
      <c r="T438" s="949"/>
      <c r="U438" s="949"/>
      <c r="V438" s="949"/>
      <c r="W438" s="949"/>
      <c r="X438" s="951"/>
      <c r="Y438" s="951"/>
      <c r="Z438" s="952"/>
      <c r="AA438" s="953"/>
      <c r="AB438" s="948"/>
      <c r="AC438" s="948"/>
      <c r="AD438" s="949"/>
      <c r="AE438" s="949"/>
      <c r="AF438" s="949"/>
      <c r="AG438" s="949"/>
      <c r="AH438" s="949"/>
      <c r="AI438" s="949"/>
      <c r="AJ438" s="949"/>
      <c r="AK438" s="949"/>
      <c r="AL438" s="949"/>
      <c r="AM438" s="949"/>
      <c r="AN438" s="949"/>
      <c r="AO438" s="949"/>
      <c r="AP438" s="949"/>
      <c r="AQ438" s="949"/>
      <c r="AR438" s="949"/>
      <c r="AS438" s="949"/>
      <c r="AT438" s="949"/>
      <c r="AU438" s="949"/>
      <c r="AV438" s="949"/>
      <c r="AW438" s="949"/>
      <c r="AX438" s="949"/>
      <c r="AY438" s="949"/>
      <c r="AZ438" s="949"/>
      <c r="BA438" s="949"/>
      <c r="BB438" s="949"/>
      <c r="BC438" s="949"/>
      <c r="BD438" s="949"/>
      <c r="BE438" s="949"/>
      <c r="BF438" s="949"/>
      <c r="BG438" s="948"/>
      <c r="BH438" s="948"/>
      <c r="BI438" s="948"/>
      <c r="BJ438" s="948"/>
      <c r="BK438" s="948"/>
      <c r="BL438" s="948"/>
      <c r="BM438" s="948"/>
      <c r="BN438" s="948"/>
      <c r="BO438" s="948"/>
      <c r="BP438" s="948"/>
      <c r="BQ438" s="948"/>
      <c r="BR438" s="948"/>
      <c r="BS438" s="948"/>
      <c r="BT438" s="948"/>
      <c r="BU438" s="954"/>
    </row>
    <row r="439" spans="1:73" ht="15.75" customHeight="1" x14ac:dyDescent="0.2">
      <c r="A439" s="947"/>
      <c r="B439" s="947"/>
      <c r="C439" s="947"/>
      <c r="D439" s="948"/>
      <c r="E439" s="948"/>
      <c r="F439" s="948"/>
      <c r="G439" s="948"/>
      <c r="H439" s="948"/>
      <c r="I439" s="948"/>
      <c r="J439" s="948"/>
      <c r="K439" s="949"/>
      <c r="L439" s="949"/>
      <c r="M439" s="949"/>
      <c r="N439" s="950"/>
      <c r="O439" s="948"/>
      <c r="P439" s="948"/>
      <c r="Q439" s="948"/>
      <c r="R439" s="949"/>
      <c r="S439" s="949"/>
      <c r="T439" s="949"/>
      <c r="U439" s="949"/>
      <c r="V439" s="949"/>
      <c r="W439" s="949"/>
      <c r="X439" s="951"/>
      <c r="Y439" s="951"/>
      <c r="Z439" s="952"/>
      <c r="AA439" s="953"/>
      <c r="AB439" s="948"/>
      <c r="AC439" s="948"/>
      <c r="AD439" s="949"/>
      <c r="AE439" s="949"/>
      <c r="AF439" s="949"/>
      <c r="AG439" s="949"/>
      <c r="AH439" s="949"/>
      <c r="AI439" s="949"/>
      <c r="AJ439" s="949"/>
      <c r="AK439" s="949"/>
      <c r="AL439" s="949"/>
      <c r="AM439" s="949"/>
      <c r="AN439" s="949"/>
      <c r="AO439" s="949"/>
      <c r="AP439" s="949"/>
      <c r="AQ439" s="949"/>
      <c r="AR439" s="949"/>
      <c r="AS439" s="949"/>
      <c r="AT439" s="949"/>
      <c r="AU439" s="949"/>
      <c r="AV439" s="949"/>
      <c r="AW439" s="949"/>
      <c r="AX439" s="949"/>
      <c r="AY439" s="949"/>
      <c r="AZ439" s="949"/>
      <c r="BA439" s="949"/>
      <c r="BB439" s="949"/>
      <c r="BC439" s="949"/>
      <c r="BD439" s="949"/>
      <c r="BE439" s="949"/>
      <c r="BF439" s="949"/>
      <c r="BG439" s="948"/>
      <c r="BH439" s="948"/>
      <c r="BI439" s="948"/>
      <c r="BJ439" s="948"/>
      <c r="BK439" s="948"/>
      <c r="BL439" s="948"/>
      <c r="BM439" s="948"/>
      <c r="BN439" s="948"/>
      <c r="BO439" s="948"/>
      <c r="BP439" s="948"/>
      <c r="BQ439" s="948"/>
      <c r="BR439" s="948"/>
      <c r="BS439" s="948"/>
      <c r="BT439" s="948"/>
      <c r="BU439" s="954"/>
    </row>
    <row r="440" spans="1:73" ht="15.75" customHeight="1" x14ac:dyDescent="0.2">
      <c r="A440" s="947"/>
      <c r="B440" s="947"/>
      <c r="C440" s="947"/>
      <c r="D440" s="948"/>
      <c r="E440" s="948"/>
      <c r="F440" s="948"/>
      <c r="G440" s="948"/>
      <c r="H440" s="948"/>
      <c r="I440" s="948"/>
      <c r="J440" s="948"/>
      <c r="K440" s="949"/>
      <c r="L440" s="949"/>
      <c r="M440" s="949"/>
      <c r="N440" s="950"/>
      <c r="O440" s="948"/>
      <c r="P440" s="948"/>
      <c r="Q440" s="948"/>
      <c r="R440" s="949"/>
      <c r="S440" s="949"/>
      <c r="T440" s="949"/>
      <c r="U440" s="949"/>
      <c r="V440" s="949"/>
      <c r="W440" s="949"/>
      <c r="X440" s="951"/>
      <c r="Y440" s="951"/>
      <c r="Z440" s="952"/>
      <c r="AA440" s="953"/>
      <c r="AB440" s="948"/>
      <c r="AC440" s="948"/>
      <c r="AD440" s="949"/>
      <c r="AE440" s="949"/>
      <c r="AF440" s="949"/>
      <c r="AG440" s="949"/>
      <c r="AH440" s="949"/>
      <c r="AI440" s="949"/>
      <c r="AJ440" s="949"/>
      <c r="AK440" s="949"/>
      <c r="AL440" s="949"/>
      <c r="AM440" s="949"/>
      <c r="AN440" s="949"/>
      <c r="AO440" s="949"/>
      <c r="AP440" s="949"/>
      <c r="AQ440" s="949"/>
      <c r="AR440" s="949"/>
      <c r="AS440" s="949"/>
      <c r="AT440" s="949"/>
      <c r="AU440" s="949"/>
      <c r="AV440" s="949"/>
      <c r="AW440" s="949"/>
      <c r="AX440" s="949"/>
      <c r="AY440" s="949"/>
      <c r="AZ440" s="949"/>
      <c r="BA440" s="949"/>
      <c r="BB440" s="949"/>
      <c r="BC440" s="949"/>
      <c r="BD440" s="949"/>
      <c r="BE440" s="949"/>
      <c r="BF440" s="949"/>
      <c r="BG440" s="948"/>
      <c r="BH440" s="948"/>
      <c r="BI440" s="948"/>
      <c r="BJ440" s="948"/>
      <c r="BK440" s="948"/>
      <c r="BL440" s="948"/>
      <c r="BM440" s="948"/>
      <c r="BN440" s="948"/>
      <c r="BO440" s="948"/>
      <c r="BP440" s="948"/>
      <c r="BQ440" s="948"/>
      <c r="BR440" s="948"/>
      <c r="BS440" s="948"/>
      <c r="BT440" s="948"/>
      <c r="BU440" s="954"/>
    </row>
    <row r="441" spans="1:73" ht="15.75" customHeight="1" x14ac:dyDescent="0.2">
      <c r="A441" s="947"/>
      <c r="B441" s="947"/>
      <c r="C441" s="947"/>
      <c r="D441" s="948"/>
      <c r="E441" s="948"/>
      <c r="F441" s="948"/>
      <c r="G441" s="948"/>
      <c r="H441" s="948"/>
      <c r="I441" s="948"/>
      <c r="J441" s="948"/>
      <c r="K441" s="949"/>
      <c r="L441" s="949"/>
      <c r="M441" s="949"/>
      <c r="N441" s="950"/>
      <c r="O441" s="948"/>
      <c r="P441" s="948"/>
      <c r="Q441" s="948"/>
      <c r="R441" s="949"/>
      <c r="S441" s="949"/>
      <c r="T441" s="949"/>
      <c r="U441" s="949"/>
      <c r="V441" s="949"/>
      <c r="W441" s="949"/>
      <c r="X441" s="951"/>
      <c r="Y441" s="951"/>
      <c r="Z441" s="952"/>
      <c r="AA441" s="953"/>
      <c r="AB441" s="948"/>
      <c r="AC441" s="948"/>
      <c r="AD441" s="949"/>
      <c r="AE441" s="949"/>
      <c r="AF441" s="949"/>
      <c r="AG441" s="949"/>
      <c r="AH441" s="949"/>
      <c r="AI441" s="949"/>
      <c r="AJ441" s="949"/>
      <c r="AK441" s="949"/>
      <c r="AL441" s="949"/>
      <c r="AM441" s="949"/>
      <c r="AN441" s="949"/>
      <c r="AO441" s="949"/>
      <c r="AP441" s="949"/>
      <c r="AQ441" s="949"/>
      <c r="AR441" s="949"/>
      <c r="AS441" s="949"/>
      <c r="AT441" s="949"/>
      <c r="AU441" s="949"/>
      <c r="AV441" s="949"/>
      <c r="AW441" s="949"/>
      <c r="AX441" s="949"/>
      <c r="AY441" s="949"/>
      <c r="AZ441" s="949"/>
      <c r="BA441" s="949"/>
      <c r="BB441" s="949"/>
      <c r="BC441" s="949"/>
      <c r="BD441" s="949"/>
      <c r="BE441" s="949"/>
      <c r="BF441" s="949"/>
      <c r="BG441" s="948"/>
      <c r="BH441" s="948"/>
      <c r="BI441" s="948"/>
      <c r="BJ441" s="948"/>
      <c r="BK441" s="948"/>
      <c r="BL441" s="948"/>
      <c r="BM441" s="948"/>
      <c r="BN441" s="948"/>
      <c r="BO441" s="948"/>
      <c r="BP441" s="948"/>
      <c r="BQ441" s="948"/>
      <c r="BR441" s="948"/>
      <c r="BS441" s="948"/>
      <c r="BT441" s="948"/>
      <c r="BU441" s="954"/>
    </row>
    <row r="442" spans="1:73" ht="15.75" customHeight="1" x14ac:dyDescent="0.2">
      <c r="A442" s="947"/>
      <c r="B442" s="947"/>
      <c r="C442" s="947"/>
      <c r="D442" s="948"/>
      <c r="E442" s="948"/>
      <c r="F442" s="948"/>
      <c r="G442" s="948"/>
      <c r="H442" s="948"/>
      <c r="I442" s="948"/>
      <c r="J442" s="948"/>
      <c r="K442" s="949"/>
      <c r="L442" s="949"/>
      <c r="M442" s="949"/>
      <c r="N442" s="950"/>
      <c r="O442" s="948"/>
      <c r="P442" s="948"/>
      <c r="Q442" s="948"/>
      <c r="R442" s="949"/>
      <c r="S442" s="949"/>
      <c r="T442" s="949"/>
      <c r="U442" s="949"/>
      <c r="V442" s="949"/>
      <c r="W442" s="949"/>
      <c r="X442" s="951"/>
      <c r="Y442" s="951"/>
      <c r="Z442" s="952"/>
      <c r="AA442" s="953"/>
      <c r="AB442" s="948"/>
      <c r="AC442" s="948"/>
      <c r="AD442" s="949"/>
      <c r="AE442" s="949"/>
      <c r="AF442" s="949"/>
      <c r="AG442" s="949"/>
      <c r="AH442" s="949"/>
      <c r="AI442" s="949"/>
      <c r="AJ442" s="949"/>
      <c r="AK442" s="949"/>
      <c r="AL442" s="949"/>
      <c r="AM442" s="949"/>
      <c r="AN442" s="949"/>
      <c r="AO442" s="949"/>
      <c r="AP442" s="949"/>
      <c r="AQ442" s="949"/>
      <c r="AR442" s="949"/>
      <c r="AS442" s="949"/>
      <c r="AT442" s="949"/>
      <c r="AU442" s="949"/>
      <c r="AV442" s="949"/>
      <c r="AW442" s="949"/>
      <c r="AX442" s="949"/>
      <c r="AY442" s="949"/>
      <c r="AZ442" s="949"/>
      <c r="BA442" s="949"/>
      <c r="BB442" s="949"/>
      <c r="BC442" s="949"/>
      <c r="BD442" s="949"/>
      <c r="BE442" s="949"/>
      <c r="BF442" s="949"/>
      <c r="BG442" s="948"/>
      <c r="BH442" s="948"/>
      <c r="BI442" s="948"/>
      <c r="BJ442" s="948"/>
      <c r="BK442" s="948"/>
      <c r="BL442" s="948"/>
      <c r="BM442" s="948"/>
      <c r="BN442" s="948"/>
      <c r="BO442" s="948"/>
      <c r="BP442" s="948"/>
      <c r="BQ442" s="948"/>
      <c r="BR442" s="948"/>
      <c r="BS442" s="948"/>
      <c r="BT442" s="948"/>
      <c r="BU442" s="954"/>
    </row>
    <row r="443" spans="1:73" ht="15.75" customHeight="1" x14ac:dyDescent="0.2">
      <c r="A443" s="947"/>
      <c r="B443" s="947"/>
      <c r="C443" s="947"/>
      <c r="D443" s="948"/>
      <c r="E443" s="948"/>
      <c r="F443" s="948"/>
      <c r="G443" s="948"/>
      <c r="H443" s="948"/>
      <c r="I443" s="948"/>
      <c r="J443" s="948"/>
      <c r="K443" s="949"/>
      <c r="L443" s="949"/>
      <c r="M443" s="949"/>
      <c r="N443" s="950"/>
      <c r="O443" s="948"/>
      <c r="P443" s="948"/>
      <c r="Q443" s="948"/>
      <c r="R443" s="949"/>
      <c r="S443" s="949"/>
      <c r="T443" s="949"/>
      <c r="U443" s="949"/>
      <c r="V443" s="949"/>
      <c r="W443" s="949"/>
      <c r="X443" s="951"/>
      <c r="Y443" s="951"/>
      <c r="Z443" s="952"/>
      <c r="AA443" s="953"/>
      <c r="AB443" s="948"/>
      <c r="AC443" s="948"/>
      <c r="AD443" s="949"/>
      <c r="AE443" s="949"/>
      <c r="AF443" s="949"/>
      <c r="AG443" s="949"/>
      <c r="AH443" s="949"/>
      <c r="AI443" s="949"/>
      <c r="AJ443" s="949"/>
      <c r="AK443" s="949"/>
      <c r="AL443" s="949"/>
      <c r="AM443" s="949"/>
      <c r="AN443" s="949"/>
      <c r="AO443" s="949"/>
      <c r="AP443" s="949"/>
      <c r="AQ443" s="949"/>
      <c r="AR443" s="949"/>
      <c r="AS443" s="949"/>
      <c r="AT443" s="949"/>
      <c r="AU443" s="949"/>
      <c r="AV443" s="949"/>
      <c r="AW443" s="949"/>
      <c r="AX443" s="949"/>
      <c r="AY443" s="949"/>
      <c r="AZ443" s="949"/>
      <c r="BA443" s="949"/>
      <c r="BB443" s="949"/>
      <c r="BC443" s="949"/>
      <c r="BD443" s="949"/>
      <c r="BE443" s="949"/>
      <c r="BF443" s="949"/>
      <c r="BG443" s="948"/>
      <c r="BH443" s="948"/>
      <c r="BI443" s="948"/>
      <c r="BJ443" s="948"/>
      <c r="BK443" s="948"/>
      <c r="BL443" s="948"/>
      <c r="BM443" s="948"/>
      <c r="BN443" s="948"/>
      <c r="BO443" s="948"/>
      <c r="BP443" s="948"/>
      <c r="BQ443" s="948"/>
      <c r="BR443" s="948"/>
      <c r="BS443" s="948"/>
      <c r="BT443" s="948"/>
      <c r="BU443" s="954"/>
    </row>
    <row r="444" spans="1:73" ht="15.75" customHeight="1" x14ac:dyDescent="0.2">
      <c r="A444" s="947"/>
      <c r="B444" s="947"/>
      <c r="C444" s="947"/>
      <c r="D444" s="948"/>
      <c r="E444" s="948"/>
      <c r="F444" s="948"/>
      <c r="G444" s="948"/>
      <c r="H444" s="948"/>
      <c r="I444" s="948"/>
      <c r="J444" s="948"/>
      <c r="K444" s="949"/>
      <c r="L444" s="949"/>
      <c r="M444" s="949"/>
      <c r="N444" s="950"/>
      <c r="O444" s="948"/>
      <c r="P444" s="948"/>
      <c r="Q444" s="948"/>
      <c r="R444" s="949"/>
      <c r="S444" s="949"/>
      <c r="T444" s="949"/>
      <c r="U444" s="949"/>
      <c r="V444" s="949"/>
      <c r="W444" s="949"/>
      <c r="X444" s="951"/>
      <c r="Y444" s="951"/>
      <c r="Z444" s="952"/>
      <c r="AA444" s="953"/>
      <c r="AB444" s="948"/>
      <c r="AC444" s="948"/>
      <c r="AD444" s="949"/>
      <c r="AE444" s="949"/>
      <c r="AF444" s="949"/>
      <c r="AG444" s="949"/>
      <c r="AH444" s="949"/>
      <c r="AI444" s="949"/>
      <c r="AJ444" s="949"/>
      <c r="AK444" s="949"/>
      <c r="AL444" s="949"/>
      <c r="AM444" s="949"/>
      <c r="AN444" s="949"/>
      <c r="AO444" s="949"/>
      <c r="AP444" s="949"/>
      <c r="AQ444" s="949"/>
      <c r="AR444" s="949"/>
      <c r="AS444" s="949"/>
      <c r="AT444" s="949"/>
      <c r="AU444" s="949"/>
      <c r="AV444" s="949"/>
      <c r="AW444" s="949"/>
      <c r="AX444" s="949"/>
      <c r="AY444" s="949"/>
      <c r="AZ444" s="949"/>
      <c r="BA444" s="949"/>
      <c r="BB444" s="949"/>
      <c r="BC444" s="949"/>
      <c r="BD444" s="949"/>
      <c r="BE444" s="949"/>
      <c r="BF444" s="949"/>
      <c r="BG444" s="948"/>
      <c r="BH444" s="948"/>
      <c r="BI444" s="948"/>
      <c r="BJ444" s="948"/>
      <c r="BK444" s="948"/>
      <c r="BL444" s="948"/>
      <c r="BM444" s="948"/>
      <c r="BN444" s="948"/>
      <c r="BO444" s="948"/>
      <c r="BP444" s="948"/>
      <c r="BQ444" s="948"/>
      <c r="BR444" s="948"/>
      <c r="BS444" s="948"/>
      <c r="BT444" s="948"/>
      <c r="BU444" s="954"/>
    </row>
    <row r="445" spans="1:73" ht="15.75" customHeight="1" x14ac:dyDescent="0.2">
      <c r="A445" s="947"/>
      <c r="B445" s="947"/>
      <c r="C445" s="947"/>
      <c r="D445" s="948"/>
      <c r="E445" s="948"/>
      <c r="F445" s="948"/>
      <c r="G445" s="948"/>
      <c r="H445" s="948"/>
      <c r="I445" s="948"/>
      <c r="J445" s="948"/>
      <c r="K445" s="949"/>
      <c r="L445" s="949"/>
      <c r="M445" s="949"/>
      <c r="N445" s="950"/>
      <c r="O445" s="948"/>
      <c r="P445" s="948"/>
      <c r="Q445" s="948"/>
      <c r="R445" s="949"/>
      <c r="S445" s="949"/>
      <c r="T445" s="949"/>
      <c r="U445" s="949"/>
      <c r="V445" s="949"/>
      <c r="W445" s="949"/>
      <c r="X445" s="951"/>
      <c r="Y445" s="951"/>
      <c r="Z445" s="952"/>
      <c r="AA445" s="953"/>
      <c r="AB445" s="948"/>
      <c r="AC445" s="948"/>
      <c r="AD445" s="949"/>
      <c r="AE445" s="949"/>
      <c r="AF445" s="949"/>
      <c r="AG445" s="949"/>
      <c r="AH445" s="949"/>
      <c r="AI445" s="949"/>
      <c r="AJ445" s="949"/>
      <c r="AK445" s="949"/>
      <c r="AL445" s="949"/>
      <c r="AM445" s="949"/>
      <c r="AN445" s="949"/>
      <c r="AO445" s="949"/>
      <c r="AP445" s="949"/>
      <c r="AQ445" s="949"/>
      <c r="AR445" s="949"/>
      <c r="AS445" s="949"/>
      <c r="AT445" s="949"/>
      <c r="AU445" s="949"/>
      <c r="AV445" s="949"/>
      <c r="AW445" s="949"/>
      <c r="AX445" s="949"/>
      <c r="AY445" s="949"/>
      <c r="AZ445" s="949"/>
      <c r="BA445" s="949"/>
      <c r="BB445" s="949"/>
      <c r="BC445" s="949"/>
      <c r="BD445" s="949"/>
      <c r="BE445" s="949"/>
      <c r="BF445" s="949"/>
      <c r="BG445" s="948"/>
      <c r="BH445" s="948"/>
      <c r="BI445" s="948"/>
      <c r="BJ445" s="948"/>
      <c r="BK445" s="948"/>
      <c r="BL445" s="948"/>
      <c r="BM445" s="948"/>
      <c r="BN445" s="948"/>
      <c r="BO445" s="948"/>
      <c r="BP445" s="948"/>
      <c r="BQ445" s="948"/>
      <c r="BR445" s="948"/>
      <c r="BS445" s="948"/>
      <c r="BT445" s="948"/>
      <c r="BU445" s="954"/>
    </row>
    <row r="446" spans="1:73" ht="15.75" customHeight="1" x14ac:dyDescent="0.2">
      <c r="A446" s="947"/>
      <c r="B446" s="947"/>
      <c r="C446" s="947"/>
      <c r="D446" s="948"/>
      <c r="E446" s="948"/>
      <c r="F446" s="948"/>
      <c r="G446" s="948"/>
      <c r="H446" s="948"/>
      <c r="I446" s="948"/>
      <c r="J446" s="948"/>
      <c r="K446" s="949"/>
      <c r="L446" s="949"/>
      <c r="M446" s="949"/>
      <c r="N446" s="950"/>
      <c r="O446" s="948"/>
      <c r="P446" s="948"/>
      <c r="Q446" s="948"/>
      <c r="R446" s="949"/>
      <c r="S446" s="949"/>
      <c r="T446" s="949"/>
      <c r="U446" s="949"/>
      <c r="V446" s="949"/>
      <c r="W446" s="949"/>
      <c r="X446" s="951"/>
      <c r="Y446" s="951"/>
      <c r="Z446" s="952"/>
      <c r="AA446" s="953"/>
      <c r="AB446" s="948"/>
      <c r="AC446" s="948"/>
      <c r="AD446" s="949"/>
      <c r="AE446" s="949"/>
      <c r="AF446" s="949"/>
      <c r="AG446" s="949"/>
      <c r="AH446" s="949"/>
      <c r="AI446" s="949"/>
      <c r="AJ446" s="949"/>
      <c r="AK446" s="949"/>
      <c r="AL446" s="949"/>
      <c r="AM446" s="949"/>
      <c r="AN446" s="949"/>
      <c r="AO446" s="949"/>
      <c r="AP446" s="949"/>
      <c r="AQ446" s="949"/>
      <c r="AR446" s="949"/>
      <c r="AS446" s="949"/>
      <c r="AT446" s="949"/>
      <c r="AU446" s="949"/>
      <c r="AV446" s="949"/>
      <c r="AW446" s="949"/>
      <c r="AX446" s="949"/>
      <c r="AY446" s="949"/>
      <c r="AZ446" s="949"/>
      <c r="BA446" s="949"/>
      <c r="BB446" s="949"/>
      <c r="BC446" s="949"/>
      <c r="BD446" s="949"/>
      <c r="BE446" s="949"/>
      <c r="BF446" s="949"/>
      <c r="BG446" s="948"/>
      <c r="BH446" s="948"/>
      <c r="BI446" s="948"/>
      <c r="BJ446" s="948"/>
      <c r="BK446" s="948"/>
      <c r="BL446" s="948"/>
      <c r="BM446" s="948"/>
      <c r="BN446" s="948"/>
      <c r="BO446" s="948"/>
      <c r="BP446" s="948"/>
      <c r="BQ446" s="948"/>
      <c r="BR446" s="948"/>
      <c r="BS446" s="948"/>
      <c r="BT446" s="948"/>
      <c r="BU446" s="954"/>
    </row>
    <row r="447" spans="1:73" ht="15.75" customHeight="1" x14ac:dyDescent="0.2">
      <c r="A447" s="947"/>
      <c r="B447" s="947"/>
      <c r="C447" s="947"/>
      <c r="D447" s="948"/>
      <c r="E447" s="948"/>
      <c r="F447" s="948"/>
      <c r="G447" s="948"/>
      <c r="H447" s="948"/>
      <c r="I447" s="948"/>
      <c r="J447" s="948"/>
      <c r="K447" s="949"/>
      <c r="L447" s="949"/>
      <c r="M447" s="949"/>
      <c r="N447" s="950"/>
      <c r="O447" s="948"/>
      <c r="P447" s="948"/>
      <c r="Q447" s="948"/>
      <c r="R447" s="949"/>
      <c r="S447" s="949"/>
      <c r="T447" s="949"/>
      <c r="U447" s="949"/>
      <c r="V447" s="949"/>
      <c r="W447" s="949"/>
      <c r="X447" s="951"/>
      <c r="Y447" s="951"/>
      <c r="Z447" s="952"/>
      <c r="AA447" s="953"/>
      <c r="AB447" s="948"/>
      <c r="AC447" s="948"/>
      <c r="AD447" s="949"/>
      <c r="AE447" s="949"/>
      <c r="AF447" s="949"/>
      <c r="AG447" s="949"/>
      <c r="AH447" s="949"/>
      <c r="AI447" s="949"/>
      <c r="AJ447" s="949"/>
      <c r="AK447" s="949"/>
      <c r="AL447" s="949"/>
      <c r="AM447" s="949"/>
      <c r="AN447" s="949"/>
      <c r="AO447" s="949"/>
      <c r="AP447" s="949"/>
      <c r="AQ447" s="949"/>
      <c r="AR447" s="949"/>
      <c r="AS447" s="949"/>
      <c r="AT447" s="949"/>
      <c r="AU447" s="949"/>
      <c r="AV447" s="949"/>
      <c r="AW447" s="949"/>
      <c r="AX447" s="949"/>
      <c r="AY447" s="949"/>
      <c r="AZ447" s="949"/>
      <c r="BA447" s="949"/>
      <c r="BB447" s="949"/>
      <c r="BC447" s="949"/>
      <c r="BD447" s="949"/>
      <c r="BE447" s="949"/>
      <c r="BF447" s="949"/>
      <c r="BG447" s="948"/>
      <c r="BH447" s="948"/>
      <c r="BI447" s="948"/>
      <c r="BJ447" s="948"/>
      <c r="BK447" s="948"/>
      <c r="BL447" s="948"/>
      <c r="BM447" s="948"/>
      <c r="BN447" s="948"/>
      <c r="BO447" s="948"/>
      <c r="BP447" s="948"/>
      <c r="BQ447" s="948"/>
      <c r="BR447" s="948"/>
      <c r="BS447" s="948"/>
      <c r="BT447" s="948"/>
      <c r="BU447" s="954"/>
    </row>
    <row r="448" spans="1:73" ht="15.75" customHeight="1" x14ac:dyDescent="0.2">
      <c r="A448" s="947"/>
      <c r="B448" s="947"/>
      <c r="C448" s="947"/>
      <c r="D448" s="948"/>
      <c r="E448" s="948"/>
      <c r="F448" s="948"/>
      <c r="G448" s="948"/>
      <c r="H448" s="948"/>
      <c r="I448" s="948"/>
      <c r="J448" s="948"/>
      <c r="K448" s="949"/>
      <c r="L448" s="949"/>
      <c r="M448" s="949"/>
      <c r="N448" s="950"/>
      <c r="O448" s="948"/>
      <c r="P448" s="948"/>
      <c r="Q448" s="948"/>
      <c r="R448" s="949"/>
      <c r="S448" s="949"/>
      <c r="T448" s="949"/>
      <c r="U448" s="949"/>
      <c r="V448" s="949"/>
      <c r="W448" s="949"/>
      <c r="X448" s="951"/>
      <c r="Y448" s="951"/>
      <c r="Z448" s="952"/>
      <c r="AA448" s="953"/>
      <c r="AB448" s="948"/>
      <c r="AC448" s="948"/>
      <c r="AD448" s="949"/>
      <c r="AE448" s="949"/>
      <c r="AF448" s="949"/>
      <c r="AG448" s="949"/>
      <c r="AH448" s="949"/>
      <c r="AI448" s="949"/>
      <c r="AJ448" s="949"/>
      <c r="AK448" s="949"/>
      <c r="AL448" s="949"/>
      <c r="AM448" s="949"/>
      <c r="AN448" s="949"/>
      <c r="AO448" s="949"/>
      <c r="AP448" s="949"/>
      <c r="AQ448" s="949"/>
      <c r="AR448" s="949"/>
      <c r="AS448" s="949"/>
      <c r="AT448" s="949"/>
      <c r="AU448" s="949"/>
      <c r="AV448" s="949"/>
      <c r="AW448" s="949"/>
      <c r="AX448" s="949"/>
      <c r="AY448" s="949"/>
      <c r="AZ448" s="949"/>
      <c r="BA448" s="949"/>
      <c r="BB448" s="949"/>
      <c r="BC448" s="949"/>
      <c r="BD448" s="949"/>
      <c r="BE448" s="949"/>
      <c r="BF448" s="949"/>
      <c r="BG448" s="948"/>
      <c r="BH448" s="948"/>
      <c r="BI448" s="948"/>
      <c r="BJ448" s="948"/>
      <c r="BK448" s="948"/>
      <c r="BL448" s="948"/>
      <c r="BM448" s="948"/>
      <c r="BN448" s="948"/>
      <c r="BO448" s="948"/>
      <c r="BP448" s="948"/>
      <c r="BQ448" s="948"/>
      <c r="BR448" s="948"/>
      <c r="BS448" s="948"/>
      <c r="BT448" s="948"/>
      <c r="BU448" s="954"/>
    </row>
    <row r="449" spans="1:73" ht="15.75" customHeight="1" x14ac:dyDescent="0.2">
      <c r="A449" s="947"/>
      <c r="B449" s="947"/>
      <c r="C449" s="947"/>
      <c r="D449" s="948"/>
      <c r="E449" s="948"/>
      <c r="F449" s="948"/>
      <c r="G449" s="948"/>
      <c r="H449" s="948"/>
      <c r="I449" s="948"/>
      <c r="J449" s="948"/>
      <c r="K449" s="949"/>
      <c r="L449" s="949"/>
      <c r="M449" s="949"/>
      <c r="N449" s="950"/>
      <c r="O449" s="948"/>
      <c r="P449" s="948"/>
      <c r="Q449" s="948"/>
      <c r="R449" s="949"/>
      <c r="S449" s="949"/>
      <c r="T449" s="949"/>
      <c r="U449" s="949"/>
      <c r="V449" s="949"/>
      <c r="W449" s="949"/>
      <c r="X449" s="951"/>
      <c r="Y449" s="951"/>
      <c r="Z449" s="952"/>
      <c r="AA449" s="953"/>
      <c r="AB449" s="948"/>
      <c r="AC449" s="948"/>
      <c r="AD449" s="949"/>
      <c r="AE449" s="949"/>
      <c r="AF449" s="949"/>
      <c r="AG449" s="949"/>
      <c r="AH449" s="949"/>
      <c r="AI449" s="949"/>
      <c r="AJ449" s="949"/>
      <c r="AK449" s="949"/>
      <c r="AL449" s="949"/>
      <c r="AM449" s="949"/>
      <c r="AN449" s="949"/>
      <c r="AO449" s="949"/>
      <c r="AP449" s="949"/>
      <c r="AQ449" s="949"/>
      <c r="AR449" s="949"/>
      <c r="AS449" s="949"/>
      <c r="AT449" s="949"/>
      <c r="AU449" s="949"/>
      <c r="AV449" s="949"/>
      <c r="AW449" s="949"/>
      <c r="AX449" s="949"/>
      <c r="AY449" s="949"/>
      <c r="AZ449" s="949"/>
      <c r="BA449" s="949"/>
      <c r="BB449" s="949"/>
      <c r="BC449" s="949"/>
      <c r="BD449" s="949"/>
      <c r="BE449" s="949"/>
      <c r="BF449" s="949"/>
      <c r="BG449" s="948"/>
      <c r="BH449" s="948"/>
      <c r="BI449" s="948"/>
      <c r="BJ449" s="948"/>
      <c r="BK449" s="948"/>
      <c r="BL449" s="948"/>
      <c r="BM449" s="948"/>
      <c r="BN449" s="948"/>
      <c r="BO449" s="948"/>
      <c r="BP449" s="948"/>
      <c r="BQ449" s="948"/>
      <c r="BR449" s="948"/>
      <c r="BS449" s="948"/>
      <c r="BT449" s="948"/>
      <c r="BU449" s="954"/>
    </row>
    <row r="450" spans="1:73" ht="15.75" customHeight="1" x14ac:dyDescent="0.2">
      <c r="A450" s="947"/>
      <c r="B450" s="947"/>
      <c r="C450" s="947"/>
      <c r="D450" s="948"/>
      <c r="E450" s="948"/>
      <c r="F450" s="948"/>
      <c r="G450" s="948"/>
      <c r="H450" s="948"/>
      <c r="I450" s="948"/>
      <c r="J450" s="948"/>
      <c r="K450" s="949"/>
      <c r="L450" s="949"/>
      <c r="M450" s="949"/>
      <c r="N450" s="950"/>
      <c r="O450" s="948"/>
      <c r="P450" s="948"/>
      <c r="Q450" s="948"/>
      <c r="R450" s="949"/>
      <c r="S450" s="949"/>
      <c r="T450" s="949"/>
      <c r="U450" s="949"/>
      <c r="V450" s="949"/>
      <c r="W450" s="949"/>
      <c r="X450" s="951"/>
      <c r="Y450" s="951"/>
      <c r="Z450" s="952"/>
      <c r="AA450" s="953"/>
      <c r="AB450" s="948"/>
      <c r="AC450" s="948"/>
      <c r="AD450" s="949"/>
      <c r="AE450" s="949"/>
      <c r="AF450" s="949"/>
      <c r="AG450" s="949"/>
      <c r="AH450" s="949"/>
      <c r="AI450" s="949"/>
      <c r="AJ450" s="949"/>
      <c r="AK450" s="949"/>
      <c r="AL450" s="949"/>
      <c r="AM450" s="949"/>
      <c r="AN450" s="949"/>
      <c r="AO450" s="949"/>
      <c r="AP450" s="949"/>
      <c r="AQ450" s="949"/>
      <c r="AR450" s="949"/>
      <c r="AS450" s="949"/>
      <c r="AT450" s="949"/>
      <c r="AU450" s="949"/>
      <c r="AV450" s="949"/>
      <c r="AW450" s="949"/>
      <c r="AX450" s="949"/>
      <c r="AY450" s="949"/>
      <c r="AZ450" s="949"/>
      <c r="BA450" s="949"/>
      <c r="BB450" s="949"/>
      <c r="BC450" s="949"/>
      <c r="BD450" s="949"/>
      <c r="BE450" s="949"/>
      <c r="BF450" s="949"/>
      <c r="BG450" s="948"/>
      <c r="BH450" s="948"/>
      <c r="BI450" s="948"/>
      <c r="BJ450" s="948"/>
      <c r="BK450" s="948"/>
      <c r="BL450" s="948"/>
      <c r="BM450" s="948"/>
      <c r="BN450" s="948"/>
      <c r="BO450" s="948"/>
      <c r="BP450" s="948"/>
      <c r="BQ450" s="948"/>
      <c r="BR450" s="948"/>
      <c r="BS450" s="948"/>
      <c r="BT450" s="948"/>
      <c r="BU450" s="954"/>
    </row>
    <row r="451" spans="1:73" ht="15.75" customHeight="1" x14ac:dyDescent="0.2">
      <c r="A451" s="947"/>
      <c r="B451" s="947"/>
      <c r="C451" s="947"/>
      <c r="D451" s="948"/>
      <c r="E451" s="948"/>
      <c r="F451" s="948"/>
      <c r="G451" s="948"/>
      <c r="H451" s="948"/>
      <c r="I451" s="948"/>
      <c r="J451" s="948"/>
      <c r="K451" s="949"/>
      <c r="L451" s="949"/>
      <c r="M451" s="949"/>
      <c r="N451" s="950"/>
      <c r="O451" s="948"/>
      <c r="P451" s="948"/>
      <c r="Q451" s="948"/>
      <c r="R451" s="949"/>
      <c r="S451" s="949"/>
      <c r="T451" s="949"/>
      <c r="U451" s="949"/>
      <c r="V451" s="949"/>
      <c r="W451" s="949"/>
      <c r="X451" s="951"/>
      <c r="Y451" s="951"/>
      <c r="Z451" s="952"/>
      <c r="AA451" s="953"/>
      <c r="AB451" s="948"/>
      <c r="AC451" s="948"/>
      <c r="AD451" s="949"/>
      <c r="AE451" s="949"/>
      <c r="AF451" s="949"/>
      <c r="AG451" s="949"/>
      <c r="AH451" s="949"/>
      <c r="AI451" s="949"/>
      <c r="AJ451" s="949"/>
      <c r="AK451" s="949"/>
      <c r="AL451" s="949"/>
      <c r="AM451" s="949"/>
      <c r="AN451" s="949"/>
      <c r="AO451" s="949"/>
      <c r="AP451" s="949"/>
      <c r="AQ451" s="949"/>
      <c r="AR451" s="949"/>
      <c r="AS451" s="949"/>
      <c r="AT451" s="949"/>
      <c r="AU451" s="949"/>
      <c r="AV451" s="949"/>
      <c r="AW451" s="949"/>
      <c r="AX451" s="949"/>
      <c r="AY451" s="949"/>
      <c r="AZ451" s="949"/>
      <c r="BA451" s="949"/>
      <c r="BB451" s="949"/>
      <c r="BC451" s="949"/>
      <c r="BD451" s="949"/>
      <c r="BE451" s="949"/>
      <c r="BF451" s="949"/>
      <c r="BG451" s="948"/>
      <c r="BH451" s="948"/>
      <c r="BI451" s="948"/>
      <c r="BJ451" s="948"/>
      <c r="BK451" s="948"/>
      <c r="BL451" s="948"/>
      <c r="BM451" s="948"/>
      <c r="BN451" s="948"/>
      <c r="BO451" s="948"/>
      <c r="BP451" s="948"/>
      <c r="BQ451" s="948"/>
      <c r="BR451" s="948"/>
      <c r="BS451" s="948"/>
      <c r="BT451" s="948"/>
      <c r="BU451" s="954"/>
    </row>
    <row r="452" spans="1:73" ht="15.75" customHeight="1" x14ac:dyDescent="0.2">
      <c r="A452" s="947"/>
      <c r="B452" s="947"/>
      <c r="C452" s="947"/>
      <c r="D452" s="948"/>
      <c r="E452" s="948"/>
      <c r="F452" s="948"/>
      <c r="G452" s="948"/>
      <c r="H452" s="948"/>
      <c r="I452" s="948"/>
      <c r="J452" s="948"/>
      <c r="K452" s="949"/>
      <c r="L452" s="949"/>
      <c r="M452" s="949"/>
      <c r="N452" s="950"/>
      <c r="O452" s="948"/>
      <c r="P452" s="948"/>
      <c r="Q452" s="948"/>
      <c r="R452" s="949"/>
      <c r="S452" s="949"/>
      <c r="T452" s="949"/>
      <c r="U452" s="949"/>
      <c r="V452" s="949"/>
      <c r="W452" s="949"/>
      <c r="X452" s="951"/>
      <c r="Y452" s="951"/>
      <c r="Z452" s="952"/>
      <c r="AA452" s="953"/>
      <c r="AB452" s="948"/>
      <c r="AC452" s="948"/>
      <c r="AD452" s="949"/>
      <c r="AE452" s="949"/>
      <c r="AF452" s="949"/>
      <c r="AG452" s="949"/>
      <c r="AH452" s="949"/>
      <c r="AI452" s="949"/>
      <c r="AJ452" s="949"/>
      <c r="AK452" s="949"/>
      <c r="AL452" s="949"/>
      <c r="AM452" s="949"/>
      <c r="AN452" s="949"/>
      <c r="AO452" s="949"/>
      <c r="AP452" s="949"/>
      <c r="AQ452" s="949"/>
      <c r="AR452" s="949"/>
      <c r="AS452" s="949"/>
      <c r="AT452" s="949"/>
      <c r="AU452" s="949"/>
      <c r="AV452" s="949"/>
      <c r="AW452" s="949"/>
      <c r="AX452" s="949"/>
      <c r="AY452" s="949"/>
      <c r="AZ452" s="949"/>
      <c r="BA452" s="949"/>
      <c r="BB452" s="949"/>
      <c r="BC452" s="949"/>
      <c r="BD452" s="949"/>
      <c r="BE452" s="949"/>
      <c r="BF452" s="949"/>
      <c r="BG452" s="948"/>
      <c r="BH452" s="948"/>
      <c r="BI452" s="948"/>
      <c r="BJ452" s="948"/>
      <c r="BK452" s="948"/>
      <c r="BL452" s="948"/>
      <c r="BM452" s="948"/>
      <c r="BN452" s="948"/>
      <c r="BO452" s="948"/>
      <c r="BP452" s="948"/>
      <c r="BQ452" s="948"/>
      <c r="BR452" s="948"/>
      <c r="BS452" s="948"/>
      <c r="BT452" s="948"/>
      <c r="BU452" s="954"/>
    </row>
    <row r="453" spans="1:73" ht="15.75" customHeight="1" x14ac:dyDescent="0.2">
      <c r="A453" s="947"/>
      <c r="B453" s="947"/>
      <c r="C453" s="947"/>
      <c r="D453" s="948"/>
      <c r="E453" s="948"/>
      <c r="F453" s="948"/>
      <c r="G453" s="948"/>
      <c r="H453" s="948"/>
      <c r="I453" s="948"/>
      <c r="J453" s="948"/>
      <c r="K453" s="949"/>
      <c r="L453" s="949"/>
      <c r="M453" s="949"/>
      <c r="N453" s="950"/>
      <c r="O453" s="948"/>
      <c r="P453" s="948"/>
      <c r="Q453" s="948"/>
      <c r="R453" s="949"/>
      <c r="S453" s="949"/>
      <c r="T453" s="949"/>
      <c r="U453" s="949"/>
      <c r="V453" s="949"/>
      <c r="W453" s="949"/>
      <c r="X453" s="951"/>
      <c r="Y453" s="951"/>
      <c r="Z453" s="952"/>
      <c r="AA453" s="953"/>
      <c r="AB453" s="948"/>
      <c r="AC453" s="948"/>
      <c r="AD453" s="949"/>
      <c r="AE453" s="949"/>
      <c r="AF453" s="949"/>
      <c r="AG453" s="949"/>
      <c r="AH453" s="949"/>
      <c r="AI453" s="949"/>
      <c r="AJ453" s="949"/>
      <c r="AK453" s="949"/>
      <c r="AL453" s="949"/>
      <c r="AM453" s="949"/>
      <c r="AN453" s="949"/>
      <c r="AO453" s="949"/>
      <c r="AP453" s="949"/>
      <c r="AQ453" s="949"/>
      <c r="AR453" s="949"/>
      <c r="AS453" s="949"/>
      <c r="AT453" s="949"/>
      <c r="AU453" s="949"/>
      <c r="AV453" s="949"/>
      <c r="AW453" s="949"/>
      <c r="AX453" s="949"/>
      <c r="AY453" s="949"/>
      <c r="AZ453" s="949"/>
      <c r="BA453" s="949"/>
      <c r="BB453" s="949"/>
      <c r="BC453" s="949"/>
      <c r="BD453" s="949"/>
      <c r="BE453" s="949"/>
      <c r="BF453" s="949"/>
      <c r="BG453" s="948"/>
      <c r="BH453" s="948"/>
      <c r="BI453" s="948"/>
      <c r="BJ453" s="948"/>
      <c r="BK453" s="948"/>
      <c r="BL453" s="948"/>
      <c r="BM453" s="948"/>
      <c r="BN453" s="948"/>
      <c r="BO453" s="948"/>
      <c r="BP453" s="948"/>
      <c r="BQ453" s="948"/>
      <c r="BR453" s="948"/>
      <c r="BS453" s="948"/>
      <c r="BT453" s="948"/>
      <c r="BU453" s="954"/>
    </row>
    <row r="454" spans="1:73" ht="15.75" customHeight="1" x14ac:dyDescent="0.2">
      <c r="A454" s="947"/>
      <c r="B454" s="947"/>
      <c r="C454" s="947"/>
      <c r="D454" s="948"/>
      <c r="E454" s="948"/>
      <c r="F454" s="948"/>
      <c r="G454" s="948"/>
      <c r="H454" s="948"/>
      <c r="I454" s="948"/>
      <c r="J454" s="948"/>
      <c r="K454" s="949"/>
      <c r="L454" s="949"/>
      <c r="M454" s="949"/>
      <c r="N454" s="950"/>
      <c r="O454" s="948"/>
      <c r="P454" s="948"/>
      <c r="Q454" s="948"/>
      <c r="R454" s="949"/>
      <c r="S454" s="949"/>
      <c r="T454" s="949"/>
      <c r="U454" s="949"/>
      <c r="V454" s="949"/>
      <c r="W454" s="949"/>
      <c r="X454" s="951"/>
      <c r="Y454" s="951"/>
      <c r="Z454" s="952"/>
      <c r="AA454" s="953"/>
      <c r="AB454" s="948"/>
      <c r="AC454" s="948"/>
      <c r="AD454" s="949"/>
      <c r="AE454" s="949"/>
      <c r="AF454" s="949"/>
      <c r="AG454" s="949"/>
      <c r="AH454" s="949"/>
      <c r="AI454" s="949"/>
      <c r="AJ454" s="949"/>
      <c r="AK454" s="949"/>
      <c r="AL454" s="949"/>
      <c r="AM454" s="949"/>
      <c r="AN454" s="949"/>
      <c r="AO454" s="949"/>
      <c r="AP454" s="949"/>
      <c r="AQ454" s="949"/>
      <c r="AR454" s="949"/>
      <c r="AS454" s="949"/>
      <c r="AT454" s="949"/>
      <c r="AU454" s="949"/>
      <c r="AV454" s="949"/>
      <c r="AW454" s="949"/>
      <c r="AX454" s="949"/>
      <c r="AY454" s="949"/>
      <c r="AZ454" s="949"/>
      <c r="BA454" s="949"/>
      <c r="BB454" s="949"/>
      <c r="BC454" s="949"/>
      <c r="BD454" s="949"/>
      <c r="BE454" s="949"/>
      <c r="BF454" s="949"/>
      <c r="BG454" s="948"/>
      <c r="BH454" s="948"/>
      <c r="BI454" s="948"/>
      <c r="BJ454" s="948"/>
      <c r="BK454" s="948"/>
      <c r="BL454" s="948"/>
      <c r="BM454" s="948"/>
      <c r="BN454" s="948"/>
      <c r="BO454" s="948"/>
      <c r="BP454" s="948"/>
      <c r="BQ454" s="948"/>
      <c r="BR454" s="948"/>
      <c r="BS454" s="948"/>
      <c r="BT454" s="948"/>
      <c r="BU454" s="954"/>
    </row>
    <row r="455" spans="1:73" ht="15.75" customHeight="1" x14ac:dyDescent="0.2">
      <c r="A455" s="947"/>
      <c r="B455" s="947"/>
      <c r="C455" s="947"/>
      <c r="D455" s="948"/>
      <c r="E455" s="948"/>
      <c r="F455" s="948"/>
      <c r="G455" s="948"/>
      <c r="H455" s="948"/>
      <c r="I455" s="948"/>
      <c r="J455" s="948"/>
      <c r="K455" s="949"/>
      <c r="L455" s="949"/>
      <c r="M455" s="949"/>
      <c r="N455" s="950"/>
      <c r="O455" s="948"/>
      <c r="P455" s="948"/>
      <c r="Q455" s="948"/>
      <c r="R455" s="949"/>
      <c r="S455" s="949"/>
      <c r="T455" s="949"/>
      <c r="U455" s="949"/>
      <c r="V455" s="949"/>
      <c r="W455" s="949"/>
      <c r="X455" s="951"/>
      <c r="Y455" s="951"/>
      <c r="Z455" s="952"/>
      <c r="AA455" s="953"/>
      <c r="AB455" s="948"/>
      <c r="AC455" s="948"/>
      <c r="AD455" s="949"/>
      <c r="AE455" s="949"/>
      <c r="AF455" s="949"/>
      <c r="AG455" s="949"/>
      <c r="AH455" s="949"/>
      <c r="AI455" s="949"/>
      <c r="AJ455" s="949"/>
      <c r="AK455" s="949"/>
      <c r="AL455" s="949"/>
      <c r="AM455" s="949"/>
      <c r="AN455" s="949"/>
      <c r="AO455" s="949"/>
      <c r="AP455" s="949"/>
      <c r="AQ455" s="949"/>
      <c r="AR455" s="949"/>
      <c r="AS455" s="949"/>
      <c r="AT455" s="949"/>
      <c r="AU455" s="949"/>
      <c r="AV455" s="949"/>
      <c r="AW455" s="949"/>
      <c r="AX455" s="949"/>
      <c r="AY455" s="949"/>
      <c r="AZ455" s="949"/>
      <c r="BA455" s="949"/>
      <c r="BB455" s="949"/>
      <c r="BC455" s="949"/>
      <c r="BD455" s="949"/>
      <c r="BE455" s="949"/>
      <c r="BF455" s="949"/>
      <c r="BG455" s="948"/>
      <c r="BH455" s="948"/>
      <c r="BI455" s="948"/>
      <c r="BJ455" s="948"/>
      <c r="BK455" s="948"/>
      <c r="BL455" s="948"/>
      <c r="BM455" s="948"/>
      <c r="BN455" s="948"/>
      <c r="BO455" s="948"/>
      <c r="BP455" s="948"/>
      <c r="BQ455" s="948"/>
      <c r="BR455" s="948"/>
      <c r="BS455" s="948"/>
      <c r="BT455" s="948"/>
      <c r="BU455" s="954"/>
    </row>
    <row r="456" spans="1:73" ht="15.75" customHeight="1" x14ac:dyDescent="0.2">
      <c r="A456" s="947"/>
      <c r="B456" s="947"/>
      <c r="C456" s="947"/>
      <c r="D456" s="948"/>
      <c r="E456" s="948"/>
      <c r="F456" s="948"/>
      <c r="G456" s="948"/>
      <c r="H456" s="948"/>
      <c r="I456" s="948"/>
      <c r="J456" s="948"/>
      <c r="K456" s="949"/>
      <c r="L456" s="949"/>
      <c r="M456" s="949"/>
      <c r="N456" s="950"/>
      <c r="O456" s="948"/>
      <c r="P456" s="948"/>
      <c r="Q456" s="948"/>
      <c r="R456" s="949"/>
      <c r="S456" s="949"/>
      <c r="T456" s="949"/>
      <c r="U456" s="949"/>
      <c r="V456" s="949"/>
      <c r="W456" s="949"/>
      <c r="X456" s="951"/>
      <c r="Y456" s="951"/>
      <c r="Z456" s="952"/>
      <c r="AA456" s="953"/>
      <c r="AB456" s="948"/>
      <c r="AC456" s="948"/>
      <c r="AD456" s="949"/>
      <c r="AE456" s="949"/>
      <c r="AF456" s="949"/>
      <c r="AG456" s="949"/>
      <c r="AH456" s="949"/>
      <c r="AI456" s="949"/>
      <c r="AJ456" s="949"/>
      <c r="AK456" s="949"/>
      <c r="AL456" s="949"/>
      <c r="AM456" s="949"/>
      <c r="AN456" s="949"/>
      <c r="AO456" s="949"/>
      <c r="AP456" s="949"/>
      <c r="AQ456" s="949"/>
      <c r="AR456" s="949"/>
      <c r="AS456" s="949"/>
      <c r="AT456" s="949"/>
      <c r="AU456" s="949"/>
      <c r="AV456" s="949"/>
      <c r="AW456" s="949"/>
      <c r="AX456" s="949"/>
      <c r="AY456" s="949"/>
      <c r="AZ456" s="949"/>
      <c r="BA456" s="949"/>
      <c r="BB456" s="949"/>
      <c r="BC456" s="949"/>
      <c r="BD456" s="949"/>
      <c r="BE456" s="949"/>
      <c r="BF456" s="949"/>
      <c r="BG456" s="948"/>
      <c r="BH456" s="948"/>
      <c r="BI456" s="948"/>
      <c r="BJ456" s="948"/>
      <c r="BK456" s="948"/>
      <c r="BL456" s="948"/>
      <c r="BM456" s="948"/>
      <c r="BN456" s="948"/>
      <c r="BO456" s="948"/>
      <c r="BP456" s="948"/>
      <c r="BQ456" s="948"/>
      <c r="BR456" s="948"/>
      <c r="BS456" s="948"/>
      <c r="BT456" s="948"/>
      <c r="BU456" s="954"/>
    </row>
    <row r="457" spans="1:73" ht="15.75" customHeight="1" x14ac:dyDescent="0.2">
      <c r="A457" s="947"/>
      <c r="B457" s="947"/>
      <c r="C457" s="947"/>
      <c r="D457" s="948"/>
      <c r="E457" s="948"/>
      <c r="F457" s="948"/>
      <c r="G457" s="948"/>
      <c r="H457" s="948"/>
      <c r="I457" s="948"/>
      <c r="J457" s="948"/>
      <c r="K457" s="949"/>
      <c r="L457" s="949"/>
      <c r="M457" s="949"/>
      <c r="N457" s="950"/>
      <c r="O457" s="948"/>
      <c r="P457" s="948"/>
      <c r="Q457" s="948"/>
      <c r="R457" s="949"/>
      <c r="S457" s="949"/>
      <c r="T457" s="949"/>
      <c r="U457" s="949"/>
      <c r="V457" s="949"/>
      <c r="W457" s="949"/>
      <c r="X457" s="951"/>
      <c r="Y457" s="951"/>
      <c r="Z457" s="952"/>
      <c r="AA457" s="953"/>
      <c r="AB457" s="948"/>
      <c r="AC457" s="948"/>
      <c r="AD457" s="949"/>
      <c r="AE457" s="949"/>
      <c r="AF457" s="949"/>
      <c r="AG457" s="949"/>
      <c r="AH457" s="949"/>
      <c r="AI457" s="949"/>
      <c r="AJ457" s="949"/>
      <c r="AK457" s="949"/>
      <c r="AL457" s="949"/>
      <c r="AM457" s="949"/>
      <c r="AN457" s="949"/>
      <c r="AO457" s="949"/>
      <c r="AP457" s="949"/>
      <c r="AQ457" s="949"/>
      <c r="AR457" s="949"/>
      <c r="AS457" s="949"/>
      <c r="AT457" s="949"/>
      <c r="AU457" s="949"/>
      <c r="AV457" s="949"/>
      <c r="AW457" s="949"/>
      <c r="AX457" s="949"/>
      <c r="AY457" s="949"/>
      <c r="AZ457" s="949"/>
      <c r="BA457" s="949"/>
      <c r="BB457" s="949"/>
      <c r="BC457" s="949"/>
      <c r="BD457" s="949"/>
      <c r="BE457" s="949"/>
      <c r="BF457" s="949"/>
      <c r="BG457" s="948"/>
      <c r="BH457" s="948"/>
      <c r="BI457" s="948"/>
      <c r="BJ457" s="948"/>
      <c r="BK457" s="948"/>
      <c r="BL457" s="948"/>
      <c r="BM457" s="948"/>
      <c r="BN457" s="948"/>
      <c r="BO457" s="948"/>
      <c r="BP457" s="948"/>
      <c r="BQ457" s="948"/>
      <c r="BR457" s="948"/>
      <c r="BS457" s="948"/>
      <c r="BT457" s="948"/>
      <c r="BU457" s="954"/>
    </row>
    <row r="458" spans="1:73" ht="15.75" customHeight="1" x14ac:dyDescent="0.2">
      <c r="A458" s="947"/>
      <c r="B458" s="947"/>
      <c r="C458" s="947"/>
      <c r="D458" s="948"/>
      <c r="E458" s="948"/>
      <c r="F458" s="948"/>
      <c r="G458" s="948"/>
      <c r="H458" s="948"/>
      <c r="I458" s="948"/>
      <c r="J458" s="948"/>
      <c r="K458" s="949"/>
      <c r="L458" s="949"/>
      <c r="M458" s="949"/>
      <c r="N458" s="950"/>
      <c r="O458" s="948"/>
      <c r="P458" s="948"/>
      <c r="Q458" s="948"/>
      <c r="R458" s="949"/>
      <c r="S458" s="949"/>
      <c r="T458" s="949"/>
      <c r="U458" s="949"/>
      <c r="V458" s="949"/>
      <c r="W458" s="949"/>
      <c r="X458" s="951"/>
      <c r="Y458" s="951"/>
      <c r="Z458" s="952"/>
      <c r="AA458" s="953"/>
      <c r="AB458" s="948"/>
      <c r="AC458" s="948"/>
      <c r="AD458" s="949"/>
      <c r="AE458" s="949"/>
      <c r="AF458" s="949"/>
      <c r="AG458" s="949"/>
      <c r="AH458" s="949"/>
      <c r="AI458" s="949"/>
      <c r="AJ458" s="949"/>
      <c r="AK458" s="949"/>
      <c r="AL458" s="949"/>
      <c r="AM458" s="949"/>
      <c r="AN458" s="949"/>
      <c r="AO458" s="949"/>
      <c r="AP458" s="949"/>
      <c r="AQ458" s="949"/>
      <c r="AR458" s="949"/>
      <c r="AS458" s="949"/>
      <c r="AT458" s="949"/>
      <c r="AU458" s="949"/>
      <c r="AV458" s="949"/>
      <c r="AW458" s="949"/>
      <c r="AX458" s="949"/>
      <c r="AY458" s="949"/>
      <c r="AZ458" s="949"/>
      <c r="BA458" s="949"/>
      <c r="BB458" s="949"/>
      <c r="BC458" s="949"/>
      <c r="BD458" s="949"/>
      <c r="BE458" s="949"/>
      <c r="BF458" s="949"/>
      <c r="BG458" s="948"/>
      <c r="BH458" s="948"/>
      <c r="BI458" s="948"/>
      <c r="BJ458" s="948"/>
      <c r="BK458" s="948"/>
      <c r="BL458" s="948"/>
      <c r="BM458" s="948"/>
      <c r="BN458" s="948"/>
      <c r="BO458" s="948"/>
      <c r="BP458" s="948"/>
      <c r="BQ458" s="948"/>
      <c r="BR458" s="948"/>
      <c r="BS458" s="948"/>
      <c r="BT458" s="948"/>
      <c r="BU458" s="954"/>
    </row>
    <row r="459" spans="1:73" ht="15.75" customHeight="1" x14ac:dyDescent="0.2">
      <c r="A459" s="947"/>
      <c r="B459" s="947"/>
      <c r="C459" s="947"/>
      <c r="D459" s="948"/>
      <c r="E459" s="948"/>
      <c r="F459" s="948"/>
      <c r="G459" s="948"/>
      <c r="H459" s="948"/>
      <c r="I459" s="948"/>
      <c r="J459" s="948"/>
      <c r="K459" s="949"/>
      <c r="L459" s="949"/>
      <c r="M459" s="949"/>
      <c r="N459" s="950"/>
      <c r="O459" s="948"/>
      <c r="P459" s="948"/>
      <c r="Q459" s="948"/>
      <c r="R459" s="949"/>
      <c r="S459" s="949"/>
      <c r="T459" s="949"/>
      <c r="U459" s="949"/>
      <c r="V459" s="949"/>
      <c r="W459" s="949"/>
      <c r="X459" s="951"/>
      <c r="Y459" s="951"/>
      <c r="Z459" s="952"/>
      <c r="AA459" s="953"/>
      <c r="AB459" s="948"/>
      <c r="AC459" s="948"/>
      <c r="AD459" s="949"/>
      <c r="AE459" s="949"/>
      <c r="AF459" s="949"/>
      <c r="AG459" s="949"/>
      <c r="AH459" s="949"/>
      <c r="AI459" s="949"/>
      <c r="AJ459" s="949"/>
      <c r="AK459" s="949"/>
      <c r="AL459" s="949"/>
      <c r="AM459" s="949"/>
      <c r="AN459" s="949"/>
      <c r="AO459" s="949"/>
      <c r="AP459" s="949"/>
      <c r="AQ459" s="949"/>
      <c r="AR459" s="949"/>
      <c r="AS459" s="949"/>
      <c r="AT459" s="949"/>
      <c r="AU459" s="949"/>
      <c r="AV459" s="949"/>
      <c r="AW459" s="949"/>
      <c r="AX459" s="949"/>
      <c r="AY459" s="949"/>
      <c r="AZ459" s="949"/>
      <c r="BA459" s="949"/>
      <c r="BB459" s="949"/>
      <c r="BC459" s="949"/>
      <c r="BD459" s="949"/>
      <c r="BE459" s="949"/>
      <c r="BF459" s="949"/>
      <c r="BG459" s="948"/>
      <c r="BH459" s="948"/>
      <c r="BI459" s="948"/>
      <c r="BJ459" s="948"/>
      <c r="BK459" s="948"/>
      <c r="BL459" s="948"/>
      <c r="BM459" s="948"/>
      <c r="BN459" s="948"/>
      <c r="BO459" s="948"/>
      <c r="BP459" s="948"/>
      <c r="BQ459" s="948"/>
      <c r="BR459" s="948"/>
      <c r="BS459" s="948"/>
      <c r="BT459" s="948"/>
      <c r="BU459" s="954"/>
    </row>
    <row r="460" spans="1:73" ht="15.75" customHeight="1" x14ac:dyDescent="0.2">
      <c r="A460" s="947"/>
      <c r="B460" s="947"/>
      <c r="C460" s="947"/>
      <c r="D460" s="948"/>
      <c r="E460" s="948"/>
      <c r="F460" s="948"/>
      <c r="G460" s="948"/>
      <c r="H460" s="948"/>
      <c r="I460" s="948"/>
      <c r="J460" s="948"/>
      <c r="K460" s="949"/>
      <c r="L460" s="949"/>
      <c r="M460" s="949"/>
      <c r="N460" s="950"/>
      <c r="O460" s="948"/>
      <c r="P460" s="948"/>
      <c r="Q460" s="948"/>
      <c r="R460" s="949"/>
      <c r="S460" s="949"/>
      <c r="T460" s="949"/>
      <c r="U460" s="949"/>
      <c r="V460" s="949"/>
      <c r="W460" s="949"/>
      <c r="X460" s="951"/>
      <c r="Y460" s="951"/>
      <c r="Z460" s="952"/>
      <c r="AA460" s="953"/>
      <c r="AB460" s="948"/>
      <c r="AC460" s="948"/>
      <c r="AD460" s="949"/>
      <c r="AE460" s="949"/>
      <c r="AF460" s="949"/>
      <c r="AG460" s="949"/>
      <c r="AH460" s="949"/>
      <c r="AI460" s="949"/>
      <c r="AJ460" s="949"/>
      <c r="AK460" s="949"/>
      <c r="AL460" s="949"/>
      <c r="AM460" s="949"/>
      <c r="AN460" s="949"/>
      <c r="AO460" s="949"/>
      <c r="AP460" s="949"/>
      <c r="AQ460" s="949"/>
      <c r="AR460" s="949"/>
      <c r="AS460" s="949"/>
      <c r="AT460" s="949"/>
      <c r="AU460" s="949"/>
      <c r="AV460" s="949"/>
      <c r="AW460" s="949"/>
      <c r="AX460" s="949"/>
      <c r="AY460" s="949"/>
      <c r="AZ460" s="949"/>
      <c r="BA460" s="949"/>
      <c r="BB460" s="949"/>
      <c r="BC460" s="949"/>
      <c r="BD460" s="949"/>
      <c r="BE460" s="949"/>
      <c r="BF460" s="949"/>
      <c r="BG460" s="948"/>
      <c r="BH460" s="948"/>
      <c r="BI460" s="948"/>
      <c r="BJ460" s="948"/>
      <c r="BK460" s="948"/>
      <c r="BL460" s="948"/>
      <c r="BM460" s="948"/>
      <c r="BN460" s="948"/>
      <c r="BO460" s="948"/>
      <c r="BP460" s="948"/>
      <c r="BQ460" s="948"/>
      <c r="BR460" s="948"/>
      <c r="BS460" s="948"/>
      <c r="BT460" s="948"/>
      <c r="BU460" s="954"/>
    </row>
    <row r="461" spans="1:73" ht="15.75" customHeight="1" x14ac:dyDescent="0.2">
      <c r="A461" s="947"/>
      <c r="B461" s="947"/>
      <c r="C461" s="947"/>
      <c r="D461" s="948"/>
      <c r="E461" s="948"/>
      <c r="F461" s="948"/>
      <c r="G461" s="948"/>
      <c r="H461" s="948"/>
      <c r="I461" s="948"/>
      <c r="J461" s="948"/>
      <c r="K461" s="949"/>
      <c r="L461" s="949"/>
      <c r="M461" s="949"/>
      <c r="N461" s="950"/>
      <c r="O461" s="948"/>
      <c r="P461" s="948"/>
      <c r="Q461" s="948"/>
      <c r="R461" s="949"/>
      <c r="S461" s="949"/>
      <c r="T461" s="949"/>
      <c r="U461" s="949"/>
      <c r="V461" s="949"/>
      <c r="W461" s="949"/>
      <c r="X461" s="951"/>
      <c r="Y461" s="951"/>
      <c r="Z461" s="952"/>
      <c r="AA461" s="953"/>
      <c r="AB461" s="948"/>
      <c r="AC461" s="948"/>
      <c r="AD461" s="949"/>
      <c r="AE461" s="949"/>
      <c r="AF461" s="949"/>
      <c r="AG461" s="949"/>
      <c r="AH461" s="949"/>
      <c r="AI461" s="949"/>
      <c r="AJ461" s="949"/>
      <c r="AK461" s="949"/>
      <c r="AL461" s="949"/>
      <c r="AM461" s="949"/>
      <c r="AN461" s="949"/>
      <c r="AO461" s="949"/>
      <c r="AP461" s="949"/>
      <c r="AQ461" s="949"/>
      <c r="AR461" s="949"/>
      <c r="AS461" s="949"/>
      <c r="AT461" s="949"/>
      <c r="AU461" s="949"/>
      <c r="AV461" s="949"/>
      <c r="AW461" s="949"/>
      <c r="AX461" s="949"/>
      <c r="AY461" s="949"/>
      <c r="AZ461" s="949"/>
      <c r="BA461" s="949"/>
      <c r="BB461" s="949"/>
      <c r="BC461" s="949"/>
      <c r="BD461" s="949"/>
      <c r="BE461" s="949"/>
      <c r="BF461" s="949"/>
      <c r="BG461" s="948"/>
      <c r="BH461" s="948"/>
      <c r="BI461" s="948"/>
      <c r="BJ461" s="948"/>
      <c r="BK461" s="948"/>
      <c r="BL461" s="948"/>
      <c r="BM461" s="948"/>
      <c r="BN461" s="948"/>
      <c r="BO461" s="948"/>
      <c r="BP461" s="948"/>
      <c r="BQ461" s="948"/>
      <c r="BR461" s="948"/>
      <c r="BS461" s="948"/>
      <c r="BT461" s="948"/>
      <c r="BU461" s="954"/>
    </row>
    <row r="462" spans="1:73" ht="15.75" customHeight="1" x14ac:dyDescent="0.2">
      <c r="A462" s="947"/>
      <c r="B462" s="947"/>
      <c r="C462" s="947"/>
      <c r="D462" s="948"/>
      <c r="E462" s="948"/>
      <c r="F462" s="948"/>
      <c r="G462" s="948"/>
      <c r="H462" s="948"/>
      <c r="I462" s="948"/>
      <c r="J462" s="948"/>
      <c r="K462" s="949"/>
      <c r="L462" s="949"/>
      <c r="M462" s="949"/>
      <c r="N462" s="950"/>
      <c r="O462" s="948"/>
      <c r="P462" s="948"/>
      <c r="Q462" s="948"/>
      <c r="R462" s="949"/>
      <c r="S462" s="949"/>
      <c r="T462" s="949"/>
      <c r="U462" s="949"/>
      <c r="V462" s="949"/>
      <c r="W462" s="949"/>
      <c r="X462" s="951"/>
      <c r="Y462" s="951"/>
      <c r="Z462" s="952"/>
      <c r="AA462" s="953"/>
      <c r="AB462" s="948"/>
      <c r="AC462" s="948"/>
      <c r="AD462" s="949"/>
      <c r="AE462" s="949"/>
      <c r="AF462" s="949"/>
      <c r="AG462" s="949"/>
      <c r="AH462" s="949"/>
      <c r="AI462" s="949"/>
      <c r="AJ462" s="949"/>
      <c r="AK462" s="949"/>
      <c r="AL462" s="949"/>
      <c r="AM462" s="949"/>
      <c r="AN462" s="949"/>
      <c r="AO462" s="949"/>
      <c r="AP462" s="949"/>
      <c r="AQ462" s="949"/>
      <c r="AR462" s="949"/>
      <c r="AS462" s="949"/>
      <c r="AT462" s="949"/>
      <c r="AU462" s="949"/>
      <c r="AV462" s="949"/>
      <c r="AW462" s="949"/>
      <c r="AX462" s="949"/>
      <c r="AY462" s="949"/>
      <c r="AZ462" s="949"/>
      <c r="BA462" s="949"/>
      <c r="BB462" s="949"/>
      <c r="BC462" s="949"/>
      <c r="BD462" s="949"/>
      <c r="BE462" s="949"/>
      <c r="BF462" s="949"/>
      <c r="BG462" s="948"/>
      <c r="BH462" s="948"/>
      <c r="BI462" s="948"/>
      <c r="BJ462" s="948"/>
      <c r="BK462" s="948"/>
      <c r="BL462" s="948"/>
      <c r="BM462" s="948"/>
      <c r="BN462" s="948"/>
      <c r="BO462" s="948"/>
      <c r="BP462" s="948"/>
      <c r="BQ462" s="948"/>
      <c r="BR462" s="948"/>
      <c r="BS462" s="948"/>
      <c r="BT462" s="948"/>
      <c r="BU462" s="954"/>
    </row>
    <row r="463" spans="1:73" ht="15.75" customHeight="1" x14ac:dyDescent="0.2">
      <c r="A463" s="947"/>
      <c r="B463" s="947"/>
      <c r="C463" s="947"/>
      <c r="D463" s="948"/>
      <c r="E463" s="948"/>
      <c r="F463" s="948"/>
      <c r="G463" s="948"/>
      <c r="H463" s="948"/>
      <c r="I463" s="948"/>
      <c r="J463" s="948"/>
      <c r="K463" s="949"/>
      <c r="L463" s="949"/>
      <c r="M463" s="949"/>
      <c r="N463" s="950"/>
      <c r="O463" s="948"/>
      <c r="P463" s="948"/>
      <c r="Q463" s="948"/>
      <c r="R463" s="949"/>
      <c r="S463" s="949"/>
      <c r="T463" s="949"/>
      <c r="U463" s="949"/>
      <c r="V463" s="949"/>
      <c r="W463" s="949"/>
      <c r="X463" s="951"/>
      <c r="Y463" s="951"/>
      <c r="Z463" s="952"/>
      <c r="AA463" s="953"/>
      <c r="AB463" s="948"/>
      <c r="AC463" s="948"/>
      <c r="AD463" s="949"/>
      <c r="AE463" s="949"/>
      <c r="AF463" s="949"/>
      <c r="AG463" s="949"/>
      <c r="AH463" s="949"/>
      <c r="AI463" s="949"/>
      <c r="AJ463" s="949"/>
      <c r="AK463" s="949"/>
      <c r="AL463" s="949"/>
      <c r="AM463" s="949"/>
      <c r="AN463" s="949"/>
      <c r="AO463" s="949"/>
      <c r="AP463" s="949"/>
      <c r="AQ463" s="949"/>
      <c r="AR463" s="949"/>
      <c r="AS463" s="949"/>
      <c r="AT463" s="949"/>
      <c r="AU463" s="949"/>
      <c r="AV463" s="949"/>
      <c r="AW463" s="949"/>
      <c r="AX463" s="949"/>
      <c r="AY463" s="949"/>
      <c r="AZ463" s="949"/>
      <c r="BA463" s="949"/>
      <c r="BB463" s="949"/>
      <c r="BC463" s="949"/>
      <c r="BD463" s="949"/>
      <c r="BE463" s="949"/>
      <c r="BF463" s="949"/>
      <c r="BG463" s="948"/>
      <c r="BH463" s="948"/>
      <c r="BI463" s="948"/>
      <c r="BJ463" s="948"/>
      <c r="BK463" s="948"/>
      <c r="BL463" s="948"/>
      <c r="BM463" s="948"/>
      <c r="BN463" s="948"/>
      <c r="BO463" s="948"/>
      <c r="BP463" s="948"/>
      <c r="BQ463" s="948"/>
      <c r="BR463" s="948"/>
      <c r="BS463" s="948"/>
      <c r="BT463" s="948"/>
      <c r="BU463" s="954"/>
    </row>
    <row r="464" spans="1:73" ht="15.75" customHeight="1" x14ac:dyDescent="0.2">
      <c r="A464" s="947"/>
      <c r="B464" s="947"/>
      <c r="C464" s="947"/>
      <c r="D464" s="948"/>
      <c r="E464" s="948"/>
      <c r="F464" s="948"/>
      <c r="G464" s="948"/>
      <c r="H464" s="948"/>
      <c r="I464" s="948"/>
      <c r="J464" s="948"/>
      <c r="K464" s="949"/>
      <c r="L464" s="949"/>
      <c r="M464" s="949"/>
      <c r="N464" s="950"/>
      <c r="O464" s="948"/>
      <c r="P464" s="948"/>
      <c r="Q464" s="948"/>
      <c r="R464" s="949"/>
      <c r="S464" s="949"/>
      <c r="T464" s="949"/>
      <c r="U464" s="949"/>
      <c r="V464" s="949"/>
      <c r="W464" s="949"/>
      <c r="X464" s="951"/>
      <c r="Y464" s="951"/>
      <c r="Z464" s="952"/>
      <c r="AA464" s="953"/>
      <c r="AB464" s="948"/>
      <c r="AC464" s="948"/>
      <c r="AD464" s="949"/>
      <c r="AE464" s="949"/>
      <c r="AF464" s="949"/>
      <c r="AG464" s="949"/>
      <c r="AH464" s="949"/>
      <c r="AI464" s="949"/>
      <c r="AJ464" s="949"/>
      <c r="AK464" s="949"/>
      <c r="AL464" s="949"/>
      <c r="AM464" s="949"/>
      <c r="AN464" s="949"/>
      <c r="AO464" s="949"/>
      <c r="AP464" s="949"/>
      <c r="AQ464" s="949"/>
      <c r="AR464" s="949"/>
      <c r="AS464" s="949"/>
      <c r="AT464" s="949"/>
      <c r="AU464" s="949"/>
      <c r="AV464" s="949"/>
      <c r="AW464" s="949"/>
      <c r="AX464" s="949"/>
      <c r="AY464" s="949"/>
      <c r="AZ464" s="949"/>
      <c r="BA464" s="949"/>
      <c r="BB464" s="949"/>
      <c r="BC464" s="949"/>
      <c r="BD464" s="949"/>
      <c r="BE464" s="949"/>
      <c r="BF464" s="949"/>
      <c r="BG464" s="948"/>
      <c r="BH464" s="948"/>
      <c r="BI464" s="948"/>
      <c r="BJ464" s="948"/>
      <c r="BK464" s="948"/>
      <c r="BL464" s="948"/>
      <c r="BM464" s="948"/>
      <c r="BN464" s="948"/>
      <c r="BO464" s="948"/>
      <c r="BP464" s="948"/>
      <c r="BQ464" s="948"/>
      <c r="BR464" s="948"/>
      <c r="BS464" s="948"/>
      <c r="BT464" s="948"/>
      <c r="BU464" s="954"/>
    </row>
    <row r="465" spans="1:73" ht="15.75" customHeight="1" x14ac:dyDescent="0.2">
      <c r="A465" s="947"/>
      <c r="B465" s="947"/>
      <c r="C465" s="947"/>
      <c r="D465" s="948"/>
      <c r="E465" s="948"/>
      <c r="F465" s="948"/>
      <c r="G465" s="948"/>
      <c r="H465" s="948"/>
      <c r="I465" s="948"/>
      <c r="J465" s="948"/>
      <c r="K465" s="949"/>
      <c r="L465" s="949"/>
      <c r="M465" s="949"/>
      <c r="N465" s="950"/>
      <c r="O465" s="948"/>
      <c r="P465" s="948"/>
      <c r="Q465" s="948"/>
      <c r="R465" s="949"/>
      <c r="S465" s="949"/>
      <c r="T465" s="949"/>
      <c r="U465" s="949"/>
      <c r="V465" s="949"/>
      <c r="W465" s="949"/>
      <c r="X465" s="951"/>
      <c r="Y465" s="951"/>
      <c r="Z465" s="952"/>
      <c r="AA465" s="953"/>
      <c r="AB465" s="948"/>
      <c r="AC465" s="948"/>
      <c r="AD465" s="949"/>
      <c r="AE465" s="949"/>
      <c r="AF465" s="949"/>
      <c r="AG465" s="949"/>
      <c r="AH465" s="949"/>
      <c r="AI465" s="949"/>
      <c r="AJ465" s="949"/>
      <c r="AK465" s="949"/>
      <c r="AL465" s="949"/>
      <c r="AM465" s="949"/>
      <c r="AN465" s="949"/>
      <c r="AO465" s="949"/>
      <c r="AP465" s="949"/>
      <c r="AQ465" s="949"/>
      <c r="AR465" s="949"/>
      <c r="AS465" s="949"/>
      <c r="AT465" s="949"/>
      <c r="AU465" s="949"/>
      <c r="AV465" s="949"/>
      <c r="AW465" s="949"/>
      <c r="AX465" s="949"/>
      <c r="AY465" s="949"/>
      <c r="AZ465" s="949"/>
      <c r="BA465" s="949"/>
      <c r="BB465" s="949"/>
      <c r="BC465" s="949"/>
      <c r="BD465" s="949"/>
      <c r="BE465" s="949"/>
      <c r="BF465" s="949"/>
      <c r="BG465" s="948"/>
      <c r="BH465" s="948"/>
      <c r="BI465" s="948"/>
      <c r="BJ465" s="948"/>
      <c r="BK465" s="948"/>
      <c r="BL465" s="948"/>
      <c r="BM465" s="948"/>
      <c r="BN465" s="948"/>
      <c r="BO465" s="948"/>
      <c r="BP465" s="948"/>
      <c r="BQ465" s="948"/>
      <c r="BR465" s="948"/>
      <c r="BS465" s="948"/>
      <c r="BT465" s="948"/>
      <c r="BU465" s="954"/>
    </row>
    <row r="466" spans="1:73" ht="15.75" customHeight="1" x14ac:dyDescent="0.2">
      <c r="A466" s="947"/>
      <c r="B466" s="947"/>
      <c r="C466" s="947"/>
      <c r="D466" s="948"/>
      <c r="E466" s="948"/>
      <c r="F466" s="948"/>
      <c r="G466" s="948"/>
      <c r="H466" s="948"/>
      <c r="I466" s="948"/>
      <c r="J466" s="948"/>
      <c r="K466" s="949"/>
      <c r="L466" s="949"/>
      <c r="M466" s="949"/>
      <c r="N466" s="950"/>
      <c r="O466" s="948"/>
      <c r="P466" s="948"/>
      <c r="Q466" s="948"/>
      <c r="R466" s="949"/>
      <c r="S466" s="949"/>
      <c r="T466" s="949"/>
      <c r="U466" s="949"/>
      <c r="V466" s="949"/>
      <c r="W466" s="949"/>
      <c r="X466" s="951"/>
      <c r="Y466" s="951"/>
      <c r="Z466" s="952"/>
      <c r="AA466" s="953"/>
      <c r="AB466" s="948"/>
      <c r="AC466" s="948"/>
      <c r="AD466" s="949"/>
      <c r="AE466" s="949"/>
      <c r="AF466" s="949"/>
      <c r="AG466" s="949"/>
      <c r="AH466" s="949"/>
      <c r="AI466" s="949"/>
      <c r="AJ466" s="949"/>
      <c r="AK466" s="949"/>
      <c r="AL466" s="949"/>
      <c r="AM466" s="949"/>
      <c r="AN466" s="949"/>
      <c r="AO466" s="949"/>
      <c r="AP466" s="949"/>
      <c r="AQ466" s="949"/>
      <c r="AR466" s="949"/>
      <c r="AS466" s="949"/>
      <c r="AT466" s="949"/>
      <c r="AU466" s="949"/>
      <c r="AV466" s="949"/>
      <c r="AW466" s="949"/>
      <c r="AX466" s="949"/>
      <c r="AY466" s="949"/>
      <c r="AZ466" s="949"/>
      <c r="BA466" s="949"/>
      <c r="BB466" s="949"/>
      <c r="BC466" s="949"/>
      <c r="BD466" s="949"/>
      <c r="BE466" s="949"/>
      <c r="BF466" s="949"/>
      <c r="BG466" s="948"/>
      <c r="BH466" s="948"/>
      <c r="BI466" s="948"/>
      <c r="BJ466" s="948"/>
      <c r="BK466" s="948"/>
      <c r="BL466" s="948"/>
      <c r="BM466" s="948"/>
      <c r="BN466" s="948"/>
      <c r="BO466" s="948"/>
      <c r="BP466" s="948"/>
      <c r="BQ466" s="948"/>
      <c r="BR466" s="948"/>
      <c r="BS466" s="948"/>
      <c r="BT466" s="948"/>
      <c r="BU466" s="954"/>
    </row>
    <row r="467" spans="1:73" ht="15.75" customHeight="1" x14ac:dyDescent="0.2">
      <c r="A467" s="947"/>
      <c r="B467" s="947"/>
      <c r="C467" s="947"/>
      <c r="D467" s="948"/>
      <c r="E467" s="948"/>
      <c r="F467" s="948"/>
      <c r="G467" s="948"/>
      <c r="H467" s="948"/>
      <c r="I467" s="948"/>
      <c r="J467" s="948"/>
      <c r="K467" s="949"/>
      <c r="L467" s="949"/>
      <c r="M467" s="949"/>
      <c r="N467" s="950"/>
      <c r="O467" s="948"/>
      <c r="P467" s="948"/>
      <c r="Q467" s="948"/>
      <c r="R467" s="949"/>
      <c r="S467" s="949"/>
      <c r="T467" s="949"/>
      <c r="U467" s="949"/>
      <c r="V467" s="949"/>
      <c r="W467" s="949"/>
      <c r="X467" s="951"/>
      <c r="Y467" s="951"/>
      <c r="Z467" s="952"/>
      <c r="AA467" s="953"/>
      <c r="AB467" s="948"/>
      <c r="AC467" s="948"/>
      <c r="AD467" s="949"/>
      <c r="AE467" s="949"/>
      <c r="AF467" s="949"/>
      <c r="AG467" s="949"/>
      <c r="AH467" s="949"/>
      <c r="AI467" s="949"/>
      <c r="AJ467" s="949"/>
      <c r="AK467" s="949"/>
      <c r="AL467" s="949"/>
      <c r="AM467" s="949"/>
      <c r="AN467" s="949"/>
      <c r="AO467" s="949"/>
      <c r="AP467" s="949"/>
      <c r="AQ467" s="949"/>
      <c r="AR467" s="949"/>
      <c r="AS467" s="949"/>
      <c r="AT467" s="949"/>
      <c r="AU467" s="949"/>
      <c r="AV467" s="949"/>
      <c r="AW467" s="949"/>
      <c r="AX467" s="949"/>
      <c r="AY467" s="949"/>
      <c r="AZ467" s="949"/>
      <c r="BA467" s="949"/>
      <c r="BB467" s="949"/>
      <c r="BC467" s="949"/>
      <c r="BD467" s="949"/>
      <c r="BE467" s="949"/>
      <c r="BF467" s="949"/>
      <c r="BG467" s="948"/>
      <c r="BH467" s="948"/>
      <c r="BI467" s="948"/>
      <c r="BJ467" s="948"/>
      <c r="BK467" s="948"/>
      <c r="BL467" s="948"/>
      <c r="BM467" s="948"/>
      <c r="BN467" s="948"/>
      <c r="BO467" s="948"/>
      <c r="BP467" s="948"/>
      <c r="BQ467" s="948"/>
      <c r="BR467" s="948"/>
      <c r="BS467" s="948"/>
      <c r="BT467" s="948"/>
      <c r="BU467" s="954"/>
    </row>
    <row r="468" spans="1:73" ht="15.75" customHeight="1" x14ac:dyDescent="0.2">
      <c r="A468" s="947"/>
      <c r="B468" s="947"/>
      <c r="C468" s="947"/>
      <c r="D468" s="948"/>
      <c r="E468" s="948"/>
      <c r="F468" s="948"/>
      <c r="G468" s="948"/>
      <c r="H468" s="948"/>
      <c r="I468" s="948"/>
      <c r="J468" s="948"/>
      <c r="K468" s="949"/>
      <c r="L468" s="949"/>
      <c r="M468" s="949"/>
      <c r="N468" s="950"/>
      <c r="O468" s="948"/>
      <c r="P468" s="948"/>
      <c r="Q468" s="948"/>
      <c r="R468" s="949"/>
      <c r="S468" s="949"/>
      <c r="T468" s="949"/>
      <c r="U468" s="949"/>
      <c r="V468" s="949"/>
      <c r="W468" s="949"/>
      <c r="X468" s="951"/>
      <c r="Y468" s="951"/>
      <c r="Z468" s="952"/>
      <c r="AA468" s="953"/>
      <c r="AB468" s="948"/>
      <c r="AC468" s="948"/>
      <c r="AD468" s="949"/>
      <c r="AE468" s="949"/>
      <c r="AF468" s="949"/>
      <c r="AG468" s="949"/>
      <c r="AH468" s="949"/>
      <c r="AI468" s="949"/>
      <c r="AJ468" s="949"/>
      <c r="AK468" s="949"/>
      <c r="AL468" s="949"/>
      <c r="AM468" s="949"/>
      <c r="AN468" s="949"/>
      <c r="AO468" s="949"/>
      <c r="AP468" s="949"/>
      <c r="AQ468" s="949"/>
      <c r="AR468" s="949"/>
      <c r="AS468" s="949"/>
      <c r="AT468" s="949"/>
      <c r="AU468" s="949"/>
      <c r="AV468" s="949"/>
      <c r="AW468" s="949"/>
      <c r="AX468" s="949"/>
      <c r="AY468" s="949"/>
      <c r="AZ468" s="949"/>
      <c r="BA468" s="949"/>
      <c r="BB468" s="949"/>
      <c r="BC468" s="949"/>
      <c r="BD468" s="949"/>
      <c r="BE468" s="949"/>
      <c r="BF468" s="949"/>
      <c r="BG468" s="948"/>
      <c r="BH468" s="948"/>
      <c r="BI468" s="948"/>
      <c r="BJ468" s="948"/>
      <c r="BK468" s="948"/>
      <c r="BL468" s="948"/>
      <c r="BM468" s="948"/>
      <c r="BN468" s="948"/>
      <c r="BO468" s="948"/>
      <c r="BP468" s="948"/>
      <c r="BQ468" s="948"/>
      <c r="BR468" s="948"/>
      <c r="BS468" s="948"/>
      <c r="BT468" s="948"/>
      <c r="BU468" s="954"/>
    </row>
    <row r="469" spans="1:73" ht="15.75" customHeight="1" x14ac:dyDescent="0.2">
      <c r="A469" s="947"/>
      <c r="B469" s="947"/>
      <c r="C469" s="947"/>
      <c r="D469" s="948"/>
      <c r="E469" s="948"/>
      <c r="F469" s="948"/>
      <c r="G469" s="948"/>
      <c r="H469" s="948"/>
      <c r="I469" s="948"/>
      <c r="J469" s="948"/>
      <c r="K469" s="949"/>
      <c r="L469" s="949"/>
      <c r="M469" s="949"/>
      <c r="N469" s="950"/>
      <c r="O469" s="948"/>
      <c r="P469" s="948"/>
      <c r="Q469" s="948"/>
      <c r="R469" s="949"/>
      <c r="S469" s="949"/>
      <c r="T469" s="949"/>
      <c r="U469" s="949"/>
      <c r="V469" s="949"/>
      <c r="W469" s="949"/>
      <c r="X469" s="951"/>
      <c r="Y469" s="951"/>
      <c r="Z469" s="952"/>
      <c r="AA469" s="953"/>
      <c r="AB469" s="948"/>
      <c r="AC469" s="948"/>
      <c r="AD469" s="949"/>
      <c r="AE469" s="949"/>
      <c r="AF469" s="949"/>
      <c r="AG469" s="949"/>
      <c r="AH469" s="949"/>
      <c r="AI469" s="949"/>
      <c r="AJ469" s="949"/>
      <c r="AK469" s="949"/>
      <c r="AL469" s="949"/>
      <c r="AM469" s="949"/>
      <c r="AN469" s="949"/>
      <c r="AO469" s="949"/>
      <c r="AP469" s="949"/>
      <c r="AQ469" s="949"/>
      <c r="AR469" s="949"/>
      <c r="AS469" s="949"/>
      <c r="AT469" s="949"/>
      <c r="AU469" s="949"/>
      <c r="AV469" s="949"/>
      <c r="AW469" s="949"/>
      <c r="AX469" s="949"/>
      <c r="AY469" s="949"/>
      <c r="AZ469" s="949"/>
      <c r="BA469" s="949"/>
      <c r="BB469" s="949"/>
      <c r="BC469" s="949"/>
      <c r="BD469" s="949"/>
      <c r="BE469" s="949"/>
      <c r="BF469" s="949"/>
      <c r="BG469" s="948"/>
      <c r="BH469" s="948"/>
      <c r="BI469" s="948"/>
      <c r="BJ469" s="948"/>
      <c r="BK469" s="948"/>
      <c r="BL469" s="948"/>
      <c r="BM469" s="948"/>
      <c r="BN469" s="948"/>
      <c r="BO469" s="948"/>
      <c r="BP469" s="948"/>
      <c r="BQ469" s="948"/>
      <c r="BR469" s="948"/>
      <c r="BS469" s="948"/>
      <c r="BT469" s="948"/>
      <c r="BU469" s="954"/>
    </row>
    <row r="470" spans="1:73" ht="15.75" customHeight="1" x14ac:dyDescent="0.2">
      <c r="A470" s="947"/>
      <c r="B470" s="947"/>
      <c r="C470" s="947"/>
      <c r="D470" s="948"/>
      <c r="E470" s="948"/>
      <c r="F470" s="948"/>
      <c r="G470" s="948"/>
      <c r="H470" s="948"/>
      <c r="I470" s="948"/>
      <c r="J470" s="948"/>
      <c r="K470" s="949"/>
      <c r="L470" s="949"/>
      <c r="M470" s="949"/>
      <c r="N470" s="950"/>
      <c r="O470" s="948"/>
      <c r="P470" s="948"/>
      <c r="Q470" s="948"/>
      <c r="R470" s="949"/>
      <c r="S470" s="949"/>
      <c r="T470" s="949"/>
      <c r="U470" s="949"/>
      <c r="V470" s="949"/>
      <c r="W470" s="949"/>
      <c r="X470" s="951"/>
      <c r="Y470" s="951"/>
      <c r="Z470" s="952"/>
      <c r="AA470" s="953"/>
      <c r="AB470" s="948"/>
      <c r="AC470" s="948"/>
      <c r="AD470" s="949"/>
      <c r="AE470" s="949"/>
      <c r="AF470" s="949"/>
      <c r="AG470" s="949"/>
      <c r="AH470" s="949"/>
      <c r="AI470" s="949"/>
      <c r="AJ470" s="949"/>
      <c r="AK470" s="949"/>
      <c r="AL470" s="949"/>
      <c r="AM470" s="949"/>
      <c r="AN470" s="949"/>
      <c r="AO470" s="949"/>
      <c r="AP470" s="949"/>
      <c r="AQ470" s="949"/>
      <c r="AR470" s="949"/>
      <c r="AS470" s="949"/>
      <c r="AT470" s="949"/>
      <c r="AU470" s="949"/>
      <c r="AV470" s="949"/>
      <c r="AW470" s="949"/>
      <c r="AX470" s="949"/>
      <c r="AY470" s="949"/>
      <c r="AZ470" s="949"/>
      <c r="BA470" s="949"/>
      <c r="BB470" s="949"/>
      <c r="BC470" s="949"/>
      <c r="BD470" s="949"/>
      <c r="BE470" s="949"/>
      <c r="BF470" s="949"/>
      <c r="BG470" s="948"/>
      <c r="BH470" s="948"/>
      <c r="BI470" s="948"/>
      <c r="BJ470" s="948"/>
      <c r="BK470" s="948"/>
      <c r="BL470" s="948"/>
      <c r="BM470" s="948"/>
      <c r="BN470" s="948"/>
      <c r="BO470" s="948"/>
      <c r="BP470" s="948"/>
      <c r="BQ470" s="948"/>
      <c r="BR470" s="948"/>
      <c r="BS470" s="948"/>
      <c r="BT470" s="948"/>
      <c r="BU470" s="954"/>
    </row>
    <row r="471" spans="1:73" ht="15.75" customHeight="1" x14ac:dyDescent="0.2">
      <c r="A471" s="947"/>
      <c r="B471" s="947"/>
      <c r="C471" s="947"/>
      <c r="D471" s="948"/>
      <c r="E471" s="948"/>
      <c r="F471" s="948"/>
      <c r="G471" s="948"/>
      <c r="H471" s="948"/>
      <c r="I471" s="948"/>
      <c r="J471" s="948"/>
      <c r="K471" s="949"/>
      <c r="L471" s="949"/>
      <c r="M471" s="949"/>
      <c r="N471" s="950"/>
      <c r="O471" s="948"/>
      <c r="P471" s="948"/>
      <c r="Q471" s="948"/>
      <c r="R471" s="949"/>
      <c r="S471" s="949"/>
      <c r="T471" s="949"/>
      <c r="U471" s="949"/>
      <c r="V471" s="949"/>
      <c r="W471" s="949"/>
      <c r="X471" s="951"/>
      <c r="Y471" s="951"/>
      <c r="Z471" s="952"/>
      <c r="AA471" s="953"/>
      <c r="AB471" s="948"/>
      <c r="AC471" s="948"/>
      <c r="AD471" s="949"/>
      <c r="AE471" s="949"/>
      <c r="AF471" s="949"/>
      <c r="AG471" s="949"/>
      <c r="AH471" s="949"/>
      <c r="AI471" s="949"/>
      <c r="AJ471" s="949"/>
      <c r="AK471" s="949"/>
      <c r="AL471" s="949"/>
      <c r="AM471" s="949"/>
      <c r="AN471" s="949"/>
      <c r="AO471" s="949"/>
      <c r="AP471" s="949"/>
      <c r="AQ471" s="949"/>
      <c r="AR471" s="949"/>
      <c r="AS471" s="949"/>
      <c r="AT471" s="949"/>
      <c r="AU471" s="949"/>
      <c r="AV471" s="949"/>
      <c r="AW471" s="949"/>
      <c r="AX471" s="949"/>
      <c r="AY471" s="949"/>
      <c r="AZ471" s="949"/>
      <c r="BA471" s="949"/>
      <c r="BB471" s="949"/>
      <c r="BC471" s="949"/>
      <c r="BD471" s="949"/>
      <c r="BE471" s="949"/>
      <c r="BF471" s="949"/>
      <c r="BG471" s="948"/>
      <c r="BH471" s="948"/>
      <c r="BI471" s="948"/>
      <c r="BJ471" s="948"/>
      <c r="BK471" s="948"/>
      <c r="BL471" s="948"/>
      <c r="BM471" s="948"/>
      <c r="BN471" s="948"/>
      <c r="BO471" s="948"/>
      <c r="BP471" s="948"/>
      <c r="BQ471" s="948"/>
      <c r="BR471" s="948"/>
      <c r="BS471" s="948"/>
      <c r="BT471" s="948"/>
      <c r="BU471" s="954"/>
    </row>
    <row r="472" spans="1:73" ht="15.75" customHeight="1" x14ac:dyDescent="0.2">
      <c r="A472" s="947"/>
      <c r="B472" s="947"/>
      <c r="C472" s="947"/>
      <c r="D472" s="948"/>
      <c r="E472" s="948"/>
      <c r="F472" s="948"/>
      <c r="G472" s="948"/>
      <c r="H472" s="948"/>
      <c r="I472" s="948"/>
      <c r="J472" s="948"/>
      <c r="K472" s="949"/>
      <c r="L472" s="949"/>
      <c r="M472" s="949"/>
      <c r="N472" s="950"/>
      <c r="O472" s="948"/>
      <c r="P472" s="948"/>
      <c r="Q472" s="948"/>
      <c r="R472" s="949"/>
      <c r="S472" s="949"/>
      <c r="T472" s="949"/>
      <c r="U472" s="949"/>
      <c r="V472" s="949"/>
      <c r="W472" s="949"/>
      <c r="X472" s="951"/>
      <c r="Y472" s="951"/>
      <c r="Z472" s="952"/>
      <c r="AA472" s="953"/>
      <c r="AB472" s="948"/>
      <c r="AC472" s="948"/>
      <c r="AD472" s="949"/>
      <c r="AE472" s="949"/>
      <c r="AF472" s="949"/>
      <c r="AG472" s="949"/>
      <c r="AH472" s="949"/>
      <c r="AI472" s="949"/>
      <c r="AJ472" s="949"/>
      <c r="AK472" s="949"/>
      <c r="AL472" s="949"/>
      <c r="AM472" s="949"/>
      <c r="AN472" s="949"/>
      <c r="AO472" s="949"/>
      <c r="AP472" s="949"/>
      <c r="AQ472" s="949"/>
      <c r="AR472" s="949"/>
      <c r="AS472" s="949"/>
      <c r="AT472" s="949"/>
      <c r="AU472" s="949"/>
      <c r="AV472" s="949"/>
      <c r="AW472" s="949"/>
      <c r="AX472" s="949"/>
      <c r="AY472" s="949"/>
      <c r="AZ472" s="949"/>
      <c r="BA472" s="949"/>
      <c r="BB472" s="949"/>
      <c r="BC472" s="949"/>
      <c r="BD472" s="949"/>
      <c r="BE472" s="949"/>
      <c r="BF472" s="949"/>
      <c r="BG472" s="948"/>
      <c r="BH472" s="948"/>
      <c r="BI472" s="948"/>
      <c r="BJ472" s="948"/>
      <c r="BK472" s="948"/>
      <c r="BL472" s="948"/>
      <c r="BM472" s="948"/>
      <c r="BN472" s="948"/>
      <c r="BO472" s="948"/>
      <c r="BP472" s="948"/>
      <c r="BQ472" s="948"/>
      <c r="BR472" s="948"/>
      <c r="BS472" s="948"/>
      <c r="BT472" s="948"/>
      <c r="BU472" s="954"/>
    </row>
    <row r="473" spans="1:73" ht="15.75" customHeight="1" x14ac:dyDescent="0.2">
      <c r="A473" s="947"/>
      <c r="B473" s="947"/>
      <c r="C473" s="947"/>
      <c r="D473" s="948"/>
      <c r="E473" s="948"/>
      <c r="F473" s="948"/>
      <c r="G473" s="948"/>
      <c r="H473" s="948"/>
      <c r="I473" s="948"/>
      <c r="J473" s="948"/>
      <c r="K473" s="949"/>
      <c r="L473" s="949"/>
      <c r="M473" s="949"/>
      <c r="N473" s="950"/>
      <c r="O473" s="948"/>
      <c r="P473" s="948"/>
      <c r="Q473" s="948"/>
      <c r="R473" s="949"/>
      <c r="S473" s="949"/>
      <c r="T473" s="949"/>
      <c r="U473" s="949"/>
      <c r="V473" s="949"/>
      <c r="W473" s="949"/>
      <c r="X473" s="951"/>
      <c r="Y473" s="951"/>
      <c r="Z473" s="952"/>
      <c r="AA473" s="953"/>
      <c r="AB473" s="948"/>
      <c r="AC473" s="948"/>
      <c r="AD473" s="949"/>
      <c r="AE473" s="949"/>
      <c r="AF473" s="949"/>
      <c r="AG473" s="949"/>
      <c r="AH473" s="949"/>
      <c r="AI473" s="949"/>
      <c r="AJ473" s="949"/>
      <c r="AK473" s="949"/>
      <c r="AL473" s="949"/>
      <c r="AM473" s="949"/>
      <c r="AN473" s="949"/>
      <c r="AO473" s="949"/>
      <c r="AP473" s="949"/>
      <c r="AQ473" s="949"/>
      <c r="AR473" s="949"/>
      <c r="AS473" s="949"/>
      <c r="AT473" s="949"/>
      <c r="AU473" s="949"/>
      <c r="AV473" s="949"/>
      <c r="AW473" s="949"/>
      <c r="AX473" s="949"/>
      <c r="AY473" s="949"/>
      <c r="AZ473" s="949"/>
      <c r="BA473" s="949"/>
      <c r="BB473" s="949"/>
      <c r="BC473" s="949"/>
      <c r="BD473" s="949"/>
      <c r="BE473" s="949"/>
      <c r="BF473" s="949"/>
      <c r="BG473" s="948"/>
      <c r="BH473" s="948"/>
      <c r="BI473" s="948"/>
      <c r="BJ473" s="948"/>
      <c r="BK473" s="948"/>
      <c r="BL473" s="948"/>
      <c r="BM473" s="948"/>
      <c r="BN473" s="948"/>
      <c r="BO473" s="948"/>
      <c r="BP473" s="948"/>
      <c r="BQ473" s="948"/>
      <c r="BR473" s="948"/>
      <c r="BS473" s="948"/>
      <c r="BT473" s="948"/>
      <c r="BU473" s="954"/>
    </row>
    <row r="474" spans="1:73" ht="15.75" customHeight="1" x14ac:dyDescent="0.2">
      <c r="A474" s="947"/>
      <c r="B474" s="947"/>
      <c r="C474" s="947"/>
      <c r="D474" s="948"/>
      <c r="E474" s="948"/>
      <c r="F474" s="948"/>
      <c r="G474" s="948"/>
      <c r="H474" s="948"/>
      <c r="I474" s="948"/>
      <c r="J474" s="948"/>
      <c r="K474" s="949"/>
      <c r="L474" s="949"/>
      <c r="M474" s="949"/>
      <c r="N474" s="950"/>
      <c r="O474" s="948"/>
      <c r="P474" s="948"/>
      <c r="Q474" s="948"/>
      <c r="R474" s="949"/>
      <c r="S474" s="949"/>
      <c r="T474" s="949"/>
      <c r="U474" s="949"/>
      <c r="V474" s="949"/>
      <c r="W474" s="949"/>
      <c r="X474" s="951"/>
      <c r="Y474" s="951"/>
      <c r="Z474" s="952"/>
      <c r="AA474" s="953"/>
      <c r="AB474" s="948"/>
      <c r="AC474" s="948"/>
      <c r="AD474" s="949"/>
      <c r="AE474" s="949"/>
      <c r="AF474" s="949"/>
      <c r="AG474" s="949"/>
      <c r="AH474" s="949"/>
      <c r="AI474" s="949"/>
      <c r="AJ474" s="949"/>
      <c r="AK474" s="949"/>
      <c r="AL474" s="949"/>
      <c r="AM474" s="949"/>
      <c r="AN474" s="949"/>
      <c r="AO474" s="949"/>
      <c r="AP474" s="949"/>
      <c r="AQ474" s="949"/>
      <c r="AR474" s="949"/>
      <c r="AS474" s="949"/>
      <c r="AT474" s="949"/>
      <c r="AU474" s="949"/>
      <c r="AV474" s="949"/>
      <c r="AW474" s="949"/>
      <c r="AX474" s="949"/>
      <c r="AY474" s="949"/>
      <c r="AZ474" s="949"/>
      <c r="BA474" s="949"/>
      <c r="BB474" s="949"/>
      <c r="BC474" s="949"/>
      <c r="BD474" s="949"/>
      <c r="BE474" s="949"/>
      <c r="BF474" s="949"/>
      <c r="BG474" s="948"/>
      <c r="BH474" s="948"/>
      <c r="BI474" s="948"/>
      <c r="BJ474" s="948"/>
      <c r="BK474" s="948"/>
      <c r="BL474" s="948"/>
      <c r="BM474" s="948"/>
      <c r="BN474" s="948"/>
      <c r="BO474" s="948"/>
      <c r="BP474" s="948"/>
      <c r="BQ474" s="948"/>
      <c r="BR474" s="948"/>
      <c r="BS474" s="948"/>
      <c r="BT474" s="948"/>
      <c r="BU474" s="954"/>
    </row>
    <row r="475" spans="1:73" ht="15.75" customHeight="1" x14ac:dyDescent="0.2">
      <c r="A475" s="947"/>
      <c r="B475" s="947"/>
      <c r="C475" s="947"/>
      <c r="D475" s="948"/>
      <c r="E475" s="948"/>
      <c r="F475" s="948"/>
      <c r="G475" s="948"/>
      <c r="H475" s="948"/>
      <c r="I475" s="948"/>
      <c r="J475" s="948"/>
      <c r="K475" s="949"/>
      <c r="L475" s="949"/>
      <c r="M475" s="949"/>
      <c r="N475" s="950"/>
      <c r="O475" s="948"/>
      <c r="P475" s="948"/>
      <c r="Q475" s="948"/>
      <c r="R475" s="949"/>
      <c r="S475" s="949"/>
      <c r="T475" s="949"/>
      <c r="U475" s="949"/>
      <c r="V475" s="949"/>
      <c r="W475" s="949"/>
      <c r="X475" s="951"/>
      <c r="Y475" s="951"/>
      <c r="Z475" s="952"/>
      <c r="AA475" s="953"/>
      <c r="AB475" s="948"/>
      <c r="AC475" s="948"/>
      <c r="AD475" s="949"/>
      <c r="AE475" s="949"/>
      <c r="AF475" s="949"/>
      <c r="AG475" s="949"/>
      <c r="AH475" s="949"/>
      <c r="AI475" s="949"/>
      <c r="AJ475" s="949"/>
      <c r="AK475" s="949"/>
      <c r="AL475" s="949"/>
      <c r="AM475" s="949"/>
      <c r="AN475" s="949"/>
      <c r="AO475" s="949"/>
      <c r="AP475" s="949"/>
      <c r="AQ475" s="949"/>
      <c r="AR475" s="949"/>
      <c r="AS475" s="949"/>
      <c r="AT475" s="949"/>
      <c r="AU475" s="949"/>
      <c r="AV475" s="949"/>
      <c r="AW475" s="949"/>
      <c r="AX475" s="949"/>
      <c r="AY475" s="949"/>
      <c r="AZ475" s="949"/>
      <c r="BA475" s="949"/>
      <c r="BB475" s="949"/>
      <c r="BC475" s="949"/>
      <c r="BD475" s="949"/>
      <c r="BE475" s="949"/>
      <c r="BF475" s="949"/>
      <c r="BG475" s="948"/>
      <c r="BH475" s="948"/>
      <c r="BI475" s="948"/>
      <c r="BJ475" s="948"/>
      <c r="BK475" s="948"/>
      <c r="BL475" s="948"/>
      <c r="BM475" s="948"/>
      <c r="BN475" s="948"/>
      <c r="BO475" s="948"/>
      <c r="BP475" s="948"/>
      <c r="BQ475" s="948"/>
      <c r="BR475" s="948"/>
      <c r="BS475" s="948"/>
      <c r="BT475" s="948"/>
      <c r="BU475" s="954"/>
    </row>
    <row r="476" spans="1:73" ht="15.75" customHeight="1" x14ac:dyDescent="0.2">
      <c r="A476" s="947"/>
      <c r="B476" s="947"/>
      <c r="C476" s="947"/>
      <c r="D476" s="948"/>
      <c r="E476" s="948"/>
      <c r="F476" s="948"/>
      <c r="G476" s="948"/>
      <c r="H476" s="948"/>
      <c r="I476" s="948"/>
      <c r="J476" s="948"/>
      <c r="K476" s="949"/>
      <c r="L476" s="949"/>
      <c r="M476" s="949"/>
      <c r="N476" s="950"/>
      <c r="O476" s="948"/>
      <c r="P476" s="948"/>
      <c r="Q476" s="948"/>
      <c r="R476" s="949"/>
      <c r="S476" s="949"/>
      <c r="T476" s="949"/>
      <c r="U476" s="949"/>
      <c r="V476" s="949"/>
      <c r="W476" s="949"/>
      <c r="X476" s="951"/>
      <c r="Y476" s="951"/>
      <c r="Z476" s="952"/>
      <c r="AA476" s="953"/>
      <c r="AB476" s="948"/>
      <c r="AC476" s="948"/>
      <c r="AD476" s="949"/>
      <c r="AE476" s="949"/>
      <c r="AF476" s="949"/>
      <c r="AG476" s="949"/>
      <c r="AH476" s="949"/>
      <c r="AI476" s="949"/>
      <c r="AJ476" s="949"/>
      <c r="AK476" s="949"/>
      <c r="AL476" s="949"/>
      <c r="AM476" s="949"/>
      <c r="AN476" s="949"/>
      <c r="AO476" s="949"/>
      <c r="AP476" s="949"/>
      <c r="AQ476" s="949"/>
      <c r="AR476" s="949"/>
      <c r="AS476" s="949"/>
      <c r="AT476" s="949"/>
      <c r="AU476" s="949"/>
      <c r="AV476" s="949"/>
      <c r="AW476" s="949"/>
      <c r="AX476" s="949"/>
      <c r="AY476" s="949"/>
      <c r="AZ476" s="949"/>
      <c r="BA476" s="949"/>
      <c r="BB476" s="949"/>
      <c r="BC476" s="949"/>
      <c r="BD476" s="949"/>
      <c r="BE476" s="949"/>
      <c r="BF476" s="949"/>
      <c r="BG476" s="948"/>
      <c r="BH476" s="948"/>
      <c r="BI476" s="948"/>
      <c r="BJ476" s="948"/>
      <c r="BK476" s="948"/>
      <c r="BL476" s="948"/>
      <c r="BM476" s="948"/>
      <c r="BN476" s="948"/>
      <c r="BO476" s="948"/>
      <c r="BP476" s="948"/>
      <c r="BQ476" s="948"/>
      <c r="BR476" s="948"/>
      <c r="BS476" s="948"/>
      <c r="BT476" s="948"/>
      <c r="BU476" s="954"/>
    </row>
    <row r="477" spans="1:73" ht="15.75" customHeight="1" x14ac:dyDescent="0.2">
      <c r="A477" s="947"/>
      <c r="B477" s="947"/>
      <c r="C477" s="947"/>
      <c r="D477" s="948"/>
      <c r="E477" s="948"/>
      <c r="F477" s="948"/>
      <c r="G477" s="948"/>
      <c r="H477" s="948"/>
      <c r="I477" s="948"/>
      <c r="J477" s="948"/>
      <c r="K477" s="949"/>
      <c r="L477" s="949"/>
      <c r="M477" s="949"/>
      <c r="N477" s="950"/>
      <c r="O477" s="948"/>
      <c r="P477" s="948"/>
      <c r="Q477" s="948"/>
      <c r="R477" s="949"/>
      <c r="S477" s="949"/>
      <c r="T477" s="949"/>
      <c r="U477" s="949"/>
      <c r="V477" s="949"/>
      <c r="W477" s="949"/>
      <c r="X477" s="951"/>
      <c r="Y477" s="951"/>
      <c r="Z477" s="952"/>
      <c r="AA477" s="953"/>
      <c r="AB477" s="948"/>
      <c r="AC477" s="948"/>
      <c r="AD477" s="949"/>
      <c r="AE477" s="949"/>
      <c r="AF477" s="949"/>
      <c r="AG477" s="949"/>
      <c r="AH477" s="949"/>
      <c r="AI477" s="949"/>
      <c r="AJ477" s="949"/>
      <c r="AK477" s="949"/>
      <c r="AL477" s="949"/>
      <c r="AM477" s="949"/>
      <c r="AN477" s="949"/>
      <c r="AO477" s="949"/>
      <c r="AP477" s="949"/>
      <c r="AQ477" s="949"/>
      <c r="AR477" s="949"/>
      <c r="AS477" s="949"/>
      <c r="AT477" s="949"/>
      <c r="AU477" s="949"/>
      <c r="AV477" s="949"/>
      <c r="AW477" s="949"/>
      <c r="AX477" s="949"/>
      <c r="AY477" s="949"/>
      <c r="AZ477" s="949"/>
      <c r="BA477" s="949"/>
      <c r="BB477" s="949"/>
      <c r="BC477" s="949"/>
      <c r="BD477" s="949"/>
      <c r="BE477" s="949"/>
      <c r="BF477" s="949"/>
      <c r="BG477" s="948"/>
      <c r="BH477" s="948"/>
      <c r="BI477" s="948"/>
      <c r="BJ477" s="948"/>
      <c r="BK477" s="948"/>
      <c r="BL477" s="948"/>
      <c r="BM477" s="948"/>
      <c r="BN477" s="948"/>
      <c r="BO477" s="948"/>
      <c r="BP477" s="948"/>
      <c r="BQ477" s="948"/>
      <c r="BR477" s="948"/>
      <c r="BS477" s="948"/>
      <c r="BT477" s="948"/>
      <c r="BU477" s="954"/>
    </row>
    <row r="478" spans="1:73" ht="15.75" customHeight="1" x14ac:dyDescent="0.2">
      <c r="A478" s="947"/>
      <c r="B478" s="947"/>
      <c r="C478" s="947"/>
      <c r="D478" s="948"/>
      <c r="E478" s="948"/>
      <c r="F478" s="948"/>
      <c r="G478" s="948"/>
      <c r="H478" s="948"/>
      <c r="I478" s="948"/>
      <c r="J478" s="948"/>
      <c r="K478" s="949"/>
      <c r="L478" s="949"/>
      <c r="M478" s="949"/>
      <c r="N478" s="950"/>
      <c r="O478" s="948"/>
      <c r="P478" s="948"/>
      <c r="Q478" s="948"/>
      <c r="R478" s="949"/>
      <c r="S478" s="949"/>
      <c r="T478" s="949"/>
      <c r="U478" s="949"/>
      <c r="V478" s="949"/>
      <c r="W478" s="949"/>
      <c r="X478" s="951"/>
      <c r="Y478" s="951"/>
      <c r="Z478" s="952"/>
      <c r="AA478" s="953"/>
      <c r="AB478" s="948"/>
      <c r="AC478" s="948"/>
      <c r="AD478" s="949"/>
      <c r="AE478" s="949"/>
      <c r="AF478" s="949"/>
      <c r="AG478" s="949"/>
      <c r="AH478" s="949"/>
      <c r="AI478" s="949"/>
      <c r="AJ478" s="949"/>
      <c r="AK478" s="949"/>
      <c r="AL478" s="949"/>
      <c r="AM478" s="949"/>
      <c r="AN478" s="949"/>
      <c r="AO478" s="949"/>
      <c r="AP478" s="949"/>
      <c r="AQ478" s="949"/>
      <c r="AR478" s="949"/>
      <c r="AS478" s="949"/>
      <c r="AT478" s="949"/>
      <c r="AU478" s="949"/>
      <c r="AV478" s="949"/>
      <c r="AW478" s="949"/>
      <c r="AX478" s="949"/>
      <c r="AY478" s="949"/>
      <c r="AZ478" s="949"/>
      <c r="BA478" s="949"/>
      <c r="BB478" s="949"/>
      <c r="BC478" s="949"/>
      <c r="BD478" s="949"/>
      <c r="BE478" s="949"/>
      <c r="BF478" s="949"/>
      <c r="BG478" s="948"/>
      <c r="BH478" s="948"/>
      <c r="BI478" s="948"/>
      <c r="BJ478" s="948"/>
      <c r="BK478" s="948"/>
      <c r="BL478" s="948"/>
      <c r="BM478" s="948"/>
      <c r="BN478" s="948"/>
      <c r="BO478" s="948"/>
      <c r="BP478" s="948"/>
      <c r="BQ478" s="948"/>
      <c r="BR478" s="948"/>
      <c r="BS478" s="948"/>
      <c r="BT478" s="948"/>
      <c r="BU478" s="954"/>
    </row>
    <row r="479" spans="1:73" ht="15.75" customHeight="1" x14ac:dyDescent="0.2">
      <c r="A479" s="947"/>
      <c r="B479" s="947"/>
      <c r="C479" s="947"/>
      <c r="D479" s="948"/>
      <c r="E479" s="948"/>
      <c r="F479" s="948"/>
      <c r="G479" s="948"/>
      <c r="H479" s="948"/>
      <c r="I479" s="948"/>
      <c r="J479" s="948"/>
      <c r="K479" s="949"/>
      <c r="L479" s="949"/>
      <c r="M479" s="949"/>
      <c r="N479" s="950"/>
      <c r="O479" s="948"/>
      <c r="P479" s="948"/>
      <c r="Q479" s="948"/>
      <c r="R479" s="949"/>
      <c r="S479" s="949"/>
      <c r="T479" s="949"/>
      <c r="U479" s="949"/>
      <c r="V479" s="949"/>
      <c r="W479" s="949"/>
      <c r="X479" s="951"/>
      <c r="Y479" s="951"/>
      <c r="Z479" s="952"/>
      <c r="AA479" s="953"/>
      <c r="AB479" s="948"/>
      <c r="AC479" s="948"/>
      <c r="AD479" s="949"/>
      <c r="AE479" s="949"/>
      <c r="AF479" s="949"/>
      <c r="AG479" s="949"/>
      <c r="AH479" s="949"/>
      <c r="AI479" s="949"/>
      <c r="AJ479" s="949"/>
      <c r="AK479" s="949"/>
      <c r="AL479" s="949"/>
      <c r="AM479" s="949"/>
      <c r="AN479" s="949"/>
      <c r="AO479" s="949"/>
      <c r="AP479" s="949"/>
      <c r="AQ479" s="949"/>
      <c r="AR479" s="949"/>
      <c r="AS479" s="949"/>
      <c r="AT479" s="949"/>
      <c r="AU479" s="949"/>
      <c r="AV479" s="949"/>
      <c r="AW479" s="949"/>
      <c r="AX479" s="949"/>
      <c r="AY479" s="949"/>
      <c r="AZ479" s="949"/>
      <c r="BA479" s="949"/>
      <c r="BB479" s="949"/>
      <c r="BC479" s="949"/>
      <c r="BD479" s="949"/>
      <c r="BE479" s="949"/>
      <c r="BF479" s="949"/>
      <c r="BG479" s="948"/>
      <c r="BH479" s="948"/>
      <c r="BI479" s="948"/>
      <c r="BJ479" s="948"/>
      <c r="BK479" s="948"/>
      <c r="BL479" s="948"/>
      <c r="BM479" s="948"/>
      <c r="BN479" s="948"/>
      <c r="BO479" s="948"/>
      <c r="BP479" s="948"/>
      <c r="BQ479" s="948"/>
      <c r="BR479" s="948"/>
      <c r="BS479" s="948"/>
      <c r="BT479" s="948"/>
      <c r="BU479" s="954"/>
    </row>
    <row r="480" spans="1:73" ht="15.75" customHeight="1" x14ac:dyDescent="0.2">
      <c r="A480" s="947"/>
      <c r="B480" s="947"/>
      <c r="C480" s="947"/>
      <c r="D480" s="948"/>
      <c r="E480" s="948"/>
      <c r="F480" s="948"/>
      <c r="G480" s="948"/>
      <c r="H480" s="948"/>
      <c r="I480" s="948"/>
      <c r="J480" s="948"/>
      <c r="K480" s="949"/>
      <c r="L480" s="949"/>
      <c r="M480" s="949"/>
      <c r="N480" s="950"/>
      <c r="O480" s="948"/>
      <c r="P480" s="948"/>
      <c r="Q480" s="948"/>
      <c r="R480" s="949"/>
      <c r="S480" s="949"/>
      <c r="T480" s="949"/>
      <c r="U480" s="949"/>
      <c r="V480" s="949"/>
      <c r="W480" s="949"/>
      <c r="X480" s="951"/>
      <c r="Y480" s="951"/>
      <c r="Z480" s="952"/>
      <c r="AA480" s="953"/>
      <c r="AB480" s="948"/>
      <c r="AC480" s="948"/>
      <c r="AD480" s="949"/>
      <c r="AE480" s="949"/>
      <c r="AF480" s="949"/>
      <c r="AG480" s="949"/>
      <c r="AH480" s="949"/>
      <c r="AI480" s="949"/>
      <c r="AJ480" s="949"/>
      <c r="AK480" s="949"/>
      <c r="AL480" s="949"/>
      <c r="AM480" s="949"/>
      <c r="AN480" s="949"/>
      <c r="AO480" s="949"/>
      <c r="AP480" s="949"/>
      <c r="AQ480" s="949"/>
      <c r="AR480" s="949"/>
      <c r="AS480" s="949"/>
      <c r="AT480" s="949"/>
      <c r="AU480" s="949"/>
      <c r="AV480" s="949"/>
      <c r="AW480" s="949"/>
      <c r="AX480" s="949"/>
      <c r="AY480" s="949"/>
      <c r="AZ480" s="949"/>
      <c r="BA480" s="949"/>
      <c r="BB480" s="949"/>
      <c r="BC480" s="949"/>
      <c r="BD480" s="949"/>
      <c r="BE480" s="949"/>
      <c r="BF480" s="949"/>
      <c r="BG480" s="948"/>
      <c r="BH480" s="948"/>
      <c r="BI480" s="948"/>
      <c r="BJ480" s="948"/>
      <c r="BK480" s="948"/>
      <c r="BL480" s="948"/>
      <c r="BM480" s="948"/>
      <c r="BN480" s="948"/>
      <c r="BO480" s="948"/>
      <c r="BP480" s="948"/>
      <c r="BQ480" s="948"/>
      <c r="BR480" s="948"/>
      <c r="BS480" s="948"/>
      <c r="BT480" s="948"/>
      <c r="BU480" s="954"/>
    </row>
    <row r="481" spans="1:73" ht="15.75" customHeight="1" x14ac:dyDescent="0.2">
      <c r="A481" s="947"/>
      <c r="B481" s="947"/>
      <c r="C481" s="947"/>
      <c r="D481" s="948"/>
      <c r="E481" s="948"/>
      <c r="F481" s="948"/>
      <c r="G481" s="948"/>
      <c r="H481" s="948"/>
      <c r="I481" s="948"/>
      <c r="J481" s="948"/>
      <c r="K481" s="949"/>
      <c r="L481" s="949"/>
      <c r="M481" s="949"/>
      <c r="N481" s="950"/>
      <c r="O481" s="948"/>
      <c r="P481" s="948"/>
      <c r="Q481" s="948"/>
      <c r="R481" s="949"/>
      <c r="S481" s="949"/>
      <c r="T481" s="949"/>
      <c r="U481" s="949"/>
      <c r="V481" s="949"/>
      <c r="W481" s="949"/>
      <c r="X481" s="951"/>
      <c r="Y481" s="951"/>
      <c r="Z481" s="952"/>
      <c r="AA481" s="953"/>
      <c r="AB481" s="948"/>
      <c r="AC481" s="948"/>
      <c r="AD481" s="949"/>
      <c r="AE481" s="949"/>
      <c r="AF481" s="949"/>
      <c r="AG481" s="949"/>
      <c r="AH481" s="949"/>
      <c r="AI481" s="949"/>
      <c r="AJ481" s="949"/>
      <c r="AK481" s="949"/>
      <c r="AL481" s="949"/>
      <c r="AM481" s="949"/>
      <c r="AN481" s="949"/>
      <c r="AO481" s="949"/>
      <c r="AP481" s="949"/>
      <c r="AQ481" s="949"/>
      <c r="AR481" s="949"/>
      <c r="AS481" s="949"/>
      <c r="AT481" s="949"/>
      <c r="AU481" s="949"/>
      <c r="AV481" s="949"/>
      <c r="AW481" s="949"/>
      <c r="AX481" s="949"/>
      <c r="AY481" s="949"/>
      <c r="AZ481" s="949"/>
      <c r="BA481" s="949"/>
      <c r="BB481" s="949"/>
      <c r="BC481" s="949"/>
      <c r="BD481" s="949"/>
      <c r="BE481" s="949"/>
      <c r="BF481" s="949"/>
      <c r="BG481" s="948"/>
      <c r="BH481" s="948"/>
      <c r="BI481" s="948"/>
      <c r="BJ481" s="948"/>
      <c r="BK481" s="948"/>
      <c r="BL481" s="948"/>
      <c r="BM481" s="948"/>
      <c r="BN481" s="948"/>
      <c r="BO481" s="948"/>
      <c r="BP481" s="948"/>
      <c r="BQ481" s="948"/>
      <c r="BR481" s="948"/>
      <c r="BS481" s="948"/>
      <c r="BT481" s="948"/>
      <c r="BU481" s="954"/>
    </row>
    <row r="482" spans="1:73" ht="15.75" customHeight="1" x14ac:dyDescent="0.2">
      <c r="A482" s="947"/>
      <c r="B482" s="947"/>
      <c r="C482" s="947"/>
      <c r="D482" s="948"/>
      <c r="E482" s="948"/>
      <c r="F482" s="948"/>
      <c r="G482" s="948"/>
      <c r="H482" s="948"/>
      <c r="I482" s="948"/>
      <c r="J482" s="948"/>
      <c r="K482" s="949"/>
      <c r="L482" s="949"/>
      <c r="M482" s="949"/>
      <c r="N482" s="950"/>
      <c r="O482" s="948"/>
      <c r="P482" s="948"/>
      <c r="Q482" s="948"/>
      <c r="R482" s="949"/>
      <c r="S482" s="949"/>
      <c r="T482" s="949"/>
      <c r="U482" s="949"/>
      <c r="V482" s="949"/>
      <c r="W482" s="949"/>
      <c r="X482" s="951"/>
      <c r="Y482" s="951"/>
      <c r="Z482" s="952"/>
      <c r="AA482" s="953"/>
      <c r="AB482" s="948"/>
      <c r="AC482" s="948"/>
      <c r="AD482" s="949"/>
      <c r="AE482" s="949"/>
      <c r="AF482" s="949"/>
      <c r="AG482" s="949"/>
      <c r="AH482" s="949"/>
      <c r="AI482" s="949"/>
      <c r="AJ482" s="949"/>
      <c r="AK482" s="949"/>
      <c r="AL482" s="949"/>
      <c r="AM482" s="949"/>
      <c r="AN482" s="949"/>
      <c r="AO482" s="949"/>
      <c r="AP482" s="949"/>
      <c r="AQ482" s="949"/>
      <c r="AR482" s="949"/>
      <c r="AS482" s="949"/>
      <c r="AT482" s="949"/>
      <c r="AU482" s="949"/>
      <c r="AV482" s="949"/>
      <c r="AW482" s="949"/>
      <c r="AX482" s="949"/>
      <c r="AY482" s="949"/>
      <c r="AZ482" s="949"/>
      <c r="BA482" s="949"/>
      <c r="BB482" s="949"/>
      <c r="BC482" s="949"/>
      <c r="BD482" s="949"/>
      <c r="BE482" s="949"/>
      <c r="BF482" s="949"/>
      <c r="BG482" s="948"/>
      <c r="BH482" s="948"/>
      <c r="BI482" s="948"/>
      <c r="BJ482" s="948"/>
      <c r="BK482" s="948"/>
      <c r="BL482" s="948"/>
      <c r="BM482" s="948"/>
      <c r="BN482" s="948"/>
      <c r="BO482" s="948"/>
      <c r="BP482" s="948"/>
      <c r="BQ482" s="948"/>
      <c r="BR482" s="948"/>
      <c r="BS482" s="948"/>
      <c r="BT482" s="948"/>
      <c r="BU482" s="954"/>
    </row>
    <row r="483" spans="1:73" ht="15.75" customHeight="1" x14ac:dyDescent="0.2">
      <c r="A483" s="947"/>
      <c r="B483" s="947"/>
      <c r="C483" s="947"/>
      <c r="D483" s="948"/>
      <c r="E483" s="948"/>
      <c r="F483" s="948"/>
      <c r="G483" s="948"/>
      <c r="H483" s="948"/>
      <c r="I483" s="948"/>
      <c r="J483" s="948"/>
      <c r="K483" s="949"/>
      <c r="L483" s="949"/>
      <c r="M483" s="949"/>
      <c r="N483" s="950"/>
      <c r="O483" s="948"/>
      <c r="P483" s="948"/>
      <c r="Q483" s="948"/>
      <c r="R483" s="949"/>
      <c r="S483" s="949"/>
      <c r="T483" s="949"/>
      <c r="U483" s="949"/>
      <c r="V483" s="949"/>
      <c r="W483" s="949"/>
      <c r="X483" s="951"/>
      <c r="Y483" s="951"/>
      <c r="Z483" s="952"/>
      <c r="AA483" s="953"/>
      <c r="AB483" s="948"/>
      <c r="AC483" s="948"/>
      <c r="AD483" s="949"/>
      <c r="AE483" s="949"/>
      <c r="AF483" s="949"/>
      <c r="AG483" s="949"/>
      <c r="AH483" s="949"/>
      <c r="AI483" s="949"/>
      <c r="AJ483" s="949"/>
      <c r="AK483" s="949"/>
      <c r="AL483" s="949"/>
      <c r="AM483" s="949"/>
      <c r="AN483" s="949"/>
      <c r="AO483" s="949"/>
      <c r="AP483" s="949"/>
      <c r="AQ483" s="949"/>
      <c r="AR483" s="949"/>
      <c r="AS483" s="949"/>
      <c r="AT483" s="949"/>
      <c r="AU483" s="949"/>
      <c r="AV483" s="949"/>
      <c r="AW483" s="949"/>
      <c r="AX483" s="949"/>
      <c r="AY483" s="949"/>
      <c r="AZ483" s="949"/>
      <c r="BA483" s="949"/>
      <c r="BB483" s="949"/>
      <c r="BC483" s="949"/>
      <c r="BD483" s="949"/>
      <c r="BE483" s="949"/>
      <c r="BF483" s="949"/>
      <c r="BG483" s="948"/>
      <c r="BH483" s="948"/>
      <c r="BI483" s="948"/>
      <c r="BJ483" s="948"/>
      <c r="BK483" s="948"/>
      <c r="BL483" s="948"/>
      <c r="BM483" s="948"/>
      <c r="BN483" s="948"/>
      <c r="BO483" s="948"/>
      <c r="BP483" s="948"/>
      <c r="BQ483" s="948"/>
      <c r="BR483" s="948"/>
      <c r="BS483" s="948"/>
      <c r="BT483" s="948"/>
      <c r="BU483" s="954"/>
    </row>
    <row r="484" spans="1:73" ht="15.75" customHeight="1" x14ac:dyDescent="0.2">
      <c r="A484" s="947"/>
      <c r="B484" s="947"/>
      <c r="C484" s="947"/>
      <c r="D484" s="948"/>
      <c r="E484" s="948"/>
      <c r="F484" s="948"/>
      <c r="G484" s="948"/>
      <c r="H484" s="948"/>
      <c r="I484" s="948"/>
      <c r="J484" s="948"/>
      <c r="K484" s="949"/>
      <c r="L484" s="949"/>
      <c r="M484" s="949"/>
      <c r="N484" s="950"/>
      <c r="O484" s="948"/>
      <c r="P484" s="948"/>
      <c r="Q484" s="948"/>
      <c r="R484" s="949"/>
      <c r="S484" s="949"/>
      <c r="T484" s="949"/>
      <c r="U484" s="949"/>
      <c r="V484" s="949"/>
      <c r="W484" s="949"/>
      <c r="X484" s="951"/>
      <c r="Y484" s="951"/>
      <c r="Z484" s="952"/>
      <c r="AA484" s="953"/>
      <c r="AB484" s="948"/>
      <c r="AC484" s="948"/>
      <c r="AD484" s="949"/>
      <c r="AE484" s="949"/>
      <c r="AF484" s="949"/>
      <c r="AG484" s="949"/>
      <c r="AH484" s="949"/>
      <c r="AI484" s="949"/>
      <c r="AJ484" s="949"/>
      <c r="AK484" s="949"/>
      <c r="AL484" s="949"/>
      <c r="AM484" s="949"/>
      <c r="AN484" s="949"/>
      <c r="AO484" s="949"/>
      <c r="AP484" s="949"/>
      <c r="AQ484" s="949"/>
      <c r="AR484" s="949"/>
      <c r="AS484" s="949"/>
      <c r="AT484" s="949"/>
      <c r="AU484" s="949"/>
      <c r="AV484" s="949"/>
      <c r="AW484" s="949"/>
      <c r="AX484" s="949"/>
      <c r="AY484" s="949"/>
      <c r="AZ484" s="949"/>
      <c r="BA484" s="949"/>
      <c r="BB484" s="949"/>
      <c r="BC484" s="949"/>
      <c r="BD484" s="949"/>
      <c r="BE484" s="949"/>
      <c r="BF484" s="949"/>
      <c r="BG484" s="948"/>
      <c r="BH484" s="948"/>
      <c r="BI484" s="948"/>
      <c r="BJ484" s="948"/>
      <c r="BK484" s="948"/>
      <c r="BL484" s="948"/>
      <c r="BM484" s="948"/>
      <c r="BN484" s="948"/>
      <c r="BO484" s="948"/>
      <c r="BP484" s="948"/>
      <c r="BQ484" s="948"/>
      <c r="BR484" s="948"/>
      <c r="BS484" s="948"/>
      <c r="BT484" s="948"/>
      <c r="BU484" s="954"/>
    </row>
    <row r="485" spans="1:73" ht="15.75" customHeight="1" x14ac:dyDescent="0.2">
      <c r="A485" s="947"/>
      <c r="B485" s="947"/>
      <c r="C485" s="947"/>
      <c r="D485" s="948"/>
      <c r="E485" s="948"/>
      <c r="F485" s="948"/>
      <c r="G485" s="948"/>
      <c r="H485" s="948"/>
      <c r="I485" s="948"/>
      <c r="J485" s="948"/>
      <c r="K485" s="949"/>
      <c r="L485" s="949"/>
      <c r="M485" s="949"/>
      <c r="N485" s="950"/>
      <c r="O485" s="948"/>
      <c r="P485" s="948"/>
      <c r="Q485" s="948"/>
      <c r="R485" s="949"/>
      <c r="S485" s="949"/>
      <c r="T485" s="949"/>
      <c r="U485" s="949"/>
      <c r="V485" s="949"/>
      <c r="W485" s="949"/>
      <c r="X485" s="951"/>
      <c r="Y485" s="951"/>
      <c r="Z485" s="952"/>
      <c r="AA485" s="953"/>
      <c r="AB485" s="948"/>
      <c r="AC485" s="948"/>
      <c r="AD485" s="949"/>
      <c r="AE485" s="949"/>
      <c r="AF485" s="949"/>
      <c r="AG485" s="949"/>
      <c r="AH485" s="949"/>
      <c r="AI485" s="949"/>
      <c r="AJ485" s="949"/>
      <c r="AK485" s="949"/>
      <c r="AL485" s="949"/>
      <c r="AM485" s="949"/>
      <c r="AN485" s="949"/>
      <c r="AO485" s="949"/>
      <c r="AP485" s="949"/>
      <c r="AQ485" s="949"/>
      <c r="AR485" s="949"/>
      <c r="AS485" s="949"/>
      <c r="AT485" s="949"/>
      <c r="AU485" s="949"/>
      <c r="AV485" s="949"/>
      <c r="AW485" s="949"/>
      <c r="AX485" s="949"/>
      <c r="AY485" s="949"/>
      <c r="AZ485" s="949"/>
      <c r="BA485" s="949"/>
      <c r="BB485" s="949"/>
      <c r="BC485" s="949"/>
      <c r="BD485" s="949"/>
      <c r="BE485" s="949"/>
      <c r="BF485" s="949"/>
      <c r="BG485" s="948"/>
      <c r="BH485" s="948"/>
      <c r="BI485" s="948"/>
      <c r="BJ485" s="948"/>
      <c r="BK485" s="948"/>
      <c r="BL485" s="948"/>
      <c r="BM485" s="948"/>
      <c r="BN485" s="948"/>
      <c r="BO485" s="948"/>
      <c r="BP485" s="948"/>
      <c r="BQ485" s="948"/>
      <c r="BR485" s="948"/>
      <c r="BS485" s="948"/>
      <c r="BT485" s="948"/>
      <c r="BU485" s="954"/>
    </row>
    <row r="486" spans="1:73" ht="15.75" customHeight="1" x14ac:dyDescent="0.2">
      <c r="A486" s="947"/>
      <c r="B486" s="947"/>
      <c r="C486" s="947"/>
      <c r="D486" s="948"/>
      <c r="E486" s="948"/>
      <c r="F486" s="948"/>
      <c r="G486" s="948"/>
      <c r="H486" s="948"/>
      <c r="I486" s="948"/>
      <c r="J486" s="948"/>
      <c r="K486" s="949"/>
      <c r="L486" s="949"/>
      <c r="M486" s="949"/>
      <c r="N486" s="950"/>
      <c r="O486" s="948"/>
      <c r="P486" s="948"/>
      <c r="Q486" s="948"/>
      <c r="R486" s="949"/>
      <c r="S486" s="949"/>
      <c r="T486" s="949"/>
      <c r="U486" s="949"/>
      <c r="V486" s="949"/>
      <c r="W486" s="949"/>
      <c r="X486" s="951"/>
      <c r="Y486" s="951"/>
      <c r="Z486" s="952"/>
      <c r="AA486" s="953"/>
      <c r="AB486" s="948"/>
      <c r="AC486" s="948"/>
      <c r="AD486" s="949"/>
      <c r="AE486" s="949"/>
      <c r="AF486" s="949"/>
      <c r="AG486" s="949"/>
      <c r="AH486" s="949"/>
      <c r="AI486" s="949"/>
      <c r="AJ486" s="949"/>
      <c r="AK486" s="949"/>
      <c r="AL486" s="949"/>
      <c r="AM486" s="949"/>
      <c r="AN486" s="949"/>
      <c r="AO486" s="949"/>
      <c r="AP486" s="949"/>
      <c r="AQ486" s="949"/>
      <c r="AR486" s="949"/>
      <c r="AS486" s="949"/>
      <c r="AT486" s="949"/>
      <c r="AU486" s="949"/>
      <c r="AV486" s="949"/>
      <c r="AW486" s="949"/>
      <c r="AX486" s="949"/>
      <c r="AY486" s="949"/>
      <c r="AZ486" s="949"/>
      <c r="BA486" s="949"/>
      <c r="BB486" s="949"/>
      <c r="BC486" s="949"/>
      <c r="BD486" s="949"/>
      <c r="BE486" s="949"/>
      <c r="BF486" s="949"/>
      <c r="BG486" s="948"/>
      <c r="BH486" s="948"/>
      <c r="BI486" s="948"/>
      <c r="BJ486" s="948"/>
      <c r="BK486" s="948"/>
      <c r="BL486" s="948"/>
      <c r="BM486" s="948"/>
      <c r="BN486" s="948"/>
      <c r="BO486" s="948"/>
      <c r="BP486" s="948"/>
      <c r="BQ486" s="948"/>
      <c r="BR486" s="948"/>
      <c r="BS486" s="948"/>
      <c r="BT486" s="948"/>
      <c r="BU486" s="954"/>
    </row>
    <row r="487" spans="1:73" ht="15.75" customHeight="1" x14ac:dyDescent="0.2">
      <c r="A487" s="947"/>
      <c r="B487" s="947"/>
      <c r="C487" s="947"/>
      <c r="D487" s="948"/>
      <c r="E487" s="948"/>
      <c r="F487" s="948"/>
      <c r="G487" s="948"/>
      <c r="H487" s="948"/>
      <c r="I487" s="948"/>
      <c r="J487" s="948"/>
      <c r="K487" s="949"/>
      <c r="L487" s="949"/>
      <c r="M487" s="949"/>
      <c r="N487" s="950"/>
      <c r="O487" s="948"/>
      <c r="P487" s="948"/>
      <c r="Q487" s="948"/>
      <c r="R487" s="949"/>
      <c r="S487" s="949"/>
      <c r="T487" s="949"/>
      <c r="U487" s="949"/>
      <c r="V487" s="949"/>
      <c r="W487" s="949"/>
      <c r="X487" s="951"/>
      <c r="Y487" s="951"/>
      <c r="Z487" s="952"/>
      <c r="AA487" s="953"/>
      <c r="AB487" s="948"/>
      <c r="AC487" s="948"/>
      <c r="AD487" s="949"/>
      <c r="AE487" s="949"/>
      <c r="AF487" s="949"/>
      <c r="AG487" s="949"/>
      <c r="AH487" s="949"/>
      <c r="AI487" s="949"/>
      <c r="AJ487" s="949"/>
      <c r="AK487" s="949"/>
      <c r="AL487" s="949"/>
      <c r="AM487" s="949"/>
      <c r="AN487" s="949"/>
      <c r="AO487" s="949"/>
      <c r="AP487" s="949"/>
      <c r="AQ487" s="949"/>
      <c r="AR487" s="949"/>
      <c r="AS487" s="949"/>
      <c r="AT487" s="949"/>
      <c r="AU487" s="949"/>
      <c r="AV487" s="949"/>
      <c r="AW487" s="949"/>
      <c r="AX487" s="949"/>
      <c r="AY487" s="949"/>
      <c r="AZ487" s="949"/>
      <c r="BA487" s="949"/>
      <c r="BB487" s="949"/>
      <c r="BC487" s="949"/>
      <c r="BD487" s="949"/>
      <c r="BE487" s="949"/>
      <c r="BF487" s="949"/>
      <c r="BG487" s="948"/>
      <c r="BH487" s="948"/>
      <c r="BI487" s="948"/>
      <c r="BJ487" s="948"/>
      <c r="BK487" s="948"/>
      <c r="BL487" s="948"/>
      <c r="BM487" s="948"/>
      <c r="BN487" s="948"/>
      <c r="BO487" s="948"/>
      <c r="BP487" s="948"/>
      <c r="BQ487" s="948"/>
      <c r="BR487" s="948"/>
      <c r="BS487" s="948"/>
      <c r="BT487" s="948"/>
      <c r="BU487" s="954"/>
    </row>
    <row r="488" spans="1:73" ht="15.75" customHeight="1" x14ac:dyDescent="0.2">
      <c r="A488" s="947"/>
      <c r="B488" s="947"/>
      <c r="C488" s="947"/>
      <c r="D488" s="948"/>
      <c r="E488" s="948"/>
      <c r="F488" s="948"/>
      <c r="G488" s="948"/>
      <c r="H488" s="948"/>
      <c r="I488" s="948"/>
      <c r="J488" s="948"/>
      <c r="K488" s="949"/>
      <c r="L488" s="949"/>
      <c r="M488" s="949"/>
      <c r="N488" s="950"/>
      <c r="O488" s="948"/>
      <c r="P488" s="948"/>
      <c r="Q488" s="948"/>
      <c r="R488" s="949"/>
      <c r="S488" s="949"/>
      <c r="T488" s="949"/>
      <c r="U488" s="949"/>
      <c r="V488" s="949"/>
      <c r="W488" s="949"/>
      <c r="X488" s="951"/>
      <c r="Y488" s="951"/>
      <c r="Z488" s="952"/>
      <c r="AA488" s="953"/>
      <c r="AB488" s="948"/>
      <c r="AC488" s="948"/>
      <c r="AD488" s="949"/>
      <c r="AE488" s="949"/>
      <c r="AF488" s="949"/>
      <c r="AG488" s="949"/>
      <c r="AH488" s="949"/>
      <c r="AI488" s="949"/>
      <c r="AJ488" s="949"/>
      <c r="AK488" s="949"/>
      <c r="AL488" s="949"/>
      <c r="AM488" s="949"/>
      <c r="AN488" s="949"/>
      <c r="AO488" s="949"/>
      <c r="AP488" s="949"/>
      <c r="AQ488" s="949"/>
      <c r="AR488" s="949"/>
      <c r="AS488" s="949"/>
      <c r="AT488" s="949"/>
      <c r="AU488" s="949"/>
      <c r="AV488" s="949"/>
      <c r="AW488" s="949"/>
      <c r="AX488" s="949"/>
      <c r="AY488" s="949"/>
      <c r="AZ488" s="949"/>
      <c r="BA488" s="949"/>
      <c r="BB488" s="949"/>
      <c r="BC488" s="949"/>
      <c r="BD488" s="949"/>
      <c r="BE488" s="949"/>
      <c r="BF488" s="949"/>
      <c r="BG488" s="948"/>
      <c r="BH488" s="948"/>
      <c r="BI488" s="948"/>
      <c r="BJ488" s="948"/>
      <c r="BK488" s="948"/>
      <c r="BL488" s="948"/>
      <c r="BM488" s="948"/>
      <c r="BN488" s="948"/>
      <c r="BO488" s="948"/>
      <c r="BP488" s="948"/>
      <c r="BQ488" s="948"/>
      <c r="BR488" s="948"/>
      <c r="BS488" s="948"/>
      <c r="BT488" s="948"/>
      <c r="BU488" s="954"/>
    </row>
    <row r="489" spans="1:73" ht="15.75" customHeight="1" x14ac:dyDescent="0.2">
      <c r="A489" s="947"/>
      <c r="B489" s="947"/>
      <c r="C489" s="947"/>
      <c r="D489" s="948"/>
      <c r="E489" s="948"/>
      <c r="F489" s="948"/>
      <c r="G489" s="948"/>
      <c r="H489" s="948"/>
      <c r="I489" s="948"/>
      <c r="J489" s="948"/>
      <c r="K489" s="949"/>
      <c r="L489" s="949"/>
      <c r="M489" s="949"/>
      <c r="N489" s="950"/>
      <c r="O489" s="948"/>
      <c r="P489" s="948"/>
      <c r="Q489" s="948"/>
      <c r="R489" s="949"/>
      <c r="S489" s="949"/>
      <c r="T489" s="949"/>
      <c r="U489" s="949"/>
      <c r="V489" s="949"/>
      <c r="W489" s="949"/>
      <c r="X489" s="951"/>
      <c r="Y489" s="951"/>
      <c r="Z489" s="952"/>
      <c r="AA489" s="953"/>
      <c r="AB489" s="948"/>
      <c r="AC489" s="948"/>
      <c r="AD489" s="949"/>
      <c r="AE489" s="949"/>
      <c r="AF489" s="949"/>
      <c r="AG489" s="949"/>
      <c r="AH489" s="949"/>
      <c r="AI489" s="949"/>
      <c r="AJ489" s="949"/>
      <c r="AK489" s="949"/>
      <c r="AL489" s="949"/>
      <c r="AM489" s="949"/>
      <c r="AN489" s="949"/>
      <c r="AO489" s="949"/>
      <c r="AP489" s="949"/>
      <c r="AQ489" s="949"/>
      <c r="AR489" s="949"/>
      <c r="AS489" s="949"/>
      <c r="AT489" s="949"/>
      <c r="AU489" s="949"/>
      <c r="AV489" s="949"/>
      <c r="AW489" s="949"/>
      <c r="AX489" s="949"/>
      <c r="AY489" s="949"/>
      <c r="AZ489" s="949"/>
      <c r="BA489" s="949"/>
      <c r="BB489" s="949"/>
      <c r="BC489" s="949"/>
      <c r="BD489" s="949"/>
      <c r="BE489" s="949"/>
      <c r="BF489" s="949"/>
      <c r="BG489" s="948"/>
      <c r="BH489" s="948"/>
      <c r="BI489" s="948"/>
      <c r="BJ489" s="948"/>
      <c r="BK489" s="948"/>
      <c r="BL489" s="948"/>
      <c r="BM489" s="948"/>
      <c r="BN489" s="948"/>
      <c r="BO489" s="948"/>
      <c r="BP489" s="948"/>
      <c r="BQ489" s="948"/>
      <c r="BR489" s="948"/>
      <c r="BS489" s="948"/>
      <c r="BT489" s="948"/>
      <c r="BU489" s="954"/>
    </row>
    <row r="490" spans="1:73" ht="15.75" customHeight="1" x14ac:dyDescent="0.2">
      <c r="A490" s="947"/>
      <c r="B490" s="947"/>
      <c r="C490" s="947"/>
      <c r="D490" s="948"/>
      <c r="E490" s="948"/>
      <c r="F490" s="948"/>
      <c r="G490" s="948"/>
      <c r="H490" s="948"/>
      <c r="I490" s="948"/>
      <c r="J490" s="948"/>
      <c r="K490" s="949"/>
      <c r="L490" s="949"/>
      <c r="M490" s="949"/>
      <c r="N490" s="950"/>
      <c r="O490" s="948"/>
      <c r="P490" s="948"/>
      <c r="Q490" s="948"/>
      <c r="R490" s="949"/>
      <c r="S490" s="949"/>
      <c r="T490" s="949"/>
      <c r="U490" s="949"/>
      <c r="V490" s="949"/>
      <c r="W490" s="949"/>
      <c r="X490" s="951"/>
      <c r="Y490" s="951"/>
      <c r="Z490" s="952"/>
      <c r="AA490" s="953"/>
      <c r="AB490" s="948"/>
      <c r="AC490" s="948"/>
      <c r="AD490" s="949"/>
      <c r="AE490" s="949"/>
      <c r="AF490" s="949"/>
      <c r="AG490" s="949"/>
      <c r="AH490" s="949"/>
      <c r="AI490" s="949"/>
      <c r="AJ490" s="949"/>
      <c r="AK490" s="949"/>
      <c r="AL490" s="949"/>
      <c r="AM490" s="949"/>
      <c r="AN490" s="949"/>
      <c r="AO490" s="949"/>
      <c r="AP490" s="949"/>
      <c r="AQ490" s="949"/>
      <c r="AR490" s="949"/>
      <c r="AS490" s="949"/>
      <c r="AT490" s="949"/>
      <c r="AU490" s="949"/>
      <c r="AV490" s="949"/>
      <c r="AW490" s="949"/>
      <c r="AX490" s="949"/>
      <c r="AY490" s="949"/>
      <c r="AZ490" s="949"/>
      <c r="BA490" s="949"/>
      <c r="BB490" s="949"/>
      <c r="BC490" s="949"/>
      <c r="BD490" s="949"/>
      <c r="BE490" s="949"/>
      <c r="BF490" s="949"/>
      <c r="BG490" s="948"/>
      <c r="BH490" s="948"/>
      <c r="BI490" s="948"/>
      <c r="BJ490" s="948"/>
      <c r="BK490" s="948"/>
      <c r="BL490" s="948"/>
      <c r="BM490" s="948"/>
      <c r="BN490" s="948"/>
      <c r="BO490" s="948"/>
      <c r="BP490" s="948"/>
      <c r="BQ490" s="948"/>
      <c r="BR490" s="948"/>
      <c r="BS490" s="948"/>
      <c r="BT490" s="948"/>
      <c r="BU490" s="954"/>
    </row>
    <row r="491" spans="1:73" ht="15.75" customHeight="1" x14ac:dyDescent="0.2">
      <c r="A491" s="947"/>
      <c r="B491" s="947"/>
      <c r="C491" s="947"/>
      <c r="D491" s="948"/>
      <c r="E491" s="948"/>
      <c r="F491" s="948"/>
      <c r="G491" s="948"/>
      <c r="H491" s="948"/>
      <c r="I491" s="948"/>
      <c r="J491" s="948"/>
      <c r="K491" s="949"/>
      <c r="L491" s="949"/>
      <c r="M491" s="949"/>
      <c r="N491" s="950"/>
      <c r="O491" s="948"/>
      <c r="P491" s="948"/>
      <c r="Q491" s="948"/>
      <c r="R491" s="949"/>
      <c r="S491" s="949"/>
      <c r="T491" s="949"/>
      <c r="U491" s="949"/>
      <c r="V491" s="949"/>
      <c r="W491" s="949"/>
      <c r="X491" s="951"/>
      <c r="Y491" s="951"/>
      <c r="Z491" s="952"/>
      <c r="AA491" s="953"/>
      <c r="AB491" s="948"/>
      <c r="AC491" s="948"/>
      <c r="AD491" s="949"/>
      <c r="AE491" s="949"/>
      <c r="AF491" s="949"/>
      <c r="AG491" s="949"/>
      <c r="AH491" s="949"/>
      <c r="AI491" s="949"/>
      <c r="AJ491" s="949"/>
      <c r="AK491" s="949"/>
      <c r="AL491" s="949"/>
      <c r="AM491" s="949"/>
      <c r="AN491" s="949"/>
      <c r="AO491" s="949"/>
      <c r="AP491" s="949"/>
      <c r="AQ491" s="949"/>
      <c r="AR491" s="949"/>
      <c r="AS491" s="949"/>
      <c r="AT491" s="949"/>
      <c r="AU491" s="949"/>
      <c r="AV491" s="949"/>
      <c r="AW491" s="949"/>
      <c r="AX491" s="949"/>
      <c r="AY491" s="949"/>
      <c r="AZ491" s="949"/>
      <c r="BA491" s="949"/>
      <c r="BB491" s="949"/>
      <c r="BC491" s="949"/>
      <c r="BD491" s="949"/>
      <c r="BE491" s="949"/>
      <c r="BF491" s="949"/>
      <c r="BG491" s="948"/>
      <c r="BH491" s="948"/>
      <c r="BI491" s="948"/>
      <c r="BJ491" s="948"/>
      <c r="BK491" s="948"/>
      <c r="BL491" s="948"/>
      <c r="BM491" s="948"/>
      <c r="BN491" s="948"/>
      <c r="BO491" s="948"/>
      <c r="BP491" s="948"/>
      <c r="BQ491" s="948"/>
      <c r="BR491" s="948"/>
      <c r="BS491" s="948"/>
      <c r="BT491" s="948"/>
      <c r="BU491" s="954"/>
    </row>
    <row r="492" spans="1:73" ht="15.75" customHeight="1" x14ac:dyDescent="0.2">
      <c r="A492" s="947"/>
      <c r="B492" s="947"/>
      <c r="C492" s="947"/>
      <c r="D492" s="948"/>
      <c r="E492" s="948"/>
      <c r="F492" s="948"/>
      <c r="G492" s="948"/>
      <c r="H492" s="948"/>
      <c r="I492" s="948"/>
      <c r="J492" s="948"/>
      <c r="K492" s="949"/>
      <c r="L492" s="949"/>
      <c r="M492" s="949"/>
      <c r="N492" s="950"/>
      <c r="O492" s="948"/>
      <c r="P492" s="948"/>
      <c r="Q492" s="948"/>
      <c r="R492" s="949"/>
      <c r="S492" s="949"/>
      <c r="T492" s="949"/>
      <c r="U492" s="949"/>
      <c r="V492" s="949"/>
      <c r="W492" s="949"/>
      <c r="X492" s="951"/>
      <c r="Y492" s="951"/>
      <c r="Z492" s="952"/>
      <c r="AA492" s="953"/>
      <c r="AB492" s="948"/>
      <c r="AC492" s="948"/>
      <c r="AD492" s="949"/>
      <c r="AE492" s="949"/>
      <c r="AF492" s="949"/>
      <c r="AG492" s="949"/>
      <c r="AH492" s="949"/>
      <c r="AI492" s="949"/>
      <c r="AJ492" s="949"/>
      <c r="AK492" s="949"/>
      <c r="AL492" s="949"/>
      <c r="AM492" s="949"/>
      <c r="AN492" s="949"/>
      <c r="AO492" s="949"/>
      <c r="AP492" s="949"/>
      <c r="AQ492" s="949"/>
      <c r="AR492" s="949"/>
      <c r="AS492" s="949"/>
      <c r="AT492" s="949"/>
      <c r="AU492" s="949"/>
      <c r="AV492" s="949"/>
      <c r="AW492" s="949"/>
      <c r="AX492" s="949"/>
      <c r="AY492" s="949"/>
      <c r="AZ492" s="949"/>
      <c r="BA492" s="949"/>
      <c r="BB492" s="949"/>
      <c r="BC492" s="949"/>
      <c r="BD492" s="949"/>
      <c r="BE492" s="949"/>
      <c r="BF492" s="949"/>
      <c r="BG492" s="948"/>
      <c r="BH492" s="948"/>
      <c r="BI492" s="948"/>
      <c r="BJ492" s="948"/>
      <c r="BK492" s="948"/>
      <c r="BL492" s="948"/>
      <c r="BM492" s="948"/>
      <c r="BN492" s="948"/>
      <c r="BO492" s="948"/>
      <c r="BP492" s="948"/>
      <c r="BQ492" s="948"/>
      <c r="BR492" s="948"/>
      <c r="BS492" s="948"/>
      <c r="BT492" s="948"/>
      <c r="BU492" s="954"/>
    </row>
    <row r="493" spans="1:73" ht="15.75" customHeight="1" x14ac:dyDescent="0.2">
      <c r="A493" s="947"/>
      <c r="B493" s="947"/>
      <c r="C493" s="947"/>
      <c r="D493" s="948"/>
      <c r="E493" s="948"/>
      <c r="F493" s="948"/>
      <c r="G493" s="948"/>
      <c r="H493" s="948"/>
      <c r="I493" s="948"/>
      <c r="J493" s="948"/>
      <c r="K493" s="949"/>
      <c r="L493" s="949"/>
      <c r="M493" s="949"/>
      <c r="N493" s="950"/>
      <c r="O493" s="948"/>
      <c r="P493" s="948"/>
      <c r="Q493" s="948"/>
      <c r="R493" s="949"/>
      <c r="S493" s="949"/>
      <c r="T493" s="949"/>
      <c r="U493" s="949"/>
      <c r="V493" s="949"/>
      <c r="W493" s="949"/>
      <c r="X493" s="951"/>
      <c r="Y493" s="951"/>
      <c r="Z493" s="952"/>
      <c r="AA493" s="953"/>
      <c r="AB493" s="948"/>
      <c r="AC493" s="948"/>
      <c r="AD493" s="949"/>
      <c r="AE493" s="949"/>
      <c r="AF493" s="949"/>
      <c r="AG493" s="949"/>
      <c r="AH493" s="949"/>
      <c r="AI493" s="949"/>
      <c r="AJ493" s="949"/>
      <c r="AK493" s="949"/>
      <c r="AL493" s="949"/>
      <c r="AM493" s="949"/>
      <c r="AN493" s="949"/>
      <c r="AO493" s="949"/>
      <c r="AP493" s="949"/>
      <c r="AQ493" s="949"/>
      <c r="AR493" s="949"/>
      <c r="AS493" s="949"/>
      <c r="AT493" s="949"/>
      <c r="AU493" s="949"/>
      <c r="AV493" s="949"/>
      <c r="AW493" s="949"/>
      <c r="AX493" s="949"/>
      <c r="AY493" s="949"/>
      <c r="AZ493" s="949"/>
      <c r="BA493" s="949"/>
      <c r="BB493" s="949"/>
      <c r="BC493" s="949"/>
      <c r="BD493" s="949"/>
      <c r="BE493" s="949"/>
      <c r="BF493" s="949"/>
      <c r="BG493" s="948"/>
      <c r="BH493" s="948"/>
      <c r="BI493" s="948"/>
      <c r="BJ493" s="948"/>
      <c r="BK493" s="948"/>
      <c r="BL493" s="948"/>
      <c r="BM493" s="948"/>
      <c r="BN493" s="948"/>
      <c r="BO493" s="948"/>
      <c r="BP493" s="948"/>
      <c r="BQ493" s="948"/>
      <c r="BR493" s="948"/>
      <c r="BS493" s="948"/>
      <c r="BT493" s="948"/>
      <c r="BU493" s="954"/>
    </row>
    <row r="494" spans="1:73" ht="15.75" customHeight="1" x14ac:dyDescent="0.2">
      <c r="A494" s="947"/>
      <c r="B494" s="947"/>
      <c r="C494" s="947"/>
      <c r="D494" s="948"/>
      <c r="E494" s="948"/>
      <c r="F494" s="948"/>
      <c r="G494" s="948"/>
      <c r="H494" s="948"/>
      <c r="I494" s="948"/>
      <c r="J494" s="948"/>
      <c r="K494" s="949"/>
      <c r="L494" s="949"/>
      <c r="M494" s="949"/>
      <c r="N494" s="950"/>
      <c r="O494" s="948"/>
      <c r="P494" s="948"/>
      <c r="Q494" s="948"/>
      <c r="R494" s="949"/>
      <c r="S494" s="949"/>
      <c r="T494" s="949"/>
      <c r="U494" s="949"/>
      <c r="V494" s="949"/>
      <c r="W494" s="949"/>
      <c r="X494" s="951"/>
      <c r="Y494" s="951"/>
      <c r="Z494" s="952"/>
      <c r="AA494" s="953"/>
      <c r="AB494" s="948"/>
      <c r="AC494" s="948"/>
      <c r="AD494" s="949"/>
      <c r="AE494" s="949"/>
      <c r="AF494" s="949"/>
      <c r="AG494" s="949"/>
      <c r="AH494" s="949"/>
      <c r="AI494" s="949"/>
      <c r="AJ494" s="949"/>
      <c r="AK494" s="949"/>
      <c r="AL494" s="949"/>
      <c r="AM494" s="949"/>
      <c r="AN494" s="949"/>
      <c r="AO494" s="949"/>
      <c r="AP494" s="949"/>
      <c r="AQ494" s="949"/>
      <c r="AR494" s="949"/>
      <c r="AS494" s="949"/>
      <c r="AT494" s="949"/>
      <c r="AU494" s="949"/>
      <c r="AV494" s="949"/>
      <c r="AW494" s="949"/>
      <c r="AX494" s="949"/>
      <c r="AY494" s="949"/>
      <c r="AZ494" s="949"/>
      <c r="BA494" s="949"/>
      <c r="BB494" s="949"/>
      <c r="BC494" s="949"/>
      <c r="BD494" s="949"/>
      <c r="BE494" s="949"/>
      <c r="BF494" s="949"/>
      <c r="BG494" s="948"/>
      <c r="BH494" s="948"/>
      <c r="BI494" s="948"/>
      <c r="BJ494" s="948"/>
      <c r="BK494" s="948"/>
      <c r="BL494" s="948"/>
      <c r="BM494" s="948"/>
      <c r="BN494" s="948"/>
      <c r="BO494" s="948"/>
      <c r="BP494" s="948"/>
      <c r="BQ494" s="948"/>
      <c r="BR494" s="948"/>
      <c r="BS494" s="948"/>
      <c r="BT494" s="948"/>
      <c r="BU494" s="954"/>
    </row>
    <row r="495" spans="1:73" ht="15.75" customHeight="1" x14ac:dyDescent="0.2">
      <c r="A495" s="947"/>
      <c r="B495" s="947"/>
      <c r="C495" s="947"/>
      <c r="D495" s="948"/>
      <c r="E495" s="948"/>
      <c r="F495" s="948"/>
      <c r="G495" s="948"/>
      <c r="H495" s="948"/>
      <c r="I495" s="948"/>
      <c r="J495" s="948"/>
      <c r="K495" s="949"/>
      <c r="L495" s="949"/>
      <c r="M495" s="949"/>
      <c r="N495" s="950"/>
      <c r="O495" s="948"/>
      <c r="P495" s="948"/>
      <c r="Q495" s="948"/>
      <c r="R495" s="949"/>
      <c r="S495" s="949"/>
      <c r="T495" s="949"/>
      <c r="U495" s="949"/>
      <c r="V495" s="949"/>
      <c r="W495" s="949"/>
      <c r="X495" s="951"/>
      <c r="Y495" s="951"/>
      <c r="Z495" s="952"/>
      <c r="AA495" s="953"/>
      <c r="AB495" s="948"/>
      <c r="AC495" s="948"/>
      <c r="AD495" s="949"/>
      <c r="AE495" s="949"/>
      <c r="AF495" s="949"/>
      <c r="AG495" s="949"/>
      <c r="AH495" s="949"/>
      <c r="AI495" s="949"/>
      <c r="AJ495" s="949"/>
      <c r="AK495" s="949"/>
      <c r="AL495" s="949"/>
      <c r="AM495" s="949"/>
      <c r="AN495" s="949"/>
      <c r="AO495" s="949"/>
      <c r="AP495" s="949"/>
      <c r="AQ495" s="949"/>
      <c r="AR495" s="949"/>
      <c r="AS495" s="949"/>
      <c r="AT495" s="949"/>
      <c r="AU495" s="949"/>
      <c r="AV495" s="949"/>
      <c r="AW495" s="949"/>
      <c r="AX495" s="949"/>
      <c r="AY495" s="949"/>
      <c r="AZ495" s="949"/>
      <c r="BA495" s="949"/>
      <c r="BB495" s="949"/>
      <c r="BC495" s="949"/>
      <c r="BD495" s="949"/>
      <c r="BE495" s="949"/>
      <c r="BF495" s="949"/>
      <c r="BG495" s="948"/>
      <c r="BH495" s="948"/>
      <c r="BI495" s="948"/>
      <c r="BJ495" s="948"/>
      <c r="BK495" s="948"/>
      <c r="BL495" s="948"/>
      <c r="BM495" s="948"/>
      <c r="BN495" s="948"/>
      <c r="BO495" s="948"/>
      <c r="BP495" s="948"/>
      <c r="BQ495" s="948"/>
      <c r="BR495" s="948"/>
      <c r="BS495" s="948"/>
      <c r="BT495" s="948"/>
      <c r="BU495" s="954"/>
    </row>
    <row r="496" spans="1:73" ht="15.75" customHeight="1" x14ac:dyDescent="0.2">
      <c r="A496" s="947"/>
      <c r="B496" s="947"/>
      <c r="C496" s="947"/>
      <c r="D496" s="948"/>
      <c r="E496" s="948"/>
      <c r="F496" s="948"/>
      <c r="G496" s="948"/>
      <c r="H496" s="948"/>
      <c r="I496" s="948"/>
      <c r="J496" s="948"/>
      <c r="K496" s="949"/>
      <c r="L496" s="949"/>
      <c r="M496" s="949"/>
      <c r="N496" s="950"/>
      <c r="O496" s="948"/>
      <c r="P496" s="948"/>
      <c r="Q496" s="948"/>
      <c r="R496" s="949"/>
      <c r="S496" s="949"/>
      <c r="T496" s="949"/>
      <c r="U496" s="949"/>
      <c r="V496" s="949"/>
      <c r="W496" s="949"/>
      <c r="X496" s="951"/>
      <c r="Y496" s="951"/>
      <c r="Z496" s="952"/>
      <c r="AA496" s="953"/>
      <c r="AB496" s="948"/>
      <c r="AC496" s="948"/>
      <c r="AD496" s="949"/>
      <c r="AE496" s="949"/>
      <c r="AF496" s="949"/>
      <c r="AG496" s="949"/>
      <c r="AH496" s="949"/>
      <c r="AI496" s="949"/>
      <c r="AJ496" s="949"/>
      <c r="AK496" s="949"/>
      <c r="AL496" s="949"/>
      <c r="AM496" s="949"/>
      <c r="AN496" s="949"/>
      <c r="AO496" s="949"/>
      <c r="AP496" s="949"/>
      <c r="AQ496" s="949"/>
      <c r="AR496" s="949"/>
      <c r="AS496" s="949"/>
      <c r="AT496" s="949"/>
      <c r="AU496" s="949"/>
      <c r="AV496" s="949"/>
      <c r="AW496" s="949"/>
      <c r="AX496" s="949"/>
      <c r="AY496" s="949"/>
      <c r="AZ496" s="949"/>
      <c r="BA496" s="949"/>
      <c r="BB496" s="949"/>
      <c r="BC496" s="949"/>
      <c r="BD496" s="949"/>
      <c r="BE496" s="949"/>
      <c r="BF496" s="949"/>
      <c r="BG496" s="948"/>
      <c r="BH496" s="948"/>
      <c r="BI496" s="948"/>
      <c r="BJ496" s="948"/>
      <c r="BK496" s="948"/>
      <c r="BL496" s="948"/>
      <c r="BM496" s="948"/>
      <c r="BN496" s="948"/>
      <c r="BO496" s="948"/>
      <c r="BP496" s="948"/>
      <c r="BQ496" s="948"/>
      <c r="BR496" s="948"/>
      <c r="BS496" s="948"/>
      <c r="BT496" s="948"/>
      <c r="BU496" s="954"/>
    </row>
    <row r="497" spans="1:73" ht="15.75" customHeight="1" x14ac:dyDescent="0.2">
      <c r="A497" s="947"/>
      <c r="B497" s="947"/>
      <c r="C497" s="947"/>
      <c r="D497" s="948"/>
      <c r="E497" s="948"/>
      <c r="F497" s="948"/>
      <c r="G497" s="948"/>
      <c r="H497" s="948"/>
      <c r="I497" s="948"/>
      <c r="J497" s="948"/>
      <c r="K497" s="949"/>
      <c r="L497" s="949"/>
      <c r="M497" s="949"/>
      <c r="N497" s="950"/>
      <c r="O497" s="948"/>
      <c r="P497" s="948"/>
      <c r="Q497" s="948"/>
      <c r="R497" s="949"/>
      <c r="S497" s="949"/>
      <c r="T497" s="949"/>
      <c r="U497" s="949"/>
      <c r="V497" s="949"/>
      <c r="W497" s="949"/>
      <c r="X497" s="951"/>
      <c r="Y497" s="951"/>
      <c r="Z497" s="952"/>
      <c r="AA497" s="953"/>
      <c r="AB497" s="948"/>
      <c r="AC497" s="948"/>
      <c r="AD497" s="949"/>
      <c r="AE497" s="949"/>
      <c r="AF497" s="949"/>
      <c r="AG497" s="949"/>
      <c r="AH497" s="949"/>
      <c r="AI497" s="949"/>
      <c r="AJ497" s="949"/>
      <c r="AK497" s="949"/>
      <c r="AL497" s="949"/>
      <c r="AM497" s="949"/>
      <c r="AN497" s="949"/>
      <c r="AO497" s="949"/>
      <c r="AP497" s="949"/>
      <c r="AQ497" s="949"/>
      <c r="AR497" s="949"/>
      <c r="AS497" s="949"/>
      <c r="AT497" s="949"/>
      <c r="AU497" s="949"/>
      <c r="AV497" s="949"/>
      <c r="AW497" s="949"/>
      <c r="AX497" s="949"/>
      <c r="AY497" s="949"/>
      <c r="AZ497" s="949"/>
      <c r="BA497" s="949"/>
      <c r="BB497" s="949"/>
      <c r="BC497" s="949"/>
      <c r="BD497" s="949"/>
      <c r="BE497" s="949"/>
      <c r="BF497" s="949"/>
      <c r="BG497" s="948"/>
      <c r="BH497" s="948"/>
      <c r="BI497" s="948"/>
      <c r="BJ497" s="948"/>
      <c r="BK497" s="948"/>
      <c r="BL497" s="948"/>
      <c r="BM497" s="948"/>
      <c r="BN497" s="948"/>
      <c r="BO497" s="948"/>
      <c r="BP497" s="948"/>
      <c r="BQ497" s="948"/>
      <c r="BR497" s="948"/>
      <c r="BS497" s="948"/>
      <c r="BT497" s="948"/>
      <c r="BU497" s="954"/>
    </row>
    <row r="498" spans="1:73" ht="15.75" customHeight="1" x14ac:dyDescent="0.2">
      <c r="A498" s="947"/>
      <c r="B498" s="947"/>
      <c r="C498" s="947"/>
      <c r="D498" s="948"/>
      <c r="E498" s="948"/>
      <c r="F498" s="948"/>
      <c r="G498" s="948"/>
      <c r="H498" s="948"/>
      <c r="I498" s="948"/>
      <c r="J498" s="948"/>
      <c r="K498" s="949"/>
      <c r="L498" s="949"/>
      <c r="M498" s="949"/>
      <c r="N498" s="950"/>
      <c r="O498" s="948"/>
      <c r="P498" s="948"/>
      <c r="Q498" s="948"/>
      <c r="R498" s="949"/>
      <c r="S498" s="949"/>
      <c r="T498" s="949"/>
      <c r="U498" s="949"/>
      <c r="V498" s="949"/>
      <c r="W498" s="949"/>
      <c r="X498" s="951"/>
      <c r="Y498" s="951"/>
      <c r="Z498" s="952"/>
      <c r="AA498" s="953"/>
      <c r="AB498" s="948"/>
      <c r="AC498" s="948"/>
      <c r="AD498" s="949"/>
      <c r="AE498" s="949"/>
      <c r="AF498" s="949"/>
      <c r="AG498" s="949"/>
      <c r="AH498" s="949"/>
      <c r="AI498" s="949"/>
      <c r="AJ498" s="949"/>
      <c r="AK498" s="949"/>
      <c r="AL498" s="949"/>
      <c r="AM498" s="949"/>
      <c r="AN498" s="949"/>
      <c r="AO498" s="949"/>
      <c r="AP498" s="949"/>
      <c r="AQ498" s="949"/>
      <c r="AR498" s="949"/>
      <c r="AS498" s="949"/>
      <c r="AT498" s="949"/>
      <c r="AU498" s="949"/>
      <c r="AV498" s="949"/>
      <c r="AW498" s="949"/>
      <c r="AX498" s="949"/>
      <c r="AY498" s="949"/>
      <c r="AZ498" s="949"/>
      <c r="BA498" s="949"/>
      <c r="BB498" s="949"/>
      <c r="BC498" s="949"/>
      <c r="BD498" s="949"/>
      <c r="BE498" s="949"/>
      <c r="BF498" s="949"/>
      <c r="BG498" s="948"/>
      <c r="BH498" s="948"/>
      <c r="BI498" s="948"/>
      <c r="BJ498" s="948"/>
      <c r="BK498" s="948"/>
      <c r="BL498" s="948"/>
      <c r="BM498" s="948"/>
      <c r="BN498" s="948"/>
      <c r="BO498" s="948"/>
      <c r="BP498" s="948"/>
      <c r="BQ498" s="948"/>
      <c r="BR498" s="948"/>
      <c r="BS498" s="948"/>
      <c r="BT498" s="948"/>
      <c r="BU498" s="954"/>
    </row>
    <row r="499" spans="1:73" ht="15.75" customHeight="1" x14ac:dyDescent="0.2">
      <c r="A499" s="947"/>
      <c r="B499" s="947"/>
      <c r="C499" s="947"/>
      <c r="D499" s="948"/>
      <c r="E499" s="948"/>
      <c r="F499" s="948"/>
      <c r="G499" s="948"/>
      <c r="H499" s="948"/>
      <c r="I499" s="948"/>
      <c r="J499" s="948"/>
      <c r="K499" s="949"/>
      <c r="L499" s="949"/>
      <c r="M499" s="949"/>
      <c r="N499" s="950"/>
      <c r="O499" s="948"/>
      <c r="P499" s="948"/>
      <c r="Q499" s="948"/>
      <c r="R499" s="949"/>
      <c r="S499" s="949"/>
      <c r="T499" s="949"/>
      <c r="U499" s="949"/>
      <c r="V499" s="949"/>
      <c r="W499" s="949"/>
      <c r="X499" s="951"/>
      <c r="Y499" s="951"/>
      <c r="Z499" s="952"/>
      <c r="AA499" s="953"/>
      <c r="AB499" s="948"/>
      <c r="AC499" s="948"/>
      <c r="AD499" s="949"/>
      <c r="AE499" s="949"/>
      <c r="AF499" s="949"/>
      <c r="AG499" s="949"/>
      <c r="AH499" s="949"/>
      <c r="AI499" s="949"/>
      <c r="AJ499" s="949"/>
      <c r="AK499" s="949"/>
      <c r="AL499" s="949"/>
      <c r="AM499" s="949"/>
      <c r="AN499" s="949"/>
      <c r="AO499" s="949"/>
      <c r="AP499" s="949"/>
      <c r="AQ499" s="949"/>
      <c r="AR499" s="949"/>
      <c r="AS499" s="949"/>
      <c r="AT499" s="949"/>
      <c r="AU499" s="949"/>
      <c r="AV499" s="949"/>
      <c r="AW499" s="949"/>
      <c r="AX499" s="949"/>
      <c r="AY499" s="949"/>
      <c r="AZ499" s="949"/>
      <c r="BA499" s="949"/>
      <c r="BB499" s="949"/>
      <c r="BC499" s="949"/>
      <c r="BD499" s="949"/>
      <c r="BE499" s="949"/>
      <c r="BF499" s="949"/>
      <c r="BG499" s="948"/>
      <c r="BH499" s="948"/>
      <c r="BI499" s="948"/>
      <c r="BJ499" s="948"/>
      <c r="BK499" s="948"/>
      <c r="BL499" s="948"/>
      <c r="BM499" s="948"/>
      <c r="BN499" s="948"/>
      <c r="BO499" s="948"/>
      <c r="BP499" s="948"/>
      <c r="BQ499" s="948"/>
      <c r="BR499" s="948"/>
      <c r="BS499" s="948"/>
      <c r="BT499" s="948"/>
      <c r="BU499" s="954"/>
    </row>
    <row r="500" spans="1:73" ht="15.75" customHeight="1" x14ac:dyDescent="0.2">
      <c r="A500" s="947"/>
      <c r="B500" s="947"/>
      <c r="C500" s="947"/>
      <c r="D500" s="948"/>
      <c r="E500" s="948"/>
      <c r="F500" s="948"/>
      <c r="G500" s="948"/>
      <c r="H500" s="948"/>
      <c r="I500" s="948"/>
      <c r="J500" s="948"/>
      <c r="K500" s="949"/>
      <c r="L500" s="949"/>
      <c r="M500" s="949"/>
      <c r="N500" s="950"/>
      <c r="O500" s="948"/>
      <c r="P500" s="948"/>
      <c r="Q500" s="948"/>
      <c r="R500" s="949"/>
      <c r="S500" s="949"/>
      <c r="T500" s="949"/>
      <c r="U500" s="949"/>
      <c r="V500" s="949"/>
      <c r="W500" s="949"/>
      <c r="X500" s="951"/>
      <c r="Y500" s="951"/>
      <c r="Z500" s="952"/>
      <c r="AA500" s="953"/>
      <c r="AB500" s="948"/>
      <c r="AC500" s="948"/>
      <c r="AD500" s="949"/>
      <c r="AE500" s="949"/>
      <c r="AF500" s="949"/>
      <c r="AG500" s="949"/>
      <c r="AH500" s="949"/>
      <c r="AI500" s="949"/>
      <c r="AJ500" s="949"/>
      <c r="AK500" s="949"/>
      <c r="AL500" s="949"/>
      <c r="AM500" s="949"/>
      <c r="AN500" s="949"/>
      <c r="AO500" s="949"/>
      <c r="AP500" s="949"/>
      <c r="AQ500" s="949"/>
      <c r="AR500" s="949"/>
      <c r="AS500" s="949"/>
      <c r="AT500" s="949"/>
      <c r="AU500" s="949"/>
      <c r="AV500" s="949"/>
      <c r="AW500" s="949"/>
      <c r="AX500" s="949"/>
      <c r="AY500" s="949"/>
      <c r="AZ500" s="949"/>
      <c r="BA500" s="949"/>
      <c r="BB500" s="949"/>
      <c r="BC500" s="949"/>
      <c r="BD500" s="949"/>
      <c r="BE500" s="949"/>
      <c r="BF500" s="949"/>
      <c r="BG500" s="948"/>
      <c r="BH500" s="948"/>
      <c r="BI500" s="948"/>
      <c r="BJ500" s="948"/>
      <c r="BK500" s="948"/>
      <c r="BL500" s="948"/>
      <c r="BM500" s="948"/>
      <c r="BN500" s="948"/>
      <c r="BO500" s="948"/>
      <c r="BP500" s="948"/>
      <c r="BQ500" s="948"/>
      <c r="BR500" s="948"/>
      <c r="BS500" s="948"/>
      <c r="BT500" s="948"/>
      <c r="BU500" s="954"/>
    </row>
    <row r="501" spans="1:73" ht="15.75" customHeight="1" x14ac:dyDescent="0.2">
      <c r="A501" s="947"/>
      <c r="B501" s="947"/>
      <c r="C501" s="947"/>
      <c r="D501" s="948"/>
      <c r="E501" s="948"/>
      <c r="F501" s="948"/>
      <c r="G501" s="948"/>
      <c r="H501" s="948"/>
      <c r="I501" s="948"/>
      <c r="J501" s="948"/>
      <c r="K501" s="949"/>
      <c r="L501" s="949"/>
      <c r="M501" s="949"/>
      <c r="N501" s="950"/>
      <c r="O501" s="948"/>
      <c r="P501" s="948"/>
      <c r="Q501" s="948"/>
      <c r="R501" s="949"/>
      <c r="S501" s="949"/>
      <c r="T501" s="949"/>
      <c r="U501" s="949"/>
      <c r="V501" s="949"/>
      <c r="W501" s="949"/>
      <c r="X501" s="951"/>
      <c r="Y501" s="951"/>
      <c r="Z501" s="952"/>
      <c r="AA501" s="953"/>
      <c r="AB501" s="948"/>
      <c r="AC501" s="948"/>
      <c r="AD501" s="949"/>
      <c r="AE501" s="949"/>
      <c r="AF501" s="949"/>
      <c r="AG501" s="949"/>
      <c r="AH501" s="949"/>
      <c r="AI501" s="949"/>
      <c r="AJ501" s="949"/>
      <c r="AK501" s="949"/>
      <c r="AL501" s="949"/>
      <c r="AM501" s="949"/>
      <c r="AN501" s="949"/>
      <c r="AO501" s="949"/>
      <c r="AP501" s="949"/>
      <c r="AQ501" s="949"/>
      <c r="AR501" s="949"/>
      <c r="AS501" s="949"/>
      <c r="AT501" s="949"/>
      <c r="AU501" s="949"/>
      <c r="AV501" s="949"/>
      <c r="AW501" s="949"/>
      <c r="AX501" s="949"/>
      <c r="AY501" s="949"/>
      <c r="AZ501" s="949"/>
      <c r="BA501" s="949"/>
      <c r="BB501" s="949"/>
      <c r="BC501" s="949"/>
      <c r="BD501" s="949"/>
      <c r="BE501" s="949"/>
      <c r="BF501" s="949"/>
      <c r="BG501" s="948"/>
      <c r="BH501" s="948"/>
      <c r="BI501" s="948"/>
      <c r="BJ501" s="948"/>
      <c r="BK501" s="948"/>
      <c r="BL501" s="948"/>
      <c r="BM501" s="948"/>
      <c r="BN501" s="948"/>
      <c r="BO501" s="948"/>
      <c r="BP501" s="948"/>
      <c r="BQ501" s="948"/>
      <c r="BR501" s="948"/>
      <c r="BS501" s="948"/>
      <c r="BT501" s="948"/>
      <c r="BU501" s="954"/>
    </row>
    <row r="502" spans="1:73" ht="15.75" customHeight="1" x14ac:dyDescent="0.2">
      <c r="A502" s="947"/>
      <c r="B502" s="947"/>
      <c r="C502" s="947"/>
      <c r="D502" s="948"/>
      <c r="E502" s="948"/>
      <c r="F502" s="948"/>
      <c r="G502" s="948"/>
      <c r="H502" s="948"/>
      <c r="I502" s="948"/>
      <c r="J502" s="948"/>
      <c r="K502" s="949"/>
      <c r="L502" s="949"/>
      <c r="M502" s="949"/>
      <c r="N502" s="950"/>
      <c r="O502" s="948"/>
      <c r="P502" s="948"/>
      <c r="Q502" s="948"/>
      <c r="R502" s="949"/>
      <c r="S502" s="949"/>
      <c r="T502" s="949"/>
      <c r="U502" s="949"/>
      <c r="V502" s="949"/>
      <c r="W502" s="949"/>
      <c r="X502" s="951"/>
      <c r="Y502" s="951"/>
      <c r="Z502" s="952"/>
      <c r="AA502" s="953"/>
      <c r="AB502" s="948"/>
      <c r="AC502" s="948"/>
      <c r="AD502" s="949"/>
      <c r="AE502" s="949"/>
      <c r="AF502" s="949"/>
      <c r="AG502" s="949"/>
      <c r="AH502" s="949"/>
      <c r="AI502" s="949"/>
      <c r="AJ502" s="949"/>
      <c r="AK502" s="949"/>
      <c r="AL502" s="949"/>
      <c r="AM502" s="949"/>
      <c r="AN502" s="949"/>
      <c r="AO502" s="949"/>
      <c r="AP502" s="949"/>
      <c r="AQ502" s="949"/>
      <c r="AR502" s="949"/>
      <c r="AS502" s="949"/>
      <c r="AT502" s="949"/>
      <c r="AU502" s="949"/>
      <c r="AV502" s="949"/>
      <c r="AW502" s="949"/>
      <c r="AX502" s="949"/>
      <c r="AY502" s="949"/>
      <c r="AZ502" s="949"/>
      <c r="BA502" s="949"/>
      <c r="BB502" s="949"/>
      <c r="BC502" s="949"/>
      <c r="BD502" s="949"/>
      <c r="BE502" s="949"/>
      <c r="BF502" s="949"/>
      <c r="BG502" s="948"/>
      <c r="BH502" s="948"/>
      <c r="BI502" s="948"/>
      <c r="BJ502" s="948"/>
      <c r="BK502" s="948"/>
      <c r="BL502" s="948"/>
      <c r="BM502" s="948"/>
      <c r="BN502" s="948"/>
      <c r="BO502" s="948"/>
      <c r="BP502" s="948"/>
      <c r="BQ502" s="948"/>
      <c r="BR502" s="948"/>
      <c r="BS502" s="948"/>
      <c r="BT502" s="948"/>
      <c r="BU502" s="954"/>
    </row>
    <row r="503" spans="1:73" ht="15.75" customHeight="1" x14ac:dyDescent="0.2">
      <c r="A503" s="947"/>
      <c r="B503" s="947"/>
      <c r="C503" s="947"/>
      <c r="D503" s="948"/>
      <c r="E503" s="948"/>
      <c r="F503" s="948"/>
      <c r="G503" s="948"/>
      <c r="H503" s="948"/>
      <c r="I503" s="948"/>
      <c r="J503" s="948"/>
      <c r="K503" s="949"/>
      <c r="L503" s="949"/>
      <c r="M503" s="949"/>
      <c r="N503" s="950"/>
      <c r="O503" s="948"/>
      <c r="P503" s="948"/>
      <c r="Q503" s="948"/>
      <c r="R503" s="949"/>
      <c r="S503" s="949"/>
      <c r="T503" s="949"/>
      <c r="U503" s="949"/>
      <c r="V503" s="949"/>
      <c r="W503" s="949"/>
      <c r="X503" s="951"/>
      <c r="Y503" s="951"/>
      <c r="Z503" s="952"/>
      <c r="AA503" s="953"/>
      <c r="AB503" s="948"/>
      <c r="AC503" s="948"/>
      <c r="AD503" s="949"/>
      <c r="AE503" s="949"/>
      <c r="AF503" s="949"/>
      <c r="AG503" s="949"/>
      <c r="AH503" s="949"/>
      <c r="AI503" s="949"/>
      <c r="AJ503" s="949"/>
      <c r="AK503" s="949"/>
      <c r="AL503" s="949"/>
      <c r="AM503" s="949"/>
      <c r="AN503" s="949"/>
      <c r="AO503" s="949"/>
      <c r="AP503" s="949"/>
      <c r="AQ503" s="949"/>
      <c r="AR503" s="949"/>
      <c r="AS503" s="949"/>
      <c r="AT503" s="949"/>
      <c r="AU503" s="949"/>
      <c r="AV503" s="949"/>
      <c r="AW503" s="949"/>
      <c r="AX503" s="949"/>
      <c r="AY503" s="949"/>
      <c r="AZ503" s="949"/>
      <c r="BA503" s="949"/>
      <c r="BB503" s="949"/>
      <c r="BC503" s="949"/>
      <c r="BD503" s="949"/>
      <c r="BE503" s="949"/>
      <c r="BF503" s="949"/>
      <c r="BG503" s="948"/>
      <c r="BH503" s="948"/>
      <c r="BI503" s="948"/>
      <c r="BJ503" s="948"/>
      <c r="BK503" s="948"/>
      <c r="BL503" s="948"/>
      <c r="BM503" s="948"/>
      <c r="BN503" s="948"/>
      <c r="BO503" s="948"/>
      <c r="BP503" s="948"/>
      <c r="BQ503" s="948"/>
      <c r="BR503" s="948"/>
      <c r="BS503" s="948"/>
      <c r="BT503" s="948"/>
      <c r="BU503" s="954"/>
    </row>
    <row r="504" spans="1:73" ht="15.75" customHeight="1" x14ac:dyDescent="0.2">
      <c r="A504" s="947"/>
      <c r="B504" s="947"/>
      <c r="C504" s="947"/>
      <c r="D504" s="948"/>
      <c r="E504" s="948"/>
      <c r="F504" s="948"/>
      <c r="G504" s="948"/>
      <c r="H504" s="948"/>
      <c r="I504" s="948"/>
      <c r="J504" s="948"/>
      <c r="K504" s="949"/>
      <c r="L504" s="949"/>
      <c r="M504" s="949"/>
      <c r="N504" s="950"/>
      <c r="O504" s="948"/>
      <c r="P504" s="948"/>
      <c r="Q504" s="948"/>
      <c r="R504" s="949"/>
      <c r="S504" s="949"/>
      <c r="T504" s="949"/>
      <c r="U504" s="949"/>
      <c r="V504" s="949"/>
      <c r="W504" s="949"/>
      <c r="X504" s="951"/>
      <c r="Y504" s="951"/>
      <c r="Z504" s="952"/>
      <c r="AA504" s="953"/>
      <c r="AB504" s="948"/>
      <c r="AC504" s="948"/>
      <c r="AD504" s="949"/>
      <c r="AE504" s="949"/>
      <c r="AF504" s="949"/>
      <c r="AG504" s="949"/>
      <c r="AH504" s="949"/>
      <c r="AI504" s="949"/>
      <c r="AJ504" s="949"/>
      <c r="AK504" s="949"/>
      <c r="AL504" s="949"/>
      <c r="AM504" s="949"/>
      <c r="AN504" s="949"/>
      <c r="AO504" s="949"/>
      <c r="AP504" s="949"/>
      <c r="AQ504" s="949"/>
      <c r="AR504" s="949"/>
      <c r="AS504" s="949"/>
      <c r="AT504" s="949"/>
      <c r="AU504" s="949"/>
      <c r="AV504" s="949"/>
      <c r="AW504" s="949"/>
      <c r="AX504" s="949"/>
      <c r="AY504" s="949"/>
      <c r="AZ504" s="949"/>
      <c r="BA504" s="949"/>
      <c r="BB504" s="949"/>
      <c r="BC504" s="949"/>
      <c r="BD504" s="949"/>
      <c r="BE504" s="949"/>
      <c r="BF504" s="949"/>
      <c r="BG504" s="948"/>
      <c r="BH504" s="948"/>
      <c r="BI504" s="948"/>
      <c r="BJ504" s="948"/>
      <c r="BK504" s="948"/>
      <c r="BL504" s="948"/>
      <c r="BM504" s="948"/>
      <c r="BN504" s="948"/>
      <c r="BO504" s="948"/>
      <c r="BP504" s="948"/>
      <c r="BQ504" s="948"/>
      <c r="BR504" s="948"/>
      <c r="BS504" s="948"/>
      <c r="BT504" s="948"/>
      <c r="BU504" s="954"/>
    </row>
    <row r="505" spans="1:73" ht="15.75" customHeight="1" x14ac:dyDescent="0.2">
      <c r="A505" s="947"/>
      <c r="B505" s="947"/>
      <c r="C505" s="947"/>
      <c r="D505" s="948"/>
      <c r="E505" s="948"/>
      <c r="F505" s="948"/>
      <c r="G505" s="948"/>
      <c r="H505" s="948"/>
      <c r="I505" s="948"/>
      <c r="J505" s="948"/>
      <c r="K505" s="949"/>
      <c r="L505" s="949"/>
      <c r="M505" s="949"/>
      <c r="N505" s="950"/>
      <c r="O505" s="948"/>
      <c r="P505" s="948"/>
      <c r="Q505" s="948"/>
      <c r="R505" s="949"/>
      <c r="S505" s="949"/>
      <c r="T505" s="949"/>
      <c r="U505" s="949"/>
      <c r="V505" s="949"/>
      <c r="W505" s="949"/>
      <c r="X505" s="951"/>
      <c r="Y505" s="951"/>
      <c r="Z505" s="952"/>
      <c r="AA505" s="953"/>
      <c r="AB505" s="948"/>
      <c r="AC505" s="948"/>
      <c r="AD505" s="949"/>
      <c r="AE505" s="949"/>
      <c r="AF505" s="949"/>
      <c r="AG505" s="949"/>
      <c r="AH505" s="949"/>
      <c r="AI505" s="949"/>
      <c r="AJ505" s="949"/>
      <c r="AK505" s="949"/>
      <c r="AL505" s="949"/>
      <c r="AM505" s="949"/>
      <c r="AN505" s="949"/>
      <c r="AO505" s="949"/>
      <c r="AP505" s="949"/>
      <c r="AQ505" s="949"/>
      <c r="AR505" s="949"/>
      <c r="AS505" s="949"/>
      <c r="AT505" s="949"/>
      <c r="AU505" s="949"/>
      <c r="AV505" s="949"/>
      <c r="AW505" s="949"/>
      <c r="AX505" s="949"/>
      <c r="AY505" s="949"/>
      <c r="AZ505" s="949"/>
      <c r="BA505" s="949"/>
      <c r="BB505" s="949"/>
      <c r="BC505" s="949"/>
      <c r="BD505" s="949"/>
      <c r="BE505" s="949"/>
      <c r="BF505" s="949"/>
      <c r="BG505" s="948"/>
      <c r="BH505" s="948"/>
      <c r="BI505" s="948"/>
      <c r="BJ505" s="948"/>
      <c r="BK505" s="948"/>
      <c r="BL505" s="948"/>
      <c r="BM505" s="948"/>
      <c r="BN505" s="948"/>
      <c r="BO505" s="948"/>
      <c r="BP505" s="948"/>
      <c r="BQ505" s="948"/>
      <c r="BR505" s="948"/>
      <c r="BS505" s="948"/>
      <c r="BT505" s="948"/>
      <c r="BU505" s="954"/>
    </row>
    <row r="506" spans="1:73" ht="15.75" customHeight="1" x14ac:dyDescent="0.2">
      <c r="A506" s="947"/>
      <c r="B506" s="947"/>
      <c r="C506" s="947"/>
      <c r="D506" s="948"/>
      <c r="E506" s="948"/>
      <c r="F506" s="948"/>
      <c r="G506" s="948"/>
      <c r="H506" s="948"/>
      <c r="I506" s="948"/>
      <c r="J506" s="948"/>
      <c r="K506" s="949"/>
      <c r="L506" s="949"/>
      <c r="M506" s="949"/>
      <c r="N506" s="950"/>
      <c r="O506" s="948"/>
      <c r="P506" s="948"/>
      <c r="Q506" s="948"/>
      <c r="R506" s="949"/>
      <c r="S506" s="949"/>
      <c r="T506" s="949"/>
      <c r="U506" s="949"/>
      <c r="V506" s="949"/>
      <c r="W506" s="949"/>
      <c r="X506" s="951"/>
      <c r="Y506" s="951"/>
      <c r="Z506" s="952"/>
      <c r="AA506" s="953"/>
      <c r="AB506" s="948"/>
      <c r="AC506" s="948"/>
      <c r="AD506" s="949"/>
      <c r="AE506" s="949"/>
      <c r="AF506" s="949"/>
      <c r="AG506" s="949"/>
      <c r="AH506" s="949"/>
      <c r="AI506" s="949"/>
      <c r="AJ506" s="949"/>
      <c r="AK506" s="949"/>
      <c r="AL506" s="949"/>
      <c r="AM506" s="949"/>
      <c r="AN506" s="949"/>
      <c r="AO506" s="949"/>
      <c r="AP506" s="949"/>
      <c r="AQ506" s="949"/>
      <c r="AR506" s="949"/>
      <c r="AS506" s="949"/>
      <c r="AT506" s="949"/>
      <c r="AU506" s="949"/>
      <c r="AV506" s="949"/>
      <c r="AW506" s="949"/>
      <c r="AX506" s="949"/>
      <c r="AY506" s="949"/>
      <c r="AZ506" s="949"/>
      <c r="BA506" s="949"/>
      <c r="BB506" s="949"/>
      <c r="BC506" s="949"/>
      <c r="BD506" s="949"/>
      <c r="BE506" s="949"/>
      <c r="BF506" s="949"/>
      <c r="BG506" s="948"/>
      <c r="BH506" s="948"/>
      <c r="BI506" s="948"/>
      <c r="BJ506" s="948"/>
      <c r="BK506" s="948"/>
      <c r="BL506" s="948"/>
      <c r="BM506" s="948"/>
      <c r="BN506" s="948"/>
      <c r="BO506" s="948"/>
      <c r="BP506" s="948"/>
      <c r="BQ506" s="948"/>
      <c r="BR506" s="948"/>
      <c r="BS506" s="948"/>
      <c r="BT506" s="948"/>
      <c r="BU506" s="954"/>
    </row>
    <row r="507" spans="1:73" ht="15.75" customHeight="1" x14ac:dyDescent="0.2">
      <c r="A507" s="947"/>
      <c r="B507" s="947"/>
      <c r="C507" s="947"/>
      <c r="D507" s="948"/>
      <c r="E507" s="948"/>
      <c r="F507" s="948"/>
      <c r="G507" s="948"/>
      <c r="H507" s="948"/>
      <c r="I507" s="948"/>
      <c r="J507" s="948"/>
      <c r="K507" s="949"/>
      <c r="L507" s="949"/>
      <c r="M507" s="949"/>
      <c r="N507" s="950"/>
      <c r="O507" s="948"/>
      <c r="P507" s="948"/>
      <c r="Q507" s="948"/>
      <c r="R507" s="949"/>
      <c r="S507" s="949"/>
      <c r="T507" s="949"/>
      <c r="U507" s="949"/>
      <c r="V507" s="949"/>
      <c r="W507" s="949"/>
      <c r="X507" s="951"/>
      <c r="Y507" s="951"/>
      <c r="Z507" s="952"/>
      <c r="AA507" s="953"/>
      <c r="AB507" s="948"/>
      <c r="AC507" s="948"/>
      <c r="AD507" s="949"/>
      <c r="AE507" s="949"/>
      <c r="AF507" s="949"/>
      <c r="AG507" s="949"/>
      <c r="AH507" s="949"/>
      <c r="AI507" s="949"/>
      <c r="AJ507" s="949"/>
      <c r="AK507" s="949"/>
      <c r="AL507" s="949"/>
      <c r="AM507" s="949"/>
      <c r="AN507" s="949"/>
      <c r="AO507" s="949"/>
      <c r="AP507" s="949"/>
      <c r="AQ507" s="949"/>
      <c r="AR507" s="949"/>
      <c r="AS507" s="949"/>
      <c r="AT507" s="949"/>
      <c r="AU507" s="949"/>
      <c r="AV507" s="949"/>
      <c r="AW507" s="949"/>
      <c r="AX507" s="949"/>
      <c r="AY507" s="949"/>
      <c r="AZ507" s="949"/>
      <c r="BA507" s="949"/>
      <c r="BB507" s="949"/>
      <c r="BC507" s="949"/>
      <c r="BD507" s="949"/>
      <c r="BE507" s="949"/>
      <c r="BF507" s="949"/>
      <c r="BG507" s="948"/>
      <c r="BH507" s="948"/>
      <c r="BI507" s="948"/>
      <c r="BJ507" s="948"/>
      <c r="BK507" s="948"/>
      <c r="BL507" s="948"/>
      <c r="BM507" s="948"/>
      <c r="BN507" s="948"/>
      <c r="BO507" s="948"/>
      <c r="BP507" s="948"/>
      <c r="BQ507" s="948"/>
      <c r="BR507" s="948"/>
      <c r="BS507" s="948"/>
      <c r="BT507" s="948"/>
      <c r="BU507" s="954"/>
    </row>
    <row r="508" spans="1:73" ht="15.75" customHeight="1" x14ac:dyDescent="0.2">
      <c r="A508" s="947"/>
      <c r="B508" s="947"/>
      <c r="C508" s="947"/>
      <c r="D508" s="948"/>
      <c r="E508" s="948"/>
      <c r="F508" s="948"/>
      <c r="G508" s="948"/>
      <c r="H508" s="948"/>
      <c r="I508" s="948"/>
      <c r="J508" s="948"/>
      <c r="K508" s="949"/>
      <c r="L508" s="949"/>
      <c r="M508" s="949"/>
      <c r="N508" s="950"/>
      <c r="O508" s="948"/>
      <c r="P508" s="948"/>
      <c r="Q508" s="948"/>
      <c r="R508" s="949"/>
      <c r="S508" s="949"/>
      <c r="T508" s="949"/>
      <c r="U508" s="949"/>
      <c r="V508" s="949"/>
      <c r="W508" s="949"/>
      <c r="X508" s="951"/>
      <c r="Y508" s="951"/>
      <c r="Z508" s="952"/>
      <c r="AA508" s="953"/>
      <c r="AB508" s="948"/>
      <c r="AC508" s="948"/>
      <c r="AD508" s="949"/>
      <c r="AE508" s="949"/>
      <c r="AF508" s="949"/>
      <c r="AG508" s="949"/>
      <c r="AH508" s="949"/>
      <c r="AI508" s="949"/>
      <c r="AJ508" s="949"/>
      <c r="AK508" s="949"/>
      <c r="AL508" s="949"/>
      <c r="AM508" s="949"/>
      <c r="AN508" s="949"/>
      <c r="AO508" s="949"/>
      <c r="AP508" s="949"/>
      <c r="AQ508" s="949"/>
      <c r="AR508" s="949"/>
      <c r="AS508" s="949"/>
      <c r="AT508" s="949"/>
      <c r="AU508" s="949"/>
      <c r="AV508" s="949"/>
      <c r="AW508" s="949"/>
      <c r="AX508" s="949"/>
      <c r="AY508" s="949"/>
      <c r="AZ508" s="949"/>
      <c r="BA508" s="949"/>
      <c r="BB508" s="949"/>
      <c r="BC508" s="949"/>
      <c r="BD508" s="949"/>
      <c r="BE508" s="949"/>
      <c r="BF508" s="949"/>
      <c r="BG508" s="948"/>
      <c r="BH508" s="948"/>
      <c r="BI508" s="948"/>
      <c r="BJ508" s="948"/>
      <c r="BK508" s="948"/>
      <c r="BL508" s="948"/>
      <c r="BM508" s="948"/>
      <c r="BN508" s="948"/>
      <c r="BO508" s="948"/>
      <c r="BP508" s="948"/>
      <c r="BQ508" s="948"/>
      <c r="BR508" s="948"/>
      <c r="BS508" s="948"/>
      <c r="BT508" s="948"/>
      <c r="BU508" s="954"/>
    </row>
    <row r="509" spans="1:73" ht="15.75" customHeight="1" x14ac:dyDescent="0.2">
      <c r="A509" s="947"/>
      <c r="B509" s="947"/>
      <c r="C509" s="947"/>
      <c r="D509" s="948"/>
      <c r="E509" s="948"/>
      <c r="F509" s="948"/>
      <c r="G509" s="948"/>
      <c r="H509" s="948"/>
      <c r="I509" s="948"/>
      <c r="J509" s="948"/>
      <c r="K509" s="949"/>
      <c r="L509" s="949"/>
      <c r="M509" s="949"/>
      <c r="N509" s="950"/>
      <c r="O509" s="948"/>
      <c r="P509" s="948"/>
      <c r="Q509" s="948"/>
      <c r="R509" s="949"/>
      <c r="S509" s="949"/>
      <c r="T509" s="949"/>
      <c r="U509" s="949"/>
      <c r="V509" s="949"/>
      <c r="W509" s="949"/>
      <c r="X509" s="951"/>
      <c r="Y509" s="951"/>
      <c r="Z509" s="952"/>
      <c r="AA509" s="953"/>
      <c r="AB509" s="948"/>
      <c r="AC509" s="948"/>
      <c r="AD509" s="949"/>
      <c r="AE509" s="949"/>
      <c r="AF509" s="949"/>
      <c r="AG509" s="949"/>
      <c r="AH509" s="949"/>
      <c r="AI509" s="949"/>
      <c r="AJ509" s="949"/>
      <c r="AK509" s="949"/>
      <c r="AL509" s="949"/>
      <c r="AM509" s="949"/>
      <c r="AN509" s="949"/>
      <c r="AO509" s="949"/>
      <c r="AP509" s="949"/>
      <c r="AQ509" s="949"/>
      <c r="AR509" s="949"/>
      <c r="AS509" s="949"/>
      <c r="AT509" s="949"/>
      <c r="AU509" s="949"/>
      <c r="AV509" s="949"/>
      <c r="AW509" s="949"/>
      <c r="AX509" s="949"/>
      <c r="AY509" s="949"/>
      <c r="AZ509" s="949"/>
      <c r="BA509" s="949"/>
      <c r="BB509" s="949"/>
      <c r="BC509" s="949"/>
      <c r="BD509" s="949"/>
      <c r="BE509" s="949"/>
      <c r="BF509" s="949"/>
      <c r="BG509" s="948"/>
      <c r="BH509" s="948"/>
      <c r="BI509" s="948"/>
      <c r="BJ509" s="948"/>
      <c r="BK509" s="948"/>
      <c r="BL509" s="948"/>
      <c r="BM509" s="948"/>
      <c r="BN509" s="948"/>
      <c r="BO509" s="948"/>
      <c r="BP509" s="948"/>
      <c r="BQ509" s="948"/>
      <c r="BR509" s="948"/>
      <c r="BS509" s="948"/>
      <c r="BT509" s="948"/>
      <c r="BU509" s="954"/>
    </row>
    <row r="510" spans="1:73" ht="15.75" customHeight="1" x14ac:dyDescent="0.2">
      <c r="A510" s="947"/>
      <c r="B510" s="947"/>
      <c r="C510" s="947"/>
      <c r="D510" s="948"/>
      <c r="E510" s="948"/>
      <c r="F510" s="948"/>
      <c r="G510" s="948"/>
      <c r="H510" s="948"/>
      <c r="I510" s="948"/>
      <c r="J510" s="948"/>
      <c r="K510" s="949"/>
      <c r="L510" s="949"/>
      <c r="M510" s="949"/>
      <c r="N510" s="950"/>
      <c r="O510" s="948"/>
      <c r="P510" s="948"/>
      <c r="Q510" s="948"/>
      <c r="R510" s="949"/>
      <c r="S510" s="949"/>
      <c r="T510" s="949"/>
      <c r="U510" s="949"/>
      <c r="V510" s="949"/>
      <c r="W510" s="949"/>
      <c r="X510" s="951"/>
      <c r="Y510" s="951"/>
      <c r="Z510" s="952"/>
      <c r="AA510" s="953"/>
      <c r="AB510" s="948"/>
      <c r="AC510" s="948"/>
      <c r="AD510" s="949"/>
      <c r="AE510" s="949"/>
      <c r="AF510" s="949"/>
      <c r="AG510" s="949"/>
      <c r="AH510" s="949"/>
      <c r="AI510" s="949"/>
      <c r="AJ510" s="949"/>
      <c r="AK510" s="949"/>
      <c r="AL510" s="949"/>
      <c r="AM510" s="949"/>
      <c r="AN510" s="949"/>
      <c r="AO510" s="949"/>
      <c r="AP510" s="949"/>
      <c r="AQ510" s="949"/>
      <c r="AR510" s="949"/>
      <c r="AS510" s="949"/>
      <c r="AT510" s="949"/>
      <c r="AU510" s="949"/>
      <c r="AV510" s="949"/>
      <c r="AW510" s="949"/>
      <c r="AX510" s="949"/>
      <c r="AY510" s="949"/>
      <c r="AZ510" s="949"/>
      <c r="BA510" s="949"/>
      <c r="BB510" s="949"/>
      <c r="BC510" s="949"/>
      <c r="BD510" s="949"/>
      <c r="BE510" s="949"/>
      <c r="BF510" s="949"/>
      <c r="BG510" s="948"/>
      <c r="BH510" s="948"/>
      <c r="BI510" s="948"/>
      <c r="BJ510" s="948"/>
      <c r="BK510" s="948"/>
      <c r="BL510" s="948"/>
      <c r="BM510" s="948"/>
      <c r="BN510" s="948"/>
      <c r="BO510" s="948"/>
      <c r="BP510" s="948"/>
      <c r="BQ510" s="948"/>
      <c r="BR510" s="948"/>
      <c r="BS510" s="948"/>
      <c r="BT510" s="948"/>
      <c r="BU510" s="954"/>
    </row>
    <row r="511" spans="1:73" ht="15.75" customHeight="1" x14ac:dyDescent="0.2">
      <c r="A511" s="947"/>
      <c r="B511" s="947"/>
      <c r="C511" s="947"/>
      <c r="D511" s="948"/>
      <c r="E511" s="948"/>
      <c r="F511" s="948"/>
      <c r="G511" s="948"/>
      <c r="H511" s="948"/>
      <c r="I511" s="948"/>
      <c r="J511" s="948"/>
      <c r="K511" s="949"/>
      <c r="L511" s="949"/>
      <c r="M511" s="949"/>
      <c r="N511" s="950"/>
      <c r="O511" s="948"/>
      <c r="P511" s="948"/>
      <c r="Q511" s="948"/>
      <c r="R511" s="949"/>
      <c r="S511" s="949"/>
      <c r="T511" s="949"/>
      <c r="U511" s="949"/>
      <c r="V511" s="949"/>
      <c r="W511" s="949"/>
      <c r="X511" s="951"/>
      <c r="Y511" s="951"/>
      <c r="Z511" s="952"/>
      <c r="AA511" s="953"/>
      <c r="AB511" s="948"/>
      <c r="AC511" s="948"/>
      <c r="AD511" s="949"/>
      <c r="AE511" s="949"/>
      <c r="AF511" s="949"/>
      <c r="AG511" s="949"/>
      <c r="AH511" s="949"/>
      <c r="AI511" s="949"/>
      <c r="AJ511" s="949"/>
      <c r="AK511" s="949"/>
      <c r="AL511" s="949"/>
      <c r="AM511" s="949"/>
      <c r="AN511" s="949"/>
      <c r="AO511" s="949"/>
      <c r="AP511" s="949"/>
      <c r="AQ511" s="949"/>
      <c r="AR511" s="949"/>
      <c r="AS511" s="949"/>
      <c r="AT511" s="949"/>
      <c r="AU511" s="949"/>
      <c r="AV511" s="949"/>
      <c r="AW511" s="949"/>
      <c r="AX511" s="949"/>
      <c r="AY511" s="949"/>
      <c r="AZ511" s="949"/>
      <c r="BA511" s="949"/>
      <c r="BB511" s="949"/>
      <c r="BC511" s="949"/>
      <c r="BD511" s="949"/>
      <c r="BE511" s="949"/>
      <c r="BF511" s="949"/>
      <c r="BG511" s="948"/>
      <c r="BH511" s="948"/>
      <c r="BI511" s="948"/>
      <c r="BJ511" s="948"/>
      <c r="BK511" s="948"/>
      <c r="BL511" s="948"/>
      <c r="BM511" s="948"/>
      <c r="BN511" s="948"/>
      <c r="BO511" s="948"/>
      <c r="BP511" s="948"/>
      <c r="BQ511" s="948"/>
      <c r="BR511" s="948"/>
      <c r="BS511" s="948"/>
      <c r="BT511" s="948"/>
      <c r="BU511" s="954"/>
    </row>
    <row r="512" spans="1:73" ht="15.75" customHeight="1" x14ac:dyDescent="0.2">
      <c r="A512" s="947"/>
      <c r="B512" s="947"/>
      <c r="C512" s="947"/>
      <c r="D512" s="948"/>
      <c r="E512" s="948"/>
      <c r="F512" s="948"/>
      <c r="G512" s="948"/>
      <c r="H512" s="948"/>
      <c r="I512" s="948"/>
      <c r="J512" s="948"/>
      <c r="K512" s="949"/>
      <c r="L512" s="949"/>
      <c r="M512" s="949"/>
      <c r="N512" s="950"/>
      <c r="O512" s="948"/>
      <c r="P512" s="948"/>
      <c r="Q512" s="948"/>
      <c r="R512" s="949"/>
      <c r="S512" s="949"/>
      <c r="T512" s="949"/>
      <c r="U512" s="949"/>
      <c r="V512" s="949"/>
      <c r="W512" s="949"/>
      <c r="X512" s="951"/>
      <c r="Y512" s="951"/>
      <c r="Z512" s="952"/>
      <c r="AA512" s="953"/>
      <c r="AB512" s="948"/>
      <c r="AC512" s="948"/>
      <c r="AD512" s="949"/>
      <c r="AE512" s="949"/>
      <c r="AF512" s="949"/>
      <c r="AG512" s="949"/>
      <c r="AH512" s="949"/>
      <c r="AI512" s="949"/>
      <c r="AJ512" s="949"/>
      <c r="AK512" s="949"/>
      <c r="AL512" s="949"/>
      <c r="AM512" s="949"/>
      <c r="AN512" s="949"/>
      <c r="AO512" s="949"/>
      <c r="AP512" s="949"/>
      <c r="AQ512" s="949"/>
      <c r="AR512" s="949"/>
      <c r="AS512" s="949"/>
      <c r="AT512" s="949"/>
      <c r="AU512" s="949"/>
      <c r="AV512" s="949"/>
      <c r="AW512" s="949"/>
      <c r="AX512" s="949"/>
      <c r="AY512" s="949"/>
      <c r="AZ512" s="949"/>
      <c r="BA512" s="949"/>
      <c r="BB512" s="949"/>
      <c r="BC512" s="949"/>
      <c r="BD512" s="949"/>
      <c r="BE512" s="949"/>
      <c r="BF512" s="949"/>
      <c r="BG512" s="948"/>
      <c r="BH512" s="948"/>
      <c r="BI512" s="948"/>
      <c r="BJ512" s="948"/>
      <c r="BK512" s="948"/>
      <c r="BL512" s="948"/>
      <c r="BM512" s="948"/>
      <c r="BN512" s="948"/>
      <c r="BO512" s="948"/>
      <c r="BP512" s="948"/>
      <c r="BQ512" s="948"/>
      <c r="BR512" s="948"/>
      <c r="BS512" s="948"/>
      <c r="BT512" s="948"/>
      <c r="BU512" s="954"/>
    </row>
    <row r="513" spans="1:73" ht="15.75" customHeight="1" x14ac:dyDescent="0.2">
      <c r="A513" s="947"/>
      <c r="B513" s="947"/>
      <c r="C513" s="947"/>
      <c r="D513" s="948"/>
      <c r="E513" s="948"/>
      <c r="F513" s="948"/>
      <c r="G513" s="948"/>
      <c r="H513" s="948"/>
      <c r="I513" s="948"/>
      <c r="J513" s="948"/>
      <c r="K513" s="949"/>
      <c r="L513" s="949"/>
      <c r="M513" s="949"/>
      <c r="N513" s="950"/>
      <c r="O513" s="948"/>
      <c r="P513" s="948"/>
      <c r="Q513" s="948"/>
      <c r="R513" s="949"/>
      <c r="S513" s="949"/>
      <c r="T513" s="949"/>
      <c r="U513" s="949"/>
      <c r="V513" s="949"/>
      <c r="W513" s="949"/>
      <c r="X513" s="951"/>
      <c r="Y513" s="951"/>
      <c r="Z513" s="952"/>
      <c r="AA513" s="953"/>
      <c r="AB513" s="948"/>
      <c r="AC513" s="948"/>
      <c r="AD513" s="949"/>
      <c r="AE513" s="949"/>
      <c r="AF513" s="949"/>
      <c r="AG513" s="949"/>
      <c r="AH513" s="949"/>
      <c r="AI513" s="949"/>
      <c r="AJ513" s="949"/>
      <c r="AK513" s="949"/>
      <c r="AL513" s="949"/>
      <c r="AM513" s="949"/>
      <c r="AN513" s="949"/>
      <c r="AO513" s="949"/>
      <c r="AP513" s="949"/>
      <c r="AQ513" s="949"/>
      <c r="AR513" s="949"/>
      <c r="AS513" s="949"/>
      <c r="AT513" s="949"/>
      <c r="AU513" s="949"/>
      <c r="AV513" s="949"/>
      <c r="AW513" s="949"/>
      <c r="AX513" s="949"/>
      <c r="AY513" s="949"/>
      <c r="AZ513" s="949"/>
      <c r="BA513" s="949"/>
      <c r="BB513" s="949"/>
      <c r="BC513" s="949"/>
      <c r="BD513" s="949"/>
      <c r="BE513" s="949"/>
      <c r="BF513" s="949"/>
      <c r="BG513" s="948"/>
      <c r="BH513" s="948"/>
      <c r="BI513" s="948"/>
      <c r="BJ513" s="948"/>
      <c r="BK513" s="948"/>
      <c r="BL513" s="948"/>
      <c r="BM513" s="948"/>
      <c r="BN513" s="948"/>
      <c r="BO513" s="948"/>
      <c r="BP513" s="948"/>
      <c r="BQ513" s="948"/>
      <c r="BR513" s="948"/>
      <c r="BS513" s="948"/>
      <c r="BT513" s="948"/>
      <c r="BU513" s="954"/>
    </row>
    <row r="514" spans="1:73" ht="15.75" customHeight="1" x14ac:dyDescent="0.2">
      <c r="A514" s="947"/>
      <c r="B514" s="947"/>
      <c r="C514" s="947"/>
      <c r="D514" s="948"/>
      <c r="E514" s="948"/>
      <c r="F514" s="948"/>
      <c r="G514" s="948"/>
      <c r="H514" s="948"/>
      <c r="I514" s="948"/>
      <c r="J514" s="948"/>
      <c r="K514" s="949"/>
      <c r="L514" s="949"/>
      <c r="M514" s="949"/>
      <c r="N514" s="950"/>
      <c r="O514" s="948"/>
      <c r="P514" s="948"/>
      <c r="Q514" s="948"/>
      <c r="R514" s="949"/>
      <c r="S514" s="949"/>
      <c r="T514" s="949"/>
      <c r="U514" s="949"/>
      <c r="V514" s="949"/>
      <c r="W514" s="949"/>
      <c r="X514" s="951"/>
      <c r="Y514" s="951"/>
      <c r="Z514" s="952"/>
      <c r="AA514" s="953"/>
      <c r="AB514" s="948"/>
      <c r="AC514" s="948"/>
      <c r="AD514" s="949"/>
      <c r="AE514" s="949"/>
      <c r="AF514" s="949"/>
      <c r="AG514" s="949"/>
      <c r="AH514" s="949"/>
      <c r="AI514" s="949"/>
      <c r="AJ514" s="949"/>
      <c r="AK514" s="949"/>
      <c r="AL514" s="949"/>
      <c r="AM514" s="949"/>
      <c r="AN514" s="949"/>
      <c r="AO514" s="949"/>
      <c r="AP514" s="949"/>
      <c r="AQ514" s="949"/>
      <c r="AR514" s="949"/>
      <c r="AS514" s="949"/>
      <c r="AT514" s="949"/>
      <c r="AU514" s="949"/>
      <c r="AV514" s="949"/>
      <c r="AW514" s="949"/>
      <c r="AX514" s="949"/>
      <c r="AY514" s="949"/>
      <c r="AZ514" s="949"/>
      <c r="BA514" s="949"/>
      <c r="BB514" s="949"/>
      <c r="BC514" s="949"/>
      <c r="BD514" s="949"/>
      <c r="BE514" s="949"/>
      <c r="BF514" s="949"/>
      <c r="BG514" s="948"/>
      <c r="BH514" s="948"/>
      <c r="BI514" s="948"/>
      <c r="BJ514" s="948"/>
      <c r="BK514" s="948"/>
      <c r="BL514" s="948"/>
      <c r="BM514" s="948"/>
      <c r="BN514" s="948"/>
      <c r="BO514" s="948"/>
      <c r="BP514" s="948"/>
      <c r="BQ514" s="948"/>
      <c r="BR514" s="948"/>
      <c r="BS514" s="948"/>
      <c r="BT514" s="948"/>
      <c r="BU514" s="954"/>
    </row>
    <row r="515" spans="1:73" ht="15.75" customHeight="1" x14ac:dyDescent="0.2">
      <c r="A515" s="947"/>
      <c r="B515" s="947"/>
      <c r="C515" s="947"/>
      <c r="D515" s="948"/>
      <c r="E515" s="948"/>
      <c r="F515" s="948"/>
      <c r="G515" s="948"/>
      <c r="H515" s="948"/>
      <c r="I515" s="948"/>
      <c r="J515" s="948"/>
      <c r="K515" s="949"/>
      <c r="L515" s="949"/>
      <c r="M515" s="949"/>
      <c r="N515" s="950"/>
      <c r="O515" s="948"/>
      <c r="P515" s="948"/>
      <c r="Q515" s="948"/>
      <c r="R515" s="949"/>
      <c r="S515" s="949"/>
      <c r="T515" s="949"/>
      <c r="U515" s="949"/>
      <c r="V515" s="949"/>
      <c r="W515" s="949"/>
      <c r="X515" s="951"/>
      <c r="Y515" s="951"/>
      <c r="Z515" s="952"/>
      <c r="AA515" s="953"/>
      <c r="AB515" s="948"/>
      <c r="AC515" s="948"/>
      <c r="AD515" s="949"/>
      <c r="AE515" s="949"/>
      <c r="AF515" s="949"/>
      <c r="AG515" s="949"/>
      <c r="AH515" s="949"/>
      <c r="AI515" s="949"/>
      <c r="AJ515" s="949"/>
      <c r="AK515" s="949"/>
      <c r="AL515" s="949"/>
      <c r="AM515" s="949"/>
      <c r="AN515" s="949"/>
      <c r="AO515" s="949"/>
      <c r="AP515" s="949"/>
      <c r="AQ515" s="949"/>
      <c r="AR515" s="949"/>
      <c r="AS515" s="949"/>
      <c r="AT515" s="949"/>
      <c r="AU515" s="949"/>
      <c r="AV515" s="949"/>
      <c r="AW515" s="949"/>
      <c r="AX515" s="949"/>
      <c r="AY515" s="949"/>
      <c r="AZ515" s="949"/>
      <c r="BA515" s="949"/>
      <c r="BB515" s="949"/>
      <c r="BC515" s="949"/>
      <c r="BD515" s="949"/>
      <c r="BE515" s="949"/>
      <c r="BF515" s="949"/>
      <c r="BG515" s="948"/>
      <c r="BH515" s="948"/>
      <c r="BI515" s="948"/>
      <c r="BJ515" s="948"/>
      <c r="BK515" s="948"/>
      <c r="BL515" s="948"/>
      <c r="BM515" s="948"/>
      <c r="BN515" s="948"/>
      <c r="BO515" s="948"/>
      <c r="BP515" s="948"/>
      <c r="BQ515" s="948"/>
      <c r="BR515" s="948"/>
      <c r="BS515" s="948"/>
      <c r="BT515" s="948"/>
      <c r="BU515" s="954"/>
    </row>
    <row r="516" spans="1:73" ht="15.75" customHeight="1" x14ac:dyDescent="0.2">
      <c r="A516" s="947"/>
      <c r="B516" s="947"/>
      <c r="C516" s="947"/>
      <c r="D516" s="948"/>
      <c r="E516" s="948"/>
      <c r="F516" s="948"/>
      <c r="G516" s="948"/>
      <c r="H516" s="948"/>
      <c r="I516" s="948"/>
      <c r="J516" s="948"/>
      <c r="K516" s="949"/>
      <c r="L516" s="949"/>
      <c r="M516" s="949"/>
      <c r="N516" s="950"/>
      <c r="O516" s="948"/>
      <c r="P516" s="948"/>
      <c r="Q516" s="948"/>
      <c r="R516" s="949"/>
      <c r="S516" s="949"/>
      <c r="T516" s="949"/>
      <c r="U516" s="949"/>
      <c r="V516" s="949"/>
      <c r="W516" s="949"/>
      <c r="X516" s="951"/>
      <c r="Y516" s="951"/>
      <c r="Z516" s="952"/>
      <c r="AA516" s="953"/>
      <c r="AB516" s="948"/>
      <c r="AC516" s="948"/>
      <c r="AD516" s="949"/>
      <c r="AE516" s="949"/>
      <c r="AF516" s="949"/>
      <c r="AG516" s="949"/>
      <c r="AH516" s="949"/>
      <c r="AI516" s="949"/>
      <c r="AJ516" s="949"/>
      <c r="AK516" s="949"/>
      <c r="AL516" s="949"/>
      <c r="AM516" s="949"/>
      <c r="AN516" s="949"/>
      <c r="AO516" s="949"/>
      <c r="AP516" s="949"/>
      <c r="AQ516" s="949"/>
      <c r="AR516" s="949"/>
      <c r="AS516" s="949"/>
      <c r="AT516" s="949"/>
      <c r="AU516" s="949"/>
      <c r="AV516" s="949"/>
      <c r="AW516" s="949"/>
      <c r="AX516" s="949"/>
      <c r="AY516" s="949"/>
      <c r="AZ516" s="949"/>
      <c r="BA516" s="949"/>
      <c r="BB516" s="949"/>
      <c r="BC516" s="949"/>
      <c r="BD516" s="949"/>
      <c r="BE516" s="949"/>
      <c r="BF516" s="949"/>
      <c r="BG516" s="948"/>
      <c r="BH516" s="948"/>
      <c r="BI516" s="948"/>
      <c r="BJ516" s="948"/>
      <c r="BK516" s="948"/>
      <c r="BL516" s="948"/>
      <c r="BM516" s="948"/>
      <c r="BN516" s="948"/>
      <c r="BO516" s="948"/>
      <c r="BP516" s="948"/>
      <c r="BQ516" s="948"/>
      <c r="BR516" s="948"/>
      <c r="BS516" s="948"/>
      <c r="BT516" s="948"/>
      <c r="BU516" s="954"/>
    </row>
    <row r="517" spans="1:73" ht="15.75" customHeight="1" x14ac:dyDescent="0.2">
      <c r="A517" s="947"/>
      <c r="B517" s="947"/>
      <c r="C517" s="947"/>
      <c r="D517" s="948"/>
      <c r="E517" s="948"/>
      <c r="F517" s="948"/>
      <c r="G517" s="948"/>
      <c r="H517" s="948"/>
      <c r="I517" s="948"/>
      <c r="J517" s="948"/>
      <c r="K517" s="949"/>
      <c r="L517" s="949"/>
      <c r="M517" s="949"/>
      <c r="N517" s="950"/>
      <c r="O517" s="948"/>
      <c r="P517" s="948"/>
      <c r="Q517" s="948"/>
      <c r="R517" s="949"/>
      <c r="S517" s="949"/>
      <c r="T517" s="949"/>
      <c r="U517" s="949"/>
      <c r="V517" s="949"/>
      <c r="W517" s="949"/>
      <c r="X517" s="951"/>
      <c r="Y517" s="951"/>
      <c r="Z517" s="952"/>
      <c r="AA517" s="953"/>
      <c r="AB517" s="948"/>
      <c r="AC517" s="948"/>
      <c r="AD517" s="949"/>
      <c r="AE517" s="949"/>
      <c r="AF517" s="949"/>
      <c r="AG517" s="949"/>
      <c r="AH517" s="949"/>
      <c r="AI517" s="949"/>
      <c r="AJ517" s="949"/>
      <c r="AK517" s="949"/>
      <c r="AL517" s="949"/>
      <c r="AM517" s="949"/>
      <c r="AN517" s="949"/>
      <c r="AO517" s="949"/>
      <c r="AP517" s="949"/>
      <c r="AQ517" s="949"/>
      <c r="AR517" s="949"/>
      <c r="AS517" s="949"/>
      <c r="AT517" s="949"/>
      <c r="AU517" s="949"/>
      <c r="AV517" s="949"/>
      <c r="AW517" s="949"/>
      <c r="AX517" s="949"/>
      <c r="AY517" s="949"/>
      <c r="AZ517" s="949"/>
      <c r="BA517" s="949"/>
      <c r="BB517" s="949"/>
      <c r="BC517" s="949"/>
      <c r="BD517" s="949"/>
      <c r="BE517" s="949"/>
      <c r="BF517" s="949"/>
      <c r="BG517" s="948"/>
      <c r="BH517" s="948"/>
      <c r="BI517" s="948"/>
      <c r="BJ517" s="948"/>
      <c r="BK517" s="948"/>
      <c r="BL517" s="948"/>
      <c r="BM517" s="948"/>
      <c r="BN517" s="948"/>
      <c r="BO517" s="948"/>
      <c r="BP517" s="948"/>
      <c r="BQ517" s="948"/>
      <c r="BR517" s="948"/>
      <c r="BS517" s="948"/>
      <c r="BT517" s="948"/>
      <c r="BU517" s="954"/>
    </row>
    <row r="518" spans="1:73" ht="15.75" customHeight="1" x14ac:dyDescent="0.2">
      <c r="A518" s="947"/>
      <c r="B518" s="947"/>
      <c r="C518" s="947"/>
      <c r="D518" s="948"/>
      <c r="E518" s="948"/>
      <c r="F518" s="948"/>
      <c r="G518" s="948"/>
      <c r="H518" s="948"/>
      <c r="I518" s="948"/>
      <c r="J518" s="948"/>
      <c r="K518" s="949"/>
      <c r="L518" s="949"/>
      <c r="M518" s="949"/>
      <c r="N518" s="950"/>
      <c r="O518" s="948"/>
      <c r="P518" s="948"/>
      <c r="Q518" s="948"/>
      <c r="R518" s="949"/>
      <c r="S518" s="949"/>
      <c r="T518" s="949"/>
      <c r="U518" s="949"/>
      <c r="V518" s="949"/>
      <c r="W518" s="949"/>
      <c r="X518" s="951"/>
      <c r="Y518" s="951"/>
      <c r="Z518" s="952"/>
      <c r="AA518" s="953"/>
      <c r="AB518" s="948"/>
      <c r="AC518" s="948"/>
      <c r="AD518" s="949"/>
      <c r="AE518" s="949"/>
      <c r="AF518" s="949"/>
      <c r="AG518" s="949"/>
      <c r="AH518" s="949"/>
      <c r="AI518" s="949"/>
      <c r="AJ518" s="949"/>
      <c r="AK518" s="949"/>
      <c r="AL518" s="949"/>
      <c r="AM518" s="949"/>
      <c r="AN518" s="949"/>
      <c r="AO518" s="949"/>
      <c r="AP518" s="949"/>
      <c r="AQ518" s="949"/>
      <c r="AR518" s="949"/>
      <c r="AS518" s="949"/>
      <c r="AT518" s="949"/>
      <c r="AU518" s="949"/>
      <c r="AV518" s="949"/>
      <c r="AW518" s="949"/>
      <c r="AX518" s="949"/>
      <c r="AY518" s="949"/>
      <c r="AZ518" s="949"/>
      <c r="BA518" s="949"/>
      <c r="BB518" s="949"/>
      <c r="BC518" s="949"/>
      <c r="BD518" s="949"/>
      <c r="BE518" s="949"/>
      <c r="BF518" s="949"/>
      <c r="BG518" s="948"/>
      <c r="BH518" s="948"/>
      <c r="BI518" s="948"/>
      <c r="BJ518" s="948"/>
      <c r="BK518" s="948"/>
      <c r="BL518" s="948"/>
      <c r="BM518" s="948"/>
      <c r="BN518" s="948"/>
      <c r="BO518" s="948"/>
      <c r="BP518" s="948"/>
      <c r="BQ518" s="948"/>
      <c r="BR518" s="948"/>
      <c r="BS518" s="948"/>
      <c r="BT518" s="948"/>
      <c r="BU518" s="954"/>
    </row>
    <row r="519" spans="1:73" ht="15.75" customHeight="1" x14ac:dyDescent="0.2">
      <c r="A519" s="947"/>
      <c r="B519" s="947"/>
      <c r="C519" s="947"/>
      <c r="D519" s="948"/>
      <c r="E519" s="948"/>
      <c r="F519" s="948"/>
      <c r="G519" s="948"/>
      <c r="H519" s="948"/>
      <c r="I519" s="948"/>
      <c r="J519" s="948"/>
      <c r="K519" s="949"/>
      <c r="L519" s="949"/>
      <c r="M519" s="949"/>
      <c r="N519" s="950"/>
      <c r="O519" s="948"/>
      <c r="P519" s="948"/>
      <c r="Q519" s="948"/>
      <c r="R519" s="949"/>
      <c r="S519" s="949"/>
      <c r="T519" s="949"/>
      <c r="U519" s="949"/>
      <c r="V519" s="949"/>
      <c r="W519" s="949"/>
      <c r="X519" s="951"/>
      <c r="Y519" s="951"/>
      <c r="Z519" s="952"/>
      <c r="AA519" s="953"/>
      <c r="AB519" s="948"/>
      <c r="AC519" s="948"/>
      <c r="AD519" s="949"/>
      <c r="AE519" s="949"/>
      <c r="AF519" s="949"/>
      <c r="AG519" s="949"/>
      <c r="AH519" s="949"/>
      <c r="AI519" s="949"/>
      <c r="AJ519" s="949"/>
      <c r="AK519" s="949"/>
      <c r="AL519" s="949"/>
      <c r="AM519" s="949"/>
      <c r="AN519" s="949"/>
      <c r="AO519" s="949"/>
      <c r="AP519" s="949"/>
      <c r="AQ519" s="949"/>
      <c r="AR519" s="949"/>
      <c r="AS519" s="949"/>
      <c r="AT519" s="949"/>
      <c r="AU519" s="949"/>
      <c r="AV519" s="949"/>
      <c r="AW519" s="949"/>
      <c r="AX519" s="949"/>
      <c r="AY519" s="949"/>
      <c r="AZ519" s="949"/>
      <c r="BA519" s="949"/>
      <c r="BB519" s="949"/>
      <c r="BC519" s="949"/>
      <c r="BD519" s="949"/>
      <c r="BE519" s="949"/>
      <c r="BF519" s="949"/>
      <c r="BG519" s="948"/>
      <c r="BH519" s="948"/>
      <c r="BI519" s="948"/>
      <c r="BJ519" s="948"/>
      <c r="BK519" s="948"/>
      <c r="BL519" s="948"/>
      <c r="BM519" s="948"/>
      <c r="BN519" s="948"/>
      <c r="BO519" s="948"/>
      <c r="BP519" s="948"/>
      <c r="BQ519" s="948"/>
      <c r="BR519" s="948"/>
      <c r="BS519" s="948"/>
      <c r="BT519" s="948"/>
      <c r="BU519" s="954"/>
    </row>
    <row r="520" spans="1:73" ht="15.75" customHeight="1" x14ac:dyDescent="0.2">
      <c r="A520" s="947"/>
      <c r="B520" s="947"/>
      <c r="C520" s="947"/>
      <c r="D520" s="948"/>
      <c r="E520" s="948"/>
      <c r="F520" s="948"/>
      <c r="G520" s="948"/>
      <c r="H520" s="948"/>
      <c r="I520" s="948"/>
      <c r="J520" s="948"/>
      <c r="K520" s="949"/>
      <c r="L520" s="949"/>
      <c r="M520" s="949"/>
      <c r="N520" s="950"/>
      <c r="O520" s="948"/>
      <c r="P520" s="948"/>
      <c r="Q520" s="948"/>
      <c r="R520" s="949"/>
      <c r="S520" s="949"/>
      <c r="T520" s="949"/>
      <c r="U520" s="949"/>
      <c r="V520" s="949"/>
      <c r="W520" s="949"/>
      <c r="X520" s="951"/>
      <c r="Y520" s="951"/>
      <c r="Z520" s="952"/>
      <c r="AA520" s="953"/>
      <c r="AB520" s="948"/>
      <c r="AC520" s="948"/>
      <c r="AD520" s="949"/>
      <c r="AE520" s="949"/>
      <c r="AF520" s="949"/>
      <c r="AG520" s="949"/>
      <c r="AH520" s="949"/>
      <c r="AI520" s="949"/>
      <c r="AJ520" s="949"/>
      <c r="AK520" s="949"/>
      <c r="AL520" s="949"/>
      <c r="AM520" s="949"/>
      <c r="AN520" s="949"/>
      <c r="AO520" s="949"/>
      <c r="AP520" s="949"/>
      <c r="AQ520" s="949"/>
      <c r="AR520" s="949"/>
      <c r="AS520" s="949"/>
      <c r="AT520" s="949"/>
      <c r="AU520" s="949"/>
      <c r="AV520" s="949"/>
      <c r="AW520" s="949"/>
      <c r="AX520" s="949"/>
      <c r="AY520" s="949"/>
      <c r="AZ520" s="949"/>
      <c r="BA520" s="949"/>
      <c r="BB520" s="949"/>
      <c r="BC520" s="949"/>
      <c r="BD520" s="949"/>
      <c r="BE520" s="949"/>
      <c r="BF520" s="949"/>
      <c r="BG520" s="948"/>
      <c r="BH520" s="948"/>
      <c r="BI520" s="948"/>
      <c r="BJ520" s="948"/>
      <c r="BK520" s="948"/>
      <c r="BL520" s="948"/>
      <c r="BM520" s="948"/>
      <c r="BN520" s="948"/>
      <c r="BO520" s="948"/>
      <c r="BP520" s="948"/>
      <c r="BQ520" s="948"/>
      <c r="BR520" s="948"/>
      <c r="BS520" s="948"/>
      <c r="BT520" s="948"/>
      <c r="BU520" s="954"/>
    </row>
    <row r="521" spans="1:73" ht="15.75" customHeight="1" x14ac:dyDescent="0.2">
      <c r="A521" s="947"/>
      <c r="B521" s="947"/>
      <c r="C521" s="947"/>
      <c r="D521" s="948"/>
      <c r="E521" s="948"/>
      <c r="F521" s="948"/>
      <c r="G521" s="948"/>
      <c r="H521" s="948"/>
      <c r="I521" s="948"/>
      <c r="J521" s="948"/>
      <c r="K521" s="949"/>
      <c r="L521" s="949"/>
      <c r="M521" s="949"/>
      <c r="N521" s="950"/>
      <c r="O521" s="948"/>
      <c r="P521" s="948"/>
      <c r="Q521" s="948"/>
      <c r="R521" s="949"/>
      <c r="S521" s="949"/>
      <c r="T521" s="949"/>
      <c r="U521" s="949"/>
      <c r="V521" s="949"/>
      <c r="W521" s="949"/>
      <c r="X521" s="951"/>
      <c r="Y521" s="951"/>
      <c r="Z521" s="952"/>
      <c r="AA521" s="953"/>
      <c r="AB521" s="948"/>
      <c r="AC521" s="948"/>
      <c r="AD521" s="949"/>
      <c r="AE521" s="949"/>
      <c r="AF521" s="949"/>
      <c r="AG521" s="949"/>
      <c r="AH521" s="949"/>
      <c r="AI521" s="949"/>
      <c r="AJ521" s="949"/>
      <c r="AK521" s="949"/>
      <c r="AL521" s="949"/>
      <c r="AM521" s="949"/>
      <c r="AN521" s="949"/>
      <c r="AO521" s="949"/>
      <c r="AP521" s="949"/>
      <c r="AQ521" s="949"/>
      <c r="AR521" s="949"/>
      <c r="AS521" s="949"/>
      <c r="AT521" s="949"/>
      <c r="AU521" s="949"/>
      <c r="AV521" s="949"/>
      <c r="AW521" s="949"/>
      <c r="AX521" s="949"/>
      <c r="AY521" s="949"/>
      <c r="AZ521" s="949"/>
      <c r="BA521" s="949"/>
      <c r="BB521" s="949"/>
      <c r="BC521" s="949"/>
      <c r="BD521" s="949"/>
      <c r="BE521" s="949"/>
      <c r="BF521" s="949"/>
      <c r="BG521" s="948"/>
      <c r="BH521" s="948"/>
      <c r="BI521" s="948"/>
      <c r="BJ521" s="948"/>
      <c r="BK521" s="948"/>
      <c r="BL521" s="948"/>
      <c r="BM521" s="948"/>
      <c r="BN521" s="948"/>
      <c r="BO521" s="948"/>
      <c r="BP521" s="948"/>
      <c r="BQ521" s="948"/>
      <c r="BR521" s="948"/>
      <c r="BS521" s="948"/>
      <c r="BT521" s="948"/>
      <c r="BU521" s="954"/>
    </row>
    <row r="522" spans="1:73" ht="15.75" customHeight="1" x14ac:dyDescent="0.2">
      <c r="A522" s="947"/>
      <c r="B522" s="947"/>
      <c r="C522" s="947"/>
      <c r="D522" s="948"/>
      <c r="E522" s="948"/>
      <c r="F522" s="948"/>
      <c r="G522" s="948"/>
      <c r="H522" s="948"/>
      <c r="I522" s="948"/>
      <c r="J522" s="948"/>
      <c r="K522" s="949"/>
      <c r="L522" s="949"/>
      <c r="M522" s="949"/>
      <c r="N522" s="950"/>
      <c r="O522" s="948"/>
      <c r="P522" s="948"/>
      <c r="Q522" s="948"/>
      <c r="R522" s="949"/>
      <c r="S522" s="949"/>
      <c r="T522" s="949"/>
      <c r="U522" s="949"/>
      <c r="V522" s="949"/>
      <c r="W522" s="949"/>
      <c r="X522" s="951"/>
      <c r="Y522" s="951"/>
      <c r="Z522" s="952"/>
      <c r="AA522" s="953"/>
      <c r="AB522" s="948"/>
      <c r="AC522" s="948"/>
      <c r="AD522" s="949"/>
      <c r="AE522" s="949"/>
      <c r="AF522" s="949"/>
      <c r="AG522" s="949"/>
      <c r="AH522" s="949"/>
      <c r="AI522" s="949"/>
      <c r="AJ522" s="949"/>
      <c r="AK522" s="949"/>
      <c r="AL522" s="949"/>
      <c r="AM522" s="949"/>
      <c r="AN522" s="949"/>
      <c r="AO522" s="949"/>
      <c r="AP522" s="949"/>
      <c r="AQ522" s="949"/>
      <c r="AR522" s="949"/>
      <c r="AS522" s="949"/>
      <c r="AT522" s="949"/>
      <c r="AU522" s="949"/>
      <c r="AV522" s="949"/>
      <c r="AW522" s="949"/>
      <c r="AX522" s="949"/>
      <c r="AY522" s="949"/>
      <c r="AZ522" s="949"/>
      <c r="BA522" s="949"/>
      <c r="BB522" s="949"/>
      <c r="BC522" s="949"/>
      <c r="BD522" s="949"/>
      <c r="BE522" s="949"/>
      <c r="BF522" s="949"/>
      <c r="BG522" s="948"/>
      <c r="BH522" s="948"/>
      <c r="BI522" s="948"/>
      <c r="BJ522" s="948"/>
      <c r="BK522" s="948"/>
      <c r="BL522" s="948"/>
      <c r="BM522" s="948"/>
      <c r="BN522" s="948"/>
      <c r="BO522" s="948"/>
      <c r="BP522" s="948"/>
      <c r="BQ522" s="948"/>
      <c r="BR522" s="948"/>
      <c r="BS522" s="948"/>
      <c r="BT522" s="948"/>
      <c r="BU522" s="954"/>
    </row>
    <row r="523" spans="1:73" ht="15.75" customHeight="1" x14ac:dyDescent="0.2">
      <c r="A523" s="947"/>
      <c r="B523" s="947"/>
      <c r="C523" s="947"/>
      <c r="D523" s="948"/>
      <c r="E523" s="948"/>
      <c r="F523" s="948"/>
      <c r="G523" s="948"/>
      <c r="H523" s="948"/>
      <c r="I523" s="948"/>
      <c r="J523" s="948"/>
      <c r="K523" s="949"/>
      <c r="L523" s="949"/>
      <c r="M523" s="949"/>
      <c r="N523" s="950"/>
      <c r="O523" s="948"/>
      <c r="P523" s="948"/>
      <c r="Q523" s="948"/>
      <c r="R523" s="949"/>
      <c r="S523" s="949"/>
      <c r="T523" s="949"/>
      <c r="U523" s="949"/>
      <c r="V523" s="949"/>
      <c r="W523" s="949"/>
      <c r="X523" s="951"/>
      <c r="Y523" s="951"/>
      <c r="Z523" s="952"/>
      <c r="AA523" s="953"/>
      <c r="AB523" s="948"/>
      <c r="AC523" s="948"/>
      <c r="AD523" s="949"/>
      <c r="AE523" s="949"/>
      <c r="AF523" s="949"/>
      <c r="AG523" s="949"/>
      <c r="AH523" s="949"/>
      <c r="AI523" s="949"/>
      <c r="AJ523" s="949"/>
      <c r="AK523" s="949"/>
      <c r="AL523" s="949"/>
      <c r="AM523" s="949"/>
      <c r="AN523" s="949"/>
      <c r="AO523" s="949"/>
      <c r="AP523" s="949"/>
      <c r="AQ523" s="949"/>
      <c r="AR523" s="949"/>
      <c r="AS523" s="949"/>
      <c r="AT523" s="949"/>
      <c r="AU523" s="949"/>
      <c r="AV523" s="949"/>
      <c r="AW523" s="949"/>
      <c r="AX523" s="949"/>
      <c r="AY523" s="949"/>
      <c r="AZ523" s="949"/>
      <c r="BA523" s="949"/>
      <c r="BB523" s="949"/>
      <c r="BC523" s="949"/>
      <c r="BD523" s="949"/>
      <c r="BE523" s="949"/>
      <c r="BF523" s="949"/>
      <c r="BG523" s="948"/>
      <c r="BH523" s="948"/>
      <c r="BI523" s="948"/>
      <c r="BJ523" s="948"/>
      <c r="BK523" s="948"/>
      <c r="BL523" s="948"/>
      <c r="BM523" s="948"/>
      <c r="BN523" s="948"/>
      <c r="BO523" s="948"/>
      <c r="BP523" s="948"/>
      <c r="BQ523" s="948"/>
      <c r="BR523" s="948"/>
      <c r="BS523" s="948"/>
      <c r="BT523" s="948"/>
      <c r="BU523" s="954"/>
    </row>
    <row r="524" spans="1:73" ht="15.75" customHeight="1" x14ac:dyDescent="0.2">
      <c r="A524" s="947"/>
      <c r="B524" s="947"/>
      <c r="C524" s="947"/>
      <c r="D524" s="948"/>
      <c r="E524" s="948"/>
      <c r="F524" s="948"/>
      <c r="G524" s="948"/>
      <c r="H524" s="948"/>
      <c r="I524" s="948"/>
      <c r="J524" s="948"/>
      <c r="K524" s="949"/>
      <c r="L524" s="949"/>
      <c r="M524" s="949"/>
      <c r="N524" s="950"/>
      <c r="O524" s="948"/>
      <c r="P524" s="948"/>
      <c r="Q524" s="948"/>
      <c r="R524" s="949"/>
      <c r="S524" s="949"/>
      <c r="T524" s="949"/>
      <c r="U524" s="949"/>
      <c r="V524" s="949"/>
      <c r="W524" s="949"/>
      <c r="X524" s="951"/>
      <c r="Y524" s="951"/>
      <c r="Z524" s="952"/>
      <c r="AA524" s="953"/>
      <c r="AB524" s="948"/>
      <c r="AC524" s="948"/>
      <c r="AD524" s="949"/>
      <c r="AE524" s="949"/>
      <c r="AF524" s="949"/>
      <c r="AG524" s="949"/>
      <c r="AH524" s="949"/>
      <c r="AI524" s="949"/>
      <c r="AJ524" s="949"/>
      <c r="AK524" s="949"/>
      <c r="AL524" s="949"/>
      <c r="AM524" s="949"/>
      <c r="AN524" s="949"/>
      <c r="AO524" s="949"/>
      <c r="AP524" s="949"/>
      <c r="AQ524" s="949"/>
      <c r="AR524" s="949"/>
      <c r="AS524" s="949"/>
      <c r="AT524" s="949"/>
      <c r="AU524" s="949"/>
      <c r="AV524" s="949"/>
      <c r="AW524" s="949"/>
      <c r="AX524" s="949"/>
      <c r="AY524" s="949"/>
      <c r="AZ524" s="949"/>
      <c r="BA524" s="949"/>
      <c r="BB524" s="949"/>
      <c r="BC524" s="949"/>
      <c r="BD524" s="949"/>
      <c r="BE524" s="949"/>
      <c r="BF524" s="949"/>
      <c r="BG524" s="948"/>
      <c r="BH524" s="948"/>
      <c r="BI524" s="948"/>
      <c r="BJ524" s="948"/>
      <c r="BK524" s="948"/>
      <c r="BL524" s="948"/>
      <c r="BM524" s="948"/>
      <c r="BN524" s="948"/>
      <c r="BO524" s="948"/>
      <c r="BP524" s="948"/>
      <c r="BQ524" s="948"/>
      <c r="BR524" s="948"/>
      <c r="BS524" s="948"/>
      <c r="BT524" s="948"/>
      <c r="BU524" s="954"/>
    </row>
    <row r="525" spans="1:73" ht="15.75" customHeight="1" x14ac:dyDescent="0.2">
      <c r="A525" s="947"/>
      <c r="B525" s="947"/>
      <c r="C525" s="947"/>
      <c r="D525" s="948"/>
      <c r="E525" s="948"/>
      <c r="F525" s="948"/>
      <c r="G525" s="948"/>
      <c r="H525" s="948"/>
      <c r="I525" s="948"/>
      <c r="J525" s="948"/>
      <c r="K525" s="949"/>
      <c r="L525" s="949"/>
      <c r="M525" s="949"/>
      <c r="N525" s="950"/>
      <c r="O525" s="948"/>
      <c r="P525" s="948"/>
      <c r="Q525" s="948"/>
      <c r="R525" s="949"/>
      <c r="S525" s="949"/>
      <c r="T525" s="949"/>
      <c r="U525" s="949"/>
      <c r="V525" s="949"/>
      <c r="W525" s="949"/>
      <c r="X525" s="951"/>
      <c r="Y525" s="951"/>
      <c r="Z525" s="952"/>
      <c r="AA525" s="953"/>
      <c r="AB525" s="948"/>
      <c r="AC525" s="948"/>
      <c r="AD525" s="949"/>
      <c r="AE525" s="949"/>
      <c r="AF525" s="949"/>
      <c r="AG525" s="949"/>
      <c r="AH525" s="949"/>
      <c r="AI525" s="949"/>
      <c r="AJ525" s="949"/>
      <c r="AK525" s="949"/>
      <c r="AL525" s="949"/>
      <c r="AM525" s="949"/>
      <c r="AN525" s="949"/>
      <c r="AO525" s="949"/>
      <c r="AP525" s="949"/>
      <c r="AQ525" s="949"/>
      <c r="AR525" s="949"/>
      <c r="AS525" s="949"/>
      <c r="AT525" s="949"/>
      <c r="AU525" s="949"/>
      <c r="AV525" s="949"/>
      <c r="AW525" s="949"/>
      <c r="AX525" s="949"/>
      <c r="AY525" s="949"/>
      <c r="AZ525" s="949"/>
      <c r="BA525" s="949"/>
      <c r="BB525" s="949"/>
      <c r="BC525" s="949"/>
      <c r="BD525" s="949"/>
      <c r="BE525" s="949"/>
      <c r="BF525" s="949"/>
      <c r="BG525" s="948"/>
      <c r="BH525" s="948"/>
      <c r="BI525" s="948"/>
      <c r="BJ525" s="948"/>
      <c r="BK525" s="948"/>
      <c r="BL525" s="948"/>
      <c r="BM525" s="948"/>
      <c r="BN525" s="948"/>
      <c r="BO525" s="948"/>
      <c r="BP525" s="948"/>
      <c r="BQ525" s="948"/>
      <c r="BR525" s="948"/>
      <c r="BS525" s="948"/>
      <c r="BT525" s="948"/>
      <c r="BU525" s="954"/>
    </row>
    <row r="526" spans="1:73" ht="15.75" customHeight="1" x14ac:dyDescent="0.2">
      <c r="A526" s="947"/>
      <c r="B526" s="947"/>
      <c r="C526" s="947"/>
      <c r="D526" s="948"/>
      <c r="E526" s="948"/>
      <c r="F526" s="948"/>
      <c r="G526" s="948"/>
      <c r="H526" s="948"/>
      <c r="I526" s="948"/>
      <c r="J526" s="948"/>
      <c r="K526" s="949"/>
      <c r="L526" s="949"/>
      <c r="M526" s="949"/>
      <c r="N526" s="950"/>
      <c r="O526" s="948"/>
      <c r="P526" s="948"/>
      <c r="Q526" s="948"/>
      <c r="R526" s="949"/>
      <c r="S526" s="949"/>
      <c r="T526" s="949"/>
      <c r="U526" s="949"/>
      <c r="V526" s="949"/>
      <c r="W526" s="949"/>
      <c r="X526" s="951"/>
      <c r="Y526" s="951"/>
      <c r="Z526" s="952"/>
      <c r="AA526" s="953"/>
      <c r="AB526" s="948"/>
      <c r="AC526" s="948"/>
      <c r="AD526" s="949"/>
      <c r="AE526" s="949"/>
      <c r="AF526" s="949"/>
      <c r="AG526" s="949"/>
      <c r="AH526" s="949"/>
      <c r="AI526" s="949"/>
      <c r="AJ526" s="949"/>
      <c r="AK526" s="949"/>
      <c r="AL526" s="949"/>
      <c r="AM526" s="949"/>
      <c r="AN526" s="949"/>
      <c r="AO526" s="949"/>
      <c r="AP526" s="949"/>
      <c r="AQ526" s="949"/>
      <c r="AR526" s="949"/>
      <c r="AS526" s="949"/>
      <c r="AT526" s="949"/>
      <c r="AU526" s="949"/>
      <c r="AV526" s="949"/>
      <c r="AW526" s="949"/>
      <c r="AX526" s="949"/>
      <c r="AY526" s="949"/>
      <c r="AZ526" s="949"/>
      <c r="BA526" s="949"/>
      <c r="BB526" s="949"/>
      <c r="BC526" s="949"/>
      <c r="BD526" s="949"/>
      <c r="BE526" s="949"/>
      <c r="BF526" s="949"/>
      <c r="BG526" s="948"/>
      <c r="BH526" s="948"/>
      <c r="BI526" s="948"/>
      <c r="BJ526" s="948"/>
      <c r="BK526" s="948"/>
      <c r="BL526" s="948"/>
      <c r="BM526" s="948"/>
      <c r="BN526" s="948"/>
      <c r="BO526" s="948"/>
      <c r="BP526" s="948"/>
      <c r="BQ526" s="948"/>
      <c r="BR526" s="948"/>
      <c r="BS526" s="948"/>
      <c r="BT526" s="948"/>
      <c r="BU526" s="954"/>
    </row>
    <row r="527" spans="1:73" ht="15.75" customHeight="1" x14ac:dyDescent="0.2">
      <c r="A527" s="947"/>
      <c r="B527" s="947"/>
      <c r="C527" s="947"/>
      <c r="D527" s="948"/>
      <c r="E527" s="948"/>
      <c r="F527" s="948"/>
      <c r="G527" s="948"/>
      <c r="H527" s="948"/>
      <c r="I527" s="948"/>
      <c r="J527" s="948"/>
      <c r="K527" s="949"/>
      <c r="L527" s="949"/>
      <c r="M527" s="949"/>
      <c r="N527" s="950"/>
      <c r="O527" s="948"/>
      <c r="P527" s="948"/>
      <c r="Q527" s="948"/>
      <c r="R527" s="949"/>
      <c r="S527" s="949"/>
      <c r="T527" s="949"/>
      <c r="U527" s="949"/>
      <c r="V527" s="949"/>
      <c r="W527" s="949"/>
      <c r="X527" s="951"/>
      <c r="Y527" s="951"/>
      <c r="Z527" s="952"/>
      <c r="AA527" s="953"/>
      <c r="AB527" s="948"/>
      <c r="AC527" s="948"/>
      <c r="AD527" s="949"/>
      <c r="AE527" s="949"/>
      <c r="AF527" s="949"/>
      <c r="AG527" s="949"/>
      <c r="AH527" s="949"/>
      <c r="AI527" s="949"/>
      <c r="AJ527" s="949"/>
      <c r="AK527" s="949"/>
      <c r="AL527" s="949"/>
      <c r="AM527" s="949"/>
      <c r="AN527" s="949"/>
      <c r="AO527" s="949"/>
      <c r="AP527" s="949"/>
      <c r="AQ527" s="949"/>
      <c r="AR527" s="949"/>
      <c r="AS527" s="949"/>
      <c r="AT527" s="949"/>
      <c r="AU527" s="949"/>
      <c r="AV527" s="949"/>
      <c r="AW527" s="949"/>
      <c r="AX527" s="949"/>
      <c r="AY527" s="949"/>
      <c r="AZ527" s="949"/>
      <c r="BA527" s="949"/>
      <c r="BB527" s="949"/>
      <c r="BC527" s="949"/>
      <c r="BD527" s="949"/>
      <c r="BE527" s="949"/>
      <c r="BF527" s="949"/>
      <c r="BG527" s="948"/>
      <c r="BH527" s="948"/>
      <c r="BI527" s="948"/>
      <c r="BJ527" s="948"/>
      <c r="BK527" s="948"/>
      <c r="BL527" s="948"/>
      <c r="BM527" s="948"/>
      <c r="BN527" s="948"/>
      <c r="BO527" s="948"/>
      <c r="BP527" s="948"/>
      <c r="BQ527" s="948"/>
      <c r="BR527" s="948"/>
      <c r="BS527" s="948"/>
      <c r="BT527" s="948"/>
      <c r="BU527" s="954"/>
    </row>
    <row r="528" spans="1:73" ht="15.75" customHeight="1" x14ac:dyDescent="0.2">
      <c r="A528" s="947"/>
      <c r="B528" s="947"/>
      <c r="C528" s="947"/>
      <c r="D528" s="948"/>
      <c r="E528" s="948"/>
      <c r="F528" s="948"/>
      <c r="G528" s="948"/>
      <c r="H528" s="948"/>
      <c r="I528" s="948"/>
      <c r="J528" s="948"/>
      <c r="K528" s="949"/>
      <c r="L528" s="949"/>
      <c r="M528" s="949"/>
      <c r="N528" s="950"/>
      <c r="O528" s="948"/>
      <c r="P528" s="948"/>
      <c r="Q528" s="948"/>
      <c r="R528" s="949"/>
      <c r="S528" s="949"/>
      <c r="T528" s="949"/>
      <c r="U528" s="949"/>
      <c r="V528" s="949"/>
      <c r="W528" s="949"/>
      <c r="X528" s="951"/>
      <c r="Y528" s="951"/>
      <c r="Z528" s="952"/>
      <c r="AA528" s="953"/>
      <c r="AB528" s="948"/>
      <c r="AC528" s="948"/>
      <c r="AD528" s="949"/>
      <c r="AE528" s="949"/>
      <c r="AF528" s="949"/>
      <c r="AG528" s="949"/>
      <c r="AH528" s="949"/>
      <c r="AI528" s="949"/>
      <c r="AJ528" s="949"/>
      <c r="AK528" s="949"/>
      <c r="AL528" s="949"/>
      <c r="AM528" s="949"/>
      <c r="AN528" s="949"/>
      <c r="AO528" s="949"/>
      <c r="AP528" s="949"/>
      <c r="AQ528" s="949"/>
      <c r="AR528" s="949"/>
      <c r="AS528" s="949"/>
      <c r="AT528" s="949"/>
      <c r="AU528" s="949"/>
      <c r="AV528" s="949"/>
      <c r="AW528" s="949"/>
      <c r="AX528" s="949"/>
      <c r="AY528" s="949"/>
      <c r="AZ528" s="949"/>
      <c r="BA528" s="949"/>
      <c r="BB528" s="949"/>
      <c r="BC528" s="949"/>
      <c r="BD528" s="949"/>
      <c r="BE528" s="949"/>
      <c r="BF528" s="949"/>
      <c r="BG528" s="948"/>
      <c r="BH528" s="948"/>
      <c r="BI528" s="948"/>
      <c r="BJ528" s="948"/>
      <c r="BK528" s="948"/>
      <c r="BL528" s="948"/>
      <c r="BM528" s="948"/>
      <c r="BN528" s="948"/>
      <c r="BO528" s="948"/>
      <c r="BP528" s="948"/>
      <c r="BQ528" s="948"/>
      <c r="BR528" s="948"/>
      <c r="BS528" s="948"/>
      <c r="BT528" s="948"/>
      <c r="BU528" s="954"/>
    </row>
    <row r="529" spans="1:73" ht="15.75" customHeight="1" x14ac:dyDescent="0.2">
      <c r="A529" s="947"/>
      <c r="B529" s="947"/>
      <c r="C529" s="947"/>
      <c r="D529" s="948"/>
      <c r="E529" s="948"/>
      <c r="F529" s="948"/>
      <c r="G529" s="948"/>
      <c r="H529" s="948"/>
      <c r="I529" s="948"/>
      <c r="J529" s="948"/>
      <c r="K529" s="949"/>
      <c r="L529" s="949"/>
      <c r="M529" s="949"/>
      <c r="N529" s="950"/>
      <c r="O529" s="948"/>
      <c r="P529" s="948"/>
      <c r="Q529" s="948"/>
      <c r="R529" s="949"/>
      <c r="S529" s="949"/>
      <c r="T529" s="949"/>
      <c r="U529" s="949"/>
      <c r="V529" s="949"/>
      <c r="W529" s="949"/>
      <c r="X529" s="951"/>
      <c r="Y529" s="951"/>
      <c r="Z529" s="952"/>
      <c r="AA529" s="953"/>
      <c r="AB529" s="948"/>
      <c r="AC529" s="948"/>
      <c r="AD529" s="949"/>
      <c r="AE529" s="949"/>
      <c r="AF529" s="949"/>
      <c r="AG529" s="949"/>
      <c r="AH529" s="949"/>
      <c r="AI529" s="949"/>
      <c r="AJ529" s="949"/>
      <c r="AK529" s="949"/>
      <c r="AL529" s="949"/>
      <c r="AM529" s="949"/>
      <c r="AN529" s="949"/>
      <c r="AO529" s="949"/>
      <c r="AP529" s="949"/>
      <c r="AQ529" s="949"/>
      <c r="AR529" s="949"/>
      <c r="AS529" s="949"/>
      <c r="AT529" s="949"/>
      <c r="AU529" s="949"/>
      <c r="AV529" s="949"/>
      <c r="AW529" s="949"/>
      <c r="AX529" s="949"/>
      <c r="AY529" s="949"/>
      <c r="AZ529" s="949"/>
      <c r="BA529" s="949"/>
      <c r="BB529" s="949"/>
      <c r="BC529" s="949"/>
      <c r="BD529" s="949"/>
      <c r="BE529" s="949"/>
      <c r="BF529" s="949"/>
      <c r="BG529" s="948"/>
      <c r="BH529" s="948"/>
      <c r="BI529" s="948"/>
      <c r="BJ529" s="948"/>
      <c r="BK529" s="948"/>
      <c r="BL529" s="948"/>
      <c r="BM529" s="948"/>
      <c r="BN529" s="948"/>
      <c r="BO529" s="948"/>
      <c r="BP529" s="948"/>
      <c r="BQ529" s="948"/>
      <c r="BR529" s="948"/>
      <c r="BS529" s="948"/>
      <c r="BT529" s="948"/>
      <c r="BU529" s="954"/>
    </row>
    <row r="530" spans="1:73" ht="15.75" customHeight="1" x14ac:dyDescent="0.2">
      <c r="A530" s="947"/>
      <c r="B530" s="947"/>
      <c r="C530" s="947"/>
      <c r="D530" s="948"/>
      <c r="E530" s="948"/>
      <c r="F530" s="948"/>
      <c r="G530" s="948"/>
      <c r="H530" s="948"/>
      <c r="I530" s="948"/>
      <c r="J530" s="948"/>
      <c r="K530" s="949"/>
      <c r="L530" s="949"/>
      <c r="M530" s="949"/>
      <c r="N530" s="950"/>
      <c r="O530" s="948"/>
      <c r="P530" s="948"/>
      <c r="Q530" s="948"/>
      <c r="R530" s="949"/>
      <c r="S530" s="949"/>
      <c r="T530" s="949"/>
      <c r="U530" s="949"/>
      <c r="V530" s="949"/>
      <c r="W530" s="949"/>
      <c r="X530" s="951"/>
      <c r="Y530" s="951"/>
      <c r="Z530" s="952"/>
      <c r="AA530" s="953"/>
      <c r="AB530" s="948"/>
      <c r="AC530" s="948"/>
      <c r="AD530" s="949"/>
      <c r="AE530" s="949"/>
      <c r="AF530" s="949"/>
      <c r="AG530" s="949"/>
      <c r="AH530" s="949"/>
      <c r="AI530" s="949"/>
      <c r="AJ530" s="949"/>
      <c r="AK530" s="949"/>
      <c r="AL530" s="949"/>
      <c r="AM530" s="949"/>
      <c r="AN530" s="949"/>
      <c r="AO530" s="949"/>
      <c r="AP530" s="949"/>
      <c r="AQ530" s="949"/>
      <c r="AR530" s="949"/>
      <c r="AS530" s="949"/>
      <c r="AT530" s="949"/>
      <c r="AU530" s="949"/>
      <c r="AV530" s="949"/>
      <c r="AW530" s="949"/>
      <c r="AX530" s="949"/>
      <c r="AY530" s="949"/>
      <c r="AZ530" s="949"/>
      <c r="BA530" s="949"/>
      <c r="BB530" s="949"/>
      <c r="BC530" s="949"/>
      <c r="BD530" s="949"/>
      <c r="BE530" s="949"/>
      <c r="BF530" s="949"/>
      <c r="BG530" s="948"/>
      <c r="BH530" s="948"/>
      <c r="BI530" s="948"/>
      <c r="BJ530" s="948"/>
      <c r="BK530" s="948"/>
      <c r="BL530" s="948"/>
      <c r="BM530" s="948"/>
      <c r="BN530" s="948"/>
      <c r="BO530" s="948"/>
      <c r="BP530" s="948"/>
      <c r="BQ530" s="948"/>
      <c r="BR530" s="948"/>
      <c r="BS530" s="948"/>
      <c r="BT530" s="948"/>
      <c r="BU530" s="954"/>
    </row>
    <row r="531" spans="1:73" ht="15.75" customHeight="1" x14ac:dyDescent="0.2">
      <c r="A531" s="947"/>
      <c r="B531" s="947"/>
      <c r="C531" s="947"/>
      <c r="D531" s="948"/>
      <c r="E531" s="948"/>
      <c r="F531" s="948"/>
      <c r="G531" s="948"/>
      <c r="H531" s="948"/>
      <c r="I531" s="948"/>
      <c r="J531" s="948"/>
      <c r="K531" s="949"/>
      <c r="L531" s="949"/>
      <c r="M531" s="949"/>
      <c r="N531" s="950"/>
      <c r="O531" s="948"/>
      <c r="P531" s="948"/>
      <c r="Q531" s="948"/>
      <c r="R531" s="949"/>
      <c r="S531" s="949"/>
      <c r="T531" s="949"/>
      <c r="U531" s="949"/>
      <c r="V531" s="949"/>
      <c r="W531" s="949"/>
      <c r="X531" s="951"/>
      <c r="Y531" s="951"/>
      <c r="Z531" s="952"/>
      <c r="AA531" s="953"/>
      <c r="AB531" s="948"/>
      <c r="AC531" s="948"/>
      <c r="AD531" s="949"/>
      <c r="AE531" s="949"/>
      <c r="AF531" s="949"/>
      <c r="AG531" s="949"/>
      <c r="AH531" s="949"/>
      <c r="AI531" s="949"/>
      <c r="AJ531" s="949"/>
      <c r="AK531" s="949"/>
      <c r="AL531" s="949"/>
      <c r="AM531" s="949"/>
      <c r="AN531" s="949"/>
      <c r="AO531" s="949"/>
      <c r="AP531" s="949"/>
      <c r="AQ531" s="949"/>
      <c r="AR531" s="949"/>
      <c r="AS531" s="949"/>
      <c r="AT531" s="949"/>
      <c r="AU531" s="949"/>
      <c r="AV531" s="949"/>
      <c r="AW531" s="949"/>
      <c r="AX531" s="949"/>
      <c r="AY531" s="949"/>
      <c r="AZ531" s="949"/>
      <c r="BA531" s="949"/>
      <c r="BB531" s="949"/>
      <c r="BC531" s="949"/>
      <c r="BD531" s="949"/>
      <c r="BE531" s="949"/>
      <c r="BF531" s="949"/>
      <c r="BG531" s="948"/>
      <c r="BH531" s="948"/>
      <c r="BI531" s="948"/>
      <c r="BJ531" s="948"/>
      <c r="BK531" s="948"/>
      <c r="BL531" s="948"/>
      <c r="BM531" s="948"/>
      <c r="BN531" s="948"/>
      <c r="BO531" s="948"/>
      <c r="BP531" s="948"/>
      <c r="BQ531" s="948"/>
      <c r="BR531" s="948"/>
      <c r="BS531" s="948"/>
      <c r="BT531" s="948"/>
      <c r="BU531" s="954"/>
    </row>
    <row r="532" spans="1:73" ht="15.75" customHeight="1" x14ac:dyDescent="0.2">
      <c r="A532" s="947"/>
      <c r="B532" s="947"/>
      <c r="C532" s="947"/>
      <c r="D532" s="948"/>
      <c r="E532" s="948"/>
      <c r="F532" s="948"/>
      <c r="G532" s="948"/>
      <c r="H532" s="948"/>
      <c r="I532" s="948"/>
      <c r="J532" s="948"/>
      <c r="K532" s="949"/>
      <c r="L532" s="949"/>
      <c r="M532" s="949"/>
      <c r="N532" s="950"/>
      <c r="O532" s="948"/>
      <c r="P532" s="948"/>
      <c r="Q532" s="948"/>
      <c r="R532" s="949"/>
      <c r="S532" s="949"/>
      <c r="T532" s="949"/>
      <c r="U532" s="949"/>
      <c r="V532" s="949"/>
      <c r="W532" s="949"/>
      <c r="X532" s="951"/>
      <c r="Y532" s="951"/>
      <c r="Z532" s="952"/>
      <c r="AA532" s="953"/>
      <c r="AB532" s="948"/>
      <c r="AC532" s="948"/>
      <c r="AD532" s="949"/>
      <c r="AE532" s="949"/>
      <c r="AF532" s="949"/>
      <c r="AG532" s="949"/>
      <c r="AH532" s="949"/>
      <c r="AI532" s="949"/>
      <c r="AJ532" s="949"/>
      <c r="AK532" s="949"/>
      <c r="AL532" s="949"/>
      <c r="AM532" s="949"/>
      <c r="AN532" s="949"/>
      <c r="AO532" s="949"/>
      <c r="AP532" s="949"/>
      <c r="AQ532" s="949"/>
      <c r="AR532" s="949"/>
      <c r="AS532" s="949"/>
      <c r="AT532" s="949"/>
      <c r="AU532" s="949"/>
      <c r="AV532" s="949"/>
      <c r="AW532" s="949"/>
      <c r="AX532" s="949"/>
      <c r="AY532" s="949"/>
      <c r="AZ532" s="949"/>
      <c r="BA532" s="949"/>
      <c r="BB532" s="949"/>
      <c r="BC532" s="949"/>
      <c r="BD532" s="949"/>
      <c r="BE532" s="949"/>
      <c r="BF532" s="949"/>
      <c r="BG532" s="948"/>
      <c r="BH532" s="948"/>
      <c r="BI532" s="948"/>
      <c r="BJ532" s="948"/>
      <c r="BK532" s="948"/>
      <c r="BL532" s="948"/>
      <c r="BM532" s="948"/>
      <c r="BN532" s="948"/>
      <c r="BO532" s="948"/>
      <c r="BP532" s="948"/>
      <c r="BQ532" s="948"/>
      <c r="BR532" s="948"/>
      <c r="BS532" s="948"/>
      <c r="BT532" s="948"/>
      <c r="BU532" s="954"/>
    </row>
    <row r="533" spans="1:73" ht="15.75" customHeight="1" x14ac:dyDescent="0.2">
      <c r="A533" s="947"/>
      <c r="B533" s="947"/>
      <c r="C533" s="947"/>
      <c r="D533" s="948"/>
      <c r="E533" s="948"/>
      <c r="F533" s="948"/>
      <c r="G533" s="948"/>
      <c r="H533" s="948"/>
      <c r="I533" s="948"/>
      <c r="J533" s="948"/>
      <c r="K533" s="949"/>
      <c r="L533" s="949"/>
      <c r="M533" s="949"/>
      <c r="N533" s="950"/>
      <c r="O533" s="948"/>
      <c r="P533" s="948"/>
      <c r="Q533" s="948"/>
      <c r="R533" s="949"/>
      <c r="S533" s="949"/>
      <c r="T533" s="949"/>
      <c r="U533" s="949"/>
      <c r="V533" s="949"/>
      <c r="W533" s="949"/>
      <c r="X533" s="951"/>
      <c r="Y533" s="951"/>
      <c r="Z533" s="952"/>
      <c r="AA533" s="953"/>
      <c r="AB533" s="948"/>
      <c r="AC533" s="948"/>
      <c r="AD533" s="949"/>
      <c r="AE533" s="949"/>
      <c r="AF533" s="949"/>
      <c r="AG533" s="949"/>
      <c r="AH533" s="949"/>
      <c r="AI533" s="949"/>
      <c r="AJ533" s="949"/>
      <c r="AK533" s="949"/>
      <c r="AL533" s="949"/>
      <c r="AM533" s="949"/>
      <c r="AN533" s="949"/>
      <c r="AO533" s="949"/>
      <c r="AP533" s="949"/>
      <c r="AQ533" s="949"/>
      <c r="AR533" s="949"/>
      <c r="AS533" s="949"/>
      <c r="AT533" s="949"/>
      <c r="AU533" s="949"/>
      <c r="AV533" s="949"/>
      <c r="AW533" s="949"/>
      <c r="AX533" s="949"/>
      <c r="AY533" s="949"/>
      <c r="AZ533" s="949"/>
      <c r="BA533" s="949"/>
      <c r="BB533" s="949"/>
      <c r="BC533" s="949"/>
      <c r="BD533" s="949"/>
      <c r="BE533" s="949"/>
      <c r="BF533" s="949"/>
      <c r="BG533" s="948"/>
      <c r="BH533" s="948"/>
      <c r="BI533" s="948"/>
      <c r="BJ533" s="948"/>
      <c r="BK533" s="948"/>
      <c r="BL533" s="948"/>
      <c r="BM533" s="948"/>
      <c r="BN533" s="948"/>
      <c r="BO533" s="948"/>
      <c r="BP533" s="948"/>
      <c r="BQ533" s="948"/>
      <c r="BR533" s="948"/>
      <c r="BS533" s="948"/>
      <c r="BT533" s="948"/>
      <c r="BU533" s="954"/>
    </row>
    <row r="534" spans="1:73" ht="15.75" customHeight="1" x14ac:dyDescent="0.2">
      <c r="A534" s="947"/>
      <c r="B534" s="947"/>
      <c r="C534" s="947"/>
      <c r="D534" s="948"/>
      <c r="E534" s="948"/>
      <c r="F534" s="948"/>
      <c r="G534" s="948"/>
      <c r="H534" s="948"/>
      <c r="I534" s="948"/>
      <c r="J534" s="948"/>
      <c r="K534" s="949"/>
      <c r="L534" s="949"/>
      <c r="M534" s="949"/>
      <c r="N534" s="950"/>
      <c r="O534" s="948"/>
      <c r="P534" s="948"/>
      <c r="Q534" s="948"/>
      <c r="R534" s="949"/>
      <c r="S534" s="949"/>
      <c r="T534" s="949"/>
      <c r="U534" s="949"/>
      <c r="V534" s="949"/>
      <c r="W534" s="949"/>
      <c r="X534" s="951"/>
      <c r="Y534" s="951"/>
      <c r="Z534" s="952"/>
      <c r="AA534" s="953"/>
      <c r="AB534" s="948"/>
      <c r="AC534" s="948"/>
      <c r="AD534" s="949"/>
      <c r="AE534" s="949"/>
      <c r="AF534" s="949"/>
      <c r="AG534" s="949"/>
      <c r="AH534" s="949"/>
      <c r="AI534" s="949"/>
      <c r="AJ534" s="949"/>
      <c r="AK534" s="949"/>
      <c r="AL534" s="949"/>
      <c r="AM534" s="949"/>
      <c r="AN534" s="949"/>
      <c r="AO534" s="949"/>
      <c r="AP534" s="949"/>
      <c r="AQ534" s="949"/>
      <c r="AR534" s="949"/>
      <c r="AS534" s="949"/>
      <c r="AT534" s="949"/>
      <c r="AU534" s="949"/>
      <c r="AV534" s="949"/>
      <c r="AW534" s="949"/>
      <c r="AX534" s="949"/>
      <c r="AY534" s="949"/>
      <c r="AZ534" s="949"/>
      <c r="BA534" s="949"/>
      <c r="BB534" s="949"/>
      <c r="BC534" s="949"/>
      <c r="BD534" s="949"/>
      <c r="BE534" s="949"/>
      <c r="BF534" s="949"/>
      <c r="BG534" s="948"/>
      <c r="BH534" s="948"/>
      <c r="BI534" s="948"/>
      <c r="BJ534" s="948"/>
      <c r="BK534" s="948"/>
      <c r="BL534" s="948"/>
      <c r="BM534" s="948"/>
      <c r="BN534" s="948"/>
      <c r="BO534" s="948"/>
      <c r="BP534" s="948"/>
      <c r="BQ534" s="948"/>
      <c r="BR534" s="948"/>
      <c r="BS534" s="948"/>
      <c r="BT534" s="948"/>
      <c r="BU534" s="954"/>
    </row>
    <row r="535" spans="1:73" ht="15.75" customHeight="1" x14ac:dyDescent="0.2">
      <c r="A535" s="947"/>
      <c r="B535" s="947"/>
      <c r="C535" s="947"/>
      <c r="D535" s="948"/>
      <c r="E535" s="948"/>
      <c r="F535" s="948"/>
      <c r="G535" s="948"/>
      <c r="H535" s="948"/>
      <c r="I535" s="948"/>
      <c r="J535" s="948"/>
      <c r="K535" s="949"/>
      <c r="L535" s="949"/>
      <c r="M535" s="949"/>
      <c r="N535" s="950"/>
      <c r="O535" s="948"/>
      <c r="P535" s="948"/>
      <c r="Q535" s="948"/>
      <c r="R535" s="949"/>
      <c r="S535" s="949"/>
      <c r="T535" s="949"/>
      <c r="U535" s="949"/>
      <c r="V535" s="949"/>
      <c r="W535" s="949"/>
      <c r="X535" s="951"/>
      <c r="Y535" s="951"/>
      <c r="Z535" s="952"/>
      <c r="AA535" s="953"/>
      <c r="AB535" s="948"/>
      <c r="AC535" s="948"/>
      <c r="AD535" s="949"/>
      <c r="AE535" s="949"/>
      <c r="AF535" s="949"/>
      <c r="AG535" s="949"/>
      <c r="AH535" s="949"/>
      <c r="AI535" s="949"/>
      <c r="AJ535" s="949"/>
      <c r="AK535" s="949"/>
      <c r="AL535" s="949"/>
      <c r="AM535" s="949"/>
      <c r="AN535" s="949"/>
      <c r="AO535" s="949"/>
      <c r="AP535" s="949"/>
      <c r="AQ535" s="949"/>
      <c r="AR535" s="949"/>
      <c r="AS535" s="949"/>
      <c r="AT535" s="949"/>
      <c r="AU535" s="949"/>
      <c r="AV535" s="949"/>
      <c r="AW535" s="949"/>
      <c r="AX535" s="949"/>
      <c r="AY535" s="949"/>
      <c r="AZ535" s="949"/>
      <c r="BA535" s="949"/>
      <c r="BB535" s="949"/>
      <c r="BC535" s="949"/>
      <c r="BD535" s="949"/>
      <c r="BE535" s="949"/>
      <c r="BF535" s="949"/>
      <c r="BG535" s="948"/>
      <c r="BH535" s="948"/>
      <c r="BI535" s="948"/>
      <c r="BJ535" s="948"/>
      <c r="BK535" s="948"/>
      <c r="BL535" s="948"/>
      <c r="BM535" s="948"/>
      <c r="BN535" s="948"/>
      <c r="BO535" s="948"/>
      <c r="BP535" s="948"/>
      <c r="BQ535" s="948"/>
      <c r="BR535" s="948"/>
      <c r="BS535" s="948"/>
      <c r="BT535" s="948"/>
      <c r="BU535" s="954"/>
    </row>
    <row r="536" spans="1:73" ht="15.75" customHeight="1" x14ac:dyDescent="0.2">
      <c r="A536" s="947"/>
      <c r="B536" s="947"/>
      <c r="C536" s="947"/>
      <c r="D536" s="948"/>
      <c r="E536" s="948"/>
      <c r="F536" s="948"/>
      <c r="G536" s="948"/>
      <c r="H536" s="948"/>
      <c r="I536" s="948"/>
      <c r="J536" s="948"/>
      <c r="K536" s="949"/>
      <c r="L536" s="949"/>
      <c r="M536" s="949"/>
      <c r="N536" s="950"/>
      <c r="O536" s="948"/>
      <c r="P536" s="948"/>
      <c r="Q536" s="948"/>
      <c r="R536" s="949"/>
      <c r="S536" s="949"/>
      <c r="T536" s="949"/>
      <c r="U536" s="949"/>
      <c r="V536" s="949"/>
      <c r="W536" s="949"/>
      <c r="X536" s="951"/>
      <c r="Y536" s="951"/>
      <c r="Z536" s="952"/>
      <c r="AA536" s="953"/>
      <c r="AB536" s="948"/>
      <c r="AC536" s="948"/>
      <c r="AD536" s="949"/>
      <c r="AE536" s="949"/>
      <c r="AF536" s="949"/>
      <c r="AG536" s="949"/>
      <c r="AH536" s="949"/>
      <c r="AI536" s="949"/>
      <c r="AJ536" s="949"/>
      <c r="AK536" s="949"/>
      <c r="AL536" s="949"/>
      <c r="AM536" s="949"/>
      <c r="AN536" s="949"/>
      <c r="AO536" s="949"/>
      <c r="AP536" s="949"/>
      <c r="AQ536" s="949"/>
      <c r="AR536" s="949"/>
      <c r="AS536" s="949"/>
      <c r="AT536" s="949"/>
      <c r="AU536" s="949"/>
      <c r="AV536" s="949"/>
      <c r="AW536" s="949"/>
      <c r="AX536" s="949"/>
      <c r="AY536" s="949"/>
      <c r="AZ536" s="949"/>
      <c r="BA536" s="949"/>
      <c r="BB536" s="949"/>
      <c r="BC536" s="949"/>
      <c r="BD536" s="949"/>
      <c r="BE536" s="949"/>
      <c r="BF536" s="949"/>
      <c r="BG536" s="948"/>
      <c r="BH536" s="948"/>
      <c r="BI536" s="948"/>
      <c r="BJ536" s="948"/>
      <c r="BK536" s="948"/>
      <c r="BL536" s="948"/>
      <c r="BM536" s="948"/>
      <c r="BN536" s="948"/>
      <c r="BO536" s="948"/>
      <c r="BP536" s="948"/>
      <c r="BQ536" s="948"/>
      <c r="BR536" s="948"/>
      <c r="BS536" s="948"/>
      <c r="BT536" s="948"/>
      <c r="BU536" s="954"/>
    </row>
    <row r="537" spans="1:73" ht="15.75" customHeight="1" x14ac:dyDescent="0.2">
      <c r="A537" s="947"/>
      <c r="B537" s="947"/>
      <c r="C537" s="947"/>
      <c r="D537" s="948"/>
      <c r="E537" s="948"/>
      <c r="F537" s="948"/>
      <c r="G537" s="948"/>
      <c r="H537" s="948"/>
      <c r="I537" s="948"/>
      <c r="J537" s="948"/>
      <c r="K537" s="949"/>
      <c r="L537" s="949"/>
      <c r="M537" s="949"/>
      <c r="N537" s="950"/>
      <c r="O537" s="948"/>
      <c r="P537" s="948"/>
      <c r="Q537" s="948"/>
      <c r="R537" s="949"/>
      <c r="S537" s="949"/>
      <c r="T537" s="949"/>
      <c r="U537" s="949"/>
      <c r="V537" s="949"/>
      <c r="W537" s="949"/>
      <c r="X537" s="951"/>
      <c r="Y537" s="951"/>
      <c r="Z537" s="952"/>
      <c r="AA537" s="953"/>
      <c r="AB537" s="948"/>
      <c r="AC537" s="948"/>
      <c r="AD537" s="949"/>
      <c r="AE537" s="949"/>
      <c r="AF537" s="949"/>
      <c r="AG537" s="949"/>
      <c r="AH537" s="949"/>
      <c r="AI537" s="949"/>
      <c r="AJ537" s="949"/>
      <c r="AK537" s="949"/>
      <c r="AL537" s="949"/>
      <c r="AM537" s="949"/>
      <c r="AN537" s="949"/>
      <c r="AO537" s="949"/>
      <c r="AP537" s="949"/>
      <c r="AQ537" s="949"/>
      <c r="AR537" s="949"/>
      <c r="AS537" s="949"/>
      <c r="AT537" s="949"/>
      <c r="AU537" s="949"/>
      <c r="AV537" s="949"/>
      <c r="AW537" s="949"/>
      <c r="AX537" s="949"/>
      <c r="AY537" s="949"/>
      <c r="AZ537" s="949"/>
      <c r="BA537" s="949"/>
      <c r="BB537" s="949"/>
      <c r="BC537" s="949"/>
      <c r="BD537" s="949"/>
      <c r="BE537" s="949"/>
      <c r="BF537" s="949"/>
      <c r="BG537" s="948"/>
      <c r="BH537" s="948"/>
      <c r="BI537" s="948"/>
      <c r="BJ537" s="948"/>
      <c r="BK537" s="948"/>
      <c r="BL537" s="948"/>
      <c r="BM537" s="948"/>
      <c r="BN537" s="948"/>
      <c r="BO537" s="948"/>
      <c r="BP537" s="948"/>
      <c r="BQ537" s="948"/>
      <c r="BR537" s="948"/>
      <c r="BS537" s="948"/>
      <c r="BT537" s="948"/>
      <c r="BU537" s="954"/>
    </row>
    <row r="538" spans="1:73" ht="15.75" customHeight="1" x14ac:dyDescent="0.2">
      <c r="A538" s="947"/>
      <c r="B538" s="947"/>
      <c r="C538" s="947"/>
      <c r="D538" s="948"/>
      <c r="E538" s="948"/>
      <c r="F538" s="948"/>
      <c r="G538" s="948"/>
      <c r="H538" s="948"/>
      <c r="I538" s="948"/>
      <c r="J538" s="948"/>
      <c r="K538" s="949"/>
      <c r="L538" s="949"/>
      <c r="M538" s="949"/>
      <c r="N538" s="950"/>
      <c r="O538" s="948"/>
      <c r="P538" s="948"/>
      <c r="Q538" s="948"/>
      <c r="R538" s="949"/>
      <c r="S538" s="949"/>
      <c r="T538" s="949"/>
      <c r="U538" s="949"/>
      <c r="V538" s="949"/>
      <c r="W538" s="949"/>
      <c r="X538" s="951"/>
      <c r="Y538" s="951"/>
      <c r="Z538" s="952"/>
      <c r="AA538" s="953"/>
      <c r="AB538" s="948"/>
      <c r="AC538" s="948"/>
      <c r="AD538" s="949"/>
      <c r="AE538" s="949"/>
      <c r="AF538" s="949"/>
      <c r="AG538" s="949"/>
      <c r="AH538" s="949"/>
      <c r="AI538" s="949"/>
      <c r="AJ538" s="949"/>
      <c r="AK538" s="949"/>
      <c r="AL538" s="949"/>
      <c r="AM538" s="949"/>
      <c r="AN538" s="949"/>
      <c r="AO538" s="949"/>
      <c r="AP538" s="949"/>
      <c r="AQ538" s="949"/>
      <c r="AR538" s="949"/>
      <c r="AS538" s="949"/>
      <c r="AT538" s="949"/>
      <c r="AU538" s="949"/>
      <c r="AV538" s="949"/>
      <c r="AW538" s="949"/>
      <c r="AX538" s="949"/>
      <c r="AY538" s="949"/>
      <c r="AZ538" s="949"/>
      <c r="BA538" s="949"/>
      <c r="BB538" s="949"/>
      <c r="BC538" s="949"/>
      <c r="BD538" s="949"/>
      <c r="BE538" s="949"/>
      <c r="BF538" s="949"/>
      <c r="BG538" s="948"/>
      <c r="BH538" s="948"/>
      <c r="BI538" s="948"/>
      <c r="BJ538" s="948"/>
      <c r="BK538" s="948"/>
      <c r="BL538" s="948"/>
      <c r="BM538" s="948"/>
      <c r="BN538" s="948"/>
      <c r="BO538" s="948"/>
      <c r="BP538" s="948"/>
      <c r="BQ538" s="948"/>
      <c r="BR538" s="948"/>
      <c r="BS538" s="948"/>
      <c r="BT538" s="948"/>
      <c r="BU538" s="954"/>
    </row>
    <row r="539" spans="1:73" ht="15.75" customHeight="1" x14ac:dyDescent="0.2">
      <c r="A539" s="947"/>
      <c r="B539" s="947"/>
      <c r="C539" s="947"/>
      <c r="D539" s="948"/>
      <c r="E539" s="948"/>
      <c r="F539" s="948"/>
      <c r="G539" s="948"/>
      <c r="H539" s="948"/>
      <c r="I539" s="948"/>
      <c r="J539" s="948"/>
      <c r="K539" s="949"/>
      <c r="L539" s="949"/>
      <c r="M539" s="949"/>
      <c r="N539" s="950"/>
      <c r="O539" s="948"/>
      <c r="P539" s="948"/>
      <c r="Q539" s="948"/>
      <c r="R539" s="949"/>
      <c r="S539" s="949"/>
      <c r="T539" s="949"/>
      <c r="U539" s="949"/>
      <c r="V539" s="949"/>
      <c r="W539" s="949"/>
      <c r="X539" s="951"/>
      <c r="Y539" s="951"/>
      <c r="Z539" s="952"/>
      <c r="AA539" s="953"/>
      <c r="AB539" s="948"/>
      <c r="AC539" s="948"/>
      <c r="AD539" s="949"/>
      <c r="AE539" s="949"/>
      <c r="AF539" s="949"/>
      <c r="AG539" s="949"/>
      <c r="AH539" s="949"/>
      <c r="AI539" s="949"/>
      <c r="AJ539" s="949"/>
      <c r="AK539" s="949"/>
      <c r="AL539" s="949"/>
      <c r="AM539" s="949"/>
      <c r="AN539" s="949"/>
      <c r="AO539" s="949"/>
      <c r="AP539" s="949"/>
      <c r="AQ539" s="949"/>
      <c r="AR539" s="949"/>
      <c r="AS539" s="949"/>
      <c r="AT539" s="949"/>
      <c r="AU539" s="949"/>
      <c r="AV539" s="949"/>
      <c r="AW539" s="949"/>
      <c r="AX539" s="949"/>
      <c r="AY539" s="949"/>
      <c r="AZ539" s="949"/>
      <c r="BA539" s="949"/>
      <c r="BB539" s="949"/>
      <c r="BC539" s="949"/>
      <c r="BD539" s="949"/>
      <c r="BE539" s="949"/>
      <c r="BF539" s="949"/>
      <c r="BG539" s="948"/>
      <c r="BH539" s="948"/>
      <c r="BI539" s="948"/>
      <c r="BJ539" s="948"/>
      <c r="BK539" s="948"/>
      <c r="BL539" s="948"/>
      <c r="BM539" s="948"/>
      <c r="BN539" s="948"/>
      <c r="BO539" s="948"/>
      <c r="BP539" s="948"/>
      <c r="BQ539" s="948"/>
      <c r="BR539" s="948"/>
      <c r="BS539" s="948"/>
      <c r="BT539" s="948"/>
      <c r="BU539" s="954"/>
    </row>
    <row r="540" spans="1:73" ht="15.75" customHeight="1" x14ac:dyDescent="0.2">
      <c r="A540" s="947"/>
      <c r="B540" s="947"/>
      <c r="C540" s="947"/>
      <c r="D540" s="948"/>
      <c r="E540" s="948"/>
      <c r="F540" s="948"/>
      <c r="G540" s="948"/>
      <c r="H540" s="948"/>
      <c r="I540" s="948"/>
      <c r="J540" s="948"/>
      <c r="K540" s="949"/>
      <c r="L540" s="949"/>
      <c r="M540" s="949"/>
      <c r="N540" s="950"/>
      <c r="O540" s="948"/>
      <c r="P540" s="948"/>
      <c r="Q540" s="948"/>
      <c r="R540" s="949"/>
      <c r="S540" s="949"/>
      <c r="T540" s="949"/>
      <c r="U540" s="949"/>
      <c r="V540" s="949"/>
      <c r="W540" s="949"/>
      <c r="X540" s="951"/>
      <c r="Y540" s="951"/>
      <c r="Z540" s="952"/>
      <c r="AA540" s="953"/>
      <c r="AB540" s="948"/>
      <c r="AC540" s="948"/>
      <c r="AD540" s="949"/>
      <c r="AE540" s="949"/>
      <c r="AF540" s="949"/>
      <c r="AG540" s="949"/>
      <c r="AH540" s="949"/>
      <c r="AI540" s="949"/>
      <c r="AJ540" s="949"/>
      <c r="AK540" s="949"/>
      <c r="AL540" s="949"/>
      <c r="AM540" s="949"/>
      <c r="AN540" s="949"/>
      <c r="AO540" s="949"/>
      <c r="AP540" s="949"/>
      <c r="AQ540" s="949"/>
      <c r="AR540" s="949"/>
      <c r="AS540" s="949"/>
      <c r="AT540" s="949"/>
      <c r="AU540" s="949"/>
      <c r="AV540" s="949"/>
      <c r="AW540" s="949"/>
      <c r="AX540" s="949"/>
      <c r="AY540" s="949"/>
      <c r="AZ540" s="949"/>
      <c r="BA540" s="949"/>
      <c r="BB540" s="949"/>
      <c r="BC540" s="949"/>
      <c r="BD540" s="949"/>
      <c r="BE540" s="949"/>
      <c r="BF540" s="949"/>
      <c r="BG540" s="948"/>
      <c r="BH540" s="948"/>
      <c r="BI540" s="948"/>
      <c r="BJ540" s="948"/>
      <c r="BK540" s="948"/>
      <c r="BL540" s="948"/>
      <c r="BM540" s="948"/>
      <c r="BN540" s="948"/>
      <c r="BO540" s="948"/>
      <c r="BP540" s="948"/>
      <c r="BQ540" s="948"/>
      <c r="BR540" s="948"/>
      <c r="BS540" s="948"/>
      <c r="BT540" s="948"/>
      <c r="BU540" s="954"/>
    </row>
    <row r="541" spans="1:73" ht="15.75" customHeight="1" x14ac:dyDescent="0.2">
      <c r="A541" s="947"/>
      <c r="B541" s="947"/>
      <c r="C541" s="947"/>
      <c r="D541" s="948"/>
      <c r="E541" s="948"/>
      <c r="F541" s="948"/>
      <c r="G541" s="948"/>
      <c r="H541" s="948"/>
      <c r="I541" s="948"/>
      <c r="J541" s="948"/>
      <c r="K541" s="949"/>
      <c r="L541" s="949"/>
      <c r="M541" s="949"/>
      <c r="N541" s="950"/>
      <c r="O541" s="948"/>
      <c r="P541" s="948"/>
      <c r="Q541" s="948"/>
      <c r="R541" s="949"/>
      <c r="S541" s="949"/>
      <c r="T541" s="949"/>
      <c r="U541" s="949"/>
      <c r="V541" s="949"/>
      <c r="W541" s="949"/>
      <c r="X541" s="951"/>
      <c r="Y541" s="951"/>
      <c r="Z541" s="952"/>
      <c r="AA541" s="953"/>
      <c r="AB541" s="948"/>
      <c r="AC541" s="948"/>
      <c r="AD541" s="949"/>
      <c r="AE541" s="949"/>
      <c r="AF541" s="949"/>
      <c r="AG541" s="949"/>
      <c r="AH541" s="949"/>
      <c r="AI541" s="949"/>
      <c r="AJ541" s="949"/>
      <c r="AK541" s="949"/>
      <c r="AL541" s="949"/>
      <c r="AM541" s="949"/>
      <c r="AN541" s="949"/>
      <c r="AO541" s="949"/>
      <c r="AP541" s="949"/>
      <c r="AQ541" s="949"/>
      <c r="AR541" s="949"/>
      <c r="AS541" s="949"/>
      <c r="AT541" s="949"/>
      <c r="AU541" s="949"/>
      <c r="AV541" s="949"/>
      <c r="AW541" s="949"/>
      <c r="AX541" s="949"/>
      <c r="AY541" s="949"/>
      <c r="AZ541" s="949"/>
      <c r="BA541" s="949"/>
      <c r="BB541" s="949"/>
      <c r="BC541" s="949"/>
      <c r="BD541" s="949"/>
      <c r="BE541" s="949"/>
      <c r="BF541" s="949"/>
      <c r="BG541" s="948"/>
      <c r="BH541" s="948"/>
      <c r="BI541" s="948"/>
      <c r="BJ541" s="948"/>
      <c r="BK541" s="948"/>
      <c r="BL541" s="948"/>
      <c r="BM541" s="948"/>
      <c r="BN541" s="948"/>
      <c r="BO541" s="948"/>
      <c r="BP541" s="948"/>
      <c r="BQ541" s="948"/>
      <c r="BR541" s="948"/>
      <c r="BS541" s="948"/>
      <c r="BT541" s="948"/>
      <c r="BU541" s="954"/>
    </row>
    <row r="542" spans="1:73" ht="15.75" customHeight="1" x14ac:dyDescent="0.2">
      <c r="A542" s="947"/>
      <c r="B542" s="947"/>
      <c r="C542" s="947"/>
      <c r="D542" s="948"/>
      <c r="E542" s="948"/>
      <c r="F542" s="948"/>
      <c r="G542" s="948"/>
      <c r="H542" s="948"/>
      <c r="I542" s="948"/>
      <c r="J542" s="948"/>
      <c r="K542" s="949"/>
      <c r="L542" s="949"/>
      <c r="M542" s="949"/>
      <c r="N542" s="950"/>
      <c r="O542" s="948"/>
      <c r="P542" s="948"/>
      <c r="Q542" s="948"/>
      <c r="R542" s="949"/>
      <c r="S542" s="949"/>
      <c r="T542" s="949"/>
      <c r="U542" s="949"/>
      <c r="V542" s="949"/>
      <c r="W542" s="949"/>
      <c r="X542" s="951"/>
      <c r="Y542" s="951"/>
      <c r="Z542" s="952"/>
      <c r="AA542" s="953"/>
      <c r="AB542" s="948"/>
      <c r="AC542" s="948"/>
      <c r="AD542" s="949"/>
      <c r="AE542" s="949"/>
      <c r="AF542" s="949"/>
      <c r="AG542" s="949"/>
      <c r="AH542" s="949"/>
      <c r="AI542" s="949"/>
      <c r="AJ542" s="949"/>
      <c r="AK542" s="949"/>
      <c r="AL542" s="949"/>
      <c r="AM542" s="949"/>
      <c r="AN542" s="949"/>
      <c r="AO542" s="949"/>
      <c r="AP542" s="949"/>
      <c r="AQ542" s="949"/>
      <c r="AR542" s="949"/>
      <c r="AS542" s="949"/>
      <c r="AT542" s="949"/>
      <c r="AU542" s="949"/>
      <c r="AV542" s="949"/>
      <c r="AW542" s="949"/>
      <c r="AX542" s="949"/>
      <c r="AY542" s="949"/>
      <c r="AZ542" s="949"/>
      <c r="BA542" s="949"/>
      <c r="BB542" s="949"/>
      <c r="BC542" s="949"/>
      <c r="BD542" s="949"/>
      <c r="BE542" s="949"/>
      <c r="BF542" s="949"/>
      <c r="BG542" s="948"/>
      <c r="BH542" s="948"/>
      <c r="BI542" s="948"/>
      <c r="BJ542" s="948"/>
      <c r="BK542" s="948"/>
      <c r="BL542" s="948"/>
      <c r="BM542" s="948"/>
      <c r="BN542" s="948"/>
      <c r="BO542" s="948"/>
      <c r="BP542" s="948"/>
      <c r="BQ542" s="948"/>
      <c r="BR542" s="948"/>
      <c r="BS542" s="948"/>
      <c r="BT542" s="948"/>
      <c r="BU542" s="954"/>
    </row>
    <row r="543" spans="1:73" ht="15.75" customHeight="1" x14ac:dyDescent="0.2">
      <c r="A543" s="947"/>
      <c r="B543" s="947"/>
      <c r="C543" s="947"/>
      <c r="D543" s="948"/>
      <c r="E543" s="948"/>
      <c r="F543" s="948"/>
      <c r="G543" s="948"/>
      <c r="H543" s="948"/>
      <c r="I543" s="948"/>
      <c r="J543" s="948"/>
      <c r="K543" s="949"/>
      <c r="L543" s="949"/>
      <c r="M543" s="949"/>
      <c r="N543" s="950"/>
      <c r="O543" s="948"/>
      <c r="P543" s="948"/>
      <c r="Q543" s="948"/>
      <c r="R543" s="949"/>
      <c r="S543" s="949"/>
      <c r="T543" s="949"/>
      <c r="U543" s="949"/>
      <c r="V543" s="949"/>
      <c r="W543" s="949"/>
      <c r="X543" s="951"/>
      <c r="Y543" s="951"/>
      <c r="Z543" s="952"/>
      <c r="AA543" s="953"/>
      <c r="AB543" s="948"/>
      <c r="AC543" s="948"/>
      <c r="AD543" s="949"/>
      <c r="AE543" s="949"/>
      <c r="AF543" s="949"/>
      <c r="AG543" s="949"/>
      <c r="AH543" s="949"/>
      <c r="AI543" s="949"/>
      <c r="AJ543" s="949"/>
      <c r="AK543" s="949"/>
      <c r="AL543" s="949"/>
      <c r="AM543" s="949"/>
      <c r="AN543" s="949"/>
      <c r="AO543" s="949"/>
      <c r="AP543" s="949"/>
      <c r="AQ543" s="949"/>
      <c r="AR543" s="949"/>
      <c r="AS543" s="949"/>
      <c r="AT543" s="949"/>
      <c r="AU543" s="949"/>
      <c r="AV543" s="949"/>
      <c r="AW543" s="949"/>
      <c r="AX543" s="949"/>
      <c r="AY543" s="949"/>
      <c r="AZ543" s="949"/>
      <c r="BA543" s="949"/>
      <c r="BB543" s="949"/>
      <c r="BC543" s="949"/>
      <c r="BD543" s="949"/>
      <c r="BE543" s="949"/>
      <c r="BF543" s="949"/>
      <c r="BG543" s="948"/>
      <c r="BH543" s="948"/>
      <c r="BI543" s="948"/>
      <c r="BJ543" s="948"/>
      <c r="BK543" s="948"/>
      <c r="BL543" s="948"/>
      <c r="BM543" s="948"/>
      <c r="BN543" s="948"/>
      <c r="BO543" s="948"/>
      <c r="BP543" s="948"/>
      <c r="BQ543" s="948"/>
      <c r="BR543" s="948"/>
      <c r="BS543" s="948"/>
      <c r="BT543" s="948"/>
      <c r="BU543" s="954"/>
    </row>
    <row r="544" spans="1:73" ht="15.75" customHeight="1" x14ac:dyDescent="0.2">
      <c r="A544" s="947"/>
      <c r="B544" s="947"/>
      <c r="C544" s="947"/>
      <c r="D544" s="948"/>
      <c r="E544" s="948"/>
      <c r="F544" s="948"/>
      <c r="G544" s="948"/>
      <c r="H544" s="948"/>
      <c r="I544" s="948"/>
      <c r="J544" s="948"/>
      <c r="K544" s="949"/>
      <c r="L544" s="949"/>
      <c r="M544" s="949"/>
      <c r="N544" s="950"/>
      <c r="O544" s="948"/>
      <c r="P544" s="948"/>
      <c r="Q544" s="948"/>
      <c r="R544" s="949"/>
      <c r="S544" s="949"/>
      <c r="T544" s="949"/>
      <c r="U544" s="949"/>
      <c r="V544" s="949"/>
      <c r="W544" s="949"/>
      <c r="X544" s="951"/>
      <c r="Y544" s="951"/>
      <c r="Z544" s="952"/>
      <c r="AA544" s="953"/>
      <c r="AB544" s="948"/>
      <c r="AC544" s="948"/>
      <c r="AD544" s="949"/>
      <c r="AE544" s="949"/>
      <c r="AF544" s="949"/>
      <c r="AG544" s="949"/>
      <c r="AH544" s="949"/>
      <c r="AI544" s="949"/>
      <c r="AJ544" s="949"/>
      <c r="AK544" s="949"/>
      <c r="AL544" s="949"/>
      <c r="AM544" s="949"/>
      <c r="AN544" s="949"/>
      <c r="AO544" s="949"/>
      <c r="AP544" s="949"/>
      <c r="AQ544" s="949"/>
      <c r="AR544" s="949"/>
      <c r="AS544" s="949"/>
      <c r="AT544" s="949"/>
      <c r="AU544" s="949"/>
      <c r="AV544" s="949"/>
      <c r="AW544" s="949"/>
      <c r="AX544" s="949"/>
      <c r="AY544" s="949"/>
      <c r="AZ544" s="949"/>
      <c r="BA544" s="949"/>
      <c r="BB544" s="949"/>
      <c r="BC544" s="949"/>
      <c r="BD544" s="949"/>
      <c r="BE544" s="949"/>
      <c r="BF544" s="949"/>
      <c r="BG544" s="948"/>
      <c r="BH544" s="948"/>
      <c r="BI544" s="948"/>
      <c r="BJ544" s="948"/>
      <c r="BK544" s="948"/>
      <c r="BL544" s="948"/>
      <c r="BM544" s="948"/>
      <c r="BN544" s="948"/>
      <c r="BO544" s="948"/>
      <c r="BP544" s="948"/>
      <c r="BQ544" s="948"/>
      <c r="BR544" s="948"/>
      <c r="BS544" s="948"/>
      <c r="BT544" s="948"/>
      <c r="BU544" s="954"/>
    </row>
    <row r="545" spans="1:73" ht="15.75" customHeight="1" x14ac:dyDescent="0.2">
      <c r="A545" s="947"/>
      <c r="B545" s="947"/>
      <c r="C545" s="947"/>
      <c r="D545" s="948"/>
      <c r="E545" s="948"/>
      <c r="F545" s="948"/>
      <c r="G545" s="948"/>
      <c r="H545" s="948"/>
      <c r="I545" s="948"/>
      <c r="J545" s="948"/>
      <c r="K545" s="949"/>
      <c r="L545" s="949"/>
      <c r="M545" s="949"/>
      <c r="N545" s="950"/>
      <c r="O545" s="948"/>
      <c r="P545" s="948"/>
      <c r="Q545" s="948"/>
      <c r="R545" s="949"/>
      <c r="S545" s="949"/>
      <c r="T545" s="949"/>
      <c r="U545" s="949"/>
      <c r="V545" s="949"/>
      <c r="W545" s="949"/>
      <c r="X545" s="951"/>
      <c r="Y545" s="951"/>
      <c r="Z545" s="952"/>
      <c r="AA545" s="953"/>
      <c r="AB545" s="948"/>
      <c r="AC545" s="948"/>
      <c r="AD545" s="949"/>
      <c r="AE545" s="949"/>
      <c r="AF545" s="949"/>
      <c r="AG545" s="949"/>
      <c r="AH545" s="949"/>
      <c r="AI545" s="949"/>
      <c r="AJ545" s="949"/>
      <c r="AK545" s="949"/>
      <c r="AL545" s="949"/>
      <c r="AM545" s="949"/>
      <c r="AN545" s="949"/>
      <c r="AO545" s="949"/>
      <c r="AP545" s="949"/>
      <c r="AQ545" s="949"/>
      <c r="AR545" s="949"/>
      <c r="AS545" s="949"/>
      <c r="AT545" s="949"/>
      <c r="AU545" s="949"/>
      <c r="AV545" s="949"/>
      <c r="AW545" s="949"/>
      <c r="AX545" s="949"/>
      <c r="AY545" s="949"/>
      <c r="AZ545" s="949"/>
      <c r="BA545" s="949"/>
      <c r="BB545" s="949"/>
      <c r="BC545" s="949"/>
      <c r="BD545" s="949"/>
      <c r="BE545" s="949"/>
      <c r="BF545" s="949"/>
      <c r="BG545" s="948"/>
      <c r="BH545" s="948"/>
      <c r="BI545" s="948"/>
      <c r="BJ545" s="948"/>
      <c r="BK545" s="948"/>
      <c r="BL545" s="948"/>
      <c r="BM545" s="948"/>
      <c r="BN545" s="948"/>
      <c r="BO545" s="948"/>
      <c r="BP545" s="948"/>
      <c r="BQ545" s="948"/>
      <c r="BR545" s="948"/>
      <c r="BS545" s="948"/>
      <c r="BT545" s="948"/>
      <c r="BU545" s="954"/>
    </row>
    <row r="546" spans="1:73" ht="15.75" customHeight="1" x14ac:dyDescent="0.2">
      <c r="A546" s="947"/>
      <c r="B546" s="947"/>
      <c r="C546" s="947"/>
      <c r="D546" s="948"/>
      <c r="E546" s="948"/>
      <c r="F546" s="948"/>
      <c r="G546" s="948"/>
      <c r="H546" s="948"/>
      <c r="I546" s="948"/>
      <c r="J546" s="948"/>
      <c r="K546" s="949"/>
      <c r="L546" s="949"/>
      <c r="M546" s="949"/>
      <c r="N546" s="950"/>
      <c r="O546" s="948"/>
      <c r="P546" s="948"/>
      <c r="Q546" s="948"/>
      <c r="R546" s="949"/>
      <c r="S546" s="949"/>
      <c r="T546" s="949"/>
      <c r="U546" s="949"/>
      <c r="V546" s="949"/>
      <c r="W546" s="949"/>
      <c r="X546" s="951"/>
      <c r="Y546" s="951"/>
      <c r="Z546" s="952"/>
      <c r="AA546" s="953"/>
      <c r="AB546" s="948"/>
      <c r="AC546" s="948"/>
      <c r="AD546" s="949"/>
      <c r="AE546" s="949"/>
      <c r="AF546" s="949"/>
      <c r="AG546" s="949"/>
      <c r="AH546" s="949"/>
      <c r="AI546" s="949"/>
      <c r="AJ546" s="949"/>
      <c r="AK546" s="949"/>
      <c r="AL546" s="949"/>
      <c r="AM546" s="949"/>
      <c r="AN546" s="949"/>
      <c r="AO546" s="949"/>
      <c r="AP546" s="949"/>
      <c r="AQ546" s="949"/>
      <c r="AR546" s="949"/>
      <c r="AS546" s="949"/>
      <c r="AT546" s="949"/>
      <c r="AU546" s="949"/>
      <c r="AV546" s="949"/>
      <c r="AW546" s="949"/>
      <c r="AX546" s="949"/>
      <c r="AY546" s="949"/>
      <c r="AZ546" s="949"/>
      <c r="BA546" s="949"/>
      <c r="BB546" s="949"/>
      <c r="BC546" s="949"/>
      <c r="BD546" s="949"/>
      <c r="BE546" s="949"/>
      <c r="BF546" s="949"/>
      <c r="BG546" s="948"/>
      <c r="BH546" s="948"/>
      <c r="BI546" s="948"/>
      <c r="BJ546" s="948"/>
      <c r="BK546" s="948"/>
      <c r="BL546" s="948"/>
      <c r="BM546" s="948"/>
      <c r="BN546" s="948"/>
      <c r="BO546" s="948"/>
      <c r="BP546" s="948"/>
      <c r="BQ546" s="948"/>
      <c r="BR546" s="948"/>
      <c r="BS546" s="948"/>
      <c r="BT546" s="948"/>
      <c r="BU546" s="954"/>
    </row>
    <row r="547" spans="1:73" ht="15.75" customHeight="1" x14ac:dyDescent="0.2">
      <c r="A547" s="947"/>
      <c r="B547" s="947"/>
      <c r="C547" s="947"/>
      <c r="D547" s="948"/>
      <c r="E547" s="948"/>
      <c r="F547" s="948"/>
      <c r="G547" s="948"/>
      <c r="H547" s="948"/>
      <c r="I547" s="948"/>
      <c r="J547" s="948"/>
      <c r="K547" s="949"/>
      <c r="L547" s="949"/>
      <c r="M547" s="949"/>
      <c r="N547" s="950"/>
      <c r="O547" s="948"/>
      <c r="P547" s="948"/>
      <c r="Q547" s="948"/>
      <c r="R547" s="949"/>
      <c r="S547" s="949"/>
      <c r="T547" s="949"/>
      <c r="U547" s="949"/>
      <c r="V547" s="949"/>
      <c r="W547" s="949"/>
      <c r="X547" s="951"/>
      <c r="Y547" s="951"/>
      <c r="Z547" s="952"/>
      <c r="AA547" s="953"/>
      <c r="AB547" s="948"/>
      <c r="AC547" s="948"/>
      <c r="AD547" s="949"/>
      <c r="AE547" s="949"/>
      <c r="AF547" s="949"/>
      <c r="AG547" s="949"/>
      <c r="AH547" s="949"/>
      <c r="AI547" s="949"/>
      <c r="AJ547" s="949"/>
      <c r="AK547" s="949"/>
      <c r="AL547" s="949"/>
      <c r="AM547" s="949"/>
      <c r="AN547" s="949"/>
      <c r="AO547" s="949"/>
      <c r="AP547" s="949"/>
      <c r="AQ547" s="949"/>
      <c r="AR547" s="949"/>
      <c r="AS547" s="949"/>
      <c r="AT547" s="949"/>
      <c r="AU547" s="949"/>
      <c r="AV547" s="949"/>
      <c r="AW547" s="949"/>
      <c r="AX547" s="949"/>
      <c r="AY547" s="949"/>
      <c r="AZ547" s="949"/>
      <c r="BA547" s="949"/>
      <c r="BB547" s="949"/>
      <c r="BC547" s="949"/>
      <c r="BD547" s="949"/>
      <c r="BE547" s="949"/>
      <c r="BF547" s="949"/>
      <c r="BG547" s="948"/>
      <c r="BH547" s="948"/>
      <c r="BI547" s="948"/>
      <c r="BJ547" s="948"/>
      <c r="BK547" s="948"/>
      <c r="BL547" s="948"/>
      <c r="BM547" s="948"/>
      <c r="BN547" s="948"/>
      <c r="BO547" s="948"/>
      <c r="BP547" s="948"/>
      <c r="BQ547" s="948"/>
      <c r="BR547" s="948"/>
      <c r="BS547" s="948"/>
      <c r="BT547" s="948"/>
      <c r="BU547" s="954"/>
    </row>
    <row r="548" spans="1:73" ht="15.75" customHeight="1" x14ac:dyDescent="0.2">
      <c r="A548" s="947"/>
      <c r="B548" s="947"/>
      <c r="C548" s="947"/>
      <c r="D548" s="948"/>
      <c r="E548" s="948"/>
      <c r="F548" s="948"/>
      <c r="G548" s="948"/>
      <c r="H548" s="948"/>
      <c r="I548" s="948"/>
      <c r="J548" s="948"/>
      <c r="K548" s="949"/>
      <c r="L548" s="949"/>
      <c r="M548" s="949"/>
      <c r="N548" s="950"/>
      <c r="O548" s="948"/>
      <c r="P548" s="948"/>
      <c r="Q548" s="948"/>
      <c r="R548" s="949"/>
      <c r="S548" s="949"/>
      <c r="T548" s="949"/>
      <c r="U548" s="949"/>
      <c r="V548" s="949"/>
      <c r="W548" s="949"/>
      <c r="X548" s="951"/>
      <c r="Y548" s="951"/>
      <c r="Z548" s="952"/>
      <c r="AA548" s="953"/>
      <c r="AB548" s="948"/>
      <c r="AC548" s="948"/>
      <c r="AD548" s="949"/>
      <c r="AE548" s="949"/>
      <c r="AF548" s="949"/>
      <c r="AG548" s="949"/>
      <c r="AH548" s="949"/>
      <c r="AI548" s="949"/>
      <c r="AJ548" s="949"/>
      <c r="AK548" s="949"/>
      <c r="AL548" s="949"/>
      <c r="AM548" s="949"/>
      <c r="AN548" s="949"/>
      <c r="AO548" s="949"/>
      <c r="AP548" s="949"/>
      <c r="AQ548" s="949"/>
      <c r="AR548" s="949"/>
      <c r="AS548" s="949"/>
      <c r="AT548" s="949"/>
      <c r="AU548" s="949"/>
      <c r="AV548" s="949"/>
      <c r="AW548" s="949"/>
      <c r="AX548" s="949"/>
      <c r="AY548" s="949"/>
      <c r="AZ548" s="949"/>
      <c r="BA548" s="949"/>
      <c r="BB548" s="949"/>
      <c r="BC548" s="949"/>
      <c r="BD548" s="949"/>
      <c r="BE548" s="949"/>
      <c r="BF548" s="949"/>
      <c r="BG548" s="948"/>
      <c r="BH548" s="948"/>
      <c r="BI548" s="948"/>
      <c r="BJ548" s="948"/>
      <c r="BK548" s="948"/>
      <c r="BL548" s="948"/>
      <c r="BM548" s="948"/>
      <c r="BN548" s="948"/>
      <c r="BO548" s="948"/>
      <c r="BP548" s="948"/>
      <c r="BQ548" s="948"/>
      <c r="BR548" s="948"/>
      <c r="BS548" s="948"/>
      <c r="BT548" s="948"/>
      <c r="BU548" s="954"/>
    </row>
    <row r="549" spans="1:73" ht="15.75" customHeight="1" x14ac:dyDescent="0.2">
      <c r="A549" s="947"/>
      <c r="B549" s="947"/>
      <c r="C549" s="947"/>
      <c r="D549" s="948"/>
      <c r="E549" s="948"/>
      <c r="F549" s="948"/>
      <c r="G549" s="948"/>
      <c r="H549" s="948"/>
      <c r="I549" s="948"/>
      <c r="J549" s="948"/>
      <c r="K549" s="949"/>
      <c r="L549" s="949"/>
      <c r="M549" s="949"/>
      <c r="N549" s="950"/>
      <c r="O549" s="948"/>
      <c r="P549" s="948"/>
      <c r="Q549" s="948"/>
      <c r="R549" s="949"/>
      <c r="S549" s="949"/>
      <c r="T549" s="949"/>
      <c r="U549" s="949"/>
      <c r="V549" s="949"/>
      <c r="W549" s="949"/>
      <c r="X549" s="951"/>
      <c r="Y549" s="951"/>
      <c r="Z549" s="952"/>
      <c r="AA549" s="953"/>
      <c r="AB549" s="948"/>
      <c r="AC549" s="948"/>
      <c r="AD549" s="949"/>
      <c r="AE549" s="949"/>
      <c r="AF549" s="949"/>
      <c r="AG549" s="949"/>
      <c r="AH549" s="949"/>
      <c r="AI549" s="949"/>
      <c r="AJ549" s="949"/>
      <c r="AK549" s="949"/>
      <c r="AL549" s="949"/>
      <c r="AM549" s="949"/>
      <c r="AN549" s="949"/>
      <c r="AO549" s="949"/>
      <c r="AP549" s="949"/>
      <c r="AQ549" s="949"/>
      <c r="AR549" s="949"/>
      <c r="AS549" s="949"/>
      <c r="AT549" s="949"/>
      <c r="AU549" s="949"/>
      <c r="AV549" s="949"/>
      <c r="AW549" s="949"/>
      <c r="AX549" s="949"/>
      <c r="AY549" s="949"/>
      <c r="AZ549" s="949"/>
      <c r="BA549" s="949"/>
      <c r="BB549" s="949"/>
      <c r="BC549" s="949"/>
      <c r="BD549" s="949"/>
      <c r="BE549" s="949"/>
      <c r="BF549" s="949"/>
      <c r="BG549" s="948"/>
      <c r="BH549" s="948"/>
      <c r="BI549" s="948"/>
      <c r="BJ549" s="948"/>
      <c r="BK549" s="948"/>
      <c r="BL549" s="948"/>
      <c r="BM549" s="948"/>
      <c r="BN549" s="948"/>
      <c r="BO549" s="948"/>
      <c r="BP549" s="948"/>
      <c r="BQ549" s="948"/>
      <c r="BR549" s="948"/>
      <c r="BS549" s="948"/>
      <c r="BT549" s="948"/>
      <c r="BU549" s="954"/>
    </row>
    <row r="550" spans="1:73" ht="15.75" customHeight="1" x14ac:dyDescent="0.2">
      <c r="A550" s="947"/>
      <c r="B550" s="947"/>
      <c r="C550" s="947"/>
      <c r="D550" s="948"/>
      <c r="E550" s="948"/>
      <c r="F550" s="948"/>
      <c r="G550" s="948"/>
      <c r="H550" s="948"/>
      <c r="I550" s="948"/>
      <c r="J550" s="948"/>
      <c r="K550" s="949"/>
      <c r="L550" s="949"/>
      <c r="M550" s="949"/>
      <c r="N550" s="950"/>
      <c r="O550" s="948"/>
      <c r="P550" s="948"/>
      <c r="Q550" s="948"/>
      <c r="R550" s="949"/>
      <c r="S550" s="949"/>
      <c r="T550" s="949"/>
      <c r="U550" s="949"/>
      <c r="V550" s="949"/>
      <c r="W550" s="949"/>
      <c r="X550" s="951"/>
      <c r="Y550" s="951"/>
      <c r="Z550" s="952"/>
      <c r="AA550" s="953"/>
      <c r="AB550" s="948"/>
      <c r="AC550" s="948"/>
      <c r="AD550" s="949"/>
      <c r="AE550" s="949"/>
      <c r="AF550" s="949"/>
      <c r="AG550" s="949"/>
      <c r="AH550" s="949"/>
      <c r="AI550" s="949"/>
      <c r="AJ550" s="949"/>
      <c r="AK550" s="949"/>
      <c r="AL550" s="949"/>
      <c r="AM550" s="949"/>
      <c r="AN550" s="949"/>
      <c r="AO550" s="949"/>
      <c r="AP550" s="949"/>
      <c r="AQ550" s="949"/>
      <c r="AR550" s="949"/>
      <c r="AS550" s="949"/>
      <c r="AT550" s="949"/>
      <c r="AU550" s="949"/>
      <c r="AV550" s="949"/>
      <c r="AW550" s="949"/>
      <c r="AX550" s="949"/>
      <c r="AY550" s="949"/>
      <c r="AZ550" s="949"/>
      <c r="BA550" s="949"/>
      <c r="BB550" s="949"/>
      <c r="BC550" s="949"/>
      <c r="BD550" s="949"/>
      <c r="BE550" s="949"/>
      <c r="BF550" s="949"/>
      <c r="BG550" s="948"/>
      <c r="BH550" s="948"/>
      <c r="BI550" s="948"/>
      <c r="BJ550" s="948"/>
      <c r="BK550" s="948"/>
      <c r="BL550" s="948"/>
      <c r="BM550" s="948"/>
      <c r="BN550" s="948"/>
      <c r="BO550" s="948"/>
      <c r="BP550" s="948"/>
      <c r="BQ550" s="948"/>
      <c r="BR550" s="948"/>
      <c r="BS550" s="948"/>
      <c r="BT550" s="948"/>
      <c r="BU550" s="954"/>
    </row>
    <row r="551" spans="1:73" ht="15.75" customHeight="1" x14ac:dyDescent="0.2">
      <c r="A551" s="947"/>
      <c r="B551" s="947"/>
      <c r="C551" s="947"/>
      <c r="D551" s="948"/>
      <c r="E551" s="948"/>
      <c r="F551" s="948"/>
      <c r="G551" s="948"/>
      <c r="H551" s="948"/>
      <c r="I551" s="948"/>
      <c r="J551" s="948"/>
      <c r="K551" s="949"/>
      <c r="L551" s="949"/>
      <c r="M551" s="949"/>
      <c r="N551" s="950"/>
      <c r="O551" s="948"/>
      <c r="P551" s="948"/>
      <c r="Q551" s="948"/>
      <c r="R551" s="949"/>
      <c r="S551" s="949"/>
      <c r="T551" s="949"/>
      <c r="U551" s="949"/>
      <c r="V551" s="949"/>
      <c r="W551" s="949"/>
      <c r="X551" s="951"/>
      <c r="Y551" s="951"/>
      <c r="Z551" s="952"/>
      <c r="AA551" s="953"/>
      <c r="AB551" s="948"/>
      <c r="AC551" s="948"/>
      <c r="AD551" s="949"/>
      <c r="AE551" s="949"/>
      <c r="AF551" s="949"/>
      <c r="AG551" s="949"/>
      <c r="AH551" s="949"/>
      <c r="AI551" s="949"/>
      <c r="AJ551" s="949"/>
      <c r="AK551" s="949"/>
      <c r="AL551" s="949"/>
      <c r="AM551" s="949"/>
      <c r="AN551" s="949"/>
      <c r="AO551" s="949"/>
      <c r="AP551" s="949"/>
      <c r="AQ551" s="949"/>
      <c r="AR551" s="949"/>
      <c r="AS551" s="949"/>
      <c r="AT551" s="949"/>
      <c r="AU551" s="949"/>
      <c r="AV551" s="949"/>
      <c r="AW551" s="949"/>
      <c r="AX551" s="949"/>
      <c r="AY551" s="949"/>
      <c r="AZ551" s="949"/>
      <c r="BA551" s="949"/>
      <c r="BB551" s="949"/>
      <c r="BC551" s="949"/>
      <c r="BD551" s="949"/>
      <c r="BE551" s="949"/>
      <c r="BF551" s="949"/>
      <c r="BG551" s="948"/>
      <c r="BH551" s="948"/>
      <c r="BI551" s="948"/>
      <c r="BJ551" s="948"/>
      <c r="BK551" s="948"/>
      <c r="BL551" s="948"/>
      <c r="BM551" s="948"/>
      <c r="BN551" s="948"/>
      <c r="BO551" s="948"/>
      <c r="BP551" s="948"/>
      <c r="BQ551" s="948"/>
      <c r="BR551" s="948"/>
      <c r="BS551" s="948"/>
      <c r="BT551" s="948"/>
      <c r="BU551" s="954"/>
    </row>
    <row r="552" spans="1:73" ht="15.75" customHeight="1" x14ac:dyDescent="0.2">
      <c r="A552" s="947"/>
      <c r="B552" s="947"/>
      <c r="C552" s="947"/>
      <c r="D552" s="948"/>
      <c r="E552" s="948"/>
      <c r="F552" s="948"/>
      <c r="G552" s="948"/>
      <c r="H552" s="948"/>
      <c r="I552" s="948"/>
      <c r="J552" s="948"/>
      <c r="K552" s="949"/>
      <c r="L552" s="949"/>
      <c r="M552" s="949"/>
      <c r="N552" s="950"/>
      <c r="O552" s="948"/>
      <c r="P552" s="948"/>
      <c r="Q552" s="948"/>
      <c r="R552" s="949"/>
      <c r="S552" s="949"/>
      <c r="T552" s="949"/>
      <c r="U552" s="949"/>
      <c r="V552" s="949"/>
      <c r="W552" s="949"/>
      <c r="X552" s="951"/>
      <c r="Y552" s="951"/>
      <c r="Z552" s="952"/>
      <c r="AA552" s="953"/>
      <c r="AB552" s="948"/>
      <c r="AC552" s="948"/>
      <c r="AD552" s="949"/>
      <c r="AE552" s="949"/>
      <c r="AF552" s="949"/>
      <c r="AG552" s="949"/>
      <c r="AH552" s="949"/>
      <c r="AI552" s="949"/>
      <c r="AJ552" s="949"/>
      <c r="AK552" s="949"/>
      <c r="AL552" s="949"/>
      <c r="AM552" s="949"/>
      <c r="AN552" s="949"/>
      <c r="AO552" s="949"/>
      <c r="AP552" s="949"/>
      <c r="AQ552" s="949"/>
      <c r="AR552" s="949"/>
      <c r="AS552" s="949"/>
      <c r="AT552" s="949"/>
      <c r="AU552" s="949"/>
      <c r="AV552" s="949"/>
      <c r="AW552" s="949"/>
      <c r="AX552" s="949"/>
      <c r="AY552" s="949"/>
      <c r="AZ552" s="949"/>
      <c r="BA552" s="949"/>
      <c r="BB552" s="949"/>
      <c r="BC552" s="949"/>
      <c r="BD552" s="949"/>
      <c r="BE552" s="949"/>
      <c r="BF552" s="949"/>
      <c r="BG552" s="948"/>
      <c r="BH552" s="948"/>
      <c r="BI552" s="948"/>
      <c r="BJ552" s="948"/>
      <c r="BK552" s="948"/>
      <c r="BL552" s="948"/>
      <c r="BM552" s="948"/>
      <c r="BN552" s="948"/>
      <c r="BO552" s="948"/>
      <c r="BP552" s="948"/>
      <c r="BQ552" s="948"/>
      <c r="BR552" s="948"/>
      <c r="BS552" s="948"/>
      <c r="BT552" s="948"/>
      <c r="BU552" s="954"/>
    </row>
    <row r="553" spans="1:73" ht="15.75" customHeight="1" x14ac:dyDescent="0.2">
      <c r="A553" s="947"/>
      <c r="B553" s="947"/>
      <c r="C553" s="947"/>
      <c r="D553" s="948"/>
      <c r="E553" s="948"/>
      <c r="F553" s="948"/>
      <c r="G553" s="948"/>
      <c r="H553" s="948"/>
      <c r="I553" s="948"/>
      <c r="J553" s="948"/>
      <c r="K553" s="949"/>
      <c r="L553" s="949"/>
      <c r="M553" s="949"/>
      <c r="N553" s="950"/>
      <c r="O553" s="948"/>
      <c r="P553" s="948"/>
      <c r="Q553" s="948"/>
      <c r="R553" s="949"/>
      <c r="S553" s="949"/>
      <c r="T553" s="949"/>
      <c r="U553" s="949"/>
      <c r="V553" s="949"/>
      <c r="W553" s="949"/>
      <c r="X553" s="951"/>
      <c r="Y553" s="951"/>
      <c r="Z553" s="952"/>
      <c r="AA553" s="953"/>
      <c r="AB553" s="948"/>
      <c r="AC553" s="948"/>
      <c r="AD553" s="949"/>
      <c r="AE553" s="949"/>
      <c r="AF553" s="949"/>
      <c r="AG553" s="949"/>
      <c r="AH553" s="949"/>
      <c r="AI553" s="949"/>
      <c r="AJ553" s="949"/>
      <c r="AK553" s="949"/>
      <c r="AL553" s="949"/>
      <c r="AM553" s="949"/>
      <c r="AN553" s="949"/>
      <c r="AO553" s="949"/>
      <c r="AP553" s="949"/>
      <c r="AQ553" s="949"/>
      <c r="AR553" s="949"/>
      <c r="AS553" s="949"/>
      <c r="AT553" s="949"/>
      <c r="AU553" s="949"/>
      <c r="AV553" s="949"/>
      <c r="AW553" s="949"/>
      <c r="AX553" s="949"/>
      <c r="AY553" s="949"/>
      <c r="AZ553" s="949"/>
      <c r="BA553" s="949"/>
      <c r="BB553" s="949"/>
      <c r="BC553" s="949"/>
      <c r="BD553" s="949"/>
      <c r="BE553" s="949"/>
      <c r="BF553" s="949"/>
      <c r="BG553" s="948"/>
      <c r="BH553" s="948"/>
      <c r="BI553" s="948"/>
      <c r="BJ553" s="948"/>
      <c r="BK553" s="948"/>
      <c r="BL553" s="948"/>
      <c r="BM553" s="948"/>
      <c r="BN553" s="948"/>
      <c r="BO553" s="948"/>
      <c r="BP553" s="948"/>
      <c r="BQ553" s="948"/>
      <c r="BR553" s="948"/>
      <c r="BS553" s="948"/>
      <c r="BT553" s="948"/>
      <c r="BU553" s="954"/>
    </row>
    <row r="554" spans="1:73" ht="15.75" customHeight="1" x14ac:dyDescent="0.2">
      <c r="A554" s="947"/>
      <c r="B554" s="947"/>
      <c r="C554" s="947"/>
      <c r="D554" s="948"/>
      <c r="E554" s="948"/>
      <c r="F554" s="948"/>
      <c r="G554" s="948"/>
      <c r="H554" s="948"/>
      <c r="I554" s="948"/>
      <c r="J554" s="948"/>
      <c r="K554" s="949"/>
      <c r="L554" s="949"/>
      <c r="M554" s="949"/>
      <c r="N554" s="950"/>
      <c r="O554" s="948"/>
      <c r="P554" s="948"/>
      <c r="Q554" s="948"/>
      <c r="R554" s="949"/>
      <c r="S554" s="949"/>
      <c r="T554" s="949"/>
      <c r="U554" s="949"/>
      <c r="V554" s="949"/>
      <c r="W554" s="949"/>
      <c r="X554" s="951"/>
      <c r="Y554" s="951"/>
      <c r="Z554" s="952"/>
      <c r="AA554" s="953"/>
      <c r="AB554" s="948"/>
      <c r="AC554" s="948"/>
      <c r="AD554" s="949"/>
      <c r="AE554" s="949"/>
      <c r="AF554" s="949"/>
      <c r="AG554" s="949"/>
      <c r="AH554" s="949"/>
      <c r="AI554" s="949"/>
      <c r="AJ554" s="949"/>
      <c r="AK554" s="949"/>
      <c r="AL554" s="949"/>
      <c r="AM554" s="949"/>
      <c r="AN554" s="949"/>
      <c r="AO554" s="949"/>
      <c r="AP554" s="949"/>
      <c r="AQ554" s="949"/>
      <c r="AR554" s="949"/>
      <c r="AS554" s="949"/>
      <c r="AT554" s="949"/>
      <c r="AU554" s="949"/>
      <c r="AV554" s="949"/>
      <c r="AW554" s="949"/>
      <c r="AX554" s="949"/>
      <c r="AY554" s="949"/>
      <c r="AZ554" s="949"/>
      <c r="BA554" s="949"/>
      <c r="BB554" s="949"/>
      <c r="BC554" s="949"/>
      <c r="BD554" s="949"/>
      <c r="BE554" s="949"/>
      <c r="BF554" s="949"/>
      <c r="BG554" s="948"/>
      <c r="BH554" s="948"/>
      <c r="BI554" s="948"/>
      <c r="BJ554" s="948"/>
      <c r="BK554" s="948"/>
      <c r="BL554" s="948"/>
      <c r="BM554" s="948"/>
      <c r="BN554" s="948"/>
      <c r="BO554" s="948"/>
      <c r="BP554" s="948"/>
      <c r="BQ554" s="948"/>
      <c r="BR554" s="948"/>
      <c r="BS554" s="948"/>
      <c r="BT554" s="948"/>
      <c r="BU554" s="954"/>
    </row>
    <row r="555" spans="1:73" ht="15.75" customHeight="1" x14ac:dyDescent="0.2">
      <c r="A555" s="947"/>
      <c r="B555" s="947"/>
      <c r="C555" s="947"/>
      <c r="D555" s="948"/>
      <c r="E555" s="948"/>
      <c r="F555" s="948"/>
      <c r="G555" s="948"/>
      <c r="H555" s="948"/>
      <c r="I555" s="948"/>
      <c r="J555" s="948"/>
      <c r="K555" s="949"/>
      <c r="L555" s="949"/>
      <c r="M555" s="949"/>
      <c r="N555" s="950"/>
      <c r="O555" s="948"/>
      <c r="P555" s="948"/>
      <c r="Q555" s="948"/>
      <c r="R555" s="949"/>
      <c r="S555" s="949"/>
      <c r="T555" s="949"/>
      <c r="U555" s="949"/>
      <c r="V555" s="949"/>
      <c r="W555" s="949"/>
      <c r="X555" s="951"/>
      <c r="Y555" s="951"/>
      <c r="Z555" s="952"/>
      <c r="AA555" s="953"/>
      <c r="AB555" s="948"/>
      <c r="AC555" s="948"/>
      <c r="AD555" s="949"/>
      <c r="AE555" s="949"/>
      <c r="AF555" s="949"/>
      <c r="AG555" s="949"/>
      <c r="AH555" s="949"/>
      <c r="AI555" s="949"/>
      <c r="AJ555" s="949"/>
      <c r="AK555" s="949"/>
      <c r="AL555" s="949"/>
      <c r="AM555" s="949"/>
      <c r="AN555" s="949"/>
      <c r="AO555" s="949"/>
      <c r="AP555" s="949"/>
      <c r="AQ555" s="949"/>
      <c r="AR555" s="949"/>
      <c r="AS555" s="949"/>
      <c r="AT555" s="949"/>
      <c r="AU555" s="949"/>
      <c r="AV555" s="949"/>
      <c r="AW555" s="949"/>
      <c r="AX555" s="949"/>
      <c r="AY555" s="949"/>
      <c r="AZ555" s="949"/>
      <c r="BA555" s="949"/>
      <c r="BB555" s="949"/>
      <c r="BC555" s="949"/>
      <c r="BD555" s="949"/>
      <c r="BE555" s="949"/>
      <c r="BF555" s="949"/>
      <c r="BG555" s="948"/>
      <c r="BH555" s="948"/>
      <c r="BI555" s="948"/>
      <c r="BJ555" s="948"/>
      <c r="BK555" s="948"/>
      <c r="BL555" s="948"/>
      <c r="BM555" s="948"/>
      <c r="BN555" s="948"/>
      <c r="BO555" s="948"/>
      <c r="BP555" s="948"/>
      <c r="BQ555" s="948"/>
      <c r="BR555" s="948"/>
      <c r="BS555" s="948"/>
      <c r="BT555" s="948"/>
      <c r="BU555" s="954"/>
    </row>
    <row r="556" spans="1:73" ht="15.75" customHeight="1" x14ac:dyDescent="0.2">
      <c r="A556" s="947"/>
      <c r="B556" s="947"/>
      <c r="C556" s="947"/>
      <c r="D556" s="948"/>
      <c r="E556" s="948"/>
      <c r="F556" s="948"/>
      <c r="G556" s="948"/>
      <c r="H556" s="948"/>
      <c r="I556" s="948"/>
      <c r="J556" s="948"/>
      <c r="K556" s="949"/>
      <c r="L556" s="949"/>
      <c r="M556" s="949"/>
      <c r="N556" s="950"/>
      <c r="O556" s="948"/>
      <c r="P556" s="948"/>
      <c r="Q556" s="948"/>
      <c r="R556" s="949"/>
      <c r="S556" s="949"/>
      <c r="T556" s="949"/>
      <c r="U556" s="949"/>
      <c r="V556" s="949"/>
      <c r="W556" s="949"/>
      <c r="X556" s="951"/>
      <c r="Y556" s="951"/>
      <c r="Z556" s="952"/>
      <c r="AA556" s="953"/>
      <c r="AB556" s="948"/>
      <c r="AC556" s="948"/>
      <c r="AD556" s="949"/>
      <c r="AE556" s="949"/>
      <c r="AF556" s="949"/>
      <c r="AG556" s="949"/>
      <c r="AH556" s="949"/>
      <c r="AI556" s="949"/>
      <c r="AJ556" s="949"/>
      <c r="AK556" s="949"/>
      <c r="AL556" s="949"/>
      <c r="AM556" s="949"/>
      <c r="AN556" s="949"/>
      <c r="AO556" s="949"/>
      <c r="AP556" s="949"/>
      <c r="AQ556" s="949"/>
      <c r="AR556" s="949"/>
      <c r="AS556" s="949"/>
      <c r="AT556" s="949"/>
      <c r="AU556" s="949"/>
      <c r="AV556" s="949"/>
      <c r="AW556" s="949"/>
      <c r="AX556" s="949"/>
      <c r="AY556" s="949"/>
      <c r="AZ556" s="949"/>
      <c r="BA556" s="949"/>
      <c r="BB556" s="949"/>
      <c r="BC556" s="949"/>
      <c r="BD556" s="949"/>
      <c r="BE556" s="949"/>
      <c r="BF556" s="949"/>
      <c r="BG556" s="948"/>
      <c r="BH556" s="948"/>
      <c r="BI556" s="948"/>
      <c r="BJ556" s="948"/>
      <c r="BK556" s="948"/>
      <c r="BL556" s="948"/>
      <c r="BM556" s="948"/>
      <c r="BN556" s="948"/>
      <c r="BO556" s="948"/>
      <c r="BP556" s="948"/>
      <c r="BQ556" s="948"/>
      <c r="BR556" s="948"/>
      <c r="BS556" s="948"/>
      <c r="BT556" s="948"/>
      <c r="BU556" s="954"/>
    </row>
    <row r="557" spans="1:73" ht="15.75" customHeight="1" x14ac:dyDescent="0.2">
      <c r="A557" s="947"/>
      <c r="B557" s="947"/>
      <c r="C557" s="947"/>
      <c r="D557" s="948"/>
      <c r="E557" s="948"/>
      <c r="F557" s="948"/>
      <c r="G557" s="948"/>
      <c r="H557" s="948"/>
      <c r="I557" s="948"/>
      <c r="J557" s="948"/>
      <c r="K557" s="949"/>
      <c r="L557" s="949"/>
      <c r="M557" s="949"/>
      <c r="N557" s="950"/>
      <c r="O557" s="948"/>
      <c r="P557" s="948"/>
      <c r="Q557" s="948"/>
      <c r="R557" s="949"/>
      <c r="S557" s="949"/>
      <c r="T557" s="949"/>
      <c r="U557" s="949"/>
      <c r="V557" s="949"/>
      <c r="W557" s="949"/>
      <c r="X557" s="951"/>
      <c r="Y557" s="951"/>
      <c r="Z557" s="952"/>
      <c r="AA557" s="953"/>
      <c r="AB557" s="948"/>
      <c r="AC557" s="948"/>
      <c r="AD557" s="949"/>
      <c r="AE557" s="949"/>
      <c r="AF557" s="949"/>
      <c r="AG557" s="949"/>
      <c r="AH557" s="949"/>
      <c r="AI557" s="949"/>
      <c r="AJ557" s="949"/>
      <c r="AK557" s="949"/>
      <c r="AL557" s="949"/>
      <c r="AM557" s="949"/>
      <c r="AN557" s="949"/>
      <c r="AO557" s="949"/>
      <c r="AP557" s="949"/>
      <c r="AQ557" s="949"/>
      <c r="AR557" s="949"/>
      <c r="AS557" s="949"/>
      <c r="AT557" s="949"/>
      <c r="AU557" s="949"/>
      <c r="AV557" s="949"/>
      <c r="AW557" s="949"/>
      <c r="AX557" s="949"/>
      <c r="AY557" s="949"/>
      <c r="AZ557" s="949"/>
      <c r="BA557" s="949"/>
      <c r="BB557" s="949"/>
      <c r="BC557" s="949"/>
      <c r="BD557" s="949"/>
      <c r="BE557" s="949"/>
      <c r="BF557" s="949"/>
      <c r="BG557" s="948"/>
      <c r="BH557" s="948"/>
      <c r="BI557" s="948"/>
      <c r="BJ557" s="948"/>
      <c r="BK557" s="948"/>
      <c r="BL557" s="948"/>
      <c r="BM557" s="948"/>
      <c r="BN557" s="948"/>
      <c r="BO557" s="948"/>
      <c r="BP557" s="948"/>
      <c r="BQ557" s="948"/>
      <c r="BR557" s="948"/>
      <c r="BS557" s="948"/>
      <c r="BT557" s="948"/>
      <c r="BU557" s="954"/>
    </row>
    <row r="558" spans="1:73" ht="15.75" customHeight="1" x14ac:dyDescent="0.2">
      <c r="A558" s="947"/>
      <c r="B558" s="947"/>
      <c r="C558" s="947"/>
      <c r="D558" s="948"/>
      <c r="E558" s="948"/>
      <c r="F558" s="948"/>
      <c r="G558" s="948"/>
      <c r="H558" s="948"/>
      <c r="I558" s="948"/>
      <c r="J558" s="948"/>
      <c r="K558" s="949"/>
      <c r="L558" s="949"/>
      <c r="M558" s="949"/>
      <c r="N558" s="950"/>
      <c r="O558" s="948"/>
      <c r="P558" s="948"/>
      <c r="Q558" s="948"/>
      <c r="R558" s="949"/>
      <c r="S558" s="949"/>
      <c r="T558" s="949"/>
      <c r="U558" s="949"/>
      <c r="V558" s="949"/>
      <c r="W558" s="949"/>
      <c r="X558" s="951"/>
      <c r="Y558" s="951"/>
      <c r="Z558" s="952"/>
      <c r="AA558" s="953"/>
      <c r="AB558" s="948"/>
      <c r="AC558" s="948"/>
      <c r="AD558" s="949"/>
      <c r="AE558" s="949"/>
      <c r="AF558" s="949"/>
      <c r="AG558" s="949"/>
      <c r="AH558" s="949"/>
      <c r="AI558" s="949"/>
      <c r="AJ558" s="949"/>
      <c r="AK558" s="949"/>
      <c r="AL558" s="949"/>
      <c r="AM558" s="949"/>
      <c r="AN558" s="949"/>
      <c r="AO558" s="949"/>
      <c r="AP558" s="949"/>
      <c r="AQ558" s="949"/>
      <c r="AR558" s="949"/>
      <c r="AS558" s="949"/>
      <c r="AT558" s="949"/>
      <c r="AU558" s="949"/>
      <c r="AV558" s="949"/>
      <c r="AW558" s="949"/>
      <c r="AX558" s="949"/>
      <c r="AY558" s="949"/>
      <c r="AZ558" s="949"/>
      <c r="BA558" s="949"/>
      <c r="BB558" s="949"/>
      <c r="BC558" s="949"/>
      <c r="BD558" s="949"/>
      <c r="BE558" s="949"/>
      <c r="BF558" s="949"/>
      <c r="BG558" s="948"/>
      <c r="BH558" s="948"/>
      <c r="BI558" s="948"/>
      <c r="BJ558" s="948"/>
      <c r="BK558" s="948"/>
      <c r="BL558" s="948"/>
      <c r="BM558" s="948"/>
      <c r="BN558" s="948"/>
      <c r="BO558" s="948"/>
      <c r="BP558" s="948"/>
      <c r="BQ558" s="948"/>
      <c r="BR558" s="948"/>
      <c r="BS558" s="948"/>
      <c r="BT558" s="948"/>
      <c r="BU558" s="954"/>
    </row>
    <row r="559" spans="1:73" ht="15.75" customHeight="1" x14ac:dyDescent="0.2">
      <c r="A559" s="947"/>
      <c r="B559" s="947"/>
      <c r="C559" s="947"/>
      <c r="D559" s="948"/>
      <c r="E559" s="948"/>
      <c r="F559" s="948"/>
      <c r="G559" s="948"/>
      <c r="H559" s="948"/>
      <c r="I559" s="948"/>
      <c r="J559" s="948"/>
      <c r="K559" s="949"/>
      <c r="L559" s="949"/>
      <c r="M559" s="949"/>
      <c r="N559" s="950"/>
      <c r="O559" s="948"/>
      <c r="P559" s="948"/>
      <c r="Q559" s="948"/>
      <c r="R559" s="949"/>
      <c r="S559" s="949"/>
      <c r="T559" s="949"/>
      <c r="U559" s="949"/>
      <c r="V559" s="949"/>
      <c r="W559" s="949"/>
      <c r="X559" s="951"/>
      <c r="Y559" s="951"/>
      <c r="Z559" s="952"/>
      <c r="AA559" s="953"/>
      <c r="AB559" s="948"/>
      <c r="AC559" s="948"/>
      <c r="AD559" s="949"/>
      <c r="AE559" s="949"/>
      <c r="AF559" s="949"/>
      <c r="AG559" s="949"/>
      <c r="AH559" s="949"/>
      <c r="AI559" s="949"/>
      <c r="AJ559" s="949"/>
      <c r="AK559" s="949"/>
      <c r="AL559" s="949"/>
      <c r="AM559" s="949"/>
      <c r="AN559" s="949"/>
      <c r="AO559" s="949"/>
      <c r="AP559" s="949"/>
      <c r="AQ559" s="949"/>
      <c r="AR559" s="949"/>
      <c r="AS559" s="949"/>
      <c r="AT559" s="949"/>
      <c r="AU559" s="949"/>
      <c r="AV559" s="949"/>
      <c r="AW559" s="949"/>
      <c r="AX559" s="949"/>
      <c r="AY559" s="949"/>
      <c r="AZ559" s="949"/>
      <c r="BA559" s="949"/>
      <c r="BB559" s="949"/>
      <c r="BC559" s="949"/>
      <c r="BD559" s="949"/>
      <c r="BE559" s="949"/>
      <c r="BF559" s="949"/>
      <c r="BG559" s="948"/>
      <c r="BH559" s="948"/>
      <c r="BI559" s="948"/>
      <c r="BJ559" s="948"/>
      <c r="BK559" s="948"/>
      <c r="BL559" s="948"/>
      <c r="BM559" s="948"/>
      <c r="BN559" s="948"/>
      <c r="BO559" s="948"/>
      <c r="BP559" s="948"/>
      <c r="BQ559" s="948"/>
      <c r="BR559" s="948"/>
      <c r="BS559" s="948"/>
      <c r="BT559" s="948"/>
      <c r="BU559" s="954"/>
    </row>
    <row r="560" spans="1:73" ht="15.75" customHeight="1" x14ac:dyDescent="0.2">
      <c r="A560" s="947"/>
      <c r="B560" s="947"/>
      <c r="C560" s="947"/>
      <c r="D560" s="948"/>
      <c r="E560" s="948"/>
      <c r="F560" s="948"/>
      <c r="G560" s="948"/>
      <c r="H560" s="948"/>
      <c r="I560" s="948"/>
      <c r="J560" s="948"/>
      <c r="K560" s="949"/>
      <c r="L560" s="949"/>
      <c r="M560" s="949"/>
      <c r="N560" s="950"/>
      <c r="O560" s="948"/>
      <c r="P560" s="948"/>
      <c r="Q560" s="948"/>
      <c r="R560" s="949"/>
      <c r="S560" s="949"/>
      <c r="T560" s="949"/>
      <c r="U560" s="949"/>
      <c r="V560" s="949"/>
      <c r="W560" s="949"/>
      <c r="X560" s="951"/>
      <c r="Y560" s="951"/>
      <c r="Z560" s="952"/>
      <c r="AA560" s="953"/>
      <c r="AB560" s="948"/>
      <c r="AC560" s="948"/>
      <c r="AD560" s="949"/>
      <c r="AE560" s="949"/>
      <c r="AF560" s="949"/>
      <c r="AG560" s="949"/>
      <c r="AH560" s="949"/>
      <c r="AI560" s="949"/>
      <c r="AJ560" s="949"/>
      <c r="AK560" s="949"/>
      <c r="AL560" s="949"/>
      <c r="AM560" s="949"/>
      <c r="AN560" s="949"/>
      <c r="AO560" s="949"/>
      <c r="AP560" s="949"/>
      <c r="AQ560" s="949"/>
      <c r="AR560" s="949"/>
      <c r="AS560" s="949"/>
      <c r="AT560" s="949"/>
      <c r="AU560" s="949"/>
      <c r="AV560" s="949"/>
      <c r="AW560" s="949"/>
      <c r="AX560" s="949"/>
      <c r="AY560" s="949"/>
      <c r="AZ560" s="949"/>
      <c r="BA560" s="949"/>
      <c r="BB560" s="949"/>
      <c r="BC560" s="949"/>
      <c r="BD560" s="949"/>
      <c r="BE560" s="949"/>
      <c r="BF560" s="949"/>
      <c r="BG560" s="948"/>
      <c r="BH560" s="948"/>
      <c r="BI560" s="948"/>
      <c r="BJ560" s="948"/>
      <c r="BK560" s="948"/>
      <c r="BL560" s="948"/>
      <c r="BM560" s="948"/>
      <c r="BN560" s="948"/>
      <c r="BO560" s="948"/>
      <c r="BP560" s="948"/>
      <c r="BQ560" s="948"/>
      <c r="BR560" s="948"/>
      <c r="BS560" s="948"/>
      <c r="BT560" s="948"/>
      <c r="BU560" s="954"/>
    </row>
    <row r="561" spans="1:73" ht="15.75" customHeight="1" x14ac:dyDescent="0.2">
      <c r="A561" s="947"/>
      <c r="B561" s="947"/>
      <c r="C561" s="947"/>
      <c r="D561" s="948"/>
      <c r="E561" s="948"/>
      <c r="F561" s="948"/>
      <c r="G561" s="948"/>
      <c r="H561" s="948"/>
      <c r="I561" s="948"/>
      <c r="J561" s="948"/>
      <c r="K561" s="949"/>
      <c r="L561" s="949"/>
      <c r="M561" s="949"/>
      <c r="N561" s="950"/>
      <c r="O561" s="948"/>
      <c r="P561" s="948"/>
      <c r="Q561" s="948"/>
      <c r="R561" s="949"/>
      <c r="S561" s="949"/>
      <c r="T561" s="949"/>
      <c r="U561" s="949"/>
      <c r="V561" s="949"/>
      <c r="W561" s="949"/>
      <c r="X561" s="951"/>
      <c r="Y561" s="951"/>
      <c r="Z561" s="952"/>
      <c r="AA561" s="953"/>
      <c r="AB561" s="948"/>
      <c r="AC561" s="948"/>
      <c r="AD561" s="949"/>
      <c r="AE561" s="949"/>
      <c r="AF561" s="949"/>
      <c r="AG561" s="949"/>
      <c r="AH561" s="949"/>
      <c r="AI561" s="949"/>
      <c r="AJ561" s="949"/>
      <c r="AK561" s="949"/>
      <c r="AL561" s="949"/>
      <c r="AM561" s="949"/>
      <c r="AN561" s="949"/>
      <c r="AO561" s="949"/>
      <c r="AP561" s="949"/>
      <c r="AQ561" s="949"/>
      <c r="AR561" s="949"/>
      <c r="AS561" s="949"/>
      <c r="AT561" s="949"/>
      <c r="AU561" s="949"/>
      <c r="AV561" s="949"/>
      <c r="AW561" s="949"/>
      <c r="AX561" s="949"/>
      <c r="AY561" s="949"/>
      <c r="AZ561" s="949"/>
      <c r="BA561" s="949"/>
      <c r="BB561" s="949"/>
      <c r="BC561" s="949"/>
      <c r="BD561" s="949"/>
      <c r="BE561" s="949"/>
      <c r="BF561" s="949"/>
      <c r="BG561" s="948"/>
      <c r="BH561" s="948"/>
      <c r="BI561" s="948"/>
      <c r="BJ561" s="948"/>
      <c r="BK561" s="948"/>
      <c r="BL561" s="948"/>
      <c r="BM561" s="948"/>
      <c r="BN561" s="948"/>
      <c r="BO561" s="948"/>
      <c r="BP561" s="948"/>
      <c r="BQ561" s="948"/>
      <c r="BR561" s="948"/>
      <c r="BS561" s="948"/>
      <c r="BT561" s="948"/>
      <c r="BU561" s="954"/>
    </row>
    <row r="562" spans="1:73" ht="15.75" customHeight="1" x14ac:dyDescent="0.2">
      <c r="A562" s="947"/>
      <c r="B562" s="947"/>
      <c r="C562" s="947"/>
      <c r="D562" s="948"/>
      <c r="E562" s="948"/>
      <c r="F562" s="948"/>
      <c r="G562" s="948"/>
      <c r="H562" s="948"/>
      <c r="I562" s="948"/>
      <c r="J562" s="948"/>
      <c r="K562" s="949"/>
      <c r="L562" s="949"/>
      <c r="M562" s="949"/>
      <c r="N562" s="950"/>
      <c r="O562" s="948"/>
      <c r="P562" s="948"/>
      <c r="Q562" s="948"/>
      <c r="R562" s="949"/>
      <c r="S562" s="949"/>
      <c r="T562" s="949"/>
      <c r="U562" s="949"/>
      <c r="V562" s="949"/>
      <c r="W562" s="949"/>
      <c r="X562" s="951"/>
      <c r="Y562" s="951"/>
      <c r="Z562" s="952"/>
      <c r="AA562" s="953"/>
      <c r="AB562" s="948"/>
      <c r="AC562" s="948"/>
      <c r="AD562" s="949"/>
      <c r="AE562" s="949"/>
      <c r="AF562" s="949"/>
      <c r="AG562" s="949"/>
      <c r="AH562" s="949"/>
      <c r="AI562" s="949"/>
      <c r="AJ562" s="949"/>
      <c r="AK562" s="949"/>
      <c r="AL562" s="949"/>
      <c r="AM562" s="949"/>
      <c r="AN562" s="949"/>
      <c r="AO562" s="949"/>
      <c r="AP562" s="949"/>
      <c r="AQ562" s="949"/>
      <c r="AR562" s="949"/>
      <c r="AS562" s="949"/>
      <c r="AT562" s="949"/>
      <c r="AU562" s="949"/>
      <c r="AV562" s="949"/>
      <c r="AW562" s="949"/>
      <c r="AX562" s="949"/>
      <c r="AY562" s="949"/>
      <c r="AZ562" s="949"/>
      <c r="BA562" s="949"/>
      <c r="BB562" s="949"/>
      <c r="BC562" s="949"/>
      <c r="BD562" s="949"/>
      <c r="BE562" s="949"/>
      <c r="BF562" s="949"/>
      <c r="BG562" s="948"/>
      <c r="BH562" s="948"/>
      <c r="BI562" s="948"/>
      <c r="BJ562" s="948"/>
      <c r="BK562" s="948"/>
      <c r="BL562" s="948"/>
      <c r="BM562" s="948"/>
      <c r="BN562" s="948"/>
      <c r="BO562" s="948"/>
      <c r="BP562" s="948"/>
      <c r="BQ562" s="948"/>
      <c r="BR562" s="948"/>
      <c r="BS562" s="948"/>
      <c r="BT562" s="948"/>
      <c r="BU562" s="954"/>
    </row>
    <row r="563" spans="1:73" ht="15.75" customHeight="1" x14ac:dyDescent="0.2">
      <c r="A563" s="947"/>
      <c r="B563" s="947"/>
      <c r="C563" s="947"/>
      <c r="D563" s="948"/>
      <c r="E563" s="948"/>
      <c r="F563" s="948"/>
      <c r="G563" s="948"/>
      <c r="H563" s="948"/>
      <c r="I563" s="948"/>
      <c r="J563" s="948"/>
      <c r="K563" s="949"/>
      <c r="L563" s="949"/>
      <c r="M563" s="949"/>
      <c r="N563" s="950"/>
      <c r="O563" s="948"/>
      <c r="P563" s="948"/>
      <c r="Q563" s="948"/>
      <c r="R563" s="949"/>
      <c r="S563" s="949"/>
      <c r="T563" s="949"/>
      <c r="U563" s="949"/>
      <c r="V563" s="949"/>
      <c r="W563" s="949"/>
      <c r="X563" s="951"/>
      <c r="Y563" s="951"/>
      <c r="Z563" s="952"/>
      <c r="AA563" s="953"/>
      <c r="AB563" s="948"/>
      <c r="AC563" s="948"/>
      <c r="AD563" s="949"/>
      <c r="AE563" s="949"/>
      <c r="AF563" s="949"/>
      <c r="AG563" s="949"/>
      <c r="AH563" s="949"/>
      <c r="AI563" s="949"/>
      <c r="AJ563" s="949"/>
      <c r="AK563" s="949"/>
      <c r="AL563" s="949"/>
      <c r="AM563" s="949"/>
      <c r="AN563" s="949"/>
      <c r="AO563" s="949"/>
      <c r="AP563" s="949"/>
      <c r="AQ563" s="949"/>
      <c r="AR563" s="949"/>
      <c r="AS563" s="949"/>
      <c r="AT563" s="949"/>
      <c r="AU563" s="949"/>
      <c r="AV563" s="949"/>
      <c r="AW563" s="949"/>
      <c r="AX563" s="949"/>
      <c r="AY563" s="949"/>
      <c r="AZ563" s="949"/>
      <c r="BA563" s="949"/>
      <c r="BB563" s="949"/>
      <c r="BC563" s="949"/>
      <c r="BD563" s="949"/>
      <c r="BE563" s="949"/>
      <c r="BF563" s="949"/>
      <c r="BG563" s="948"/>
      <c r="BH563" s="948"/>
      <c r="BI563" s="948"/>
      <c r="BJ563" s="948"/>
      <c r="BK563" s="948"/>
      <c r="BL563" s="948"/>
      <c r="BM563" s="948"/>
      <c r="BN563" s="948"/>
      <c r="BO563" s="948"/>
      <c r="BP563" s="948"/>
      <c r="BQ563" s="948"/>
      <c r="BR563" s="948"/>
      <c r="BS563" s="948"/>
      <c r="BT563" s="948"/>
      <c r="BU563" s="954"/>
    </row>
    <row r="564" spans="1:73" ht="15.75" customHeight="1" x14ac:dyDescent="0.2">
      <c r="A564" s="947"/>
      <c r="B564" s="947"/>
      <c r="C564" s="947"/>
      <c r="D564" s="948"/>
      <c r="E564" s="948"/>
      <c r="F564" s="948"/>
      <c r="G564" s="948"/>
      <c r="H564" s="948"/>
      <c r="I564" s="948"/>
      <c r="J564" s="948"/>
      <c r="K564" s="949"/>
      <c r="L564" s="949"/>
      <c r="M564" s="949"/>
      <c r="N564" s="950"/>
      <c r="O564" s="948"/>
      <c r="P564" s="948"/>
      <c r="Q564" s="948"/>
      <c r="R564" s="949"/>
      <c r="S564" s="949"/>
      <c r="T564" s="949"/>
      <c r="U564" s="949"/>
      <c r="V564" s="949"/>
      <c r="W564" s="949"/>
      <c r="X564" s="951"/>
      <c r="Y564" s="951"/>
      <c r="Z564" s="952"/>
      <c r="AA564" s="953"/>
      <c r="AB564" s="948"/>
      <c r="AC564" s="948"/>
      <c r="AD564" s="949"/>
      <c r="AE564" s="949"/>
      <c r="AF564" s="949"/>
      <c r="AG564" s="949"/>
      <c r="AH564" s="949"/>
      <c r="AI564" s="949"/>
      <c r="AJ564" s="949"/>
      <c r="AK564" s="949"/>
      <c r="AL564" s="949"/>
      <c r="AM564" s="949"/>
      <c r="AN564" s="949"/>
      <c r="AO564" s="949"/>
      <c r="AP564" s="949"/>
      <c r="AQ564" s="949"/>
      <c r="AR564" s="949"/>
      <c r="AS564" s="949"/>
      <c r="AT564" s="949"/>
      <c r="AU564" s="949"/>
      <c r="AV564" s="949"/>
      <c r="AW564" s="949"/>
      <c r="AX564" s="949"/>
      <c r="AY564" s="949"/>
      <c r="AZ564" s="949"/>
      <c r="BA564" s="949"/>
      <c r="BB564" s="949"/>
      <c r="BC564" s="949"/>
      <c r="BD564" s="949"/>
      <c r="BE564" s="949"/>
      <c r="BF564" s="949"/>
      <c r="BG564" s="948"/>
      <c r="BH564" s="948"/>
      <c r="BI564" s="948"/>
      <c r="BJ564" s="948"/>
      <c r="BK564" s="948"/>
      <c r="BL564" s="948"/>
      <c r="BM564" s="948"/>
      <c r="BN564" s="948"/>
      <c r="BO564" s="948"/>
      <c r="BP564" s="948"/>
      <c r="BQ564" s="948"/>
      <c r="BR564" s="948"/>
      <c r="BS564" s="948"/>
      <c r="BT564" s="948"/>
      <c r="BU564" s="954"/>
    </row>
    <row r="565" spans="1:73" ht="15.75" customHeight="1" x14ac:dyDescent="0.2">
      <c r="A565" s="947"/>
      <c r="B565" s="947"/>
      <c r="C565" s="947"/>
      <c r="D565" s="948"/>
      <c r="E565" s="948"/>
      <c r="F565" s="948"/>
      <c r="G565" s="948"/>
      <c r="H565" s="948"/>
      <c r="I565" s="948"/>
      <c r="J565" s="948"/>
      <c r="K565" s="949"/>
      <c r="L565" s="949"/>
      <c r="M565" s="949"/>
      <c r="N565" s="950"/>
      <c r="O565" s="948"/>
      <c r="P565" s="948"/>
      <c r="Q565" s="948"/>
      <c r="R565" s="949"/>
      <c r="S565" s="949"/>
      <c r="T565" s="949"/>
      <c r="U565" s="949"/>
      <c r="V565" s="949"/>
      <c r="W565" s="949"/>
      <c r="X565" s="951"/>
      <c r="Y565" s="951"/>
      <c r="Z565" s="952"/>
      <c r="AA565" s="953"/>
      <c r="AB565" s="948"/>
      <c r="AC565" s="948"/>
      <c r="AD565" s="949"/>
      <c r="AE565" s="949"/>
      <c r="AF565" s="949"/>
      <c r="AG565" s="949"/>
      <c r="AH565" s="949"/>
      <c r="AI565" s="949"/>
      <c r="AJ565" s="949"/>
      <c r="AK565" s="949"/>
      <c r="AL565" s="949"/>
      <c r="AM565" s="949"/>
      <c r="AN565" s="949"/>
      <c r="AO565" s="949"/>
      <c r="AP565" s="949"/>
      <c r="AQ565" s="949"/>
      <c r="AR565" s="949"/>
      <c r="AS565" s="949"/>
      <c r="AT565" s="949"/>
      <c r="AU565" s="949"/>
      <c r="AV565" s="949"/>
      <c r="AW565" s="949"/>
      <c r="AX565" s="949"/>
      <c r="AY565" s="949"/>
      <c r="AZ565" s="949"/>
      <c r="BA565" s="949"/>
      <c r="BB565" s="949"/>
      <c r="BC565" s="949"/>
      <c r="BD565" s="949"/>
      <c r="BE565" s="949"/>
      <c r="BF565" s="949"/>
      <c r="BG565" s="948"/>
      <c r="BH565" s="948"/>
      <c r="BI565" s="948"/>
      <c r="BJ565" s="948"/>
      <c r="BK565" s="948"/>
      <c r="BL565" s="948"/>
      <c r="BM565" s="948"/>
      <c r="BN565" s="948"/>
      <c r="BO565" s="948"/>
      <c r="BP565" s="948"/>
      <c r="BQ565" s="948"/>
      <c r="BR565" s="948"/>
      <c r="BS565" s="948"/>
      <c r="BT565" s="948"/>
      <c r="BU565" s="954"/>
    </row>
    <row r="566" spans="1:73" ht="15.75" customHeight="1" x14ac:dyDescent="0.2">
      <c r="A566" s="947"/>
      <c r="B566" s="947"/>
      <c r="C566" s="947"/>
      <c r="D566" s="948"/>
      <c r="E566" s="948"/>
      <c r="F566" s="948"/>
      <c r="G566" s="948"/>
      <c r="H566" s="948"/>
      <c r="I566" s="948"/>
      <c r="J566" s="948"/>
      <c r="K566" s="949"/>
      <c r="L566" s="949"/>
      <c r="M566" s="949"/>
      <c r="N566" s="950"/>
      <c r="O566" s="948"/>
      <c r="P566" s="948"/>
      <c r="Q566" s="948"/>
      <c r="R566" s="949"/>
      <c r="S566" s="949"/>
      <c r="T566" s="949"/>
      <c r="U566" s="949"/>
      <c r="V566" s="949"/>
      <c r="W566" s="949"/>
      <c r="X566" s="951"/>
      <c r="Y566" s="951"/>
      <c r="Z566" s="952"/>
      <c r="AA566" s="953"/>
      <c r="AB566" s="948"/>
      <c r="AC566" s="948"/>
      <c r="AD566" s="949"/>
      <c r="AE566" s="949"/>
      <c r="AF566" s="949"/>
      <c r="AG566" s="949"/>
      <c r="AH566" s="949"/>
      <c r="AI566" s="949"/>
      <c r="AJ566" s="949"/>
      <c r="AK566" s="949"/>
      <c r="AL566" s="949"/>
      <c r="AM566" s="949"/>
      <c r="AN566" s="949"/>
      <c r="AO566" s="949"/>
      <c r="AP566" s="949"/>
      <c r="AQ566" s="949"/>
      <c r="AR566" s="949"/>
      <c r="AS566" s="949"/>
      <c r="AT566" s="949"/>
      <c r="AU566" s="949"/>
      <c r="AV566" s="949"/>
      <c r="AW566" s="949"/>
      <c r="AX566" s="949"/>
      <c r="AY566" s="949"/>
      <c r="AZ566" s="949"/>
      <c r="BA566" s="949"/>
      <c r="BB566" s="949"/>
      <c r="BC566" s="949"/>
      <c r="BD566" s="949"/>
      <c r="BE566" s="949"/>
      <c r="BF566" s="949"/>
      <c r="BG566" s="948"/>
      <c r="BH566" s="948"/>
      <c r="BI566" s="948"/>
      <c r="BJ566" s="948"/>
      <c r="BK566" s="948"/>
      <c r="BL566" s="948"/>
      <c r="BM566" s="948"/>
      <c r="BN566" s="948"/>
      <c r="BO566" s="948"/>
      <c r="BP566" s="948"/>
      <c r="BQ566" s="948"/>
      <c r="BR566" s="948"/>
      <c r="BS566" s="948"/>
      <c r="BT566" s="948"/>
      <c r="BU566" s="954"/>
    </row>
    <row r="567" spans="1:73" ht="15.75" customHeight="1" x14ac:dyDescent="0.2">
      <c r="A567" s="947"/>
      <c r="B567" s="947"/>
      <c r="C567" s="947"/>
      <c r="D567" s="948"/>
      <c r="E567" s="948"/>
      <c r="F567" s="948"/>
      <c r="G567" s="948"/>
      <c r="H567" s="948"/>
      <c r="I567" s="948"/>
      <c r="J567" s="948"/>
      <c r="K567" s="949"/>
      <c r="L567" s="949"/>
      <c r="M567" s="949"/>
      <c r="N567" s="950"/>
      <c r="O567" s="948"/>
      <c r="P567" s="948"/>
      <c r="Q567" s="948"/>
      <c r="R567" s="949"/>
      <c r="S567" s="949"/>
      <c r="T567" s="949"/>
      <c r="U567" s="949"/>
      <c r="V567" s="949"/>
      <c r="W567" s="949"/>
      <c r="X567" s="951"/>
      <c r="Y567" s="951"/>
      <c r="Z567" s="952"/>
      <c r="AA567" s="953"/>
      <c r="AB567" s="948"/>
      <c r="AC567" s="948"/>
      <c r="AD567" s="949"/>
      <c r="AE567" s="949"/>
      <c r="AF567" s="949"/>
      <c r="AG567" s="949"/>
      <c r="AH567" s="949"/>
      <c r="AI567" s="949"/>
      <c r="AJ567" s="949"/>
      <c r="AK567" s="949"/>
      <c r="AL567" s="949"/>
      <c r="AM567" s="949"/>
      <c r="AN567" s="949"/>
      <c r="AO567" s="949"/>
      <c r="AP567" s="949"/>
      <c r="AQ567" s="949"/>
      <c r="AR567" s="949"/>
      <c r="AS567" s="949"/>
      <c r="AT567" s="949"/>
      <c r="AU567" s="949"/>
      <c r="AV567" s="949"/>
      <c r="AW567" s="949"/>
      <c r="AX567" s="949"/>
      <c r="AY567" s="949"/>
      <c r="AZ567" s="949"/>
      <c r="BA567" s="949"/>
      <c r="BB567" s="949"/>
      <c r="BC567" s="949"/>
      <c r="BD567" s="949"/>
      <c r="BE567" s="949"/>
      <c r="BF567" s="949"/>
      <c r="BG567" s="948"/>
      <c r="BH567" s="948"/>
      <c r="BI567" s="948"/>
      <c r="BJ567" s="948"/>
      <c r="BK567" s="948"/>
      <c r="BL567" s="948"/>
      <c r="BM567" s="948"/>
      <c r="BN567" s="948"/>
      <c r="BO567" s="948"/>
      <c r="BP567" s="948"/>
      <c r="BQ567" s="948"/>
      <c r="BR567" s="948"/>
      <c r="BS567" s="948"/>
      <c r="BT567" s="948"/>
      <c r="BU567" s="954"/>
    </row>
    <row r="568" spans="1:73" ht="15.75" customHeight="1" x14ac:dyDescent="0.2">
      <c r="A568" s="947"/>
      <c r="B568" s="947"/>
      <c r="C568" s="947"/>
      <c r="D568" s="948"/>
      <c r="E568" s="948"/>
      <c r="F568" s="948"/>
      <c r="G568" s="948"/>
      <c r="H568" s="948"/>
      <c r="I568" s="948"/>
      <c r="J568" s="948"/>
      <c r="K568" s="949"/>
      <c r="L568" s="949"/>
      <c r="M568" s="949"/>
      <c r="N568" s="950"/>
      <c r="O568" s="948"/>
      <c r="P568" s="948"/>
      <c r="Q568" s="948"/>
      <c r="R568" s="949"/>
      <c r="S568" s="949"/>
      <c r="T568" s="949"/>
      <c r="U568" s="949"/>
      <c r="V568" s="949"/>
      <c r="W568" s="949"/>
      <c r="X568" s="951"/>
      <c r="Y568" s="951"/>
      <c r="Z568" s="952"/>
      <c r="AA568" s="953"/>
      <c r="AB568" s="948"/>
      <c r="AC568" s="948"/>
      <c r="AD568" s="949"/>
      <c r="AE568" s="949"/>
      <c r="AF568" s="949"/>
      <c r="AG568" s="949"/>
      <c r="AH568" s="949"/>
      <c r="AI568" s="949"/>
      <c r="AJ568" s="949"/>
      <c r="AK568" s="949"/>
      <c r="AL568" s="949"/>
      <c r="AM568" s="949"/>
      <c r="AN568" s="949"/>
      <c r="AO568" s="949"/>
      <c r="AP568" s="949"/>
      <c r="AQ568" s="949"/>
      <c r="AR568" s="949"/>
      <c r="AS568" s="949"/>
      <c r="AT568" s="949"/>
      <c r="AU568" s="949"/>
      <c r="AV568" s="949"/>
      <c r="AW568" s="949"/>
      <c r="AX568" s="949"/>
      <c r="AY568" s="949"/>
      <c r="AZ568" s="949"/>
      <c r="BA568" s="949"/>
      <c r="BB568" s="949"/>
      <c r="BC568" s="949"/>
      <c r="BD568" s="949"/>
      <c r="BE568" s="949"/>
      <c r="BF568" s="949"/>
      <c r="BG568" s="948"/>
      <c r="BH568" s="948"/>
      <c r="BI568" s="948"/>
      <c r="BJ568" s="948"/>
      <c r="BK568" s="948"/>
      <c r="BL568" s="948"/>
      <c r="BM568" s="948"/>
      <c r="BN568" s="948"/>
      <c r="BO568" s="948"/>
      <c r="BP568" s="948"/>
      <c r="BQ568" s="948"/>
      <c r="BR568" s="948"/>
      <c r="BS568" s="948"/>
      <c r="BT568" s="948"/>
      <c r="BU568" s="954"/>
    </row>
    <row r="569" spans="1:73" ht="15.75" customHeight="1" x14ac:dyDescent="0.2">
      <c r="A569" s="947"/>
      <c r="B569" s="947"/>
      <c r="C569" s="947"/>
      <c r="D569" s="948"/>
      <c r="E569" s="948"/>
      <c r="F569" s="948"/>
      <c r="G569" s="948"/>
      <c r="H569" s="948"/>
      <c r="I569" s="948"/>
      <c r="J569" s="948"/>
      <c r="K569" s="949"/>
      <c r="L569" s="949"/>
      <c r="M569" s="949"/>
      <c r="N569" s="950"/>
      <c r="O569" s="948"/>
      <c r="P569" s="948"/>
      <c r="Q569" s="948"/>
      <c r="R569" s="949"/>
      <c r="S569" s="949"/>
      <c r="T569" s="949"/>
      <c r="U569" s="949"/>
      <c r="V569" s="949"/>
      <c r="W569" s="949"/>
      <c r="X569" s="951"/>
      <c r="Y569" s="951"/>
      <c r="Z569" s="952"/>
      <c r="AA569" s="953"/>
      <c r="AB569" s="948"/>
      <c r="AC569" s="948"/>
      <c r="AD569" s="949"/>
      <c r="AE569" s="949"/>
      <c r="AF569" s="949"/>
      <c r="AG569" s="949"/>
      <c r="AH569" s="949"/>
      <c r="AI569" s="949"/>
      <c r="AJ569" s="949"/>
      <c r="AK569" s="949"/>
      <c r="AL569" s="949"/>
      <c r="AM569" s="949"/>
      <c r="AN569" s="949"/>
      <c r="AO569" s="949"/>
      <c r="AP569" s="949"/>
      <c r="AQ569" s="949"/>
      <c r="AR569" s="949"/>
      <c r="AS569" s="949"/>
      <c r="AT569" s="949"/>
      <c r="AU569" s="949"/>
      <c r="AV569" s="949"/>
      <c r="AW569" s="949"/>
      <c r="AX569" s="949"/>
      <c r="AY569" s="949"/>
      <c r="AZ569" s="949"/>
      <c r="BA569" s="949"/>
      <c r="BB569" s="949"/>
      <c r="BC569" s="949"/>
      <c r="BD569" s="949"/>
      <c r="BE569" s="949"/>
      <c r="BF569" s="949"/>
      <c r="BG569" s="948"/>
      <c r="BH569" s="948"/>
      <c r="BI569" s="948"/>
      <c r="BJ569" s="948"/>
      <c r="BK569" s="948"/>
      <c r="BL569" s="948"/>
      <c r="BM569" s="948"/>
      <c r="BN569" s="948"/>
      <c r="BO569" s="948"/>
      <c r="BP569" s="948"/>
      <c r="BQ569" s="948"/>
      <c r="BR569" s="948"/>
      <c r="BS569" s="948"/>
      <c r="BT569" s="948"/>
      <c r="BU569" s="954"/>
    </row>
    <row r="570" spans="1:73" ht="15.75" customHeight="1" x14ac:dyDescent="0.2">
      <c r="A570" s="947"/>
      <c r="B570" s="947"/>
      <c r="C570" s="947"/>
      <c r="D570" s="948"/>
      <c r="E570" s="948"/>
      <c r="F570" s="948"/>
      <c r="G570" s="948"/>
      <c r="H570" s="948"/>
      <c r="I570" s="948"/>
      <c r="J570" s="948"/>
      <c r="K570" s="949"/>
      <c r="L570" s="949"/>
      <c r="M570" s="949"/>
      <c r="N570" s="950"/>
      <c r="O570" s="948"/>
      <c r="P570" s="948"/>
      <c r="Q570" s="948"/>
      <c r="R570" s="949"/>
      <c r="S570" s="949"/>
      <c r="T570" s="949"/>
      <c r="U570" s="949"/>
      <c r="V570" s="949"/>
      <c r="W570" s="949"/>
      <c r="X570" s="951"/>
      <c r="Y570" s="951"/>
      <c r="Z570" s="952"/>
      <c r="AA570" s="953"/>
      <c r="AB570" s="948"/>
      <c r="AC570" s="948"/>
      <c r="AD570" s="949"/>
      <c r="AE570" s="949"/>
      <c r="AF570" s="949"/>
      <c r="AG570" s="949"/>
      <c r="AH570" s="949"/>
      <c r="AI570" s="949"/>
      <c r="AJ570" s="949"/>
      <c r="AK570" s="949"/>
      <c r="AL570" s="949"/>
      <c r="AM570" s="949"/>
      <c r="AN570" s="949"/>
      <c r="AO570" s="949"/>
      <c r="AP570" s="949"/>
      <c r="AQ570" s="949"/>
      <c r="AR570" s="949"/>
      <c r="AS570" s="949"/>
      <c r="AT570" s="949"/>
      <c r="AU570" s="949"/>
      <c r="AV570" s="949"/>
      <c r="AW570" s="949"/>
      <c r="AX570" s="949"/>
      <c r="AY570" s="949"/>
      <c r="AZ570" s="949"/>
      <c r="BA570" s="949"/>
      <c r="BB570" s="949"/>
      <c r="BC570" s="949"/>
      <c r="BD570" s="949"/>
      <c r="BE570" s="949"/>
      <c r="BF570" s="949"/>
      <c r="BG570" s="948"/>
      <c r="BH570" s="948"/>
      <c r="BI570" s="948"/>
      <c r="BJ570" s="948"/>
      <c r="BK570" s="948"/>
      <c r="BL570" s="948"/>
      <c r="BM570" s="948"/>
      <c r="BN570" s="948"/>
      <c r="BO570" s="948"/>
      <c r="BP570" s="948"/>
      <c r="BQ570" s="948"/>
      <c r="BR570" s="948"/>
      <c r="BS570" s="948"/>
      <c r="BT570" s="948"/>
      <c r="BU570" s="954"/>
    </row>
    <row r="571" spans="1:73" ht="15.75" customHeight="1" x14ac:dyDescent="0.2">
      <c r="A571" s="947"/>
      <c r="B571" s="947"/>
      <c r="C571" s="947"/>
      <c r="D571" s="948"/>
      <c r="E571" s="948"/>
      <c r="F571" s="948"/>
      <c r="G571" s="948"/>
      <c r="H571" s="948"/>
      <c r="I571" s="948"/>
      <c r="J571" s="948"/>
      <c r="K571" s="949"/>
      <c r="L571" s="949"/>
      <c r="M571" s="949"/>
      <c r="N571" s="950"/>
      <c r="O571" s="948"/>
      <c r="P571" s="948"/>
      <c r="Q571" s="948"/>
      <c r="R571" s="949"/>
      <c r="S571" s="949"/>
      <c r="T571" s="949"/>
      <c r="U571" s="949"/>
      <c r="V571" s="949"/>
      <c r="W571" s="949"/>
      <c r="X571" s="951"/>
      <c r="Y571" s="951"/>
      <c r="Z571" s="952"/>
      <c r="AA571" s="953"/>
      <c r="AB571" s="948"/>
      <c r="AC571" s="948"/>
      <c r="AD571" s="949"/>
      <c r="AE571" s="949"/>
      <c r="AF571" s="949"/>
      <c r="AG571" s="949"/>
      <c r="AH571" s="949"/>
      <c r="AI571" s="949"/>
      <c r="AJ571" s="949"/>
      <c r="AK571" s="949"/>
      <c r="AL571" s="949"/>
      <c r="AM571" s="949"/>
      <c r="AN571" s="949"/>
      <c r="AO571" s="949"/>
      <c r="AP571" s="949"/>
      <c r="AQ571" s="949"/>
      <c r="AR571" s="949"/>
      <c r="AS571" s="949"/>
      <c r="AT571" s="949"/>
      <c r="AU571" s="949"/>
      <c r="AV571" s="949"/>
      <c r="AW571" s="949"/>
      <c r="AX571" s="949"/>
      <c r="AY571" s="949"/>
      <c r="AZ571" s="949"/>
      <c r="BA571" s="949"/>
      <c r="BB571" s="949"/>
      <c r="BC571" s="949"/>
      <c r="BD571" s="949"/>
      <c r="BE571" s="949"/>
      <c r="BF571" s="949"/>
      <c r="BG571" s="948"/>
      <c r="BH571" s="948"/>
      <c r="BI571" s="948"/>
      <c r="BJ571" s="948"/>
      <c r="BK571" s="948"/>
      <c r="BL571" s="948"/>
      <c r="BM571" s="948"/>
      <c r="BN571" s="948"/>
      <c r="BO571" s="948"/>
      <c r="BP571" s="948"/>
      <c r="BQ571" s="948"/>
      <c r="BR571" s="948"/>
      <c r="BS571" s="948"/>
      <c r="BT571" s="948"/>
      <c r="BU571" s="954"/>
    </row>
    <row r="572" spans="1:73" ht="15.75" customHeight="1" x14ac:dyDescent="0.2">
      <c r="A572" s="947"/>
      <c r="B572" s="947"/>
      <c r="C572" s="947"/>
      <c r="D572" s="948"/>
      <c r="E572" s="948"/>
      <c r="F572" s="948"/>
      <c r="G572" s="948"/>
      <c r="H572" s="948"/>
      <c r="I572" s="948"/>
      <c r="J572" s="948"/>
      <c r="K572" s="949"/>
      <c r="L572" s="949"/>
      <c r="M572" s="949"/>
      <c r="N572" s="950"/>
      <c r="O572" s="948"/>
      <c r="P572" s="948"/>
      <c r="Q572" s="948"/>
      <c r="R572" s="949"/>
      <c r="S572" s="949"/>
      <c r="T572" s="949"/>
      <c r="U572" s="949"/>
      <c r="V572" s="949"/>
      <c r="W572" s="949"/>
      <c r="X572" s="951"/>
      <c r="Y572" s="951"/>
      <c r="Z572" s="952"/>
      <c r="AA572" s="953"/>
      <c r="AB572" s="948"/>
      <c r="AC572" s="948"/>
      <c r="AD572" s="949"/>
      <c r="AE572" s="949"/>
      <c r="AF572" s="949"/>
      <c r="AG572" s="949"/>
      <c r="AH572" s="949"/>
      <c r="AI572" s="949"/>
      <c r="AJ572" s="949"/>
      <c r="AK572" s="949"/>
      <c r="AL572" s="949"/>
      <c r="AM572" s="949"/>
      <c r="AN572" s="949"/>
      <c r="AO572" s="949"/>
      <c r="AP572" s="949"/>
      <c r="AQ572" s="949"/>
      <c r="AR572" s="949"/>
      <c r="AS572" s="949"/>
      <c r="AT572" s="949"/>
      <c r="AU572" s="949"/>
      <c r="AV572" s="949"/>
      <c r="AW572" s="949"/>
      <c r="AX572" s="949"/>
      <c r="AY572" s="949"/>
      <c r="AZ572" s="949"/>
      <c r="BA572" s="949"/>
      <c r="BB572" s="949"/>
      <c r="BC572" s="949"/>
      <c r="BD572" s="949"/>
      <c r="BE572" s="949"/>
      <c r="BF572" s="949"/>
      <c r="BG572" s="948"/>
      <c r="BH572" s="948"/>
      <c r="BI572" s="948"/>
      <c r="BJ572" s="948"/>
      <c r="BK572" s="948"/>
      <c r="BL572" s="948"/>
      <c r="BM572" s="948"/>
      <c r="BN572" s="948"/>
      <c r="BO572" s="948"/>
      <c r="BP572" s="948"/>
      <c r="BQ572" s="948"/>
      <c r="BR572" s="948"/>
      <c r="BS572" s="948"/>
      <c r="BT572" s="948"/>
      <c r="BU572" s="954"/>
    </row>
    <row r="573" spans="1:73" ht="15.75" customHeight="1" x14ac:dyDescent="0.2">
      <c r="A573" s="947"/>
      <c r="B573" s="947"/>
      <c r="C573" s="947"/>
      <c r="D573" s="948"/>
      <c r="E573" s="948"/>
      <c r="F573" s="948"/>
      <c r="G573" s="948"/>
      <c r="H573" s="948"/>
      <c r="I573" s="948"/>
      <c r="J573" s="948"/>
      <c r="K573" s="949"/>
      <c r="L573" s="949"/>
      <c r="M573" s="949"/>
      <c r="N573" s="950"/>
      <c r="O573" s="948"/>
      <c r="P573" s="948"/>
      <c r="Q573" s="948"/>
      <c r="R573" s="949"/>
      <c r="S573" s="949"/>
      <c r="T573" s="949"/>
      <c r="U573" s="949"/>
      <c r="V573" s="949"/>
      <c r="W573" s="949"/>
      <c r="X573" s="951"/>
      <c r="Y573" s="951"/>
      <c r="Z573" s="952"/>
      <c r="AA573" s="953"/>
      <c r="AB573" s="948"/>
      <c r="AC573" s="948"/>
      <c r="AD573" s="949"/>
      <c r="AE573" s="949"/>
      <c r="AF573" s="949"/>
      <c r="AG573" s="949"/>
      <c r="AH573" s="949"/>
      <c r="AI573" s="949"/>
      <c r="AJ573" s="949"/>
      <c r="AK573" s="949"/>
      <c r="AL573" s="949"/>
      <c r="AM573" s="949"/>
      <c r="AN573" s="949"/>
      <c r="AO573" s="949"/>
      <c r="AP573" s="949"/>
      <c r="AQ573" s="949"/>
      <c r="AR573" s="949"/>
      <c r="AS573" s="949"/>
      <c r="AT573" s="949"/>
      <c r="AU573" s="949"/>
      <c r="AV573" s="949"/>
      <c r="AW573" s="949"/>
      <c r="AX573" s="949"/>
      <c r="AY573" s="949"/>
      <c r="AZ573" s="949"/>
      <c r="BA573" s="949"/>
      <c r="BB573" s="949"/>
      <c r="BC573" s="949"/>
      <c r="BD573" s="949"/>
      <c r="BE573" s="949"/>
      <c r="BF573" s="949"/>
      <c r="BG573" s="948"/>
      <c r="BH573" s="948"/>
      <c r="BI573" s="948"/>
      <c r="BJ573" s="948"/>
      <c r="BK573" s="948"/>
      <c r="BL573" s="948"/>
      <c r="BM573" s="948"/>
      <c r="BN573" s="948"/>
      <c r="BO573" s="948"/>
      <c r="BP573" s="948"/>
      <c r="BQ573" s="948"/>
      <c r="BR573" s="948"/>
      <c r="BS573" s="948"/>
      <c r="BT573" s="948"/>
      <c r="BU573" s="954"/>
    </row>
    <row r="574" spans="1:73" ht="15.75" customHeight="1" x14ac:dyDescent="0.2">
      <c r="A574" s="947"/>
      <c r="B574" s="947"/>
      <c r="C574" s="947"/>
      <c r="D574" s="948"/>
      <c r="E574" s="948"/>
      <c r="F574" s="948"/>
      <c r="G574" s="948"/>
      <c r="H574" s="948"/>
      <c r="I574" s="948"/>
      <c r="J574" s="948"/>
      <c r="K574" s="949"/>
      <c r="L574" s="949"/>
      <c r="M574" s="949"/>
      <c r="N574" s="950"/>
      <c r="O574" s="948"/>
      <c r="P574" s="948"/>
      <c r="Q574" s="948"/>
      <c r="R574" s="949"/>
      <c r="S574" s="949"/>
      <c r="T574" s="949"/>
      <c r="U574" s="949"/>
      <c r="V574" s="949"/>
      <c r="W574" s="949"/>
      <c r="X574" s="951"/>
      <c r="Y574" s="951"/>
      <c r="Z574" s="952"/>
      <c r="AA574" s="953"/>
      <c r="AB574" s="948"/>
      <c r="AC574" s="948"/>
      <c r="AD574" s="949"/>
      <c r="AE574" s="949"/>
      <c r="AF574" s="949"/>
      <c r="AG574" s="949"/>
      <c r="AH574" s="949"/>
      <c r="AI574" s="949"/>
      <c r="AJ574" s="949"/>
      <c r="AK574" s="949"/>
      <c r="AL574" s="949"/>
      <c r="AM574" s="949"/>
      <c r="AN574" s="949"/>
      <c r="AO574" s="949"/>
      <c r="AP574" s="949"/>
      <c r="AQ574" s="949"/>
      <c r="AR574" s="949"/>
      <c r="AS574" s="949"/>
      <c r="AT574" s="949"/>
      <c r="AU574" s="949"/>
      <c r="AV574" s="949"/>
      <c r="AW574" s="949"/>
      <c r="AX574" s="949"/>
      <c r="AY574" s="949"/>
      <c r="AZ574" s="949"/>
      <c r="BA574" s="949"/>
      <c r="BB574" s="949"/>
      <c r="BC574" s="949"/>
      <c r="BD574" s="949"/>
      <c r="BE574" s="949"/>
      <c r="BF574" s="949"/>
      <c r="BG574" s="948"/>
      <c r="BH574" s="948"/>
      <c r="BI574" s="948"/>
      <c r="BJ574" s="948"/>
      <c r="BK574" s="948"/>
      <c r="BL574" s="948"/>
      <c r="BM574" s="948"/>
      <c r="BN574" s="948"/>
      <c r="BO574" s="948"/>
      <c r="BP574" s="948"/>
      <c r="BQ574" s="948"/>
      <c r="BR574" s="948"/>
      <c r="BS574" s="948"/>
      <c r="BT574" s="948"/>
      <c r="BU574" s="954"/>
    </row>
    <row r="575" spans="1:73" ht="15.75" customHeight="1" x14ac:dyDescent="0.2">
      <c r="A575" s="947"/>
      <c r="B575" s="947"/>
      <c r="C575" s="947"/>
      <c r="D575" s="948"/>
      <c r="E575" s="948"/>
      <c r="F575" s="948"/>
      <c r="G575" s="948"/>
      <c r="H575" s="948"/>
      <c r="I575" s="948"/>
      <c r="J575" s="948"/>
      <c r="K575" s="949"/>
      <c r="L575" s="949"/>
      <c r="M575" s="949"/>
      <c r="N575" s="950"/>
      <c r="O575" s="948"/>
      <c r="P575" s="948"/>
      <c r="Q575" s="948"/>
      <c r="R575" s="949"/>
      <c r="S575" s="949"/>
      <c r="T575" s="949"/>
      <c r="U575" s="949"/>
      <c r="V575" s="949"/>
      <c r="W575" s="949"/>
      <c r="X575" s="951"/>
      <c r="Y575" s="951"/>
      <c r="Z575" s="952"/>
      <c r="AA575" s="953"/>
      <c r="AB575" s="948"/>
      <c r="AC575" s="948"/>
      <c r="AD575" s="949"/>
      <c r="AE575" s="949"/>
      <c r="AF575" s="949"/>
      <c r="AG575" s="949"/>
      <c r="AH575" s="949"/>
      <c r="AI575" s="949"/>
      <c r="AJ575" s="949"/>
      <c r="AK575" s="949"/>
      <c r="AL575" s="949"/>
      <c r="AM575" s="949"/>
      <c r="AN575" s="949"/>
      <c r="AO575" s="949"/>
      <c r="AP575" s="949"/>
      <c r="AQ575" s="949"/>
      <c r="AR575" s="949"/>
      <c r="AS575" s="949"/>
      <c r="AT575" s="949"/>
      <c r="AU575" s="949"/>
      <c r="AV575" s="949"/>
      <c r="AW575" s="949"/>
      <c r="AX575" s="949"/>
      <c r="AY575" s="949"/>
      <c r="AZ575" s="949"/>
      <c r="BA575" s="949"/>
      <c r="BB575" s="949"/>
      <c r="BC575" s="949"/>
      <c r="BD575" s="949"/>
      <c r="BE575" s="949"/>
      <c r="BF575" s="949"/>
      <c r="BG575" s="948"/>
      <c r="BH575" s="948"/>
      <c r="BI575" s="948"/>
      <c r="BJ575" s="948"/>
      <c r="BK575" s="948"/>
      <c r="BL575" s="948"/>
      <c r="BM575" s="948"/>
      <c r="BN575" s="948"/>
      <c r="BO575" s="948"/>
      <c r="BP575" s="948"/>
      <c r="BQ575" s="948"/>
      <c r="BR575" s="948"/>
      <c r="BS575" s="948"/>
      <c r="BT575" s="948"/>
      <c r="BU575" s="954"/>
    </row>
    <row r="576" spans="1:73" ht="15.75" customHeight="1" x14ac:dyDescent="0.2">
      <c r="A576" s="947"/>
      <c r="B576" s="947"/>
      <c r="C576" s="947"/>
      <c r="D576" s="948"/>
      <c r="E576" s="948"/>
      <c r="F576" s="948"/>
      <c r="G576" s="948"/>
      <c r="H576" s="948"/>
      <c r="I576" s="948"/>
      <c r="J576" s="948"/>
      <c r="K576" s="949"/>
      <c r="L576" s="949"/>
      <c r="M576" s="949"/>
      <c r="N576" s="950"/>
      <c r="O576" s="948"/>
      <c r="P576" s="948"/>
      <c r="Q576" s="948"/>
      <c r="R576" s="949"/>
      <c r="S576" s="949"/>
      <c r="T576" s="949"/>
      <c r="U576" s="949"/>
      <c r="V576" s="949"/>
      <c r="W576" s="949"/>
      <c r="X576" s="951"/>
      <c r="Y576" s="951"/>
      <c r="Z576" s="952"/>
      <c r="AA576" s="953"/>
      <c r="AB576" s="948"/>
      <c r="AC576" s="948"/>
      <c r="AD576" s="949"/>
      <c r="AE576" s="949"/>
      <c r="AF576" s="949"/>
      <c r="AG576" s="949"/>
      <c r="AH576" s="949"/>
      <c r="AI576" s="949"/>
      <c r="AJ576" s="949"/>
      <c r="AK576" s="949"/>
      <c r="AL576" s="949"/>
      <c r="AM576" s="949"/>
      <c r="AN576" s="949"/>
      <c r="AO576" s="949"/>
      <c r="AP576" s="949"/>
      <c r="AQ576" s="949"/>
      <c r="AR576" s="949"/>
      <c r="AS576" s="949"/>
      <c r="AT576" s="949"/>
      <c r="AU576" s="949"/>
      <c r="AV576" s="949"/>
      <c r="AW576" s="949"/>
      <c r="AX576" s="949"/>
      <c r="AY576" s="949"/>
      <c r="AZ576" s="949"/>
      <c r="BA576" s="949"/>
      <c r="BB576" s="949"/>
      <c r="BC576" s="949"/>
      <c r="BD576" s="949"/>
      <c r="BE576" s="949"/>
      <c r="BF576" s="949"/>
      <c r="BG576" s="948"/>
      <c r="BH576" s="948"/>
      <c r="BI576" s="948"/>
      <c r="BJ576" s="948"/>
      <c r="BK576" s="948"/>
      <c r="BL576" s="948"/>
      <c r="BM576" s="948"/>
      <c r="BN576" s="948"/>
      <c r="BO576" s="948"/>
      <c r="BP576" s="948"/>
      <c r="BQ576" s="948"/>
      <c r="BR576" s="948"/>
      <c r="BS576" s="948"/>
      <c r="BT576" s="948"/>
      <c r="BU576" s="954"/>
    </row>
    <row r="577" spans="1:73" ht="15.75" customHeight="1" x14ac:dyDescent="0.2">
      <c r="A577" s="947"/>
      <c r="B577" s="947"/>
      <c r="C577" s="947"/>
      <c r="D577" s="948"/>
      <c r="E577" s="948"/>
      <c r="F577" s="948"/>
      <c r="G577" s="948"/>
      <c r="H577" s="948"/>
      <c r="I577" s="948"/>
      <c r="J577" s="948"/>
      <c r="K577" s="949"/>
      <c r="L577" s="949"/>
      <c r="M577" s="949"/>
      <c r="N577" s="950"/>
      <c r="O577" s="948"/>
      <c r="P577" s="948"/>
      <c r="Q577" s="948"/>
      <c r="R577" s="949"/>
      <c r="S577" s="949"/>
      <c r="T577" s="949"/>
      <c r="U577" s="949"/>
      <c r="V577" s="949"/>
      <c r="W577" s="949"/>
      <c r="X577" s="951"/>
      <c r="Y577" s="951"/>
      <c r="Z577" s="952"/>
      <c r="AA577" s="953"/>
      <c r="AB577" s="948"/>
      <c r="AC577" s="948"/>
      <c r="AD577" s="949"/>
      <c r="AE577" s="949"/>
      <c r="AF577" s="949"/>
      <c r="AG577" s="949"/>
      <c r="AH577" s="949"/>
      <c r="AI577" s="949"/>
      <c r="AJ577" s="949"/>
      <c r="AK577" s="949"/>
      <c r="AL577" s="949"/>
      <c r="AM577" s="949"/>
      <c r="AN577" s="949"/>
      <c r="AO577" s="949"/>
      <c r="AP577" s="949"/>
      <c r="AQ577" s="949"/>
      <c r="AR577" s="949"/>
      <c r="AS577" s="949"/>
      <c r="AT577" s="949"/>
      <c r="AU577" s="949"/>
      <c r="AV577" s="949"/>
      <c r="AW577" s="949"/>
      <c r="AX577" s="949"/>
      <c r="AY577" s="949"/>
      <c r="AZ577" s="949"/>
      <c r="BA577" s="949"/>
      <c r="BB577" s="949"/>
      <c r="BC577" s="949"/>
      <c r="BD577" s="949"/>
      <c r="BE577" s="949"/>
      <c r="BF577" s="949"/>
      <c r="BG577" s="948"/>
      <c r="BH577" s="948"/>
      <c r="BI577" s="948"/>
      <c r="BJ577" s="948"/>
      <c r="BK577" s="948"/>
      <c r="BL577" s="948"/>
      <c r="BM577" s="948"/>
      <c r="BN577" s="948"/>
      <c r="BO577" s="948"/>
      <c r="BP577" s="948"/>
      <c r="BQ577" s="948"/>
      <c r="BR577" s="948"/>
      <c r="BS577" s="948"/>
      <c r="BT577" s="948"/>
      <c r="BU577" s="954"/>
    </row>
    <row r="578" spans="1:73" ht="15.75" customHeight="1" x14ac:dyDescent="0.2">
      <c r="A578" s="947"/>
      <c r="B578" s="947"/>
      <c r="C578" s="947"/>
      <c r="D578" s="948"/>
      <c r="E578" s="948"/>
      <c r="F578" s="948"/>
      <c r="G578" s="948"/>
      <c r="H578" s="948"/>
      <c r="I578" s="948"/>
      <c r="J578" s="948"/>
      <c r="K578" s="949"/>
      <c r="L578" s="949"/>
      <c r="M578" s="949"/>
      <c r="N578" s="950"/>
      <c r="O578" s="948"/>
      <c r="P578" s="948"/>
      <c r="Q578" s="948"/>
      <c r="R578" s="949"/>
      <c r="S578" s="949"/>
      <c r="T578" s="949"/>
      <c r="U578" s="949"/>
      <c r="V578" s="949"/>
      <c r="W578" s="949"/>
      <c r="X578" s="951"/>
      <c r="Y578" s="951"/>
      <c r="Z578" s="952"/>
      <c r="AA578" s="953"/>
      <c r="AB578" s="948"/>
      <c r="AC578" s="948"/>
      <c r="AD578" s="949"/>
      <c r="AE578" s="949"/>
      <c r="AF578" s="949"/>
      <c r="AG578" s="949"/>
      <c r="AH578" s="949"/>
      <c r="AI578" s="949"/>
      <c r="AJ578" s="949"/>
      <c r="AK578" s="949"/>
      <c r="AL578" s="949"/>
      <c r="AM578" s="949"/>
      <c r="AN578" s="949"/>
      <c r="AO578" s="949"/>
      <c r="AP578" s="949"/>
      <c r="AQ578" s="949"/>
      <c r="AR578" s="949"/>
      <c r="AS578" s="949"/>
      <c r="AT578" s="949"/>
      <c r="AU578" s="949"/>
      <c r="AV578" s="949"/>
      <c r="AW578" s="949"/>
      <c r="AX578" s="949"/>
      <c r="AY578" s="949"/>
      <c r="AZ578" s="949"/>
      <c r="BA578" s="949"/>
      <c r="BB578" s="949"/>
      <c r="BC578" s="949"/>
      <c r="BD578" s="949"/>
      <c r="BE578" s="949"/>
      <c r="BF578" s="949"/>
      <c r="BG578" s="948"/>
      <c r="BH578" s="948"/>
      <c r="BI578" s="948"/>
      <c r="BJ578" s="948"/>
      <c r="BK578" s="948"/>
      <c r="BL578" s="948"/>
      <c r="BM578" s="948"/>
      <c r="BN578" s="948"/>
      <c r="BO578" s="948"/>
      <c r="BP578" s="948"/>
      <c r="BQ578" s="948"/>
      <c r="BR578" s="948"/>
      <c r="BS578" s="948"/>
      <c r="BT578" s="948"/>
      <c r="BU578" s="954"/>
    </row>
    <row r="579" spans="1:73" ht="15.75" customHeight="1" x14ac:dyDescent="0.2">
      <c r="A579" s="947"/>
      <c r="B579" s="947"/>
      <c r="C579" s="947"/>
      <c r="D579" s="948"/>
      <c r="E579" s="948"/>
      <c r="F579" s="948"/>
      <c r="G579" s="948"/>
      <c r="H579" s="948"/>
      <c r="I579" s="948"/>
      <c r="J579" s="948"/>
      <c r="K579" s="949"/>
      <c r="L579" s="949"/>
      <c r="M579" s="949"/>
      <c r="N579" s="950"/>
      <c r="O579" s="948"/>
      <c r="P579" s="948"/>
      <c r="Q579" s="948"/>
      <c r="R579" s="949"/>
      <c r="S579" s="949"/>
      <c r="T579" s="949"/>
      <c r="U579" s="949"/>
      <c r="V579" s="949"/>
      <c r="W579" s="949"/>
      <c r="X579" s="951"/>
      <c r="Y579" s="951"/>
      <c r="Z579" s="952"/>
      <c r="AA579" s="953"/>
      <c r="AB579" s="948"/>
      <c r="AC579" s="948"/>
      <c r="AD579" s="949"/>
      <c r="AE579" s="949"/>
      <c r="AF579" s="949"/>
      <c r="AG579" s="949"/>
      <c r="AH579" s="949"/>
      <c r="AI579" s="949"/>
      <c r="AJ579" s="949"/>
      <c r="AK579" s="949"/>
      <c r="AL579" s="949"/>
      <c r="AM579" s="949"/>
      <c r="AN579" s="949"/>
      <c r="AO579" s="949"/>
      <c r="AP579" s="949"/>
      <c r="AQ579" s="949"/>
      <c r="AR579" s="949"/>
      <c r="AS579" s="949"/>
      <c r="AT579" s="949"/>
      <c r="AU579" s="949"/>
      <c r="AV579" s="949"/>
      <c r="AW579" s="949"/>
      <c r="AX579" s="949"/>
      <c r="AY579" s="949"/>
      <c r="AZ579" s="949"/>
      <c r="BA579" s="949"/>
      <c r="BB579" s="949"/>
      <c r="BC579" s="949"/>
      <c r="BD579" s="949"/>
      <c r="BE579" s="949"/>
      <c r="BF579" s="949"/>
      <c r="BG579" s="948"/>
      <c r="BH579" s="948"/>
      <c r="BI579" s="948"/>
      <c r="BJ579" s="948"/>
      <c r="BK579" s="948"/>
      <c r="BL579" s="948"/>
      <c r="BM579" s="948"/>
      <c r="BN579" s="948"/>
      <c r="BO579" s="948"/>
      <c r="BP579" s="948"/>
      <c r="BQ579" s="948"/>
      <c r="BR579" s="948"/>
      <c r="BS579" s="948"/>
      <c r="BT579" s="948"/>
      <c r="BU579" s="954"/>
    </row>
    <row r="580" spans="1:73" ht="15.75" customHeight="1" x14ac:dyDescent="0.2">
      <c r="A580" s="947"/>
      <c r="B580" s="947"/>
      <c r="C580" s="947"/>
      <c r="D580" s="948"/>
      <c r="E580" s="948"/>
      <c r="F580" s="948"/>
      <c r="G580" s="948"/>
      <c r="H580" s="948"/>
      <c r="I580" s="948"/>
      <c r="J580" s="948"/>
      <c r="K580" s="949"/>
      <c r="L580" s="949"/>
      <c r="M580" s="949"/>
      <c r="N580" s="950"/>
      <c r="O580" s="948"/>
      <c r="P580" s="948"/>
      <c r="Q580" s="948"/>
      <c r="R580" s="949"/>
      <c r="S580" s="949"/>
      <c r="T580" s="949"/>
      <c r="U580" s="949"/>
      <c r="V580" s="949"/>
      <c r="W580" s="949"/>
      <c r="X580" s="951"/>
      <c r="Y580" s="951"/>
      <c r="Z580" s="952"/>
      <c r="AA580" s="953"/>
      <c r="AB580" s="948"/>
      <c r="AC580" s="948"/>
      <c r="AD580" s="949"/>
      <c r="AE580" s="949"/>
      <c r="AF580" s="949"/>
      <c r="AG580" s="949"/>
      <c r="AH580" s="949"/>
      <c r="AI580" s="949"/>
      <c r="AJ580" s="949"/>
      <c r="AK580" s="949"/>
      <c r="AL580" s="949"/>
      <c r="AM580" s="949"/>
      <c r="AN580" s="949"/>
      <c r="AO580" s="949"/>
      <c r="AP580" s="949"/>
      <c r="AQ580" s="949"/>
      <c r="AR580" s="949"/>
      <c r="AS580" s="949"/>
      <c r="AT580" s="949"/>
      <c r="AU580" s="949"/>
      <c r="AV580" s="949"/>
      <c r="AW580" s="949"/>
      <c r="AX580" s="949"/>
      <c r="AY580" s="949"/>
      <c r="AZ580" s="949"/>
      <c r="BA580" s="949"/>
      <c r="BB580" s="949"/>
      <c r="BC580" s="949"/>
      <c r="BD580" s="949"/>
      <c r="BE580" s="949"/>
      <c r="BF580" s="949"/>
      <c r="BG580" s="948"/>
      <c r="BH580" s="948"/>
      <c r="BI580" s="948"/>
      <c r="BJ580" s="948"/>
      <c r="BK580" s="948"/>
      <c r="BL580" s="948"/>
      <c r="BM580" s="948"/>
      <c r="BN580" s="948"/>
      <c r="BO580" s="948"/>
      <c r="BP580" s="948"/>
      <c r="BQ580" s="948"/>
      <c r="BR580" s="948"/>
      <c r="BS580" s="948"/>
      <c r="BT580" s="948"/>
      <c r="BU580" s="954"/>
    </row>
    <row r="581" spans="1:73" ht="15.75" customHeight="1" x14ac:dyDescent="0.2">
      <c r="A581" s="947"/>
      <c r="B581" s="947"/>
      <c r="C581" s="947"/>
      <c r="D581" s="948"/>
      <c r="E581" s="948"/>
      <c r="F581" s="948"/>
      <c r="G581" s="948"/>
      <c r="H581" s="948"/>
      <c r="I581" s="948"/>
      <c r="J581" s="948"/>
      <c r="K581" s="949"/>
      <c r="L581" s="949"/>
      <c r="M581" s="949"/>
      <c r="N581" s="950"/>
      <c r="O581" s="948"/>
      <c r="P581" s="948"/>
      <c r="Q581" s="948"/>
      <c r="R581" s="949"/>
      <c r="S581" s="949"/>
      <c r="T581" s="949"/>
      <c r="U581" s="949"/>
      <c r="V581" s="949"/>
      <c r="W581" s="949"/>
      <c r="X581" s="951"/>
      <c r="Y581" s="951"/>
      <c r="Z581" s="952"/>
      <c r="AA581" s="953"/>
      <c r="AB581" s="948"/>
      <c r="AC581" s="948"/>
      <c r="AD581" s="949"/>
      <c r="AE581" s="949"/>
      <c r="AF581" s="949"/>
      <c r="AG581" s="949"/>
      <c r="AH581" s="949"/>
      <c r="AI581" s="949"/>
      <c r="AJ581" s="949"/>
      <c r="AK581" s="949"/>
      <c r="AL581" s="949"/>
      <c r="AM581" s="949"/>
      <c r="AN581" s="949"/>
      <c r="AO581" s="949"/>
      <c r="AP581" s="949"/>
      <c r="AQ581" s="949"/>
      <c r="AR581" s="949"/>
      <c r="AS581" s="949"/>
      <c r="AT581" s="949"/>
      <c r="AU581" s="949"/>
      <c r="AV581" s="949"/>
      <c r="AW581" s="949"/>
      <c r="AX581" s="949"/>
      <c r="AY581" s="949"/>
      <c r="AZ581" s="949"/>
      <c r="BA581" s="949"/>
      <c r="BB581" s="949"/>
      <c r="BC581" s="949"/>
      <c r="BD581" s="949"/>
      <c r="BE581" s="949"/>
      <c r="BF581" s="949"/>
      <c r="BG581" s="948"/>
      <c r="BH581" s="948"/>
      <c r="BI581" s="948"/>
      <c r="BJ581" s="948"/>
      <c r="BK581" s="948"/>
      <c r="BL581" s="948"/>
      <c r="BM581" s="948"/>
      <c r="BN581" s="948"/>
      <c r="BO581" s="948"/>
      <c r="BP581" s="948"/>
      <c r="BQ581" s="948"/>
      <c r="BR581" s="948"/>
      <c r="BS581" s="948"/>
      <c r="BT581" s="948"/>
      <c r="BU581" s="954"/>
    </row>
    <row r="582" spans="1:73" ht="15.75" customHeight="1" x14ac:dyDescent="0.2">
      <c r="A582" s="947"/>
      <c r="B582" s="947"/>
      <c r="C582" s="947"/>
      <c r="D582" s="948"/>
      <c r="E582" s="948"/>
      <c r="F582" s="948"/>
      <c r="G582" s="948"/>
      <c r="H582" s="948"/>
      <c r="I582" s="948"/>
      <c r="J582" s="948"/>
      <c r="K582" s="949"/>
      <c r="L582" s="949"/>
      <c r="M582" s="949"/>
      <c r="N582" s="950"/>
      <c r="O582" s="948"/>
      <c r="P582" s="948"/>
      <c r="Q582" s="948"/>
      <c r="R582" s="949"/>
      <c r="S582" s="949"/>
      <c r="T582" s="949"/>
      <c r="U582" s="949"/>
      <c r="V582" s="949"/>
      <c r="W582" s="949"/>
      <c r="X582" s="951"/>
      <c r="Y582" s="951"/>
      <c r="Z582" s="952"/>
      <c r="AA582" s="953"/>
      <c r="AB582" s="948"/>
      <c r="AC582" s="948"/>
      <c r="AD582" s="949"/>
      <c r="AE582" s="949"/>
      <c r="AF582" s="949"/>
      <c r="AG582" s="949"/>
      <c r="AH582" s="949"/>
      <c r="AI582" s="949"/>
      <c r="AJ582" s="949"/>
      <c r="AK582" s="949"/>
      <c r="AL582" s="949"/>
      <c r="AM582" s="949"/>
      <c r="AN582" s="949"/>
      <c r="AO582" s="949"/>
      <c r="AP582" s="949"/>
      <c r="AQ582" s="949"/>
      <c r="AR582" s="949"/>
      <c r="AS582" s="949"/>
      <c r="AT582" s="949"/>
      <c r="AU582" s="949"/>
      <c r="AV582" s="949"/>
      <c r="AW582" s="949"/>
      <c r="AX582" s="949"/>
      <c r="AY582" s="949"/>
      <c r="AZ582" s="949"/>
      <c r="BA582" s="949"/>
      <c r="BB582" s="949"/>
      <c r="BC582" s="949"/>
      <c r="BD582" s="949"/>
      <c r="BE582" s="949"/>
      <c r="BF582" s="949"/>
      <c r="BG582" s="948"/>
      <c r="BH582" s="948"/>
      <c r="BI582" s="948"/>
      <c r="BJ582" s="948"/>
      <c r="BK582" s="948"/>
      <c r="BL582" s="948"/>
      <c r="BM582" s="948"/>
      <c r="BN582" s="948"/>
      <c r="BO582" s="948"/>
      <c r="BP582" s="948"/>
      <c r="BQ582" s="948"/>
      <c r="BR582" s="948"/>
      <c r="BS582" s="948"/>
      <c r="BT582" s="948"/>
      <c r="BU582" s="954"/>
    </row>
    <row r="583" spans="1:73" ht="15.75" customHeight="1" x14ac:dyDescent="0.2">
      <c r="A583" s="947"/>
      <c r="B583" s="947"/>
      <c r="C583" s="947"/>
      <c r="D583" s="948"/>
      <c r="E583" s="948"/>
      <c r="F583" s="948"/>
      <c r="G583" s="948"/>
      <c r="H583" s="948"/>
      <c r="I583" s="948"/>
      <c r="J583" s="948"/>
      <c r="K583" s="949"/>
      <c r="L583" s="949"/>
      <c r="M583" s="949"/>
      <c r="N583" s="950"/>
      <c r="O583" s="948"/>
      <c r="P583" s="948"/>
      <c r="Q583" s="948"/>
      <c r="R583" s="949"/>
      <c r="S583" s="949"/>
      <c r="T583" s="949"/>
      <c r="U583" s="949"/>
      <c r="V583" s="949"/>
      <c r="W583" s="949"/>
      <c r="X583" s="951"/>
      <c r="Y583" s="951"/>
      <c r="Z583" s="952"/>
      <c r="AA583" s="953"/>
      <c r="AB583" s="948"/>
      <c r="AC583" s="948"/>
      <c r="AD583" s="949"/>
      <c r="AE583" s="949"/>
      <c r="AF583" s="949"/>
      <c r="AG583" s="949"/>
      <c r="AH583" s="949"/>
      <c r="AI583" s="949"/>
      <c r="AJ583" s="949"/>
      <c r="AK583" s="949"/>
      <c r="AL583" s="949"/>
      <c r="AM583" s="949"/>
      <c r="AN583" s="949"/>
      <c r="AO583" s="949"/>
      <c r="AP583" s="949"/>
      <c r="AQ583" s="949"/>
      <c r="AR583" s="949"/>
      <c r="AS583" s="949"/>
      <c r="AT583" s="949"/>
      <c r="AU583" s="949"/>
      <c r="AV583" s="949"/>
      <c r="AW583" s="949"/>
      <c r="AX583" s="949"/>
      <c r="AY583" s="949"/>
      <c r="AZ583" s="949"/>
      <c r="BA583" s="949"/>
      <c r="BB583" s="949"/>
      <c r="BC583" s="949"/>
      <c r="BD583" s="949"/>
      <c r="BE583" s="949"/>
      <c r="BF583" s="949"/>
      <c r="BG583" s="948"/>
      <c r="BH583" s="948"/>
      <c r="BI583" s="948"/>
      <c r="BJ583" s="948"/>
      <c r="BK583" s="948"/>
      <c r="BL583" s="948"/>
      <c r="BM583" s="948"/>
      <c r="BN583" s="948"/>
      <c r="BO583" s="948"/>
      <c r="BP583" s="948"/>
      <c r="BQ583" s="948"/>
      <c r="BR583" s="948"/>
      <c r="BS583" s="948"/>
      <c r="BT583" s="948"/>
      <c r="BU583" s="954"/>
    </row>
    <row r="584" spans="1:73" ht="15.75" customHeight="1" x14ac:dyDescent="0.2">
      <c r="A584" s="947"/>
      <c r="B584" s="947"/>
      <c r="C584" s="947"/>
      <c r="D584" s="948"/>
      <c r="E584" s="948"/>
      <c r="F584" s="948"/>
      <c r="G584" s="948"/>
      <c r="H584" s="948"/>
      <c r="I584" s="948"/>
      <c r="J584" s="948"/>
      <c r="K584" s="949"/>
      <c r="L584" s="949"/>
      <c r="M584" s="949"/>
      <c r="N584" s="950"/>
      <c r="O584" s="948"/>
      <c r="P584" s="948"/>
      <c r="Q584" s="948"/>
      <c r="R584" s="949"/>
      <c r="S584" s="949"/>
      <c r="T584" s="949"/>
      <c r="U584" s="949"/>
      <c r="V584" s="949"/>
      <c r="W584" s="949"/>
      <c r="X584" s="951"/>
      <c r="Y584" s="951"/>
      <c r="Z584" s="952"/>
      <c r="AA584" s="953"/>
      <c r="AB584" s="948"/>
      <c r="AC584" s="948"/>
      <c r="AD584" s="949"/>
      <c r="AE584" s="949"/>
      <c r="AF584" s="949"/>
      <c r="AG584" s="949"/>
      <c r="AH584" s="949"/>
      <c r="AI584" s="949"/>
      <c r="AJ584" s="949"/>
      <c r="AK584" s="949"/>
      <c r="AL584" s="949"/>
      <c r="AM584" s="949"/>
      <c r="AN584" s="949"/>
      <c r="AO584" s="949"/>
      <c r="AP584" s="949"/>
      <c r="AQ584" s="949"/>
      <c r="AR584" s="949"/>
      <c r="AS584" s="949"/>
      <c r="AT584" s="949"/>
      <c r="AU584" s="949"/>
      <c r="AV584" s="949"/>
      <c r="AW584" s="949"/>
      <c r="AX584" s="949"/>
      <c r="AY584" s="949"/>
      <c r="AZ584" s="949"/>
      <c r="BA584" s="949"/>
      <c r="BB584" s="949"/>
      <c r="BC584" s="949"/>
      <c r="BD584" s="949"/>
      <c r="BE584" s="949"/>
      <c r="BF584" s="949"/>
      <c r="BG584" s="948"/>
      <c r="BH584" s="948"/>
      <c r="BI584" s="948"/>
      <c r="BJ584" s="948"/>
      <c r="BK584" s="948"/>
      <c r="BL584" s="948"/>
      <c r="BM584" s="948"/>
      <c r="BN584" s="948"/>
      <c r="BO584" s="948"/>
      <c r="BP584" s="948"/>
      <c r="BQ584" s="948"/>
      <c r="BR584" s="948"/>
      <c r="BS584" s="948"/>
      <c r="BT584" s="948"/>
      <c r="BU584" s="954"/>
    </row>
    <row r="585" spans="1:73" ht="15.75" customHeight="1" x14ac:dyDescent="0.2">
      <c r="A585" s="947"/>
      <c r="B585" s="947"/>
      <c r="C585" s="947"/>
      <c r="D585" s="948"/>
      <c r="E585" s="948"/>
      <c r="F585" s="948"/>
      <c r="G585" s="948"/>
      <c r="H585" s="948"/>
      <c r="I585" s="948"/>
      <c r="J585" s="948"/>
      <c r="K585" s="949"/>
      <c r="L585" s="949"/>
      <c r="M585" s="949"/>
      <c r="N585" s="950"/>
      <c r="O585" s="948"/>
      <c r="P585" s="948"/>
      <c r="Q585" s="948"/>
      <c r="R585" s="949"/>
      <c r="S585" s="949"/>
      <c r="T585" s="949"/>
      <c r="U585" s="949"/>
      <c r="V585" s="949"/>
      <c r="W585" s="949"/>
      <c r="X585" s="951"/>
      <c r="Y585" s="951"/>
      <c r="Z585" s="952"/>
      <c r="AA585" s="953"/>
      <c r="AB585" s="948"/>
      <c r="AC585" s="948"/>
      <c r="AD585" s="949"/>
      <c r="AE585" s="949"/>
      <c r="AF585" s="949"/>
      <c r="AG585" s="949"/>
      <c r="AH585" s="949"/>
      <c r="AI585" s="949"/>
      <c r="AJ585" s="949"/>
      <c r="AK585" s="949"/>
      <c r="AL585" s="949"/>
      <c r="AM585" s="949"/>
      <c r="AN585" s="949"/>
      <c r="AO585" s="949"/>
      <c r="AP585" s="949"/>
      <c r="AQ585" s="949"/>
      <c r="AR585" s="949"/>
      <c r="AS585" s="949"/>
      <c r="AT585" s="949"/>
      <c r="AU585" s="949"/>
      <c r="AV585" s="949"/>
      <c r="AW585" s="949"/>
      <c r="AX585" s="949"/>
      <c r="AY585" s="949"/>
      <c r="AZ585" s="949"/>
      <c r="BA585" s="949"/>
      <c r="BB585" s="949"/>
      <c r="BC585" s="949"/>
      <c r="BD585" s="949"/>
      <c r="BE585" s="949"/>
      <c r="BF585" s="949"/>
      <c r="BG585" s="948"/>
      <c r="BH585" s="948"/>
      <c r="BI585" s="948"/>
      <c r="BJ585" s="948"/>
      <c r="BK585" s="948"/>
      <c r="BL585" s="948"/>
      <c r="BM585" s="948"/>
      <c r="BN585" s="948"/>
      <c r="BO585" s="948"/>
      <c r="BP585" s="948"/>
      <c r="BQ585" s="948"/>
      <c r="BR585" s="948"/>
      <c r="BS585" s="948"/>
      <c r="BT585" s="948"/>
      <c r="BU585" s="954"/>
    </row>
    <row r="586" spans="1:73" ht="15.75" customHeight="1" x14ac:dyDescent="0.2">
      <c r="A586" s="947"/>
      <c r="B586" s="947"/>
      <c r="C586" s="947"/>
      <c r="D586" s="948"/>
      <c r="E586" s="948"/>
      <c r="F586" s="948"/>
      <c r="G586" s="948"/>
      <c r="H586" s="948"/>
      <c r="I586" s="948"/>
      <c r="J586" s="948"/>
      <c r="K586" s="949"/>
      <c r="L586" s="949"/>
      <c r="M586" s="949"/>
      <c r="N586" s="950"/>
      <c r="O586" s="948"/>
      <c r="P586" s="948"/>
      <c r="Q586" s="948"/>
      <c r="R586" s="949"/>
      <c r="S586" s="949"/>
      <c r="T586" s="949"/>
      <c r="U586" s="949"/>
      <c r="V586" s="949"/>
      <c r="W586" s="949"/>
      <c r="X586" s="951"/>
      <c r="Y586" s="951"/>
      <c r="Z586" s="952"/>
      <c r="AA586" s="953"/>
      <c r="AB586" s="948"/>
      <c r="AC586" s="948"/>
      <c r="AD586" s="949"/>
      <c r="AE586" s="949"/>
      <c r="AF586" s="949"/>
      <c r="AG586" s="949"/>
      <c r="AH586" s="949"/>
      <c r="AI586" s="949"/>
      <c r="AJ586" s="949"/>
      <c r="AK586" s="949"/>
      <c r="AL586" s="949"/>
      <c r="AM586" s="949"/>
      <c r="AN586" s="949"/>
      <c r="AO586" s="949"/>
      <c r="AP586" s="949"/>
      <c r="AQ586" s="949"/>
      <c r="AR586" s="949"/>
      <c r="AS586" s="949"/>
      <c r="AT586" s="949"/>
      <c r="AU586" s="949"/>
      <c r="AV586" s="949"/>
      <c r="AW586" s="949"/>
      <c r="AX586" s="949"/>
      <c r="AY586" s="949"/>
      <c r="AZ586" s="949"/>
      <c r="BA586" s="949"/>
      <c r="BB586" s="949"/>
      <c r="BC586" s="949"/>
      <c r="BD586" s="949"/>
      <c r="BE586" s="949"/>
      <c r="BF586" s="949"/>
      <c r="BG586" s="948"/>
      <c r="BH586" s="948"/>
      <c r="BI586" s="948"/>
      <c r="BJ586" s="948"/>
      <c r="BK586" s="948"/>
      <c r="BL586" s="948"/>
      <c r="BM586" s="948"/>
      <c r="BN586" s="948"/>
      <c r="BO586" s="948"/>
      <c r="BP586" s="948"/>
      <c r="BQ586" s="948"/>
      <c r="BR586" s="948"/>
      <c r="BS586" s="948"/>
      <c r="BT586" s="948"/>
      <c r="BU586" s="954"/>
    </row>
    <row r="587" spans="1:73" ht="15.75" customHeight="1" x14ac:dyDescent="0.2">
      <c r="A587" s="947"/>
      <c r="B587" s="947"/>
      <c r="C587" s="947"/>
      <c r="D587" s="948"/>
      <c r="E587" s="948"/>
      <c r="F587" s="948"/>
      <c r="G587" s="948"/>
      <c r="H587" s="948"/>
      <c r="I587" s="948"/>
      <c r="J587" s="948"/>
      <c r="K587" s="949"/>
      <c r="L587" s="949"/>
      <c r="M587" s="949"/>
      <c r="N587" s="950"/>
      <c r="O587" s="948"/>
      <c r="P587" s="948"/>
      <c r="Q587" s="948"/>
      <c r="R587" s="949"/>
      <c r="S587" s="949"/>
      <c r="T587" s="949"/>
      <c r="U587" s="949"/>
      <c r="V587" s="949"/>
      <c r="W587" s="949"/>
      <c r="X587" s="951"/>
      <c r="Y587" s="951"/>
      <c r="Z587" s="952"/>
      <c r="AA587" s="953"/>
      <c r="AB587" s="948"/>
      <c r="AC587" s="948"/>
      <c r="AD587" s="949"/>
      <c r="AE587" s="949"/>
      <c r="AF587" s="949"/>
      <c r="AG587" s="949"/>
      <c r="AH587" s="949"/>
      <c r="AI587" s="949"/>
      <c r="AJ587" s="949"/>
      <c r="AK587" s="949"/>
      <c r="AL587" s="949"/>
      <c r="AM587" s="949"/>
      <c r="AN587" s="949"/>
      <c r="AO587" s="949"/>
      <c r="AP587" s="949"/>
      <c r="AQ587" s="949"/>
      <c r="AR587" s="949"/>
      <c r="AS587" s="949"/>
      <c r="AT587" s="949"/>
      <c r="AU587" s="949"/>
      <c r="AV587" s="949"/>
      <c r="AW587" s="949"/>
      <c r="AX587" s="949"/>
      <c r="AY587" s="949"/>
      <c r="AZ587" s="949"/>
      <c r="BA587" s="949"/>
      <c r="BB587" s="949"/>
      <c r="BC587" s="949"/>
      <c r="BD587" s="949"/>
      <c r="BE587" s="949"/>
      <c r="BF587" s="949"/>
      <c r="BG587" s="948"/>
      <c r="BH587" s="948"/>
      <c r="BI587" s="948"/>
      <c r="BJ587" s="948"/>
      <c r="BK587" s="948"/>
      <c r="BL587" s="948"/>
      <c r="BM587" s="948"/>
      <c r="BN587" s="948"/>
      <c r="BO587" s="948"/>
      <c r="BP587" s="948"/>
      <c r="BQ587" s="948"/>
      <c r="BR587" s="948"/>
      <c r="BS587" s="948"/>
      <c r="BT587" s="948"/>
      <c r="BU587" s="954"/>
    </row>
    <row r="588" spans="1:73" ht="15.75" customHeight="1" x14ac:dyDescent="0.2">
      <c r="A588" s="947"/>
      <c r="B588" s="947"/>
      <c r="C588" s="947"/>
      <c r="D588" s="948"/>
      <c r="E588" s="948"/>
      <c r="F588" s="948"/>
      <c r="G588" s="948"/>
      <c r="H588" s="948"/>
      <c r="I588" s="948"/>
      <c r="J588" s="948"/>
      <c r="K588" s="949"/>
      <c r="L588" s="949"/>
      <c r="M588" s="949"/>
      <c r="N588" s="950"/>
      <c r="O588" s="948"/>
      <c r="P588" s="948"/>
      <c r="Q588" s="948"/>
      <c r="R588" s="949"/>
      <c r="S588" s="949"/>
      <c r="T588" s="949"/>
      <c r="U588" s="949"/>
      <c r="V588" s="949"/>
      <c r="W588" s="949"/>
      <c r="X588" s="951"/>
      <c r="Y588" s="951"/>
      <c r="Z588" s="952"/>
      <c r="AA588" s="953"/>
      <c r="AB588" s="948"/>
      <c r="AC588" s="948"/>
      <c r="AD588" s="949"/>
      <c r="AE588" s="949"/>
      <c r="AF588" s="949"/>
      <c r="AG588" s="949"/>
      <c r="AH588" s="949"/>
      <c r="AI588" s="949"/>
      <c r="AJ588" s="949"/>
      <c r="AK588" s="949"/>
      <c r="AL588" s="949"/>
      <c r="AM588" s="949"/>
      <c r="AN588" s="949"/>
      <c r="AO588" s="949"/>
      <c r="AP588" s="949"/>
      <c r="AQ588" s="949"/>
      <c r="AR588" s="949"/>
      <c r="AS588" s="949"/>
      <c r="AT588" s="949"/>
      <c r="AU588" s="949"/>
      <c r="AV588" s="949"/>
      <c r="AW588" s="949"/>
      <c r="AX588" s="949"/>
      <c r="AY588" s="949"/>
      <c r="AZ588" s="949"/>
      <c r="BA588" s="949"/>
      <c r="BB588" s="949"/>
      <c r="BC588" s="949"/>
      <c r="BD588" s="949"/>
      <c r="BE588" s="949"/>
      <c r="BF588" s="949"/>
      <c r="BG588" s="948"/>
      <c r="BH588" s="948"/>
      <c r="BI588" s="948"/>
      <c r="BJ588" s="948"/>
      <c r="BK588" s="948"/>
      <c r="BL588" s="948"/>
      <c r="BM588" s="948"/>
      <c r="BN588" s="948"/>
      <c r="BO588" s="948"/>
      <c r="BP588" s="948"/>
      <c r="BQ588" s="948"/>
      <c r="BR588" s="948"/>
      <c r="BS588" s="948"/>
      <c r="BT588" s="948"/>
      <c r="BU588" s="954"/>
    </row>
    <row r="589" spans="1:73" ht="15.75" customHeight="1" x14ac:dyDescent="0.2">
      <c r="A589" s="947"/>
      <c r="B589" s="947"/>
      <c r="C589" s="947"/>
      <c r="D589" s="948"/>
      <c r="E589" s="948"/>
      <c r="F589" s="948"/>
      <c r="G589" s="948"/>
      <c r="H589" s="948"/>
      <c r="I589" s="948"/>
      <c r="J589" s="948"/>
      <c r="K589" s="949"/>
      <c r="L589" s="949"/>
      <c r="M589" s="949"/>
      <c r="N589" s="950"/>
      <c r="O589" s="948"/>
      <c r="P589" s="948"/>
      <c r="Q589" s="948"/>
      <c r="R589" s="949"/>
      <c r="S589" s="949"/>
      <c r="T589" s="949"/>
      <c r="U589" s="949"/>
      <c r="V589" s="949"/>
      <c r="W589" s="949"/>
      <c r="X589" s="951"/>
      <c r="Y589" s="951"/>
      <c r="Z589" s="952"/>
      <c r="AA589" s="953"/>
      <c r="AB589" s="948"/>
      <c r="AC589" s="948"/>
      <c r="AD589" s="949"/>
      <c r="AE589" s="949"/>
      <c r="AF589" s="949"/>
      <c r="AG589" s="949"/>
      <c r="AH589" s="949"/>
      <c r="AI589" s="949"/>
      <c r="AJ589" s="949"/>
      <c r="AK589" s="949"/>
      <c r="AL589" s="949"/>
      <c r="AM589" s="949"/>
      <c r="AN589" s="949"/>
      <c r="AO589" s="949"/>
      <c r="AP589" s="949"/>
      <c r="AQ589" s="949"/>
      <c r="AR589" s="949"/>
      <c r="AS589" s="949"/>
      <c r="AT589" s="949"/>
      <c r="AU589" s="949"/>
      <c r="AV589" s="949"/>
      <c r="AW589" s="949"/>
      <c r="AX589" s="949"/>
      <c r="AY589" s="949"/>
      <c r="AZ589" s="949"/>
      <c r="BA589" s="949"/>
      <c r="BB589" s="949"/>
      <c r="BC589" s="949"/>
      <c r="BD589" s="949"/>
      <c r="BE589" s="949"/>
      <c r="BF589" s="949"/>
      <c r="BG589" s="948"/>
      <c r="BH589" s="948"/>
      <c r="BI589" s="948"/>
      <c r="BJ589" s="948"/>
      <c r="BK589" s="948"/>
      <c r="BL589" s="948"/>
      <c r="BM589" s="948"/>
      <c r="BN589" s="948"/>
      <c r="BO589" s="948"/>
      <c r="BP589" s="948"/>
      <c r="BQ589" s="948"/>
      <c r="BR589" s="948"/>
      <c r="BS589" s="948"/>
      <c r="BT589" s="948"/>
      <c r="BU589" s="954"/>
    </row>
    <row r="590" spans="1:73" ht="15.75" customHeight="1" x14ac:dyDescent="0.2">
      <c r="A590" s="947"/>
      <c r="B590" s="947"/>
      <c r="C590" s="947"/>
      <c r="D590" s="948"/>
      <c r="E590" s="948"/>
      <c r="F590" s="948"/>
      <c r="G590" s="948"/>
      <c r="H590" s="948"/>
      <c r="I590" s="948"/>
      <c r="J590" s="948"/>
      <c r="K590" s="949"/>
      <c r="L590" s="949"/>
      <c r="M590" s="949"/>
      <c r="N590" s="950"/>
      <c r="O590" s="948"/>
      <c r="P590" s="948"/>
      <c r="Q590" s="948"/>
      <c r="R590" s="949"/>
      <c r="S590" s="949"/>
      <c r="T590" s="949"/>
      <c r="U590" s="949"/>
      <c r="V590" s="949"/>
      <c r="W590" s="949"/>
      <c r="X590" s="951"/>
      <c r="Y590" s="951"/>
      <c r="Z590" s="952"/>
      <c r="AA590" s="953"/>
      <c r="AB590" s="948"/>
      <c r="AC590" s="948"/>
      <c r="AD590" s="949"/>
      <c r="AE590" s="949"/>
      <c r="AF590" s="949"/>
      <c r="AG590" s="949"/>
      <c r="AH590" s="949"/>
      <c r="AI590" s="949"/>
      <c r="AJ590" s="949"/>
      <c r="AK590" s="949"/>
      <c r="AL590" s="949"/>
      <c r="AM590" s="949"/>
      <c r="AN590" s="949"/>
      <c r="AO590" s="949"/>
      <c r="AP590" s="949"/>
      <c r="AQ590" s="949"/>
      <c r="AR590" s="949"/>
      <c r="AS590" s="949"/>
      <c r="AT590" s="949"/>
      <c r="AU590" s="949"/>
      <c r="AV590" s="949"/>
      <c r="AW590" s="949"/>
      <c r="AX590" s="949"/>
      <c r="AY590" s="949"/>
      <c r="AZ590" s="949"/>
      <c r="BA590" s="949"/>
      <c r="BB590" s="949"/>
      <c r="BC590" s="949"/>
      <c r="BD590" s="949"/>
      <c r="BE590" s="949"/>
      <c r="BF590" s="949"/>
      <c r="BG590" s="948"/>
      <c r="BH590" s="948"/>
      <c r="BI590" s="948"/>
      <c r="BJ590" s="948"/>
      <c r="BK590" s="948"/>
      <c r="BL590" s="948"/>
      <c r="BM590" s="948"/>
      <c r="BN590" s="948"/>
      <c r="BO590" s="948"/>
      <c r="BP590" s="948"/>
      <c r="BQ590" s="948"/>
      <c r="BR590" s="948"/>
      <c r="BS590" s="948"/>
      <c r="BT590" s="948"/>
      <c r="BU590" s="954"/>
    </row>
    <row r="591" spans="1:73" ht="15.75" customHeight="1" x14ac:dyDescent="0.2">
      <c r="A591" s="947"/>
      <c r="B591" s="947"/>
      <c r="C591" s="947"/>
      <c r="D591" s="948"/>
      <c r="E591" s="948"/>
      <c r="F591" s="948"/>
      <c r="G591" s="948"/>
      <c r="H591" s="948"/>
      <c r="I591" s="948"/>
      <c r="J591" s="948"/>
      <c r="K591" s="949"/>
      <c r="L591" s="949"/>
      <c r="M591" s="949"/>
      <c r="N591" s="950"/>
      <c r="O591" s="948"/>
      <c r="P591" s="948"/>
      <c r="Q591" s="948"/>
      <c r="R591" s="949"/>
      <c r="S591" s="949"/>
      <c r="T591" s="949"/>
      <c r="U591" s="949"/>
      <c r="V591" s="949"/>
      <c r="W591" s="949"/>
      <c r="X591" s="951"/>
      <c r="Y591" s="951"/>
      <c r="Z591" s="952"/>
      <c r="AA591" s="953"/>
      <c r="AB591" s="948"/>
      <c r="AC591" s="948"/>
      <c r="AD591" s="949"/>
      <c r="AE591" s="949"/>
      <c r="AF591" s="949"/>
      <c r="AG591" s="949"/>
      <c r="AH591" s="949"/>
      <c r="AI591" s="949"/>
      <c r="AJ591" s="949"/>
      <c r="AK591" s="949"/>
      <c r="AL591" s="949"/>
      <c r="AM591" s="949"/>
      <c r="AN591" s="949"/>
      <c r="AO591" s="949"/>
      <c r="AP591" s="949"/>
      <c r="AQ591" s="949"/>
      <c r="AR591" s="949"/>
      <c r="AS591" s="949"/>
      <c r="AT591" s="949"/>
      <c r="AU591" s="949"/>
      <c r="AV591" s="949"/>
      <c r="AW591" s="949"/>
      <c r="AX591" s="949"/>
      <c r="AY591" s="949"/>
      <c r="AZ591" s="949"/>
      <c r="BA591" s="949"/>
      <c r="BB591" s="949"/>
      <c r="BC591" s="949"/>
      <c r="BD591" s="949"/>
      <c r="BE591" s="949"/>
      <c r="BF591" s="949"/>
      <c r="BG591" s="948"/>
      <c r="BH591" s="948"/>
      <c r="BI591" s="948"/>
      <c r="BJ591" s="948"/>
      <c r="BK591" s="948"/>
      <c r="BL591" s="948"/>
      <c r="BM591" s="948"/>
      <c r="BN591" s="948"/>
      <c r="BO591" s="948"/>
      <c r="BP591" s="948"/>
      <c r="BQ591" s="948"/>
      <c r="BR591" s="948"/>
      <c r="BS591" s="948"/>
      <c r="BT591" s="948"/>
      <c r="BU591" s="954"/>
    </row>
    <row r="592" spans="1:73" ht="15.75" customHeight="1" x14ac:dyDescent="0.2">
      <c r="A592" s="947"/>
      <c r="B592" s="947"/>
      <c r="C592" s="947"/>
      <c r="D592" s="948"/>
      <c r="E592" s="948"/>
      <c r="F592" s="948"/>
      <c r="G592" s="948"/>
      <c r="H592" s="948"/>
      <c r="I592" s="948"/>
      <c r="J592" s="948"/>
      <c r="K592" s="949"/>
      <c r="L592" s="949"/>
      <c r="M592" s="949"/>
      <c r="N592" s="950"/>
      <c r="O592" s="948"/>
      <c r="P592" s="948"/>
      <c r="Q592" s="948"/>
      <c r="R592" s="949"/>
      <c r="S592" s="949"/>
      <c r="T592" s="949"/>
      <c r="U592" s="949"/>
      <c r="V592" s="949"/>
      <c r="W592" s="949"/>
      <c r="X592" s="951"/>
      <c r="Y592" s="951"/>
      <c r="Z592" s="952"/>
      <c r="AA592" s="953"/>
      <c r="AB592" s="948"/>
      <c r="AC592" s="948"/>
      <c r="AD592" s="949"/>
      <c r="AE592" s="949"/>
      <c r="AF592" s="949"/>
      <c r="AG592" s="949"/>
      <c r="AH592" s="949"/>
      <c r="AI592" s="949"/>
      <c r="AJ592" s="949"/>
      <c r="AK592" s="949"/>
      <c r="AL592" s="949"/>
      <c r="AM592" s="949"/>
      <c r="AN592" s="949"/>
      <c r="AO592" s="949"/>
      <c r="AP592" s="949"/>
      <c r="AQ592" s="949"/>
      <c r="AR592" s="949"/>
      <c r="AS592" s="949"/>
      <c r="AT592" s="949"/>
      <c r="AU592" s="949"/>
      <c r="AV592" s="949"/>
      <c r="AW592" s="949"/>
      <c r="AX592" s="949"/>
      <c r="AY592" s="949"/>
      <c r="AZ592" s="949"/>
      <c r="BA592" s="949"/>
      <c r="BB592" s="949"/>
      <c r="BC592" s="949"/>
      <c r="BD592" s="949"/>
      <c r="BE592" s="949"/>
      <c r="BF592" s="949"/>
      <c r="BG592" s="948"/>
      <c r="BH592" s="948"/>
      <c r="BI592" s="948"/>
      <c r="BJ592" s="948"/>
      <c r="BK592" s="948"/>
      <c r="BL592" s="948"/>
      <c r="BM592" s="948"/>
      <c r="BN592" s="948"/>
      <c r="BO592" s="948"/>
      <c r="BP592" s="948"/>
      <c r="BQ592" s="948"/>
      <c r="BR592" s="948"/>
      <c r="BS592" s="948"/>
      <c r="BT592" s="948"/>
      <c r="BU592" s="954"/>
    </row>
    <row r="593" spans="1:73" ht="15.75" customHeight="1" x14ac:dyDescent="0.2">
      <c r="A593" s="947"/>
      <c r="B593" s="947"/>
      <c r="C593" s="947"/>
      <c r="D593" s="948"/>
      <c r="E593" s="948"/>
      <c r="F593" s="948"/>
      <c r="G593" s="948"/>
      <c r="H593" s="948"/>
      <c r="I593" s="948"/>
      <c r="J593" s="948"/>
      <c r="K593" s="949"/>
      <c r="L593" s="949"/>
      <c r="M593" s="949"/>
      <c r="N593" s="950"/>
      <c r="O593" s="948"/>
      <c r="P593" s="948"/>
      <c r="Q593" s="948"/>
      <c r="R593" s="949"/>
      <c r="S593" s="949"/>
      <c r="T593" s="949"/>
      <c r="U593" s="949"/>
      <c r="V593" s="949"/>
      <c r="W593" s="949"/>
      <c r="X593" s="951"/>
      <c r="Y593" s="951"/>
      <c r="Z593" s="952"/>
      <c r="AA593" s="953"/>
      <c r="AB593" s="948"/>
      <c r="AC593" s="948"/>
      <c r="AD593" s="949"/>
      <c r="AE593" s="949"/>
      <c r="AF593" s="949"/>
      <c r="AG593" s="949"/>
      <c r="AH593" s="949"/>
      <c r="AI593" s="949"/>
      <c r="AJ593" s="949"/>
      <c r="AK593" s="949"/>
      <c r="AL593" s="949"/>
      <c r="AM593" s="949"/>
      <c r="AN593" s="949"/>
      <c r="AO593" s="949"/>
      <c r="AP593" s="949"/>
      <c r="AQ593" s="949"/>
      <c r="AR593" s="949"/>
      <c r="AS593" s="949"/>
      <c r="AT593" s="949"/>
      <c r="AU593" s="949"/>
      <c r="AV593" s="949"/>
      <c r="AW593" s="949"/>
      <c r="AX593" s="949"/>
      <c r="AY593" s="949"/>
      <c r="AZ593" s="949"/>
      <c r="BA593" s="949"/>
      <c r="BB593" s="949"/>
      <c r="BC593" s="949"/>
      <c r="BD593" s="949"/>
      <c r="BE593" s="949"/>
      <c r="BF593" s="949"/>
      <c r="BG593" s="948"/>
      <c r="BH593" s="948"/>
      <c r="BI593" s="948"/>
      <c r="BJ593" s="948"/>
      <c r="BK593" s="948"/>
      <c r="BL593" s="948"/>
      <c r="BM593" s="948"/>
      <c r="BN593" s="948"/>
      <c r="BO593" s="948"/>
      <c r="BP593" s="948"/>
      <c r="BQ593" s="948"/>
      <c r="BR593" s="948"/>
      <c r="BS593" s="948"/>
      <c r="BT593" s="948"/>
      <c r="BU593" s="954"/>
    </row>
    <row r="594" spans="1:73" ht="15.75" customHeight="1" x14ac:dyDescent="0.2">
      <c r="A594" s="947"/>
      <c r="B594" s="947"/>
      <c r="C594" s="947"/>
      <c r="D594" s="948"/>
      <c r="E594" s="948"/>
      <c r="F594" s="948"/>
      <c r="G594" s="948"/>
      <c r="H594" s="948"/>
      <c r="I594" s="948"/>
      <c r="J594" s="948"/>
      <c r="K594" s="949"/>
      <c r="L594" s="949"/>
      <c r="M594" s="949"/>
      <c r="N594" s="950"/>
      <c r="O594" s="948"/>
      <c r="P594" s="948"/>
      <c r="Q594" s="948"/>
      <c r="R594" s="949"/>
      <c r="S594" s="949"/>
      <c r="T594" s="949"/>
      <c r="U594" s="949"/>
      <c r="V594" s="949"/>
      <c r="W594" s="949"/>
      <c r="X594" s="951"/>
      <c r="Y594" s="951"/>
      <c r="Z594" s="952"/>
      <c r="AA594" s="953"/>
      <c r="AB594" s="948"/>
      <c r="AC594" s="948"/>
      <c r="AD594" s="949"/>
      <c r="AE594" s="949"/>
      <c r="AF594" s="949"/>
      <c r="AG594" s="949"/>
      <c r="AH594" s="949"/>
      <c r="AI594" s="949"/>
      <c r="AJ594" s="949"/>
      <c r="AK594" s="949"/>
      <c r="AL594" s="949"/>
      <c r="AM594" s="949"/>
      <c r="AN594" s="949"/>
      <c r="AO594" s="949"/>
      <c r="AP594" s="949"/>
      <c r="AQ594" s="949"/>
      <c r="AR594" s="949"/>
      <c r="AS594" s="949"/>
      <c r="AT594" s="949"/>
      <c r="AU594" s="949"/>
      <c r="AV594" s="949"/>
      <c r="AW594" s="949"/>
      <c r="AX594" s="949"/>
      <c r="AY594" s="949"/>
      <c r="AZ594" s="949"/>
      <c r="BA594" s="949"/>
      <c r="BB594" s="949"/>
      <c r="BC594" s="949"/>
      <c r="BD594" s="949"/>
      <c r="BE594" s="949"/>
      <c r="BF594" s="949"/>
      <c r="BG594" s="948"/>
      <c r="BH594" s="948"/>
      <c r="BI594" s="948"/>
      <c r="BJ594" s="948"/>
      <c r="BK594" s="948"/>
      <c r="BL594" s="948"/>
      <c r="BM594" s="948"/>
      <c r="BN594" s="948"/>
      <c r="BO594" s="948"/>
      <c r="BP594" s="948"/>
      <c r="BQ594" s="948"/>
      <c r="BR594" s="948"/>
      <c r="BS594" s="948"/>
      <c r="BT594" s="948"/>
      <c r="BU594" s="954"/>
    </row>
    <row r="595" spans="1:73" ht="15.75" customHeight="1" x14ac:dyDescent="0.2">
      <c r="A595" s="947"/>
      <c r="B595" s="947"/>
      <c r="C595" s="947"/>
      <c r="D595" s="948"/>
      <c r="E595" s="948"/>
      <c r="F595" s="948"/>
      <c r="G595" s="948"/>
      <c r="H595" s="948"/>
      <c r="I595" s="948"/>
      <c r="J595" s="948"/>
      <c r="K595" s="949"/>
      <c r="L595" s="949"/>
      <c r="M595" s="949"/>
      <c r="N595" s="950"/>
      <c r="O595" s="948"/>
      <c r="P595" s="948"/>
      <c r="Q595" s="948"/>
      <c r="R595" s="949"/>
      <c r="S595" s="949"/>
      <c r="T595" s="949"/>
      <c r="U595" s="949"/>
      <c r="V595" s="949"/>
      <c r="W595" s="949"/>
      <c r="X595" s="951"/>
      <c r="Y595" s="951"/>
      <c r="Z595" s="952"/>
      <c r="AA595" s="953"/>
      <c r="AB595" s="948"/>
      <c r="AC595" s="948"/>
      <c r="AD595" s="949"/>
      <c r="AE595" s="949"/>
      <c r="AF595" s="949"/>
      <c r="AG595" s="949"/>
      <c r="AH595" s="949"/>
      <c r="AI595" s="949"/>
      <c r="AJ595" s="949"/>
      <c r="AK595" s="949"/>
      <c r="AL595" s="949"/>
      <c r="AM595" s="949"/>
      <c r="AN595" s="949"/>
      <c r="AO595" s="949"/>
      <c r="AP595" s="949"/>
      <c r="AQ595" s="949"/>
      <c r="AR595" s="949"/>
      <c r="AS595" s="949"/>
      <c r="AT595" s="949"/>
      <c r="AU595" s="949"/>
      <c r="AV595" s="949"/>
      <c r="AW595" s="949"/>
      <c r="AX595" s="949"/>
      <c r="AY595" s="949"/>
      <c r="AZ595" s="949"/>
      <c r="BA595" s="949"/>
      <c r="BB595" s="949"/>
      <c r="BC595" s="949"/>
      <c r="BD595" s="949"/>
      <c r="BE595" s="949"/>
      <c r="BF595" s="949"/>
      <c r="BG595" s="948"/>
      <c r="BH595" s="948"/>
      <c r="BI595" s="948"/>
      <c r="BJ595" s="948"/>
      <c r="BK595" s="948"/>
      <c r="BL595" s="948"/>
      <c r="BM595" s="948"/>
      <c r="BN595" s="948"/>
      <c r="BO595" s="948"/>
      <c r="BP595" s="948"/>
      <c r="BQ595" s="948"/>
      <c r="BR595" s="948"/>
      <c r="BS595" s="948"/>
      <c r="BT595" s="948"/>
      <c r="BU595" s="954"/>
    </row>
    <row r="596" spans="1:73" ht="15.75" customHeight="1" x14ac:dyDescent="0.2">
      <c r="A596" s="947"/>
      <c r="B596" s="947"/>
      <c r="C596" s="947"/>
      <c r="D596" s="948"/>
      <c r="E596" s="948"/>
      <c r="F596" s="948"/>
      <c r="G596" s="948"/>
      <c r="H596" s="948"/>
      <c r="I596" s="948"/>
      <c r="J596" s="948"/>
      <c r="K596" s="949"/>
      <c r="L596" s="949"/>
      <c r="M596" s="949"/>
      <c r="N596" s="950"/>
      <c r="O596" s="948"/>
      <c r="P596" s="948"/>
      <c r="Q596" s="948"/>
      <c r="R596" s="949"/>
      <c r="S596" s="949"/>
      <c r="T596" s="949"/>
      <c r="U596" s="949"/>
      <c r="V596" s="949"/>
      <c r="W596" s="949"/>
      <c r="X596" s="951"/>
      <c r="Y596" s="951"/>
      <c r="Z596" s="952"/>
      <c r="AA596" s="953"/>
      <c r="AB596" s="948"/>
      <c r="AC596" s="948"/>
      <c r="AD596" s="949"/>
      <c r="AE596" s="949"/>
      <c r="AF596" s="949"/>
      <c r="AG596" s="949"/>
      <c r="AH596" s="949"/>
      <c r="AI596" s="949"/>
      <c r="AJ596" s="949"/>
      <c r="AK596" s="949"/>
      <c r="AL596" s="949"/>
      <c r="AM596" s="949"/>
      <c r="AN596" s="949"/>
      <c r="AO596" s="949"/>
      <c r="AP596" s="949"/>
      <c r="AQ596" s="949"/>
      <c r="AR596" s="949"/>
      <c r="AS596" s="949"/>
      <c r="AT596" s="949"/>
      <c r="AU596" s="949"/>
      <c r="AV596" s="949"/>
      <c r="AW596" s="949"/>
      <c r="AX596" s="949"/>
      <c r="AY596" s="949"/>
      <c r="AZ596" s="949"/>
      <c r="BA596" s="949"/>
      <c r="BB596" s="949"/>
      <c r="BC596" s="949"/>
      <c r="BD596" s="949"/>
      <c r="BE596" s="949"/>
      <c r="BF596" s="949"/>
      <c r="BG596" s="948"/>
      <c r="BH596" s="948"/>
      <c r="BI596" s="948"/>
      <c r="BJ596" s="948"/>
      <c r="BK596" s="948"/>
      <c r="BL596" s="948"/>
      <c r="BM596" s="948"/>
      <c r="BN596" s="948"/>
      <c r="BO596" s="948"/>
      <c r="BP596" s="948"/>
      <c r="BQ596" s="948"/>
      <c r="BR596" s="948"/>
      <c r="BS596" s="948"/>
      <c r="BT596" s="948"/>
      <c r="BU596" s="954"/>
    </row>
    <row r="597" spans="1:73" ht="15.75" customHeight="1" x14ac:dyDescent="0.2">
      <c r="A597" s="947"/>
      <c r="B597" s="947"/>
      <c r="C597" s="947"/>
      <c r="D597" s="948"/>
      <c r="E597" s="948"/>
      <c r="F597" s="948"/>
      <c r="G597" s="948"/>
      <c r="H597" s="948"/>
      <c r="I597" s="948"/>
      <c r="J597" s="948"/>
      <c r="K597" s="949"/>
      <c r="L597" s="949"/>
      <c r="M597" s="949"/>
      <c r="N597" s="950"/>
      <c r="O597" s="948"/>
      <c r="P597" s="948"/>
      <c r="Q597" s="948"/>
      <c r="R597" s="949"/>
      <c r="S597" s="949"/>
      <c r="T597" s="949"/>
      <c r="U597" s="949"/>
      <c r="V597" s="949"/>
      <c r="W597" s="949"/>
      <c r="X597" s="951"/>
      <c r="Y597" s="951"/>
      <c r="Z597" s="952"/>
      <c r="AA597" s="953"/>
      <c r="AB597" s="948"/>
      <c r="AC597" s="948"/>
      <c r="AD597" s="949"/>
      <c r="AE597" s="949"/>
      <c r="AF597" s="949"/>
      <c r="AG597" s="949"/>
      <c r="AH597" s="949"/>
      <c r="AI597" s="949"/>
      <c r="AJ597" s="949"/>
      <c r="AK597" s="949"/>
      <c r="AL597" s="949"/>
      <c r="AM597" s="949"/>
      <c r="AN597" s="949"/>
      <c r="AO597" s="949"/>
      <c r="AP597" s="949"/>
      <c r="AQ597" s="949"/>
      <c r="AR597" s="949"/>
      <c r="AS597" s="949"/>
      <c r="AT597" s="949"/>
      <c r="AU597" s="949"/>
      <c r="AV597" s="949"/>
      <c r="AW597" s="949"/>
      <c r="AX597" s="949"/>
      <c r="AY597" s="949"/>
      <c r="AZ597" s="949"/>
      <c r="BA597" s="949"/>
      <c r="BB597" s="949"/>
      <c r="BC597" s="949"/>
      <c r="BD597" s="949"/>
      <c r="BE597" s="949"/>
      <c r="BF597" s="949"/>
      <c r="BG597" s="948"/>
      <c r="BH597" s="948"/>
      <c r="BI597" s="948"/>
      <c r="BJ597" s="948"/>
      <c r="BK597" s="948"/>
      <c r="BL597" s="948"/>
      <c r="BM597" s="948"/>
      <c r="BN597" s="948"/>
      <c r="BO597" s="948"/>
      <c r="BP597" s="948"/>
      <c r="BQ597" s="948"/>
      <c r="BR597" s="948"/>
      <c r="BS597" s="948"/>
      <c r="BT597" s="948"/>
      <c r="BU597" s="954"/>
    </row>
    <row r="598" spans="1:73" ht="15.75" customHeight="1" x14ac:dyDescent="0.2">
      <c r="A598" s="947"/>
      <c r="B598" s="947"/>
      <c r="C598" s="947"/>
      <c r="D598" s="948"/>
      <c r="E598" s="948"/>
      <c r="F598" s="948"/>
      <c r="G598" s="948"/>
      <c r="H598" s="948"/>
      <c r="I598" s="948"/>
      <c r="J598" s="948"/>
      <c r="K598" s="949"/>
      <c r="L598" s="949"/>
      <c r="M598" s="949"/>
      <c r="N598" s="950"/>
      <c r="O598" s="948"/>
      <c r="P598" s="948"/>
      <c r="Q598" s="948"/>
      <c r="R598" s="949"/>
      <c r="S598" s="949"/>
      <c r="T598" s="949"/>
      <c r="U598" s="949"/>
      <c r="V598" s="949"/>
      <c r="W598" s="949"/>
      <c r="X598" s="951"/>
      <c r="Y598" s="951"/>
      <c r="Z598" s="952"/>
      <c r="AA598" s="953"/>
      <c r="AB598" s="948"/>
      <c r="AC598" s="948"/>
      <c r="AD598" s="949"/>
      <c r="AE598" s="949"/>
      <c r="AF598" s="949"/>
      <c r="AG598" s="949"/>
      <c r="AH598" s="949"/>
      <c r="AI598" s="949"/>
      <c r="AJ598" s="949"/>
      <c r="AK598" s="949"/>
      <c r="AL598" s="949"/>
      <c r="AM598" s="949"/>
      <c r="AN598" s="949"/>
      <c r="AO598" s="949"/>
      <c r="AP598" s="949"/>
      <c r="AQ598" s="949"/>
      <c r="AR598" s="949"/>
      <c r="AS598" s="949"/>
      <c r="AT598" s="949"/>
      <c r="AU598" s="949"/>
      <c r="AV598" s="949"/>
      <c r="AW598" s="949"/>
      <c r="AX598" s="949"/>
      <c r="AY598" s="949"/>
      <c r="AZ598" s="949"/>
      <c r="BA598" s="949"/>
      <c r="BB598" s="949"/>
      <c r="BC598" s="949"/>
      <c r="BD598" s="949"/>
      <c r="BE598" s="949"/>
      <c r="BF598" s="949"/>
      <c r="BG598" s="948"/>
      <c r="BH598" s="948"/>
      <c r="BI598" s="948"/>
      <c r="BJ598" s="948"/>
      <c r="BK598" s="948"/>
      <c r="BL598" s="948"/>
      <c r="BM598" s="948"/>
      <c r="BN598" s="948"/>
      <c r="BO598" s="948"/>
      <c r="BP598" s="948"/>
      <c r="BQ598" s="948"/>
      <c r="BR598" s="948"/>
      <c r="BS598" s="948"/>
      <c r="BT598" s="948"/>
      <c r="BU598" s="954"/>
    </row>
    <row r="599" spans="1:73" ht="15.75" customHeight="1" x14ac:dyDescent="0.2">
      <c r="A599" s="947"/>
      <c r="B599" s="947"/>
      <c r="C599" s="947"/>
      <c r="D599" s="948"/>
      <c r="E599" s="948"/>
      <c r="F599" s="948"/>
      <c r="G599" s="948"/>
      <c r="H599" s="948"/>
      <c r="I599" s="948"/>
      <c r="J599" s="948"/>
      <c r="K599" s="949"/>
      <c r="L599" s="949"/>
      <c r="M599" s="949"/>
      <c r="N599" s="950"/>
      <c r="O599" s="948"/>
      <c r="P599" s="948"/>
      <c r="Q599" s="948"/>
      <c r="R599" s="949"/>
      <c r="S599" s="949"/>
      <c r="T599" s="949"/>
      <c r="U599" s="949"/>
      <c r="V599" s="949"/>
      <c r="W599" s="949"/>
      <c r="X599" s="951"/>
      <c r="Y599" s="951"/>
      <c r="Z599" s="952"/>
      <c r="AA599" s="953"/>
      <c r="AB599" s="948"/>
      <c r="AC599" s="948"/>
      <c r="AD599" s="949"/>
      <c r="AE599" s="949"/>
      <c r="AF599" s="949"/>
      <c r="AG599" s="949"/>
      <c r="AH599" s="949"/>
      <c r="AI599" s="949"/>
      <c r="AJ599" s="949"/>
      <c r="AK599" s="949"/>
      <c r="AL599" s="949"/>
      <c r="AM599" s="949"/>
      <c r="AN599" s="949"/>
      <c r="AO599" s="949"/>
      <c r="AP599" s="949"/>
      <c r="AQ599" s="949"/>
      <c r="AR599" s="949"/>
      <c r="AS599" s="949"/>
      <c r="AT599" s="949"/>
      <c r="AU599" s="949"/>
      <c r="AV599" s="949"/>
      <c r="AW599" s="949"/>
      <c r="AX599" s="949"/>
      <c r="AY599" s="949"/>
      <c r="AZ599" s="949"/>
      <c r="BA599" s="949"/>
      <c r="BB599" s="949"/>
      <c r="BC599" s="949"/>
      <c r="BD599" s="949"/>
      <c r="BE599" s="949"/>
      <c r="BF599" s="949"/>
      <c r="BG599" s="948"/>
      <c r="BH599" s="948"/>
      <c r="BI599" s="948"/>
      <c r="BJ599" s="948"/>
      <c r="BK599" s="948"/>
      <c r="BL599" s="948"/>
      <c r="BM599" s="948"/>
      <c r="BN599" s="948"/>
      <c r="BO599" s="948"/>
      <c r="BP599" s="948"/>
      <c r="BQ599" s="948"/>
      <c r="BR599" s="948"/>
      <c r="BS599" s="948"/>
      <c r="BT599" s="948"/>
      <c r="BU599" s="954"/>
    </row>
    <row r="600" spans="1:73" ht="15.75" customHeight="1" x14ac:dyDescent="0.2">
      <c r="A600" s="947"/>
      <c r="B600" s="947"/>
      <c r="C600" s="947"/>
      <c r="D600" s="948"/>
      <c r="E600" s="948"/>
      <c r="F600" s="948"/>
      <c r="G600" s="948"/>
      <c r="H600" s="948"/>
      <c r="I600" s="948"/>
      <c r="J600" s="948"/>
      <c r="K600" s="949"/>
      <c r="L600" s="949"/>
      <c r="M600" s="949"/>
      <c r="N600" s="950"/>
      <c r="O600" s="948"/>
      <c r="P600" s="948"/>
      <c r="Q600" s="948"/>
      <c r="R600" s="949"/>
      <c r="S600" s="949"/>
      <c r="T600" s="949"/>
      <c r="U600" s="949"/>
      <c r="V600" s="949"/>
      <c r="W600" s="949"/>
      <c r="X600" s="951"/>
      <c r="Y600" s="951"/>
      <c r="Z600" s="952"/>
      <c r="AA600" s="953"/>
      <c r="AB600" s="948"/>
      <c r="AC600" s="948"/>
      <c r="AD600" s="949"/>
      <c r="AE600" s="949"/>
      <c r="AF600" s="949"/>
      <c r="AG600" s="949"/>
      <c r="AH600" s="949"/>
      <c r="AI600" s="949"/>
      <c r="AJ600" s="949"/>
      <c r="AK600" s="949"/>
      <c r="AL600" s="949"/>
      <c r="AM600" s="949"/>
      <c r="AN600" s="949"/>
      <c r="AO600" s="949"/>
      <c r="AP600" s="949"/>
      <c r="AQ600" s="949"/>
      <c r="AR600" s="949"/>
      <c r="AS600" s="949"/>
      <c r="AT600" s="949"/>
      <c r="AU600" s="949"/>
      <c r="AV600" s="949"/>
      <c r="AW600" s="949"/>
      <c r="AX600" s="949"/>
      <c r="AY600" s="949"/>
      <c r="AZ600" s="949"/>
      <c r="BA600" s="949"/>
      <c r="BB600" s="949"/>
      <c r="BC600" s="949"/>
      <c r="BD600" s="949"/>
      <c r="BE600" s="949"/>
      <c r="BF600" s="949"/>
      <c r="BG600" s="948"/>
      <c r="BH600" s="948"/>
      <c r="BI600" s="948"/>
      <c r="BJ600" s="948"/>
      <c r="BK600" s="948"/>
      <c r="BL600" s="948"/>
      <c r="BM600" s="948"/>
      <c r="BN600" s="948"/>
      <c r="BO600" s="948"/>
      <c r="BP600" s="948"/>
      <c r="BQ600" s="948"/>
      <c r="BR600" s="948"/>
      <c r="BS600" s="948"/>
      <c r="BT600" s="948"/>
      <c r="BU600" s="954"/>
    </row>
    <row r="601" spans="1:73" ht="15.75" customHeight="1" x14ac:dyDescent="0.2">
      <c r="A601" s="947"/>
      <c r="B601" s="947"/>
      <c r="C601" s="947"/>
      <c r="D601" s="948"/>
      <c r="E601" s="948"/>
      <c r="F601" s="948"/>
      <c r="G601" s="948"/>
      <c r="H601" s="948"/>
      <c r="I601" s="948"/>
      <c r="J601" s="948"/>
      <c r="K601" s="949"/>
      <c r="L601" s="949"/>
      <c r="M601" s="949"/>
      <c r="N601" s="950"/>
      <c r="O601" s="948"/>
      <c r="P601" s="948"/>
      <c r="Q601" s="948"/>
      <c r="R601" s="949"/>
      <c r="S601" s="949"/>
      <c r="T601" s="949"/>
      <c r="U601" s="949"/>
      <c r="V601" s="949"/>
      <c r="W601" s="949"/>
      <c r="X601" s="951"/>
      <c r="Y601" s="951"/>
      <c r="Z601" s="952"/>
      <c r="AA601" s="953"/>
      <c r="AB601" s="948"/>
      <c r="AC601" s="948"/>
      <c r="AD601" s="949"/>
      <c r="AE601" s="949"/>
      <c r="AF601" s="949"/>
      <c r="AG601" s="949"/>
      <c r="AH601" s="949"/>
      <c r="AI601" s="949"/>
      <c r="AJ601" s="949"/>
      <c r="AK601" s="949"/>
      <c r="AL601" s="949"/>
      <c r="AM601" s="949"/>
      <c r="AN601" s="949"/>
      <c r="AO601" s="949"/>
      <c r="AP601" s="949"/>
      <c r="AQ601" s="949"/>
      <c r="AR601" s="949"/>
      <c r="AS601" s="949"/>
      <c r="AT601" s="949"/>
      <c r="AU601" s="949"/>
      <c r="AV601" s="949"/>
      <c r="AW601" s="949"/>
      <c r="AX601" s="949"/>
      <c r="AY601" s="949"/>
      <c r="AZ601" s="949"/>
      <c r="BA601" s="949"/>
      <c r="BB601" s="949"/>
      <c r="BC601" s="949"/>
      <c r="BD601" s="949"/>
      <c r="BE601" s="949"/>
      <c r="BF601" s="949"/>
      <c r="BG601" s="948"/>
      <c r="BH601" s="948"/>
      <c r="BI601" s="948"/>
      <c r="BJ601" s="948"/>
      <c r="BK601" s="948"/>
      <c r="BL601" s="948"/>
      <c r="BM601" s="948"/>
      <c r="BN601" s="948"/>
      <c r="BO601" s="948"/>
      <c r="BP601" s="948"/>
      <c r="BQ601" s="948"/>
      <c r="BR601" s="948"/>
      <c r="BS601" s="948"/>
      <c r="BT601" s="948"/>
      <c r="BU601" s="954"/>
    </row>
    <row r="602" spans="1:73" ht="15.75" customHeight="1" x14ac:dyDescent="0.2">
      <c r="A602" s="947"/>
      <c r="B602" s="947"/>
      <c r="C602" s="947"/>
      <c r="D602" s="948"/>
      <c r="E602" s="948"/>
      <c r="F602" s="948"/>
      <c r="G602" s="948"/>
      <c r="H602" s="948"/>
      <c r="I602" s="948"/>
      <c r="J602" s="948"/>
      <c r="K602" s="949"/>
      <c r="L602" s="949"/>
      <c r="M602" s="949"/>
      <c r="N602" s="950"/>
      <c r="O602" s="948"/>
      <c r="P602" s="948"/>
      <c r="Q602" s="948"/>
      <c r="R602" s="949"/>
      <c r="S602" s="949"/>
      <c r="T602" s="949"/>
      <c r="U602" s="949"/>
      <c r="V602" s="949"/>
      <c r="W602" s="949"/>
      <c r="X602" s="951"/>
      <c r="Y602" s="951"/>
      <c r="Z602" s="952"/>
      <c r="AA602" s="953"/>
      <c r="AB602" s="948"/>
      <c r="AC602" s="948"/>
      <c r="AD602" s="949"/>
      <c r="AE602" s="949"/>
      <c r="AF602" s="949"/>
      <c r="AG602" s="949"/>
      <c r="AH602" s="949"/>
      <c r="AI602" s="949"/>
      <c r="AJ602" s="949"/>
      <c r="AK602" s="949"/>
      <c r="AL602" s="949"/>
      <c r="AM602" s="949"/>
      <c r="AN602" s="949"/>
      <c r="AO602" s="949"/>
      <c r="AP602" s="949"/>
      <c r="AQ602" s="949"/>
      <c r="AR602" s="949"/>
      <c r="AS602" s="949"/>
      <c r="AT602" s="949"/>
      <c r="AU602" s="949"/>
      <c r="AV602" s="949"/>
      <c r="AW602" s="949"/>
      <c r="AX602" s="949"/>
      <c r="AY602" s="949"/>
      <c r="AZ602" s="949"/>
      <c r="BA602" s="949"/>
      <c r="BB602" s="949"/>
      <c r="BC602" s="949"/>
      <c r="BD602" s="949"/>
      <c r="BE602" s="949"/>
      <c r="BF602" s="949"/>
      <c r="BG602" s="948"/>
      <c r="BH602" s="948"/>
      <c r="BI602" s="948"/>
      <c r="BJ602" s="948"/>
      <c r="BK602" s="948"/>
      <c r="BL602" s="948"/>
      <c r="BM602" s="948"/>
      <c r="BN602" s="948"/>
      <c r="BO602" s="948"/>
      <c r="BP602" s="948"/>
      <c r="BQ602" s="948"/>
      <c r="BR602" s="948"/>
      <c r="BS602" s="948"/>
      <c r="BT602" s="948"/>
      <c r="BU602" s="954"/>
    </row>
    <row r="603" spans="1:73" ht="15.75" customHeight="1" x14ac:dyDescent="0.2">
      <c r="A603" s="947"/>
      <c r="B603" s="947"/>
      <c r="C603" s="947"/>
      <c r="D603" s="948"/>
      <c r="E603" s="948"/>
      <c r="F603" s="948"/>
      <c r="G603" s="948"/>
      <c r="H603" s="948"/>
      <c r="I603" s="948"/>
      <c r="J603" s="948"/>
      <c r="K603" s="949"/>
      <c r="L603" s="949"/>
      <c r="M603" s="949"/>
      <c r="N603" s="950"/>
      <c r="O603" s="948"/>
      <c r="P603" s="948"/>
      <c r="Q603" s="948"/>
      <c r="R603" s="949"/>
      <c r="S603" s="949"/>
      <c r="T603" s="949"/>
      <c r="U603" s="949"/>
      <c r="V603" s="949"/>
      <c r="W603" s="949"/>
      <c r="X603" s="951"/>
      <c r="Y603" s="951"/>
      <c r="Z603" s="952"/>
      <c r="AA603" s="953"/>
      <c r="AB603" s="948"/>
      <c r="AC603" s="948"/>
      <c r="AD603" s="949"/>
      <c r="AE603" s="949"/>
      <c r="AF603" s="949"/>
      <c r="AG603" s="949"/>
      <c r="AH603" s="949"/>
      <c r="AI603" s="949"/>
      <c r="AJ603" s="949"/>
      <c r="AK603" s="949"/>
      <c r="AL603" s="949"/>
      <c r="AM603" s="949"/>
      <c r="AN603" s="949"/>
      <c r="AO603" s="949"/>
      <c r="AP603" s="949"/>
      <c r="AQ603" s="949"/>
      <c r="AR603" s="949"/>
      <c r="AS603" s="949"/>
      <c r="AT603" s="949"/>
      <c r="AU603" s="949"/>
      <c r="AV603" s="949"/>
      <c r="AW603" s="949"/>
      <c r="AX603" s="949"/>
      <c r="AY603" s="949"/>
      <c r="AZ603" s="949"/>
      <c r="BA603" s="949"/>
      <c r="BB603" s="949"/>
      <c r="BC603" s="949"/>
      <c r="BD603" s="949"/>
      <c r="BE603" s="949"/>
      <c r="BF603" s="949"/>
      <c r="BG603" s="948"/>
      <c r="BH603" s="948"/>
      <c r="BI603" s="948"/>
      <c r="BJ603" s="948"/>
      <c r="BK603" s="948"/>
      <c r="BL603" s="948"/>
      <c r="BM603" s="948"/>
      <c r="BN603" s="948"/>
      <c r="BO603" s="948"/>
      <c r="BP603" s="948"/>
      <c r="BQ603" s="948"/>
      <c r="BR603" s="948"/>
      <c r="BS603" s="948"/>
      <c r="BT603" s="948"/>
      <c r="BU603" s="954"/>
    </row>
    <row r="604" spans="1:73" ht="15.75" customHeight="1" x14ac:dyDescent="0.2">
      <c r="A604" s="947"/>
      <c r="B604" s="947"/>
      <c r="C604" s="947"/>
      <c r="D604" s="948"/>
      <c r="E604" s="948"/>
      <c r="F604" s="948"/>
      <c r="G604" s="948"/>
      <c r="H604" s="948"/>
      <c r="I604" s="948"/>
      <c r="J604" s="948"/>
      <c r="K604" s="949"/>
      <c r="L604" s="949"/>
      <c r="M604" s="949"/>
      <c r="N604" s="950"/>
      <c r="O604" s="948"/>
      <c r="P604" s="948"/>
      <c r="Q604" s="948"/>
      <c r="R604" s="949"/>
      <c r="S604" s="949"/>
      <c r="T604" s="949"/>
      <c r="U604" s="949"/>
      <c r="V604" s="949"/>
      <c r="W604" s="949"/>
      <c r="X604" s="951"/>
      <c r="Y604" s="951"/>
      <c r="Z604" s="952"/>
      <c r="AA604" s="953"/>
      <c r="AB604" s="948"/>
      <c r="AC604" s="948"/>
      <c r="AD604" s="949"/>
      <c r="AE604" s="949"/>
      <c r="AF604" s="949"/>
      <c r="AG604" s="949"/>
      <c r="AH604" s="949"/>
      <c r="AI604" s="949"/>
      <c r="AJ604" s="949"/>
      <c r="AK604" s="949"/>
      <c r="AL604" s="949"/>
      <c r="AM604" s="949"/>
      <c r="AN604" s="949"/>
      <c r="AO604" s="949"/>
      <c r="AP604" s="949"/>
      <c r="AQ604" s="949"/>
      <c r="AR604" s="949"/>
      <c r="AS604" s="949"/>
      <c r="AT604" s="949"/>
      <c r="AU604" s="949"/>
      <c r="AV604" s="949"/>
      <c r="AW604" s="949"/>
      <c r="AX604" s="949"/>
      <c r="AY604" s="949"/>
      <c r="AZ604" s="949"/>
      <c r="BA604" s="949"/>
      <c r="BB604" s="949"/>
      <c r="BC604" s="949"/>
      <c r="BD604" s="949"/>
      <c r="BE604" s="949"/>
      <c r="BF604" s="949"/>
      <c r="BG604" s="948"/>
      <c r="BH604" s="948"/>
      <c r="BI604" s="948"/>
      <c r="BJ604" s="948"/>
      <c r="BK604" s="948"/>
      <c r="BL604" s="948"/>
      <c r="BM604" s="948"/>
      <c r="BN604" s="948"/>
      <c r="BO604" s="948"/>
      <c r="BP604" s="948"/>
      <c r="BQ604" s="948"/>
      <c r="BR604" s="948"/>
      <c r="BS604" s="948"/>
      <c r="BT604" s="948"/>
      <c r="BU604" s="954"/>
    </row>
    <row r="605" spans="1:73" ht="15.75" customHeight="1" x14ac:dyDescent="0.2">
      <c r="A605" s="947"/>
      <c r="B605" s="947"/>
      <c r="C605" s="947"/>
      <c r="D605" s="948"/>
      <c r="E605" s="948"/>
      <c r="F605" s="948"/>
      <c r="G605" s="948"/>
      <c r="H605" s="948"/>
      <c r="I605" s="948"/>
      <c r="J605" s="948"/>
      <c r="K605" s="949"/>
      <c r="L605" s="949"/>
      <c r="M605" s="949"/>
      <c r="N605" s="950"/>
      <c r="O605" s="948"/>
      <c r="P605" s="948"/>
      <c r="Q605" s="948"/>
      <c r="R605" s="949"/>
      <c r="S605" s="949"/>
      <c r="T605" s="949"/>
      <c r="U605" s="949"/>
      <c r="V605" s="949"/>
      <c r="W605" s="949"/>
      <c r="X605" s="951"/>
      <c r="Y605" s="951"/>
      <c r="Z605" s="952"/>
      <c r="AA605" s="953"/>
      <c r="AB605" s="948"/>
      <c r="AC605" s="948"/>
      <c r="AD605" s="949"/>
      <c r="AE605" s="949"/>
      <c r="AF605" s="949"/>
      <c r="AG605" s="949"/>
      <c r="AH605" s="949"/>
      <c r="AI605" s="949"/>
      <c r="AJ605" s="949"/>
      <c r="AK605" s="949"/>
      <c r="AL605" s="949"/>
      <c r="AM605" s="949"/>
      <c r="AN605" s="949"/>
      <c r="AO605" s="949"/>
      <c r="AP605" s="949"/>
      <c r="AQ605" s="949"/>
      <c r="AR605" s="949"/>
      <c r="AS605" s="949"/>
      <c r="AT605" s="949"/>
      <c r="AU605" s="949"/>
      <c r="AV605" s="949"/>
      <c r="AW605" s="949"/>
      <c r="AX605" s="949"/>
      <c r="AY605" s="949"/>
      <c r="AZ605" s="949"/>
      <c r="BA605" s="949"/>
      <c r="BB605" s="949"/>
      <c r="BC605" s="949"/>
      <c r="BD605" s="949"/>
      <c r="BE605" s="949"/>
      <c r="BF605" s="949"/>
      <c r="BG605" s="948"/>
      <c r="BH605" s="948"/>
      <c r="BI605" s="948"/>
      <c r="BJ605" s="948"/>
      <c r="BK605" s="948"/>
      <c r="BL605" s="948"/>
      <c r="BM605" s="948"/>
      <c r="BN605" s="948"/>
      <c r="BO605" s="948"/>
      <c r="BP605" s="948"/>
      <c r="BQ605" s="948"/>
      <c r="BR605" s="948"/>
      <c r="BS605" s="948"/>
      <c r="BT605" s="948"/>
      <c r="BU605" s="954"/>
    </row>
    <row r="606" spans="1:73" ht="15.75" customHeight="1" x14ac:dyDescent="0.2">
      <c r="A606" s="947"/>
      <c r="B606" s="947"/>
      <c r="C606" s="947"/>
      <c r="D606" s="948"/>
      <c r="E606" s="948"/>
      <c r="F606" s="948"/>
      <c r="G606" s="948"/>
      <c r="H606" s="948"/>
      <c r="I606" s="948"/>
      <c r="J606" s="948"/>
      <c r="K606" s="949"/>
      <c r="L606" s="949"/>
      <c r="M606" s="949"/>
      <c r="N606" s="950"/>
      <c r="O606" s="948"/>
      <c r="P606" s="948"/>
      <c r="Q606" s="948"/>
      <c r="R606" s="949"/>
      <c r="S606" s="949"/>
      <c r="T606" s="949"/>
      <c r="U606" s="949"/>
      <c r="V606" s="949"/>
      <c r="W606" s="949"/>
      <c r="X606" s="951"/>
      <c r="Y606" s="951"/>
      <c r="Z606" s="952"/>
      <c r="AA606" s="953"/>
      <c r="AB606" s="948"/>
      <c r="AC606" s="948"/>
      <c r="AD606" s="949"/>
      <c r="AE606" s="949"/>
      <c r="AF606" s="949"/>
      <c r="AG606" s="949"/>
      <c r="AH606" s="949"/>
      <c r="AI606" s="949"/>
      <c r="AJ606" s="949"/>
      <c r="AK606" s="949"/>
      <c r="AL606" s="949"/>
      <c r="AM606" s="949"/>
      <c r="AN606" s="949"/>
      <c r="AO606" s="949"/>
      <c r="AP606" s="949"/>
      <c r="AQ606" s="949"/>
      <c r="AR606" s="949"/>
      <c r="AS606" s="949"/>
      <c r="AT606" s="949"/>
      <c r="AU606" s="949"/>
      <c r="AV606" s="949"/>
      <c r="AW606" s="949"/>
      <c r="AX606" s="949"/>
      <c r="AY606" s="949"/>
      <c r="AZ606" s="949"/>
      <c r="BA606" s="949"/>
      <c r="BB606" s="949"/>
      <c r="BC606" s="949"/>
      <c r="BD606" s="949"/>
      <c r="BE606" s="949"/>
      <c r="BF606" s="949"/>
      <c r="BG606" s="948"/>
      <c r="BH606" s="948"/>
      <c r="BI606" s="948"/>
      <c r="BJ606" s="948"/>
      <c r="BK606" s="948"/>
      <c r="BL606" s="948"/>
      <c r="BM606" s="948"/>
      <c r="BN606" s="948"/>
      <c r="BO606" s="948"/>
      <c r="BP606" s="948"/>
      <c r="BQ606" s="948"/>
      <c r="BR606" s="948"/>
      <c r="BS606" s="948"/>
      <c r="BT606" s="948"/>
      <c r="BU606" s="954"/>
    </row>
    <row r="607" spans="1:73" ht="15.75" customHeight="1" x14ac:dyDescent="0.2">
      <c r="A607" s="947"/>
      <c r="B607" s="947"/>
      <c r="C607" s="947"/>
      <c r="D607" s="948"/>
      <c r="E607" s="948"/>
      <c r="F607" s="948"/>
      <c r="G607" s="948"/>
      <c r="H607" s="948"/>
      <c r="I607" s="948"/>
      <c r="J607" s="948"/>
      <c r="K607" s="949"/>
      <c r="L607" s="949"/>
      <c r="M607" s="949"/>
      <c r="N607" s="950"/>
      <c r="O607" s="948"/>
      <c r="P607" s="948"/>
      <c r="Q607" s="948"/>
      <c r="R607" s="949"/>
      <c r="S607" s="949"/>
      <c r="T607" s="949"/>
      <c r="U607" s="949"/>
      <c r="V607" s="949"/>
      <c r="W607" s="949"/>
      <c r="X607" s="951"/>
      <c r="Y607" s="951"/>
      <c r="Z607" s="952"/>
      <c r="AA607" s="953"/>
      <c r="AB607" s="948"/>
      <c r="AC607" s="948"/>
      <c r="AD607" s="949"/>
      <c r="AE607" s="949"/>
      <c r="AF607" s="949"/>
      <c r="AG607" s="949"/>
      <c r="AH607" s="949"/>
      <c r="AI607" s="949"/>
      <c r="AJ607" s="949"/>
      <c r="AK607" s="949"/>
      <c r="AL607" s="949"/>
      <c r="AM607" s="949"/>
      <c r="AN607" s="949"/>
      <c r="AO607" s="949"/>
      <c r="AP607" s="949"/>
      <c r="AQ607" s="949"/>
      <c r="AR607" s="949"/>
      <c r="AS607" s="949"/>
      <c r="AT607" s="949"/>
      <c r="AU607" s="949"/>
      <c r="AV607" s="949"/>
      <c r="AW607" s="949"/>
      <c r="AX607" s="949"/>
      <c r="AY607" s="949"/>
      <c r="AZ607" s="949"/>
      <c r="BA607" s="949"/>
      <c r="BB607" s="949"/>
      <c r="BC607" s="949"/>
      <c r="BD607" s="949"/>
      <c r="BE607" s="949"/>
      <c r="BF607" s="949"/>
      <c r="BG607" s="948"/>
      <c r="BH607" s="948"/>
      <c r="BI607" s="948"/>
      <c r="BJ607" s="948"/>
      <c r="BK607" s="948"/>
      <c r="BL607" s="948"/>
      <c r="BM607" s="948"/>
      <c r="BN607" s="948"/>
      <c r="BO607" s="948"/>
      <c r="BP607" s="948"/>
      <c r="BQ607" s="948"/>
      <c r="BR607" s="948"/>
      <c r="BS607" s="948"/>
      <c r="BT607" s="948"/>
      <c r="BU607" s="954"/>
    </row>
    <row r="608" spans="1:73" ht="15.75" customHeight="1" x14ac:dyDescent="0.2">
      <c r="A608" s="947"/>
      <c r="B608" s="947"/>
      <c r="C608" s="947"/>
      <c r="D608" s="948"/>
      <c r="E608" s="948"/>
      <c r="F608" s="948"/>
      <c r="G608" s="948"/>
      <c r="H608" s="948"/>
      <c r="I608" s="948"/>
      <c r="J608" s="948"/>
      <c r="K608" s="949"/>
      <c r="L608" s="949"/>
      <c r="M608" s="949"/>
      <c r="N608" s="950"/>
      <c r="O608" s="948"/>
      <c r="P608" s="948"/>
      <c r="Q608" s="948"/>
      <c r="R608" s="949"/>
      <c r="S608" s="949"/>
      <c r="T608" s="949"/>
      <c r="U608" s="949"/>
      <c r="V608" s="949"/>
      <c r="W608" s="949"/>
      <c r="X608" s="951"/>
      <c r="Y608" s="951"/>
      <c r="Z608" s="952"/>
      <c r="AA608" s="953"/>
      <c r="AB608" s="948"/>
      <c r="AC608" s="948"/>
      <c r="AD608" s="949"/>
      <c r="AE608" s="949"/>
      <c r="AF608" s="949"/>
      <c r="AG608" s="949"/>
      <c r="AH608" s="949"/>
      <c r="AI608" s="949"/>
      <c r="AJ608" s="949"/>
      <c r="AK608" s="949"/>
      <c r="AL608" s="949"/>
      <c r="AM608" s="949"/>
      <c r="AN608" s="949"/>
      <c r="AO608" s="949"/>
      <c r="AP608" s="949"/>
      <c r="AQ608" s="949"/>
      <c r="AR608" s="949"/>
      <c r="AS608" s="949"/>
      <c r="AT608" s="949"/>
      <c r="AU608" s="949"/>
      <c r="AV608" s="949"/>
      <c r="AW608" s="949"/>
      <c r="AX608" s="949"/>
      <c r="AY608" s="949"/>
      <c r="AZ608" s="949"/>
      <c r="BA608" s="949"/>
      <c r="BB608" s="949"/>
      <c r="BC608" s="949"/>
      <c r="BD608" s="949"/>
      <c r="BE608" s="949"/>
      <c r="BF608" s="949"/>
      <c r="BG608" s="948"/>
      <c r="BH608" s="948"/>
      <c r="BI608" s="948"/>
      <c r="BJ608" s="948"/>
      <c r="BK608" s="948"/>
      <c r="BL608" s="948"/>
      <c r="BM608" s="948"/>
      <c r="BN608" s="948"/>
      <c r="BO608" s="948"/>
      <c r="BP608" s="948"/>
      <c r="BQ608" s="948"/>
      <c r="BR608" s="948"/>
      <c r="BS608" s="948"/>
      <c r="BT608" s="948"/>
      <c r="BU608" s="954"/>
    </row>
    <row r="609" spans="1:73" ht="15.75" customHeight="1" x14ac:dyDescent="0.2">
      <c r="A609" s="947"/>
      <c r="B609" s="947"/>
      <c r="C609" s="947"/>
      <c r="D609" s="948"/>
      <c r="E609" s="948"/>
      <c r="F609" s="948"/>
      <c r="G609" s="948"/>
      <c r="H609" s="948"/>
      <c r="I609" s="948"/>
      <c r="J609" s="948"/>
      <c r="K609" s="949"/>
      <c r="L609" s="949"/>
      <c r="M609" s="949"/>
      <c r="N609" s="950"/>
      <c r="O609" s="948"/>
      <c r="P609" s="948"/>
      <c r="Q609" s="948"/>
      <c r="R609" s="949"/>
      <c r="S609" s="949"/>
      <c r="T609" s="949"/>
      <c r="U609" s="949"/>
      <c r="V609" s="949"/>
      <c r="W609" s="949"/>
      <c r="X609" s="951"/>
      <c r="Y609" s="951"/>
      <c r="Z609" s="952"/>
      <c r="AA609" s="953"/>
      <c r="AB609" s="948"/>
      <c r="AC609" s="948"/>
      <c r="AD609" s="949"/>
      <c r="AE609" s="949"/>
      <c r="AF609" s="949"/>
      <c r="AG609" s="949"/>
      <c r="AH609" s="949"/>
      <c r="AI609" s="949"/>
      <c r="AJ609" s="949"/>
      <c r="AK609" s="949"/>
      <c r="AL609" s="949"/>
      <c r="AM609" s="949"/>
      <c r="AN609" s="949"/>
      <c r="AO609" s="949"/>
      <c r="AP609" s="949"/>
      <c r="AQ609" s="949"/>
      <c r="AR609" s="949"/>
      <c r="AS609" s="949"/>
      <c r="AT609" s="949"/>
      <c r="AU609" s="949"/>
      <c r="AV609" s="949"/>
      <c r="AW609" s="949"/>
      <c r="AX609" s="949"/>
      <c r="AY609" s="949"/>
      <c r="AZ609" s="949"/>
      <c r="BA609" s="949"/>
      <c r="BB609" s="949"/>
      <c r="BC609" s="949"/>
      <c r="BD609" s="949"/>
      <c r="BE609" s="949"/>
      <c r="BF609" s="949"/>
      <c r="BG609" s="948"/>
      <c r="BH609" s="948"/>
      <c r="BI609" s="948"/>
      <c r="BJ609" s="948"/>
      <c r="BK609" s="948"/>
      <c r="BL609" s="948"/>
      <c r="BM609" s="948"/>
      <c r="BN609" s="948"/>
      <c r="BO609" s="948"/>
      <c r="BP609" s="948"/>
      <c r="BQ609" s="948"/>
      <c r="BR609" s="948"/>
      <c r="BS609" s="948"/>
      <c r="BT609" s="948"/>
      <c r="BU609" s="954"/>
    </row>
    <row r="610" spans="1:73" ht="15.75" customHeight="1" x14ac:dyDescent="0.2">
      <c r="A610" s="947"/>
      <c r="B610" s="947"/>
      <c r="C610" s="947"/>
      <c r="D610" s="948"/>
      <c r="E610" s="948"/>
      <c r="F610" s="948"/>
      <c r="G610" s="948"/>
      <c r="H610" s="948"/>
      <c r="I610" s="948"/>
      <c r="J610" s="948"/>
      <c r="K610" s="949"/>
      <c r="L610" s="949"/>
      <c r="M610" s="949"/>
      <c r="N610" s="950"/>
      <c r="O610" s="948"/>
      <c r="P610" s="948"/>
      <c r="Q610" s="948"/>
      <c r="R610" s="949"/>
      <c r="S610" s="949"/>
      <c r="T610" s="949"/>
      <c r="U610" s="949"/>
      <c r="V610" s="949"/>
      <c r="W610" s="949"/>
      <c r="X610" s="951"/>
      <c r="Y610" s="951"/>
      <c r="Z610" s="952"/>
      <c r="AA610" s="953"/>
      <c r="AB610" s="948"/>
      <c r="AC610" s="948"/>
      <c r="AD610" s="949"/>
      <c r="AE610" s="949"/>
      <c r="AF610" s="949"/>
      <c r="AG610" s="949"/>
      <c r="AH610" s="949"/>
      <c r="AI610" s="949"/>
      <c r="AJ610" s="949"/>
      <c r="AK610" s="949"/>
      <c r="AL610" s="949"/>
      <c r="AM610" s="949"/>
      <c r="AN610" s="949"/>
      <c r="AO610" s="949"/>
      <c r="AP610" s="949"/>
      <c r="AQ610" s="949"/>
      <c r="AR610" s="949"/>
      <c r="AS610" s="949"/>
      <c r="AT610" s="949"/>
      <c r="AU610" s="949"/>
      <c r="AV610" s="949"/>
      <c r="AW610" s="949"/>
      <c r="AX610" s="949"/>
      <c r="AY610" s="949"/>
      <c r="AZ610" s="949"/>
      <c r="BA610" s="949"/>
      <c r="BB610" s="949"/>
      <c r="BC610" s="949"/>
      <c r="BD610" s="949"/>
      <c r="BE610" s="949"/>
      <c r="BF610" s="949"/>
      <c r="BG610" s="948"/>
      <c r="BH610" s="948"/>
      <c r="BI610" s="948"/>
      <c r="BJ610" s="948"/>
      <c r="BK610" s="948"/>
      <c r="BL610" s="948"/>
      <c r="BM610" s="948"/>
      <c r="BN610" s="948"/>
      <c r="BO610" s="948"/>
      <c r="BP610" s="948"/>
      <c r="BQ610" s="948"/>
      <c r="BR610" s="948"/>
      <c r="BS610" s="948"/>
      <c r="BT610" s="948"/>
      <c r="BU610" s="954"/>
    </row>
    <row r="611" spans="1:73" ht="15.75" customHeight="1" x14ac:dyDescent="0.2">
      <c r="A611" s="947"/>
      <c r="B611" s="947"/>
      <c r="C611" s="947"/>
      <c r="D611" s="948"/>
      <c r="E611" s="948"/>
      <c r="F611" s="948"/>
      <c r="G611" s="948"/>
      <c r="H611" s="948"/>
      <c r="I611" s="948"/>
      <c r="J611" s="948"/>
      <c r="K611" s="949"/>
      <c r="L611" s="949"/>
      <c r="M611" s="949"/>
      <c r="N611" s="950"/>
      <c r="O611" s="948"/>
      <c r="P611" s="948"/>
      <c r="Q611" s="948"/>
      <c r="R611" s="949"/>
      <c r="S611" s="949"/>
      <c r="T611" s="949"/>
      <c r="U611" s="949"/>
      <c r="V611" s="949"/>
      <c r="W611" s="949"/>
      <c r="X611" s="951"/>
      <c r="Y611" s="951"/>
      <c r="Z611" s="952"/>
      <c r="AA611" s="953"/>
      <c r="AB611" s="948"/>
      <c r="AC611" s="948"/>
      <c r="AD611" s="949"/>
      <c r="AE611" s="949"/>
      <c r="AF611" s="949"/>
      <c r="AG611" s="949"/>
      <c r="AH611" s="949"/>
      <c r="AI611" s="949"/>
      <c r="AJ611" s="949"/>
      <c r="AK611" s="949"/>
      <c r="AL611" s="949"/>
      <c r="AM611" s="949"/>
      <c r="AN611" s="949"/>
      <c r="AO611" s="949"/>
      <c r="AP611" s="949"/>
      <c r="AQ611" s="949"/>
      <c r="AR611" s="949"/>
      <c r="AS611" s="949"/>
      <c r="AT611" s="949"/>
      <c r="AU611" s="949"/>
      <c r="AV611" s="949"/>
      <c r="AW611" s="949"/>
      <c r="AX611" s="949"/>
      <c r="AY611" s="949"/>
      <c r="AZ611" s="949"/>
      <c r="BA611" s="949"/>
      <c r="BB611" s="949"/>
      <c r="BC611" s="949"/>
      <c r="BD611" s="949"/>
      <c r="BE611" s="949"/>
      <c r="BF611" s="949"/>
      <c r="BG611" s="948"/>
      <c r="BH611" s="948"/>
      <c r="BI611" s="948"/>
      <c r="BJ611" s="948"/>
      <c r="BK611" s="948"/>
      <c r="BL611" s="948"/>
      <c r="BM611" s="948"/>
      <c r="BN611" s="948"/>
      <c r="BO611" s="948"/>
      <c r="BP611" s="948"/>
      <c r="BQ611" s="948"/>
      <c r="BR611" s="948"/>
      <c r="BS611" s="948"/>
      <c r="BT611" s="948"/>
      <c r="BU611" s="954"/>
    </row>
    <row r="612" spans="1:73" ht="15.75" customHeight="1" x14ac:dyDescent="0.2">
      <c r="A612" s="947"/>
      <c r="B612" s="947"/>
      <c r="C612" s="947"/>
      <c r="D612" s="948"/>
      <c r="E612" s="948"/>
      <c r="F612" s="948"/>
      <c r="G612" s="948"/>
      <c r="H612" s="948"/>
      <c r="I612" s="948"/>
      <c r="J612" s="948"/>
      <c r="K612" s="949"/>
      <c r="L612" s="949"/>
      <c r="M612" s="949"/>
      <c r="N612" s="950"/>
      <c r="O612" s="948"/>
      <c r="P612" s="948"/>
      <c r="Q612" s="948"/>
      <c r="R612" s="949"/>
      <c r="S612" s="949"/>
      <c r="T612" s="949"/>
      <c r="U612" s="949"/>
      <c r="V612" s="949"/>
      <c r="W612" s="949"/>
      <c r="X612" s="951"/>
      <c r="Y612" s="951"/>
      <c r="Z612" s="952"/>
      <c r="AA612" s="953"/>
      <c r="AB612" s="948"/>
      <c r="AC612" s="948"/>
      <c r="AD612" s="949"/>
      <c r="AE612" s="949"/>
      <c r="AF612" s="949"/>
      <c r="AG612" s="949"/>
      <c r="AH612" s="949"/>
      <c r="AI612" s="949"/>
      <c r="AJ612" s="949"/>
      <c r="AK612" s="949"/>
      <c r="AL612" s="949"/>
      <c r="AM612" s="949"/>
      <c r="AN612" s="949"/>
      <c r="AO612" s="949"/>
      <c r="AP612" s="949"/>
      <c r="AQ612" s="949"/>
      <c r="AR612" s="949"/>
      <c r="AS612" s="949"/>
      <c r="AT612" s="949"/>
      <c r="AU612" s="949"/>
      <c r="AV612" s="949"/>
      <c r="AW612" s="949"/>
      <c r="AX612" s="949"/>
      <c r="AY612" s="949"/>
      <c r="AZ612" s="949"/>
      <c r="BA612" s="949"/>
      <c r="BB612" s="949"/>
      <c r="BC612" s="949"/>
      <c r="BD612" s="949"/>
      <c r="BE612" s="949"/>
      <c r="BF612" s="949"/>
      <c r="BG612" s="948"/>
      <c r="BH612" s="948"/>
      <c r="BI612" s="948"/>
      <c r="BJ612" s="948"/>
      <c r="BK612" s="948"/>
      <c r="BL612" s="948"/>
      <c r="BM612" s="948"/>
      <c r="BN612" s="948"/>
      <c r="BO612" s="948"/>
      <c r="BP612" s="948"/>
      <c r="BQ612" s="948"/>
      <c r="BR612" s="948"/>
      <c r="BS612" s="948"/>
      <c r="BT612" s="948"/>
      <c r="BU612" s="954"/>
    </row>
    <row r="613" spans="1:73" ht="15.75" customHeight="1" x14ac:dyDescent="0.2">
      <c r="A613" s="947"/>
      <c r="B613" s="947"/>
      <c r="C613" s="947"/>
      <c r="D613" s="948"/>
      <c r="E613" s="948"/>
      <c r="F613" s="948"/>
      <c r="G613" s="948"/>
      <c r="H613" s="948"/>
      <c r="I613" s="948"/>
      <c r="J613" s="948"/>
      <c r="K613" s="949"/>
      <c r="L613" s="949"/>
      <c r="M613" s="949"/>
      <c r="N613" s="950"/>
      <c r="O613" s="948"/>
      <c r="P613" s="948"/>
      <c r="Q613" s="948"/>
      <c r="R613" s="949"/>
      <c r="S613" s="949"/>
      <c r="T613" s="949"/>
      <c r="U613" s="949"/>
      <c r="V613" s="949"/>
      <c r="W613" s="949"/>
      <c r="X613" s="951"/>
      <c r="Y613" s="951"/>
      <c r="Z613" s="952"/>
      <c r="AA613" s="953"/>
      <c r="AB613" s="948"/>
      <c r="AC613" s="948"/>
      <c r="AD613" s="949"/>
      <c r="AE613" s="949"/>
      <c r="AF613" s="949"/>
      <c r="AG613" s="949"/>
      <c r="AH613" s="949"/>
      <c r="AI613" s="949"/>
      <c r="AJ613" s="949"/>
      <c r="AK613" s="949"/>
      <c r="AL613" s="949"/>
      <c r="AM613" s="949"/>
      <c r="AN613" s="949"/>
      <c r="AO613" s="949"/>
      <c r="AP613" s="949"/>
      <c r="AQ613" s="949"/>
      <c r="AR613" s="949"/>
      <c r="AS613" s="949"/>
      <c r="AT613" s="949"/>
      <c r="AU613" s="949"/>
      <c r="AV613" s="949"/>
      <c r="AW613" s="949"/>
      <c r="AX613" s="949"/>
      <c r="AY613" s="949"/>
      <c r="AZ613" s="949"/>
      <c r="BA613" s="949"/>
      <c r="BB613" s="949"/>
      <c r="BC613" s="949"/>
      <c r="BD613" s="949"/>
      <c r="BE613" s="949"/>
      <c r="BF613" s="949"/>
      <c r="BG613" s="948"/>
      <c r="BH613" s="948"/>
      <c r="BI613" s="948"/>
      <c r="BJ613" s="948"/>
      <c r="BK613" s="948"/>
      <c r="BL613" s="948"/>
      <c r="BM613" s="948"/>
      <c r="BN613" s="948"/>
      <c r="BO613" s="948"/>
      <c r="BP613" s="948"/>
      <c r="BQ613" s="948"/>
      <c r="BR613" s="948"/>
      <c r="BS613" s="948"/>
      <c r="BT613" s="948"/>
      <c r="BU613" s="954"/>
    </row>
    <row r="614" spans="1:73" ht="15.75" customHeight="1" x14ac:dyDescent="0.2">
      <c r="A614" s="947"/>
      <c r="B614" s="947"/>
      <c r="C614" s="947"/>
      <c r="D614" s="948"/>
      <c r="E614" s="948"/>
      <c r="F614" s="948"/>
      <c r="G614" s="948"/>
      <c r="H614" s="948"/>
      <c r="I614" s="948"/>
      <c r="J614" s="948"/>
      <c r="K614" s="949"/>
      <c r="L614" s="949"/>
      <c r="M614" s="949"/>
      <c r="N614" s="950"/>
      <c r="O614" s="948"/>
      <c r="P614" s="948"/>
      <c r="Q614" s="948"/>
      <c r="R614" s="949"/>
      <c r="S614" s="949"/>
      <c r="T614" s="949"/>
      <c r="U614" s="949"/>
      <c r="V614" s="949"/>
      <c r="W614" s="949"/>
      <c r="X614" s="951"/>
      <c r="Y614" s="951"/>
      <c r="Z614" s="952"/>
      <c r="AA614" s="953"/>
      <c r="AB614" s="948"/>
      <c r="AC614" s="948"/>
      <c r="AD614" s="949"/>
      <c r="AE614" s="949"/>
      <c r="AF614" s="949"/>
      <c r="AG614" s="949"/>
      <c r="AH614" s="949"/>
      <c r="AI614" s="949"/>
      <c r="AJ614" s="949"/>
      <c r="AK614" s="949"/>
      <c r="AL614" s="949"/>
      <c r="AM614" s="949"/>
      <c r="AN614" s="949"/>
      <c r="AO614" s="949"/>
      <c r="AP614" s="949"/>
      <c r="AQ614" s="949"/>
      <c r="AR614" s="949"/>
      <c r="AS614" s="949"/>
      <c r="AT614" s="949"/>
      <c r="AU614" s="949"/>
      <c r="AV614" s="949"/>
      <c r="AW614" s="949"/>
      <c r="AX614" s="949"/>
      <c r="AY614" s="949"/>
      <c r="AZ614" s="949"/>
      <c r="BA614" s="949"/>
      <c r="BB614" s="949"/>
      <c r="BC614" s="949"/>
      <c r="BD614" s="949"/>
      <c r="BE614" s="949"/>
      <c r="BF614" s="949"/>
      <c r="BG614" s="948"/>
      <c r="BH614" s="948"/>
      <c r="BI614" s="948"/>
      <c r="BJ614" s="948"/>
      <c r="BK614" s="948"/>
      <c r="BL614" s="948"/>
      <c r="BM614" s="948"/>
      <c r="BN614" s="948"/>
      <c r="BO614" s="948"/>
      <c r="BP614" s="948"/>
      <c r="BQ614" s="948"/>
      <c r="BR614" s="948"/>
      <c r="BS614" s="948"/>
      <c r="BT614" s="948"/>
      <c r="BU614" s="954"/>
    </row>
    <row r="615" spans="1:73" ht="15.75" customHeight="1" x14ac:dyDescent="0.2">
      <c r="A615" s="947"/>
      <c r="B615" s="947"/>
      <c r="C615" s="947"/>
      <c r="D615" s="948"/>
      <c r="E615" s="948"/>
      <c r="F615" s="948"/>
      <c r="G615" s="948"/>
      <c r="H615" s="948"/>
      <c r="I615" s="948"/>
      <c r="J615" s="948"/>
      <c r="K615" s="949"/>
      <c r="L615" s="949"/>
      <c r="M615" s="949"/>
      <c r="N615" s="950"/>
      <c r="O615" s="948"/>
      <c r="P615" s="948"/>
      <c r="Q615" s="948"/>
      <c r="R615" s="949"/>
      <c r="S615" s="949"/>
      <c r="T615" s="949"/>
      <c r="U615" s="949"/>
      <c r="V615" s="949"/>
      <c r="W615" s="949"/>
      <c r="X615" s="951"/>
      <c r="Y615" s="951"/>
      <c r="Z615" s="952"/>
      <c r="AA615" s="953"/>
      <c r="AB615" s="948"/>
      <c r="AC615" s="948"/>
      <c r="AD615" s="949"/>
      <c r="AE615" s="949"/>
      <c r="AF615" s="949"/>
      <c r="AG615" s="949"/>
      <c r="AH615" s="949"/>
      <c r="AI615" s="949"/>
      <c r="AJ615" s="949"/>
      <c r="AK615" s="949"/>
      <c r="AL615" s="949"/>
      <c r="AM615" s="949"/>
      <c r="AN615" s="949"/>
      <c r="AO615" s="949"/>
      <c r="AP615" s="949"/>
      <c r="AQ615" s="949"/>
      <c r="AR615" s="949"/>
      <c r="AS615" s="949"/>
      <c r="AT615" s="949"/>
      <c r="AU615" s="949"/>
      <c r="AV615" s="949"/>
      <c r="AW615" s="949"/>
      <c r="AX615" s="949"/>
      <c r="AY615" s="949"/>
      <c r="AZ615" s="949"/>
      <c r="BA615" s="949"/>
      <c r="BB615" s="949"/>
      <c r="BC615" s="949"/>
      <c r="BD615" s="949"/>
      <c r="BE615" s="949"/>
      <c r="BF615" s="949"/>
      <c r="BG615" s="948"/>
      <c r="BH615" s="948"/>
      <c r="BI615" s="948"/>
      <c r="BJ615" s="948"/>
      <c r="BK615" s="948"/>
      <c r="BL615" s="948"/>
      <c r="BM615" s="948"/>
      <c r="BN615" s="948"/>
      <c r="BO615" s="948"/>
      <c r="BP615" s="948"/>
      <c r="BQ615" s="948"/>
      <c r="BR615" s="948"/>
      <c r="BS615" s="948"/>
      <c r="BT615" s="948"/>
      <c r="BU615" s="954"/>
    </row>
    <row r="616" spans="1:73" ht="15.75" customHeight="1" x14ac:dyDescent="0.2">
      <c r="A616" s="947"/>
      <c r="B616" s="947"/>
      <c r="C616" s="947"/>
      <c r="D616" s="948"/>
      <c r="E616" s="948"/>
      <c r="F616" s="948"/>
      <c r="G616" s="948"/>
      <c r="H616" s="948"/>
      <c r="I616" s="948"/>
      <c r="J616" s="948"/>
      <c r="K616" s="949"/>
      <c r="L616" s="949"/>
      <c r="M616" s="949"/>
      <c r="N616" s="950"/>
      <c r="O616" s="948"/>
      <c r="P616" s="948"/>
      <c r="Q616" s="948"/>
      <c r="R616" s="949"/>
      <c r="S616" s="949"/>
      <c r="T616" s="949"/>
      <c r="U616" s="949"/>
      <c r="V616" s="949"/>
      <c r="W616" s="949"/>
      <c r="X616" s="951"/>
      <c r="Y616" s="951"/>
      <c r="Z616" s="952"/>
      <c r="AA616" s="953"/>
      <c r="AB616" s="948"/>
      <c r="AC616" s="948"/>
      <c r="AD616" s="949"/>
      <c r="AE616" s="949"/>
      <c r="AF616" s="949"/>
      <c r="AG616" s="949"/>
      <c r="AH616" s="949"/>
      <c r="AI616" s="949"/>
      <c r="AJ616" s="949"/>
      <c r="AK616" s="949"/>
      <c r="AL616" s="949"/>
      <c r="AM616" s="949"/>
      <c r="AN616" s="949"/>
      <c r="AO616" s="949"/>
      <c r="AP616" s="949"/>
      <c r="AQ616" s="949"/>
      <c r="AR616" s="949"/>
      <c r="AS616" s="949"/>
      <c r="AT616" s="949"/>
      <c r="AU616" s="949"/>
      <c r="AV616" s="949"/>
      <c r="AW616" s="949"/>
      <c r="AX616" s="949"/>
      <c r="AY616" s="949"/>
      <c r="AZ616" s="949"/>
      <c r="BA616" s="949"/>
      <c r="BB616" s="949"/>
      <c r="BC616" s="949"/>
      <c r="BD616" s="949"/>
      <c r="BE616" s="949"/>
      <c r="BF616" s="949"/>
      <c r="BG616" s="948"/>
      <c r="BH616" s="948"/>
      <c r="BI616" s="948"/>
      <c r="BJ616" s="948"/>
      <c r="BK616" s="948"/>
      <c r="BL616" s="948"/>
      <c r="BM616" s="948"/>
      <c r="BN616" s="948"/>
      <c r="BO616" s="948"/>
      <c r="BP616" s="948"/>
      <c r="BQ616" s="948"/>
      <c r="BR616" s="948"/>
      <c r="BS616" s="948"/>
      <c r="BT616" s="948"/>
      <c r="BU616" s="954"/>
    </row>
    <row r="617" spans="1:73" ht="15.75" customHeight="1" x14ac:dyDescent="0.2">
      <c r="A617" s="947"/>
      <c r="B617" s="947"/>
      <c r="C617" s="947"/>
      <c r="D617" s="948"/>
      <c r="E617" s="948"/>
      <c r="F617" s="948"/>
      <c r="G617" s="948"/>
      <c r="H617" s="948"/>
      <c r="I617" s="948"/>
      <c r="J617" s="948"/>
      <c r="K617" s="949"/>
      <c r="L617" s="949"/>
      <c r="M617" s="949"/>
      <c r="N617" s="950"/>
      <c r="O617" s="948"/>
      <c r="P617" s="948"/>
      <c r="Q617" s="948"/>
      <c r="R617" s="949"/>
      <c r="S617" s="949"/>
      <c r="T617" s="949"/>
      <c r="U617" s="949"/>
      <c r="V617" s="949"/>
      <c r="W617" s="949"/>
      <c r="X617" s="951"/>
      <c r="Y617" s="951"/>
      <c r="Z617" s="952"/>
      <c r="AA617" s="953"/>
      <c r="AB617" s="948"/>
      <c r="AC617" s="948"/>
      <c r="AD617" s="949"/>
      <c r="AE617" s="949"/>
      <c r="AF617" s="949"/>
      <c r="AG617" s="949"/>
      <c r="AH617" s="949"/>
      <c r="AI617" s="949"/>
      <c r="AJ617" s="949"/>
      <c r="AK617" s="949"/>
      <c r="AL617" s="949"/>
      <c r="AM617" s="949"/>
      <c r="AN617" s="949"/>
      <c r="AO617" s="949"/>
      <c r="AP617" s="949"/>
      <c r="AQ617" s="949"/>
      <c r="AR617" s="949"/>
      <c r="AS617" s="949"/>
      <c r="AT617" s="949"/>
      <c r="AU617" s="949"/>
      <c r="AV617" s="949"/>
      <c r="AW617" s="949"/>
      <c r="AX617" s="949"/>
      <c r="AY617" s="949"/>
      <c r="AZ617" s="949"/>
      <c r="BA617" s="949"/>
      <c r="BB617" s="949"/>
      <c r="BC617" s="949"/>
      <c r="BD617" s="949"/>
      <c r="BE617" s="949"/>
      <c r="BF617" s="949"/>
      <c r="BG617" s="948"/>
      <c r="BH617" s="948"/>
      <c r="BI617" s="948"/>
      <c r="BJ617" s="948"/>
      <c r="BK617" s="948"/>
      <c r="BL617" s="948"/>
      <c r="BM617" s="948"/>
      <c r="BN617" s="948"/>
      <c r="BO617" s="948"/>
      <c r="BP617" s="948"/>
      <c r="BQ617" s="948"/>
      <c r="BR617" s="948"/>
      <c r="BS617" s="948"/>
      <c r="BT617" s="948"/>
      <c r="BU617" s="954"/>
    </row>
    <row r="618" spans="1:73" ht="15.75" customHeight="1" x14ac:dyDescent="0.2">
      <c r="A618" s="947"/>
      <c r="B618" s="947"/>
      <c r="C618" s="947"/>
      <c r="D618" s="948"/>
      <c r="E618" s="948"/>
      <c r="F618" s="948"/>
      <c r="G618" s="948"/>
      <c r="H618" s="948"/>
      <c r="I618" s="948"/>
      <c r="J618" s="948"/>
      <c r="K618" s="949"/>
      <c r="L618" s="949"/>
      <c r="M618" s="949"/>
      <c r="N618" s="950"/>
      <c r="O618" s="948"/>
      <c r="P618" s="948"/>
      <c r="Q618" s="948"/>
      <c r="R618" s="949"/>
      <c r="S618" s="949"/>
      <c r="T618" s="949"/>
      <c r="U618" s="949"/>
      <c r="V618" s="949"/>
      <c r="W618" s="949"/>
      <c r="X618" s="951"/>
      <c r="Y618" s="951"/>
      <c r="Z618" s="952"/>
      <c r="AA618" s="953"/>
      <c r="AB618" s="948"/>
      <c r="AC618" s="948"/>
      <c r="AD618" s="949"/>
      <c r="AE618" s="949"/>
      <c r="AF618" s="949"/>
      <c r="AG618" s="949"/>
      <c r="AH618" s="949"/>
      <c r="AI618" s="949"/>
      <c r="AJ618" s="949"/>
      <c r="AK618" s="949"/>
      <c r="AL618" s="949"/>
      <c r="AM618" s="949"/>
      <c r="AN618" s="949"/>
      <c r="AO618" s="949"/>
      <c r="AP618" s="949"/>
      <c r="AQ618" s="949"/>
      <c r="AR618" s="949"/>
      <c r="AS618" s="949"/>
      <c r="AT618" s="949"/>
      <c r="AU618" s="949"/>
      <c r="AV618" s="949"/>
      <c r="AW618" s="949"/>
      <c r="AX618" s="949"/>
      <c r="AY618" s="949"/>
      <c r="AZ618" s="949"/>
      <c r="BA618" s="949"/>
      <c r="BB618" s="949"/>
      <c r="BC618" s="949"/>
      <c r="BD618" s="949"/>
      <c r="BE618" s="949"/>
      <c r="BF618" s="949"/>
      <c r="BG618" s="948"/>
      <c r="BH618" s="948"/>
      <c r="BI618" s="948"/>
      <c r="BJ618" s="948"/>
      <c r="BK618" s="948"/>
      <c r="BL618" s="948"/>
      <c r="BM618" s="948"/>
      <c r="BN618" s="948"/>
      <c r="BO618" s="948"/>
      <c r="BP618" s="948"/>
      <c r="BQ618" s="948"/>
      <c r="BR618" s="948"/>
      <c r="BS618" s="948"/>
      <c r="BT618" s="948"/>
      <c r="BU618" s="954"/>
    </row>
    <row r="619" spans="1:73" ht="15.75" customHeight="1" x14ac:dyDescent="0.2">
      <c r="A619" s="947"/>
      <c r="B619" s="947"/>
      <c r="C619" s="947"/>
      <c r="D619" s="948"/>
      <c r="E619" s="948"/>
      <c r="F619" s="948"/>
      <c r="G619" s="948"/>
      <c r="H619" s="948"/>
      <c r="I619" s="948"/>
      <c r="J619" s="948"/>
      <c r="K619" s="949"/>
      <c r="L619" s="949"/>
      <c r="M619" s="949"/>
      <c r="N619" s="950"/>
      <c r="O619" s="948"/>
      <c r="P619" s="948"/>
      <c r="Q619" s="948"/>
      <c r="R619" s="949"/>
      <c r="S619" s="949"/>
      <c r="T619" s="949"/>
      <c r="U619" s="949"/>
      <c r="V619" s="949"/>
      <c r="W619" s="949"/>
      <c r="X619" s="951"/>
      <c r="Y619" s="951"/>
      <c r="Z619" s="952"/>
      <c r="AA619" s="953"/>
      <c r="AB619" s="948"/>
      <c r="AC619" s="948"/>
      <c r="AD619" s="949"/>
      <c r="AE619" s="949"/>
      <c r="AF619" s="949"/>
      <c r="AG619" s="949"/>
      <c r="AH619" s="949"/>
      <c r="AI619" s="949"/>
      <c r="AJ619" s="949"/>
      <c r="AK619" s="949"/>
      <c r="AL619" s="949"/>
      <c r="AM619" s="949"/>
      <c r="AN619" s="949"/>
      <c r="AO619" s="949"/>
      <c r="AP619" s="949"/>
      <c r="AQ619" s="949"/>
      <c r="AR619" s="949"/>
      <c r="AS619" s="949"/>
      <c r="AT619" s="949"/>
      <c r="AU619" s="949"/>
      <c r="AV619" s="949"/>
      <c r="AW619" s="949"/>
      <c r="AX619" s="949"/>
      <c r="AY619" s="949"/>
      <c r="AZ619" s="949"/>
      <c r="BA619" s="949"/>
      <c r="BB619" s="949"/>
      <c r="BC619" s="949"/>
      <c r="BD619" s="949"/>
      <c r="BE619" s="949"/>
      <c r="BF619" s="949"/>
      <c r="BG619" s="948"/>
      <c r="BH619" s="948"/>
      <c r="BI619" s="948"/>
      <c r="BJ619" s="948"/>
      <c r="BK619" s="948"/>
      <c r="BL619" s="948"/>
      <c r="BM619" s="948"/>
      <c r="BN619" s="948"/>
      <c r="BO619" s="948"/>
      <c r="BP619" s="948"/>
      <c r="BQ619" s="948"/>
      <c r="BR619" s="948"/>
      <c r="BS619" s="948"/>
      <c r="BT619" s="948"/>
      <c r="BU619" s="954"/>
    </row>
    <row r="620" spans="1:73" ht="15.75" customHeight="1" x14ac:dyDescent="0.2">
      <c r="A620" s="947"/>
      <c r="B620" s="947"/>
      <c r="C620" s="947"/>
      <c r="D620" s="948"/>
      <c r="E620" s="948"/>
      <c r="F620" s="948"/>
      <c r="G620" s="948"/>
      <c r="H620" s="948"/>
      <c r="I620" s="948"/>
      <c r="J620" s="948"/>
      <c r="K620" s="949"/>
      <c r="L620" s="949"/>
      <c r="M620" s="949"/>
      <c r="N620" s="950"/>
      <c r="O620" s="948"/>
      <c r="P620" s="948"/>
      <c r="Q620" s="948"/>
      <c r="R620" s="949"/>
      <c r="S620" s="949"/>
      <c r="T620" s="949"/>
      <c r="U620" s="949"/>
      <c r="V620" s="949"/>
      <c r="W620" s="949"/>
      <c r="X620" s="951"/>
      <c r="Y620" s="951"/>
      <c r="Z620" s="952"/>
      <c r="AA620" s="953"/>
      <c r="AB620" s="948"/>
      <c r="AC620" s="948"/>
      <c r="AD620" s="949"/>
      <c r="AE620" s="949"/>
      <c r="AF620" s="949"/>
      <c r="AG620" s="949"/>
      <c r="AH620" s="949"/>
      <c r="AI620" s="949"/>
      <c r="AJ620" s="949"/>
      <c r="AK620" s="949"/>
      <c r="AL620" s="949"/>
      <c r="AM620" s="949"/>
      <c r="AN620" s="949"/>
      <c r="AO620" s="949"/>
      <c r="AP620" s="949"/>
      <c r="AQ620" s="949"/>
      <c r="AR620" s="949"/>
      <c r="AS620" s="949"/>
      <c r="AT620" s="949"/>
      <c r="AU620" s="949"/>
      <c r="AV620" s="949"/>
      <c r="AW620" s="949"/>
      <c r="AX620" s="949"/>
      <c r="AY620" s="949"/>
      <c r="AZ620" s="949"/>
      <c r="BA620" s="949"/>
      <c r="BB620" s="949"/>
      <c r="BC620" s="949"/>
      <c r="BD620" s="949"/>
      <c r="BE620" s="949"/>
      <c r="BF620" s="949"/>
      <c r="BG620" s="948"/>
      <c r="BH620" s="948"/>
      <c r="BI620" s="948"/>
      <c r="BJ620" s="948"/>
      <c r="BK620" s="948"/>
      <c r="BL620" s="948"/>
      <c r="BM620" s="948"/>
      <c r="BN620" s="948"/>
      <c r="BO620" s="948"/>
      <c r="BP620" s="948"/>
      <c r="BQ620" s="948"/>
      <c r="BR620" s="948"/>
      <c r="BS620" s="948"/>
      <c r="BT620" s="948"/>
      <c r="BU620" s="954"/>
    </row>
    <row r="621" spans="1:73" ht="15.75" customHeight="1" x14ac:dyDescent="0.2">
      <c r="A621" s="947"/>
      <c r="B621" s="947"/>
      <c r="C621" s="947"/>
      <c r="D621" s="948"/>
      <c r="E621" s="948"/>
      <c r="F621" s="948"/>
      <c r="G621" s="948"/>
      <c r="H621" s="948"/>
      <c r="I621" s="948"/>
      <c r="J621" s="948"/>
      <c r="K621" s="949"/>
      <c r="L621" s="949"/>
      <c r="M621" s="949"/>
      <c r="N621" s="950"/>
      <c r="O621" s="948"/>
      <c r="P621" s="948"/>
      <c r="Q621" s="948"/>
      <c r="R621" s="949"/>
      <c r="S621" s="949"/>
      <c r="T621" s="949"/>
      <c r="U621" s="949"/>
      <c r="V621" s="949"/>
      <c r="W621" s="949"/>
      <c r="X621" s="951"/>
      <c r="Y621" s="951"/>
      <c r="Z621" s="952"/>
      <c r="AA621" s="953"/>
      <c r="AB621" s="948"/>
      <c r="AC621" s="948"/>
      <c r="AD621" s="949"/>
      <c r="AE621" s="949"/>
      <c r="AF621" s="949"/>
      <c r="AG621" s="949"/>
      <c r="AH621" s="949"/>
      <c r="AI621" s="949"/>
      <c r="AJ621" s="949"/>
      <c r="AK621" s="949"/>
      <c r="AL621" s="949"/>
      <c r="AM621" s="949"/>
      <c r="AN621" s="949"/>
      <c r="AO621" s="949"/>
      <c r="AP621" s="949"/>
      <c r="AQ621" s="949"/>
      <c r="AR621" s="949"/>
      <c r="AS621" s="949"/>
      <c r="AT621" s="949"/>
      <c r="AU621" s="949"/>
      <c r="AV621" s="949"/>
      <c r="AW621" s="949"/>
      <c r="AX621" s="949"/>
      <c r="AY621" s="949"/>
      <c r="AZ621" s="949"/>
      <c r="BA621" s="949"/>
      <c r="BB621" s="949"/>
      <c r="BC621" s="949"/>
      <c r="BD621" s="949"/>
      <c r="BE621" s="949"/>
      <c r="BF621" s="949"/>
      <c r="BG621" s="948"/>
      <c r="BH621" s="948"/>
      <c r="BI621" s="948"/>
      <c r="BJ621" s="948"/>
      <c r="BK621" s="948"/>
      <c r="BL621" s="948"/>
      <c r="BM621" s="948"/>
      <c r="BN621" s="948"/>
      <c r="BO621" s="948"/>
      <c r="BP621" s="948"/>
      <c r="BQ621" s="948"/>
      <c r="BR621" s="948"/>
      <c r="BS621" s="948"/>
      <c r="BT621" s="948"/>
      <c r="BU621" s="954"/>
    </row>
    <row r="622" spans="1:73" ht="15.75" customHeight="1" x14ac:dyDescent="0.2">
      <c r="A622" s="947"/>
      <c r="B622" s="947"/>
      <c r="C622" s="947"/>
      <c r="D622" s="948"/>
      <c r="E622" s="948"/>
      <c r="F622" s="948"/>
      <c r="G622" s="948"/>
      <c r="H622" s="948"/>
      <c r="I622" s="948"/>
      <c r="J622" s="948"/>
      <c r="K622" s="949"/>
      <c r="L622" s="949"/>
      <c r="M622" s="949"/>
      <c r="N622" s="950"/>
      <c r="O622" s="948"/>
      <c r="P622" s="948"/>
      <c r="Q622" s="948"/>
      <c r="R622" s="949"/>
      <c r="S622" s="949"/>
      <c r="T622" s="949"/>
      <c r="U622" s="949"/>
      <c r="V622" s="949"/>
      <c r="W622" s="949"/>
      <c r="X622" s="951"/>
      <c r="Y622" s="951"/>
      <c r="Z622" s="952"/>
      <c r="AA622" s="953"/>
      <c r="AB622" s="948"/>
      <c r="AC622" s="948"/>
      <c r="AD622" s="949"/>
      <c r="AE622" s="949"/>
      <c r="AF622" s="949"/>
      <c r="AG622" s="949"/>
      <c r="AH622" s="949"/>
      <c r="AI622" s="949"/>
      <c r="AJ622" s="949"/>
      <c r="AK622" s="949"/>
      <c r="AL622" s="949"/>
      <c r="AM622" s="949"/>
      <c r="AN622" s="949"/>
      <c r="AO622" s="949"/>
      <c r="AP622" s="949"/>
      <c r="AQ622" s="949"/>
      <c r="AR622" s="949"/>
      <c r="AS622" s="949"/>
      <c r="AT622" s="949"/>
      <c r="AU622" s="949"/>
      <c r="AV622" s="949"/>
      <c r="AW622" s="949"/>
      <c r="AX622" s="949"/>
      <c r="AY622" s="949"/>
      <c r="AZ622" s="949"/>
      <c r="BA622" s="949"/>
      <c r="BB622" s="949"/>
      <c r="BC622" s="949"/>
      <c r="BD622" s="949"/>
      <c r="BE622" s="949"/>
      <c r="BF622" s="949"/>
      <c r="BG622" s="948"/>
      <c r="BH622" s="948"/>
      <c r="BI622" s="948"/>
      <c r="BJ622" s="948"/>
      <c r="BK622" s="948"/>
      <c r="BL622" s="948"/>
      <c r="BM622" s="948"/>
      <c r="BN622" s="948"/>
      <c r="BO622" s="948"/>
      <c r="BP622" s="948"/>
      <c r="BQ622" s="948"/>
      <c r="BR622" s="948"/>
      <c r="BS622" s="948"/>
      <c r="BT622" s="948"/>
      <c r="BU622" s="954"/>
    </row>
    <row r="623" spans="1:73" ht="15.75" customHeight="1" x14ac:dyDescent="0.2">
      <c r="A623" s="947"/>
      <c r="B623" s="947"/>
      <c r="C623" s="947"/>
      <c r="D623" s="948"/>
      <c r="E623" s="948"/>
      <c r="F623" s="948"/>
      <c r="G623" s="948"/>
      <c r="H623" s="948"/>
      <c r="I623" s="948"/>
      <c r="J623" s="948"/>
      <c r="K623" s="949"/>
      <c r="L623" s="949"/>
      <c r="M623" s="949"/>
      <c r="N623" s="950"/>
      <c r="O623" s="948"/>
      <c r="P623" s="948"/>
      <c r="Q623" s="948"/>
      <c r="R623" s="949"/>
      <c r="S623" s="949"/>
      <c r="T623" s="949"/>
      <c r="U623" s="949"/>
      <c r="V623" s="949"/>
      <c r="W623" s="949"/>
      <c r="X623" s="951"/>
      <c r="Y623" s="951"/>
      <c r="Z623" s="952"/>
      <c r="AA623" s="953"/>
      <c r="AB623" s="948"/>
      <c r="AC623" s="948"/>
      <c r="AD623" s="949"/>
      <c r="AE623" s="949"/>
      <c r="AF623" s="949"/>
      <c r="AG623" s="949"/>
      <c r="AH623" s="949"/>
      <c r="AI623" s="949"/>
      <c r="AJ623" s="949"/>
      <c r="AK623" s="949"/>
      <c r="AL623" s="949"/>
      <c r="AM623" s="949"/>
      <c r="AN623" s="949"/>
      <c r="AO623" s="949"/>
      <c r="AP623" s="949"/>
      <c r="AQ623" s="949"/>
      <c r="AR623" s="949"/>
      <c r="AS623" s="949"/>
      <c r="AT623" s="949"/>
      <c r="AU623" s="949"/>
      <c r="AV623" s="949"/>
      <c r="AW623" s="949"/>
      <c r="AX623" s="949"/>
      <c r="AY623" s="949"/>
      <c r="AZ623" s="949"/>
      <c r="BA623" s="949"/>
      <c r="BB623" s="949"/>
      <c r="BC623" s="949"/>
      <c r="BD623" s="949"/>
      <c r="BE623" s="949"/>
      <c r="BF623" s="949"/>
      <c r="BG623" s="948"/>
      <c r="BH623" s="948"/>
      <c r="BI623" s="948"/>
      <c r="BJ623" s="948"/>
      <c r="BK623" s="948"/>
      <c r="BL623" s="948"/>
      <c r="BM623" s="948"/>
      <c r="BN623" s="948"/>
      <c r="BO623" s="948"/>
      <c r="BP623" s="948"/>
      <c r="BQ623" s="948"/>
      <c r="BR623" s="948"/>
      <c r="BS623" s="948"/>
      <c r="BT623" s="948"/>
      <c r="BU623" s="954"/>
    </row>
    <row r="624" spans="1:73" ht="15.75" customHeight="1" x14ac:dyDescent="0.2">
      <c r="A624" s="947"/>
      <c r="B624" s="947"/>
      <c r="C624" s="947"/>
      <c r="D624" s="948"/>
      <c r="E624" s="948"/>
      <c r="F624" s="948"/>
      <c r="G624" s="948"/>
      <c r="H624" s="948"/>
      <c r="I624" s="948"/>
      <c r="J624" s="948"/>
      <c r="K624" s="949"/>
      <c r="L624" s="949"/>
      <c r="M624" s="949"/>
      <c r="N624" s="950"/>
      <c r="O624" s="948"/>
      <c r="P624" s="948"/>
      <c r="Q624" s="948"/>
      <c r="R624" s="949"/>
      <c r="S624" s="949"/>
      <c r="T624" s="949"/>
      <c r="U624" s="949"/>
      <c r="V624" s="949"/>
      <c r="W624" s="949"/>
      <c r="X624" s="951"/>
      <c r="Y624" s="951"/>
      <c r="Z624" s="952"/>
      <c r="AA624" s="953"/>
      <c r="AB624" s="948"/>
      <c r="AC624" s="948"/>
      <c r="AD624" s="949"/>
      <c r="AE624" s="949"/>
      <c r="AF624" s="949"/>
      <c r="AG624" s="949"/>
      <c r="AH624" s="949"/>
      <c r="AI624" s="949"/>
      <c r="AJ624" s="949"/>
      <c r="AK624" s="949"/>
      <c r="AL624" s="949"/>
      <c r="AM624" s="949"/>
      <c r="AN624" s="949"/>
      <c r="AO624" s="949"/>
      <c r="AP624" s="949"/>
      <c r="AQ624" s="949"/>
      <c r="AR624" s="949"/>
      <c r="AS624" s="949"/>
      <c r="AT624" s="949"/>
      <c r="AU624" s="949"/>
      <c r="AV624" s="949"/>
      <c r="AW624" s="949"/>
      <c r="AX624" s="949"/>
      <c r="AY624" s="949"/>
      <c r="AZ624" s="949"/>
      <c r="BA624" s="949"/>
      <c r="BB624" s="949"/>
      <c r="BC624" s="949"/>
      <c r="BD624" s="949"/>
      <c r="BE624" s="949"/>
      <c r="BF624" s="949"/>
      <c r="BG624" s="948"/>
      <c r="BH624" s="948"/>
      <c r="BI624" s="948"/>
      <c r="BJ624" s="948"/>
      <c r="BK624" s="948"/>
      <c r="BL624" s="948"/>
      <c r="BM624" s="948"/>
      <c r="BN624" s="948"/>
      <c r="BO624" s="948"/>
      <c r="BP624" s="948"/>
      <c r="BQ624" s="948"/>
      <c r="BR624" s="948"/>
      <c r="BS624" s="948"/>
      <c r="BT624" s="948"/>
      <c r="BU624" s="954"/>
    </row>
    <row r="625" spans="1:73" ht="15.75" customHeight="1" x14ac:dyDescent="0.2">
      <c r="A625" s="947"/>
      <c r="B625" s="947"/>
      <c r="C625" s="947"/>
      <c r="D625" s="948"/>
      <c r="E625" s="948"/>
      <c r="F625" s="948"/>
      <c r="G625" s="948"/>
      <c r="H625" s="948"/>
      <c r="I625" s="948"/>
      <c r="J625" s="948"/>
      <c r="K625" s="949"/>
      <c r="L625" s="949"/>
      <c r="M625" s="949"/>
      <c r="N625" s="950"/>
      <c r="O625" s="948"/>
      <c r="P625" s="948"/>
      <c r="Q625" s="948"/>
      <c r="R625" s="949"/>
      <c r="S625" s="949"/>
      <c r="T625" s="949"/>
      <c r="U625" s="949"/>
      <c r="V625" s="949"/>
      <c r="W625" s="949"/>
      <c r="X625" s="951"/>
      <c r="Y625" s="951"/>
      <c r="Z625" s="952"/>
      <c r="AA625" s="953"/>
      <c r="AB625" s="948"/>
      <c r="AC625" s="948"/>
      <c r="AD625" s="949"/>
      <c r="AE625" s="949"/>
      <c r="AF625" s="949"/>
      <c r="AG625" s="949"/>
      <c r="AH625" s="949"/>
      <c r="AI625" s="949"/>
      <c r="AJ625" s="949"/>
      <c r="AK625" s="949"/>
      <c r="AL625" s="949"/>
      <c r="AM625" s="949"/>
      <c r="AN625" s="949"/>
      <c r="AO625" s="949"/>
      <c r="AP625" s="949"/>
      <c r="AQ625" s="949"/>
      <c r="AR625" s="949"/>
      <c r="AS625" s="949"/>
      <c r="AT625" s="949"/>
      <c r="AU625" s="949"/>
      <c r="AV625" s="949"/>
      <c r="AW625" s="949"/>
      <c r="AX625" s="949"/>
      <c r="AY625" s="949"/>
      <c r="AZ625" s="949"/>
      <c r="BA625" s="949"/>
      <c r="BB625" s="949"/>
      <c r="BC625" s="949"/>
      <c r="BD625" s="949"/>
      <c r="BE625" s="949"/>
      <c r="BF625" s="949"/>
      <c r="BG625" s="948"/>
      <c r="BH625" s="948"/>
      <c r="BI625" s="948"/>
      <c r="BJ625" s="948"/>
      <c r="BK625" s="948"/>
      <c r="BL625" s="948"/>
      <c r="BM625" s="948"/>
      <c r="BN625" s="948"/>
      <c r="BO625" s="948"/>
      <c r="BP625" s="948"/>
      <c r="BQ625" s="948"/>
      <c r="BR625" s="948"/>
      <c r="BS625" s="948"/>
      <c r="BT625" s="948"/>
      <c r="BU625" s="954"/>
    </row>
    <row r="626" spans="1:73" ht="15.75" customHeight="1" x14ac:dyDescent="0.2">
      <c r="A626" s="947"/>
      <c r="B626" s="947"/>
      <c r="C626" s="947"/>
      <c r="D626" s="948"/>
      <c r="E626" s="948"/>
      <c r="F626" s="948"/>
      <c r="G626" s="948"/>
      <c r="H626" s="948"/>
      <c r="I626" s="948"/>
      <c r="J626" s="948"/>
      <c r="K626" s="949"/>
      <c r="L626" s="949"/>
      <c r="M626" s="949"/>
      <c r="N626" s="950"/>
      <c r="O626" s="948"/>
      <c r="P626" s="948"/>
      <c r="Q626" s="948"/>
      <c r="R626" s="949"/>
      <c r="S626" s="949"/>
      <c r="T626" s="949"/>
      <c r="U626" s="949"/>
      <c r="V626" s="949"/>
      <c r="W626" s="949"/>
      <c r="X626" s="951"/>
      <c r="Y626" s="951"/>
      <c r="Z626" s="952"/>
      <c r="AA626" s="953"/>
      <c r="AB626" s="948"/>
      <c r="AC626" s="948"/>
      <c r="AD626" s="949"/>
      <c r="AE626" s="949"/>
      <c r="AF626" s="949"/>
      <c r="AG626" s="949"/>
      <c r="AH626" s="949"/>
      <c r="AI626" s="949"/>
      <c r="AJ626" s="949"/>
      <c r="AK626" s="949"/>
      <c r="AL626" s="949"/>
      <c r="AM626" s="949"/>
      <c r="AN626" s="949"/>
      <c r="AO626" s="949"/>
      <c r="AP626" s="949"/>
      <c r="AQ626" s="949"/>
      <c r="AR626" s="949"/>
      <c r="AS626" s="949"/>
      <c r="AT626" s="949"/>
      <c r="AU626" s="949"/>
      <c r="AV626" s="949"/>
      <c r="AW626" s="949"/>
      <c r="AX626" s="949"/>
      <c r="AY626" s="949"/>
      <c r="AZ626" s="949"/>
      <c r="BA626" s="949"/>
      <c r="BB626" s="949"/>
      <c r="BC626" s="949"/>
      <c r="BD626" s="949"/>
      <c r="BE626" s="949"/>
      <c r="BF626" s="949"/>
      <c r="BG626" s="948"/>
      <c r="BH626" s="948"/>
      <c r="BI626" s="948"/>
      <c r="BJ626" s="948"/>
      <c r="BK626" s="948"/>
      <c r="BL626" s="948"/>
      <c r="BM626" s="948"/>
      <c r="BN626" s="948"/>
      <c r="BO626" s="948"/>
      <c r="BP626" s="948"/>
      <c r="BQ626" s="948"/>
      <c r="BR626" s="948"/>
      <c r="BS626" s="948"/>
      <c r="BT626" s="948"/>
      <c r="BU626" s="954"/>
    </row>
    <row r="627" spans="1:73" ht="15.75" customHeight="1" x14ac:dyDescent="0.2">
      <c r="A627" s="947"/>
      <c r="B627" s="947"/>
      <c r="C627" s="947"/>
      <c r="D627" s="948"/>
      <c r="E627" s="948"/>
      <c r="F627" s="948"/>
      <c r="G627" s="948"/>
      <c r="H627" s="948"/>
      <c r="I627" s="948"/>
      <c r="J627" s="948"/>
      <c r="K627" s="949"/>
      <c r="L627" s="949"/>
      <c r="M627" s="949"/>
      <c r="N627" s="950"/>
      <c r="O627" s="948"/>
      <c r="P627" s="948"/>
      <c r="Q627" s="948"/>
      <c r="R627" s="949"/>
      <c r="S627" s="949"/>
      <c r="T627" s="949"/>
      <c r="U627" s="949"/>
      <c r="V627" s="949"/>
      <c r="W627" s="949"/>
      <c r="X627" s="951"/>
      <c r="Y627" s="951"/>
      <c r="Z627" s="952"/>
      <c r="AA627" s="953"/>
      <c r="AB627" s="948"/>
      <c r="AC627" s="948"/>
      <c r="AD627" s="949"/>
      <c r="AE627" s="949"/>
      <c r="AF627" s="949"/>
      <c r="AG627" s="949"/>
      <c r="AH627" s="949"/>
      <c r="AI627" s="949"/>
      <c r="AJ627" s="949"/>
      <c r="AK627" s="949"/>
      <c r="AL627" s="949"/>
      <c r="AM627" s="949"/>
      <c r="AN627" s="949"/>
      <c r="AO627" s="949"/>
      <c r="AP627" s="949"/>
      <c r="AQ627" s="949"/>
      <c r="AR627" s="949"/>
      <c r="AS627" s="949"/>
      <c r="AT627" s="949"/>
      <c r="AU627" s="949"/>
      <c r="AV627" s="949"/>
      <c r="AW627" s="949"/>
      <c r="AX627" s="949"/>
      <c r="AY627" s="949"/>
      <c r="AZ627" s="949"/>
      <c r="BA627" s="949"/>
      <c r="BB627" s="949"/>
      <c r="BC627" s="949"/>
      <c r="BD627" s="949"/>
      <c r="BE627" s="949"/>
      <c r="BF627" s="949"/>
      <c r="BG627" s="948"/>
      <c r="BH627" s="948"/>
      <c r="BI627" s="948"/>
      <c r="BJ627" s="948"/>
      <c r="BK627" s="948"/>
      <c r="BL627" s="948"/>
      <c r="BM627" s="948"/>
      <c r="BN627" s="948"/>
      <c r="BO627" s="948"/>
      <c r="BP627" s="948"/>
      <c r="BQ627" s="948"/>
      <c r="BR627" s="948"/>
      <c r="BS627" s="948"/>
      <c r="BT627" s="948"/>
      <c r="BU627" s="954"/>
    </row>
    <row r="628" spans="1:73" ht="15.75" customHeight="1" x14ac:dyDescent="0.2">
      <c r="A628" s="947"/>
      <c r="B628" s="947"/>
      <c r="C628" s="947"/>
      <c r="D628" s="948"/>
      <c r="E628" s="948"/>
      <c r="F628" s="948"/>
      <c r="G628" s="948"/>
      <c r="H628" s="948"/>
      <c r="I628" s="948"/>
      <c r="J628" s="948"/>
      <c r="K628" s="949"/>
      <c r="L628" s="949"/>
      <c r="M628" s="949"/>
      <c r="N628" s="950"/>
      <c r="O628" s="948"/>
      <c r="P628" s="948"/>
      <c r="Q628" s="948"/>
      <c r="R628" s="949"/>
      <c r="S628" s="949"/>
      <c r="T628" s="949"/>
      <c r="U628" s="949"/>
      <c r="V628" s="949"/>
      <c r="W628" s="949"/>
      <c r="X628" s="951"/>
      <c r="Y628" s="951"/>
      <c r="Z628" s="952"/>
      <c r="AA628" s="953"/>
      <c r="AB628" s="948"/>
      <c r="AC628" s="948"/>
      <c r="AD628" s="949"/>
      <c r="AE628" s="949"/>
      <c r="AF628" s="949"/>
      <c r="AG628" s="949"/>
      <c r="AH628" s="949"/>
      <c r="AI628" s="949"/>
      <c r="AJ628" s="949"/>
      <c r="AK628" s="949"/>
      <c r="AL628" s="949"/>
      <c r="AM628" s="949"/>
      <c r="AN628" s="949"/>
      <c r="AO628" s="949"/>
      <c r="AP628" s="949"/>
      <c r="AQ628" s="949"/>
      <c r="AR628" s="949"/>
      <c r="AS628" s="949"/>
      <c r="AT628" s="949"/>
      <c r="AU628" s="949"/>
      <c r="AV628" s="949"/>
      <c r="AW628" s="949"/>
      <c r="AX628" s="949"/>
      <c r="AY628" s="949"/>
      <c r="AZ628" s="949"/>
      <c r="BA628" s="949"/>
      <c r="BB628" s="949"/>
      <c r="BC628" s="949"/>
      <c r="BD628" s="949"/>
      <c r="BE628" s="949"/>
      <c r="BF628" s="949"/>
      <c r="BG628" s="948"/>
      <c r="BH628" s="948"/>
      <c r="BI628" s="948"/>
      <c r="BJ628" s="948"/>
      <c r="BK628" s="948"/>
      <c r="BL628" s="948"/>
      <c r="BM628" s="948"/>
      <c r="BN628" s="948"/>
      <c r="BO628" s="948"/>
      <c r="BP628" s="948"/>
      <c r="BQ628" s="948"/>
      <c r="BR628" s="948"/>
      <c r="BS628" s="948"/>
      <c r="BT628" s="948"/>
      <c r="BU628" s="954"/>
    </row>
    <row r="629" spans="1:73" ht="15.75" customHeight="1" x14ac:dyDescent="0.2">
      <c r="A629" s="947"/>
      <c r="B629" s="947"/>
      <c r="C629" s="947"/>
      <c r="D629" s="948"/>
      <c r="E629" s="948"/>
      <c r="F629" s="948"/>
      <c r="G629" s="948"/>
      <c r="H629" s="948"/>
      <c r="I629" s="948"/>
      <c r="J629" s="948"/>
      <c r="K629" s="949"/>
      <c r="L629" s="949"/>
      <c r="M629" s="949"/>
      <c r="N629" s="950"/>
      <c r="O629" s="948"/>
      <c r="P629" s="948"/>
      <c r="Q629" s="948"/>
      <c r="R629" s="949"/>
      <c r="S629" s="949"/>
      <c r="T629" s="949"/>
      <c r="U629" s="949"/>
      <c r="V629" s="949"/>
      <c r="W629" s="949"/>
      <c r="X629" s="951"/>
      <c r="Y629" s="951"/>
      <c r="Z629" s="952"/>
      <c r="AA629" s="953"/>
      <c r="AB629" s="948"/>
      <c r="AC629" s="948"/>
      <c r="AD629" s="949"/>
      <c r="AE629" s="949"/>
      <c r="AF629" s="949"/>
      <c r="AG629" s="949"/>
      <c r="AH629" s="949"/>
      <c r="AI629" s="949"/>
      <c r="AJ629" s="949"/>
      <c r="AK629" s="949"/>
      <c r="AL629" s="949"/>
      <c r="AM629" s="949"/>
      <c r="AN629" s="949"/>
      <c r="AO629" s="949"/>
      <c r="AP629" s="949"/>
      <c r="AQ629" s="949"/>
      <c r="AR629" s="949"/>
      <c r="AS629" s="949"/>
      <c r="AT629" s="949"/>
      <c r="AU629" s="949"/>
      <c r="AV629" s="949"/>
      <c r="AW629" s="949"/>
      <c r="AX629" s="949"/>
      <c r="AY629" s="949"/>
      <c r="AZ629" s="949"/>
      <c r="BA629" s="949"/>
      <c r="BB629" s="949"/>
      <c r="BC629" s="949"/>
      <c r="BD629" s="949"/>
      <c r="BE629" s="949"/>
      <c r="BF629" s="949"/>
      <c r="BG629" s="948"/>
      <c r="BH629" s="948"/>
      <c r="BI629" s="948"/>
      <c r="BJ629" s="948"/>
      <c r="BK629" s="948"/>
      <c r="BL629" s="948"/>
      <c r="BM629" s="948"/>
      <c r="BN629" s="948"/>
      <c r="BO629" s="948"/>
      <c r="BP629" s="948"/>
      <c r="BQ629" s="948"/>
      <c r="BR629" s="948"/>
      <c r="BS629" s="948"/>
      <c r="BT629" s="948"/>
      <c r="BU629" s="954"/>
    </row>
    <row r="630" spans="1:73" ht="15.75" customHeight="1" x14ac:dyDescent="0.2">
      <c r="A630" s="947"/>
      <c r="B630" s="947"/>
      <c r="C630" s="947"/>
      <c r="D630" s="948"/>
      <c r="E630" s="948"/>
      <c r="F630" s="948"/>
      <c r="G630" s="948"/>
      <c r="H630" s="948"/>
      <c r="I630" s="948"/>
      <c r="J630" s="948"/>
      <c r="K630" s="949"/>
      <c r="L630" s="949"/>
      <c r="M630" s="949"/>
      <c r="N630" s="950"/>
      <c r="O630" s="948"/>
      <c r="P630" s="948"/>
      <c r="Q630" s="948"/>
      <c r="R630" s="949"/>
      <c r="S630" s="949"/>
      <c r="T630" s="949"/>
      <c r="U630" s="949"/>
      <c r="V630" s="949"/>
      <c r="W630" s="949"/>
      <c r="X630" s="951"/>
      <c r="Y630" s="951"/>
      <c r="Z630" s="952"/>
      <c r="AA630" s="953"/>
      <c r="AB630" s="948"/>
      <c r="AC630" s="948"/>
      <c r="AD630" s="949"/>
      <c r="AE630" s="949"/>
      <c r="AF630" s="949"/>
      <c r="AG630" s="949"/>
      <c r="AH630" s="949"/>
      <c r="AI630" s="949"/>
      <c r="AJ630" s="949"/>
      <c r="AK630" s="949"/>
      <c r="AL630" s="949"/>
      <c r="AM630" s="949"/>
      <c r="AN630" s="949"/>
      <c r="AO630" s="949"/>
      <c r="AP630" s="949"/>
      <c r="AQ630" s="949"/>
      <c r="AR630" s="949"/>
      <c r="AS630" s="949"/>
      <c r="AT630" s="949"/>
      <c r="AU630" s="949"/>
      <c r="AV630" s="949"/>
      <c r="AW630" s="949"/>
      <c r="AX630" s="949"/>
      <c r="AY630" s="949"/>
      <c r="AZ630" s="949"/>
      <c r="BA630" s="949"/>
      <c r="BB630" s="949"/>
      <c r="BC630" s="949"/>
      <c r="BD630" s="949"/>
      <c r="BE630" s="949"/>
      <c r="BF630" s="949"/>
      <c r="BG630" s="948"/>
      <c r="BH630" s="948"/>
      <c r="BI630" s="948"/>
      <c r="BJ630" s="948"/>
      <c r="BK630" s="948"/>
      <c r="BL630" s="948"/>
      <c r="BM630" s="948"/>
      <c r="BN630" s="948"/>
      <c r="BO630" s="948"/>
      <c r="BP630" s="948"/>
      <c r="BQ630" s="948"/>
      <c r="BR630" s="948"/>
      <c r="BS630" s="948"/>
      <c r="BT630" s="948"/>
      <c r="BU630" s="954"/>
    </row>
    <row r="631" spans="1:73" ht="15.75" customHeight="1" x14ac:dyDescent="0.2">
      <c r="A631" s="947"/>
      <c r="B631" s="947"/>
      <c r="C631" s="947"/>
      <c r="D631" s="948"/>
      <c r="E631" s="948"/>
      <c r="F631" s="948"/>
      <c r="G631" s="948"/>
      <c r="H631" s="948"/>
      <c r="I631" s="948"/>
      <c r="J631" s="948"/>
      <c r="K631" s="949"/>
      <c r="L631" s="949"/>
      <c r="M631" s="949"/>
      <c r="N631" s="950"/>
      <c r="O631" s="948"/>
      <c r="P631" s="948"/>
      <c r="Q631" s="948"/>
      <c r="R631" s="949"/>
      <c r="S631" s="949"/>
      <c r="T631" s="949"/>
      <c r="U631" s="949"/>
      <c r="V631" s="949"/>
      <c r="W631" s="949"/>
      <c r="X631" s="951"/>
      <c r="Y631" s="951"/>
      <c r="Z631" s="952"/>
      <c r="AA631" s="953"/>
      <c r="AB631" s="948"/>
      <c r="AC631" s="948"/>
      <c r="AD631" s="949"/>
      <c r="AE631" s="949"/>
      <c r="AF631" s="949"/>
      <c r="AG631" s="949"/>
      <c r="AH631" s="949"/>
      <c r="AI631" s="949"/>
      <c r="AJ631" s="949"/>
      <c r="AK631" s="949"/>
      <c r="AL631" s="949"/>
      <c r="AM631" s="949"/>
      <c r="AN631" s="949"/>
      <c r="AO631" s="949"/>
      <c r="AP631" s="949"/>
      <c r="AQ631" s="949"/>
      <c r="AR631" s="949"/>
      <c r="AS631" s="949"/>
      <c r="AT631" s="949"/>
      <c r="AU631" s="949"/>
      <c r="AV631" s="949"/>
      <c r="AW631" s="949"/>
      <c r="AX631" s="949"/>
      <c r="AY631" s="949"/>
      <c r="AZ631" s="949"/>
      <c r="BA631" s="949"/>
      <c r="BB631" s="949"/>
      <c r="BC631" s="949"/>
      <c r="BD631" s="949"/>
      <c r="BE631" s="949"/>
      <c r="BF631" s="949"/>
      <c r="BG631" s="948"/>
      <c r="BH631" s="948"/>
      <c r="BI631" s="948"/>
      <c r="BJ631" s="948"/>
      <c r="BK631" s="948"/>
      <c r="BL631" s="948"/>
      <c r="BM631" s="948"/>
      <c r="BN631" s="948"/>
      <c r="BO631" s="948"/>
      <c r="BP631" s="948"/>
      <c r="BQ631" s="948"/>
      <c r="BR631" s="948"/>
      <c r="BS631" s="948"/>
      <c r="BT631" s="948"/>
      <c r="BU631" s="954"/>
    </row>
    <row r="632" spans="1:73" ht="15.75" customHeight="1" x14ac:dyDescent="0.2">
      <c r="A632" s="947"/>
      <c r="B632" s="947"/>
      <c r="C632" s="947"/>
      <c r="D632" s="948"/>
      <c r="E632" s="948"/>
      <c r="F632" s="948"/>
      <c r="G632" s="948"/>
      <c r="H632" s="948"/>
      <c r="I632" s="948"/>
      <c r="J632" s="948"/>
      <c r="K632" s="949"/>
      <c r="L632" s="949"/>
      <c r="M632" s="949"/>
      <c r="N632" s="950"/>
      <c r="O632" s="948"/>
      <c r="P632" s="948"/>
      <c r="Q632" s="948"/>
      <c r="R632" s="949"/>
      <c r="S632" s="949"/>
      <c r="T632" s="949"/>
      <c r="U632" s="949"/>
      <c r="V632" s="949"/>
      <c r="W632" s="949"/>
      <c r="X632" s="951"/>
      <c r="Y632" s="951"/>
      <c r="Z632" s="952"/>
      <c r="AA632" s="953"/>
      <c r="AB632" s="948"/>
      <c r="AC632" s="948"/>
      <c r="AD632" s="949"/>
      <c r="AE632" s="949"/>
      <c r="AF632" s="949"/>
      <c r="AG632" s="949"/>
      <c r="AH632" s="949"/>
      <c r="AI632" s="949"/>
      <c r="AJ632" s="949"/>
      <c r="AK632" s="949"/>
      <c r="AL632" s="949"/>
      <c r="AM632" s="949"/>
      <c r="AN632" s="949"/>
      <c r="AO632" s="949"/>
      <c r="AP632" s="949"/>
      <c r="AQ632" s="949"/>
      <c r="AR632" s="949"/>
      <c r="AS632" s="949"/>
      <c r="AT632" s="949"/>
      <c r="AU632" s="949"/>
      <c r="AV632" s="949"/>
      <c r="AW632" s="949"/>
      <c r="AX632" s="949"/>
      <c r="AY632" s="949"/>
      <c r="AZ632" s="949"/>
      <c r="BA632" s="949"/>
      <c r="BB632" s="949"/>
      <c r="BC632" s="949"/>
      <c r="BD632" s="949"/>
      <c r="BE632" s="949"/>
      <c r="BF632" s="949"/>
      <c r="BG632" s="948"/>
      <c r="BH632" s="948"/>
      <c r="BI632" s="948"/>
      <c r="BJ632" s="948"/>
      <c r="BK632" s="948"/>
      <c r="BL632" s="948"/>
      <c r="BM632" s="948"/>
      <c r="BN632" s="948"/>
      <c r="BO632" s="948"/>
      <c r="BP632" s="948"/>
      <c r="BQ632" s="948"/>
      <c r="BR632" s="948"/>
      <c r="BS632" s="948"/>
      <c r="BT632" s="948"/>
      <c r="BU632" s="954"/>
    </row>
    <row r="633" spans="1:73" ht="15.75" customHeight="1" x14ac:dyDescent="0.2">
      <c r="A633" s="947"/>
      <c r="B633" s="947"/>
      <c r="C633" s="947"/>
      <c r="D633" s="948"/>
      <c r="E633" s="948"/>
      <c r="F633" s="948"/>
      <c r="G633" s="948"/>
      <c r="H633" s="948"/>
      <c r="I633" s="948"/>
      <c r="J633" s="948"/>
      <c r="K633" s="949"/>
      <c r="L633" s="949"/>
      <c r="M633" s="949"/>
      <c r="N633" s="950"/>
      <c r="O633" s="948"/>
      <c r="P633" s="948"/>
      <c r="Q633" s="948"/>
      <c r="R633" s="949"/>
      <c r="S633" s="949"/>
      <c r="T633" s="949"/>
      <c r="U633" s="949"/>
      <c r="V633" s="949"/>
      <c r="W633" s="949"/>
      <c r="X633" s="951"/>
      <c r="Y633" s="951"/>
      <c r="Z633" s="952"/>
      <c r="AA633" s="953"/>
      <c r="AB633" s="948"/>
      <c r="AC633" s="948"/>
      <c r="AD633" s="949"/>
      <c r="AE633" s="949"/>
      <c r="AF633" s="949"/>
      <c r="AG633" s="949"/>
      <c r="AH633" s="949"/>
      <c r="AI633" s="949"/>
      <c r="AJ633" s="949"/>
      <c r="AK633" s="949"/>
      <c r="AL633" s="949"/>
      <c r="AM633" s="949"/>
      <c r="AN633" s="949"/>
      <c r="AO633" s="949"/>
      <c r="AP633" s="949"/>
      <c r="AQ633" s="949"/>
      <c r="AR633" s="949"/>
      <c r="AS633" s="949"/>
      <c r="AT633" s="949"/>
      <c r="AU633" s="949"/>
      <c r="AV633" s="949"/>
      <c r="AW633" s="949"/>
      <c r="AX633" s="949"/>
      <c r="AY633" s="949"/>
      <c r="AZ633" s="949"/>
      <c r="BA633" s="949"/>
      <c r="BB633" s="949"/>
      <c r="BC633" s="949"/>
      <c r="BD633" s="949"/>
      <c r="BE633" s="949"/>
      <c r="BF633" s="949"/>
      <c r="BG633" s="948"/>
      <c r="BH633" s="948"/>
      <c r="BI633" s="948"/>
      <c r="BJ633" s="948"/>
      <c r="BK633" s="948"/>
      <c r="BL633" s="948"/>
      <c r="BM633" s="948"/>
      <c r="BN633" s="948"/>
      <c r="BO633" s="948"/>
      <c r="BP633" s="948"/>
      <c r="BQ633" s="948"/>
      <c r="BR633" s="948"/>
      <c r="BS633" s="948"/>
      <c r="BT633" s="948"/>
      <c r="BU633" s="954"/>
    </row>
    <row r="634" spans="1:73" ht="15.75" customHeight="1" x14ac:dyDescent="0.2">
      <c r="A634" s="947"/>
      <c r="B634" s="947"/>
      <c r="C634" s="947"/>
      <c r="D634" s="948"/>
      <c r="E634" s="948"/>
      <c r="F634" s="948"/>
      <c r="G634" s="948"/>
      <c r="H634" s="948"/>
      <c r="I634" s="948"/>
      <c r="J634" s="948"/>
      <c r="K634" s="949"/>
      <c r="L634" s="949"/>
      <c r="M634" s="949"/>
      <c r="N634" s="950"/>
      <c r="O634" s="948"/>
      <c r="P634" s="948"/>
      <c r="Q634" s="948"/>
      <c r="R634" s="949"/>
      <c r="S634" s="949"/>
      <c r="T634" s="949"/>
      <c r="U634" s="949"/>
      <c r="V634" s="949"/>
      <c r="W634" s="949"/>
      <c r="X634" s="951"/>
      <c r="Y634" s="951"/>
      <c r="Z634" s="952"/>
      <c r="AA634" s="953"/>
      <c r="AB634" s="948"/>
      <c r="AC634" s="948"/>
      <c r="AD634" s="949"/>
      <c r="AE634" s="949"/>
      <c r="AF634" s="949"/>
      <c r="AG634" s="949"/>
      <c r="AH634" s="949"/>
      <c r="AI634" s="949"/>
      <c r="AJ634" s="949"/>
      <c r="AK634" s="949"/>
      <c r="AL634" s="949"/>
      <c r="AM634" s="949"/>
      <c r="AN634" s="949"/>
      <c r="AO634" s="949"/>
      <c r="AP634" s="949"/>
      <c r="AQ634" s="949"/>
      <c r="AR634" s="949"/>
      <c r="AS634" s="949"/>
      <c r="AT634" s="949"/>
      <c r="AU634" s="949"/>
      <c r="AV634" s="949"/>
      <c r="AW634" s="949"/>
      <c r="AX634" s="949"/>
      <c r="AY634" s="949"/>
      <c r="AZ634" s="949"/>
      <c r="BA634" s="949"/>
      <c r="BB634" s="949"/>
      <c r="BC634" s="949"/>
      <c r="BD634" s="949"/>
      <c r="BE634" s="949"/>
      <c r="BF634" s="949"/>
      <c r="BG634" s="948"/>
      <c r="BH634" s="948"/>
      <c r="BI634" s="948"/>
      <c r="BJ634" s="948"/>
      <c r="BK634" s="948"/>
      <c r="BL634" s="948"/>
      <c r="BM634" s="948"/>
      <c r="BN634" s="948"/>
      <c r="BO634" s="948"/>
      <c r="BP634" s="948"/>
      <c r="BQ634" s="948"/>
      <c r="BR634" s="948"/>
      <c r="BS634" s="948"/>
      <c r="BT634" s="948"/>
      <c r="BU634" s="954"/>
    </row>
    <row r="635" spans="1:73" ht="15.75" customHeight="1" x14ac:dyDescent="0.2">
      <c r="A635" s="947"/>
      <c r="B635" s="947"/>
      <c r="C635" s="947"/>
      <c r="D635" s="948"/>
      <c r="E635" s="948"/>
      <c r="F635" s="948"/>
      <c r="G635" s="948"/>
      <c r="H635" s="948"/>
      <c r="I635" s="948"/>
      <c r="J635" s="948"/>
      <c r="K635" s="949"/>
      <c r="L635" s="949"/>
      <c r="M635" s="949"/>
      <c r="N635" s="950"/>
      <c r="O635" s="948"/>
      <c r="P635" s="948"/>
      <c r="Q635" s="948"/>
      <c r="R635" s="949"/>
      <c r="S635" s="949"/>
      <c r="T635" s="949"/>
      <c r="U635" s="949"/>
      <c r="V635" s="949"/>
      <c r="W635" s="949"/>
      <c r="X635" s="951"/>
      <c r="Y635" s="951"/>
      <c r="Z635" s="952"/>
      <c r="AA635" s="953"/>
      <c r="AB635" s="948"/>
      <c r="AC635" s="948"/>
      <c r="AD635" s="949"/>
      <c r="AE635" s="949"/>
      <c r="AF635" s="949"/>
      <c r="AG635" s="949"/>
      <c r="AH635" s="949"/>
      <c r="AI635" s="949"/>
      <c r="AJ635" s="949"/>
      <c r="AK635" s="949"/>
      <c r="AL635" s="949"/>
      <c r="AM635" s="949"/>
      <c r="AN635" s="949"/>
      <c r="AO635" s="949"/>
      <c r="AP635" s="949"/>
      <c r="AQ635" s="949"/>
      <c r="AR635" s="949"/>
      <c r="AS635" s="949"/>
      <c r="AT635" s="949"/>
      <c r="AU635" s="949"/>
      <c r="AV635" s="949"/>
      <c r="AW635" s="949"/>
      <c r="AX635" s="949"/>
      <c r="AY635" s="949"/>
      <c r="AZ635" s="949"/>
      <c r="BA635" s="949"/>
      <c r="BB635" s="949"/>
      <c r="BC635" s="949"/>
      <c r="BD635" s="949"/>
      <c r="BE635" s="949"/>
      <c r="BF635" s="949"/>
      <c r="BG635" s="948"/>
      <c r="BH635" s="948"/>
      <c r="BI635" s="948"/>
      <c r="BJ635" s="948"/>
      <c r="BK635" s="948"/>
      <c r="BL635" s="948"/>
      <c r="BM635" s="948"/>
      <c r="BN635" s="948"/>
      <c r="BO635" s="948"/>
      <c r="BP635" s="948"/>
      <c r="BQ635" s="948"/>
      <c r="BR635" s="948"/>
      <c r="BS635" s="948"/>
      <c r="BT635" s="948"/>
      <c r="BU635" s="954"/>
    </row>
    <row r="636" spans="1:73" ht="15.75" customHeight="1" x14ac:dyDescent="0.2">
      <c r="A636" s="947"/>
      <c r="B636" s="947"/>
      <c r="C636" s="947"/>
      <c r="D636" s="948"/>
      <c r="E636" s="948"/>
      <c r="F636" s="948"/>
      <c r="G636" s="948"/>
      <c r="H636" s="948"/>
      <c r="I636" s="948"/>
      <c r="J636" s="948"/>
      <c r="K636" s="949"/>
      <c r="L636" s="949"/>
      <c r="M636" s="949"/>
      <c r="N636" s="950"/>
      <c r="O636" s="948"/>
      <c r="P636" s="948"/>
      <c r="Q636" s="948"/>
      <c r="R636" s="949"/>
      <c r="S636" s="949"/>
      <c r="T636" s="949"/>
      <c r="U636" s="949"/>
      <c r="V636" s="949"/>
      <c r="W636" s="949"/>
      <c r="X636" s="951"/>
      <c r="Y636" s="951"/>
      <c r="Z636" s="952"/>
      <c r="AA636" s="953"/>
      <c r="AB636" s="948"/>
      <c r="AC636" s="948"/>
      <c r="AD636" s="949"/>
      <c r="AE636" s="949"/>
      <c r="AF636" s="949"/>
      <c r="AG636" s="949"/>
      <c r="AH636" s="949"/>
      <c r="AI636" s="949"/>
      <c r="AJ636" s="949"/>
      <c r="AK636" s="949"/>
      <c r="AL636" s="949"/>
      <c r="AM636" s="949"/>
      <c r="AN636" s="949"/>
      <c r="AO636" s="949"/>
      <c r="AP636" s="949"/>
      <c r="AQ636" s="949"/>
      <c r="AR636" s="949"/>
      <c r="AS636" s="949"/>
      <c r="AT636" s="949"/>
      <c r="AU636" s="949"/>
      <c r="AV636" s="949"/>
      <c r="AW636" s="949"/>
      <c r="AX636" s="949"/>
      <c r="AY636" s="949"/>
      <c r="AZ636" s="949"/>
      <c r="BA636" s="949"/>
      <c r="BB636" s="949"/>
      <c r="BC636" s="949"/>
      <c r="BD636" s="949"/>
      <c r="BE636" s="949"/>
      <c r="BF636" s="949"/>
      <c r="BG636" s="948"/>
      <c r="BH636" s="948"/>
      <c r="BI636" s="948"/>
      <c r="BJ636" s="948"/>
      <c r="BK636" s="948"/>
      <c r="BL636" s="948"/>
      <c r="BM636" s="948"/>
      <c r="BN636" s="948"/>
      <c r="BO636" s="948"/>
      <c r="BP636" s="948"/>
      <c r="BQ636" s="948"/>
      <c r="BR636" s="948"/>
      <c r="BS636" s="948"/>
      <c r="BT636" s="948"/>
      <c r="BU636" s="954"/>
    </row>
    <row r="637" spans="1:73" ht="15.75" customHeight="1" x14ac:dyDescent="0.2">
      <c r="A637" s="947"/>
      <c r="B637" s="947"/>
      <c r="C637" s="947"/>
      <c r="D637" s="948"/>
      <c r="E637" s="948"/>
      <c r="F637" s="948"/>
      <c r="G637" s="948"/>
      <c r="H637" s="948"/>
      <c r="I637" s="948"/>
      <c r="J637" s="948"/>
      <c r="K637" s="949"/>
      <c r="L637" s="949"/>
      <c r="M637" s="949"/>
      <c r="N637" s="950"/>
      <c r="O637" s="948"/>
      <c r="P637" s="948"/>
      <c r="Q637" s="948"/>
      <c r="R637" s="949"/>
      <c r="S637" s="949"/>
      <c r="T637" s="949"/>
      <c r="U637" s="949"/>
      <c r="V637" s="949"/>
      <c r="W637" s="949"/>
      <c r="X637" s="951"/>
      <c r="Y637" s="951"/>
      <c r="Z637" s="952"/>
      <c r="AA637" s="953"/>
      <c r="AB637" s="948"/>
      <c r="AC637" s="948"/>
      <c r="AD637" s="949"/>
      <c r="AE637" s="949"/>
      <c r="AF637" s="949"/>
      <c r="AG637" s="949"/>
      <c r="AH637" s="949"/>
      <c r="AI637" s="949"/>
      <c r="AJ637" s="949"/>
      <c r="AK637" s="949"/>
      <c r="AL637" s="949"/>
      <c r="AM637" s="949"/>
      <c r="AN637" s="949"/>
      <c r="AO637" s="949"/>
      <c r="AP637" s="949"/>
      <c r="AQ637" s="949"/>
      <c r="AR637" s="949"/>
      <c r="AS637" s="949"/>
      <c r="AT637" s="949"/>
      <c r="AU637" s="949"/>
      <c r="AV637" s="949"/>
      <c r="AW637" s="949"/>
      <c r="AX637" s="949"/>
      <c r="AY637" s="949"/>
      <c r="AZ637" s="949"/>
      <c r="BA637" s="949"/>
      <c r="BB637" s="949"/>
      <c r="BC637" s="949"/>
      <c r="BD637" s="949"/>
      <c r="BE637" s="949"/>
      <c r="BF637" s="949"/>
      <c r="BG637" s="948"/>
      <c r="BH637" s="948"/>
      <c r="BI637" s="948"/>
      <c r="BJ637" s="948"/>
      <c r="BK637" s="948"/>
      <c r="BL637" s="948"/>
      <c r="BM637" s="948"/>
      <c r="BN637" s="948"/>
      <c r="BO637" s="948"/>
      <c r="BP637" s="948"/>
      <c r="BQ637" s="948"/>
      <c r="BR637" s="948"/>
      <c r="BS637" s="948"/>
      <c r="BT637" s="948"/>
      <c r="BU637" s="954"/>
    </row>
    <row r="638" spans="1:73" ht="15.75" customHeight="1" x14ac:dyDescent="0.2">
      <c r="A638" s="947"/>
      <c r="B638" s="947"/>
      <c r="C638" s="947"/>
      <c r="D638" s="948"/>
      <c r="E638" s="948"/>
      <c r="F638" s="948"/>
      <c r="G638" s="948"/>
      <c r="H638" s="948"/>
      <c r="I638" s="948"/>
      <c r="J638" s="948"/>
      <c r="K638" s="949"/>
      <c r="L638" s="949"/>
      <c r="M638" s="949"/>
      <c r="N638" s="950"/>
      <c r="O638" s="948"/>
      <c r="P638" s="948"/>
      <c r="Q638" s="948"/>
      <c r="R638" s="949"/>
      <c r="S638" s="949"/>
      <c r="T638" s="949"/>
      <c r="U638" s="949"/>
      <c r="V638" s="949"/>
      <c r="W638" s="949"/>
      <c r="X638" s="951"/>
      <c r="Y638" s="951"/>
      <c r="Z638" s="952"/>
      <c r="AA638" s="953"/>
      <c r="AB638" s="948"/>
      <c r="AC638" s="948"/>
      <c r="AD638" s="949"/>
      <c r="AE638" s="949"/>
      <c r="AF638" s="949"/>
      <c r="AG638" s="949"/>
      <c r="AH638" s="949"/>
      <c r="AI638" s="949"/>
      <c r="AJ638" s="949"/>
      <c r="AK638" s="949"/>
      <c r="AL638" s="949"/>
      <c r="AM638" s="949"/>
      <c r="AN638" s="949"/>
      <c r="AO638" s="949"/>
      <c r="AP638" s="949"/>
      <c r="AQ638" s="949"/>
      <c r="AR638" s="949"/>
      <c r="AS638" s="949"/>
      <c r="AT638" s="949"/>
      <c r="AU638" s="949"/>
      <c r="AV638" s="949"/>
      <c r="AW638" s="949"/>
      <c r="AX638" s="949"/>
      <c r="AY638" s="949"/>
      <c r="AZ638" s="949"/>
      <c r="BA638" s="949"/>
      <c r="BB638" s="949"/>
      <c r="BC638" s="949"/>
      <c r="BD638" s="949"/>
      <c r="BE638" s="949"/>
      <c r="BF638" s="949"/>
      <c r="BG638" s="948"/>
      <c r="BH638" s="948"/>
      <c r="BI638" s="948"/>
      <c r="BJ638" s="948"/>
      <c r="BK638" s="948"/>
      <c r="BL638" s="948"/>
      <c r="BM638" s="948"/>
      <c r="BN638" s="948"/>
      <c r="BO638" s="948"/>
      <c r="BP638" s="948"/>
      <c r="BQ638" s="948"/>
      <c r="BR638" s="948"/>
      <c r="BS638" s="948"/>
      <c r="BT638" s="948"/>
      <c r="BU638" s="954"/>
    </row>
    <row r="639" spans="1:73" ht="15.75" customHeight="1" x14ac:dyDescent="0.2">
      <c r="A639" s="947"/>
      <c r="B639" s="947"/>
      <c r="C639" s="947"/>
      <c r="D639" s="948"/>
      <c r="E639" s="948"/>
      <c r="F639" s="948"/>
      <c r="G639" s="948"/>
      <c r="H639" s="948"/>
      <c r="I639" s="948"/>
      <c r="J639" s="948"/>
      <c r="K639" s="949"/>
      <c r="L639" s="949"/>
      <c r="M639" s="949"/>
      <c r="N639" s="950"/>
      <c r="O639" s="948"/>
      <c r="P639" s="948"/>
      <c r="Q639" s="948"/>
      <c r="R639" s="949"/>
      <c r="S639" s="949"/>
      <c r="T639" s="949"/>
      <c r="U639" s="949"/>
      <c r="V639" s="949"/>
      <c r="W639" s="949"/>
      <c r="X639" s="951"/>
      <c r="Y639" s="951"/>
      <c r="Z639" s="952"/>
      <c r="AA639" s="953"/>
      <c r="AB639" s="948"/>
      <c r="AC639" s="948"/>
      <c r="AD639" s="949"/>
      <c r="AE639" s="949"/>
      <c r="AF639" s="949"/>
      <c r="AG639" s="949"/>
      <c r="AH639" s="949"/>
      <c r="AI639" s="949"/>
      <c r="AJ639" s="949"/>
      <c r="AK639" s="949"/>
      <c r="AL639" s="949"/>
      <c r="AM639" s="949"/>
      <c r="AN639" s="949"/>
      <c r="AO639" s="949"/>
      <c r="AP639" s="949"/>
      <c r="AQ639" s="949"/>
      <c r="AR639" s="949"/>
      <c r="AS639" s="949"/>
      <c r="AT639" s="949"/>
      <c r="AU639" s="949"/>
      <c r="AV639" s="949"/>
      <c r="AW639" s="949"/>
      <c r="AX639" s="949"/>
      <c r="AY639" s="949"/>
      <c r="AZ639" s="949"/>
      <c r="BA639" s="949"/>
      <c r="BB639" s="949"/>
      <c r="BC639" s="949"/>
      <c r="BD639" s="949"/>
      <c r="BE639" s="949"/>
      <c r="BF639" s="949"/>
      <c r="BG639" s="948"/>
      <c r="BH639" s="948"/>
      <c r="BI639" s="948"/>
      <c r="BJ639" s="948"/>
      <c r="BK639" s="948"/>
      <c r="BL639" s="948"/>
      <c r="BM639" s="948"/>
      <c r="BN639" s="948"/>
      <c r="BO639" s="948"/>
      <c r="BP639" s="948"/>
      <c r="BQ639" s="948"/>
      <c r="BR639" s="948"/>
      <c r="BS639" s="948"/>
      <c r="BT639" s="948"/>
      <c r="BU639" s="954"/>
    </row>
    <row r="640" spans="1:73" ht="15.75" customHeight="1" x14ac:dyDescent="0.2">
      <c r="A640" s="947"/>
      <c r="B640" s="947"/>
      <c r="C640" s="947"/>
      <c r="D640" s="948"/>
      <c r="E640" s="948"/>
      <c r="F640" s="948"/>
      <c r="G640" s="948"/>
      <c r="H640" s="948"/>
      <c r="I640" s="948"/>
      <c r="J640" s="948"/>
      <c r="K640" s="949"/>
      <c r="L640" s="949"/>
      <c r="M640" s="949"/>
      <c r="N640" s="950"/>
      <c r="O640" s="948"/>
      <c r="P640" s="948"/>
      <c r="Q640" s="948"/>
      <c r="R640" s="949"/>
      <c r="S640" s="949"/>
      <c r="T640" s="949"/>
      <c r="U640" s="949"/>
      <c r="V640" s="949"/>
      <c r="W640" s="949"/>
      <c r="X640" s="951"/>
      <c r="Y640" s="951"/>
      <c r="Z640" s="952"/>
      <c r="AA640" s="953"/>
      <c r="AB640" s="948"/>
      <c r="AC640" s="948"/>
      <c r="AD640" s="949"/>
      <c r="AE640" s="949"/>
      <c r="AF640" s="949"/>
      <c r="AG640" s="949"/>
      <c r="AH640" s="949"/>
      <c r="AI640" s="949"/>
      <c r="AJ640" s="949"/>
      <c r="AK640" s="949"/>
      <c r="AL640" s="949"/>
      <c r="AM640" s="949"/>
      <c r="AN640" s="949"/>
      <c r="AO640" s="949"/>
      <c r="AP640" s="949"/>
      <c r="AQ640" s="949"/>
      <c r="AR640" s="949"/>
      <c r="AS640" s="949"/>
      <c r="AT640" s="949"/>
      <c r="AU640" s="949"/>
      <c r="AV640" s="949"/>
      <c r="AW640" s="949"/>
      <c r="AX640" s="949"/>
      <c r="AY640" s="949"/>
      <c r="AZ640" s="949"/>
      <c r="BA640" s="949"/>
      <c r="BB640" s="949"/>
      <c r="BC640" s="949"/>
      <c r="BD640" s="949"/>
      <c r="BE640" s="949"/>
      <c r="BF640" s="949"/>
      <c r="BG640" s="948"/>
      <c r="BH640" s="948"/>
      <c r="BI640" s="948"/>
      <c r="BJ640" s="948"/>
      <c r="BK640" s="948"/>
      <c r="BL640" s="948"/>
      <c r="BM640" s="948"/>
      <c r="BN640" s="948"/>
      <c r="BO640" s="948"/>
      <c r="BP640" s="948"/>
      <c r="BQ640" s="948"/>
      <c r="BR640" s="948"/>
      <c r="BS640" s="948"/>
      <c r="BT640" s="948"/>
      <c r="BU640" s="954"/>
    </row>
    <row r="641" spans="1:73" ht="15.75" customHeight="1" x14ac:dyDescent="0.2">
      <c r="A641" s="947"/>
      <c r="B641" s="947"/>
      <c r="C641" s="947"/>
      <c r="D641" s="948"/>
      <c r="E641" s="948"/>
      <c r="F641" s="948"/>
      <c r="G641" s="948"/>
      <c r="H641" s="948"/>
      <c r="I641" s="948"/>
      <c r="J641" s="948"/>
      <c r="K641" s="949"/>
      <c r="L641" s="949"/>
      <c r="M641" s="949"/>
      <c r="N641" s="950"/>
      <c r="O641" s="948"/>
      <c r="P641" s="948"/>
      <c r="Q641" s="948"/>
      <c r="R641" s="949"/>
      <c r="S641" s="949"/>
      <c r="T641" s="949"/>
      <c r="U641" s="949"/>
      <c r="V641" s="949"/>
      <c r="W641" s="949"/>
      <c r="X641" s="951"/>
      <c r="Y641" s="951"/>
      <c r="Z641" s="952"/>
      <c r="AA641" s="953"/>
      <c r="AB641" s="948"/>
      <c r="AC641" s="948"/>
      <c r="AD641" s="949"/>
      <c r="AE641" s="949"/>
      <c r="AF641" s="949"/>
      <c r="AG641" s="949"/>
      <c r="AH641" s="949"/>
      <c r="AI641" s="949"/>
      <c r="AJ641" s="949"/>
      <c r="AK641" s="949"/>
      <c r="AL641" s="949"/>
      <c r="AM641" s="949"/>
      <c r="AN641" s="949"/>
      <c r="AO641" s="949"/>
      <c r="AP641" s="949"/>
      <c r="AQ641" s="949"/>
      <c r="AR641" s="949"/>
      <c r="AS641" s="949"/>
      <c r="AT641" s="949"/>
      <c r="AU641" s="949"/>
      <c r="AV641" s="949"/>
      <c r="AW641" s="949"/>
      <c r="AX641" s="949"/>
      <c r="AY641" s="949"/>
      <c r="AZ641" s="949"/>
      <c r="BA641" s="949"/>
      <c r="BB641" s="949"/>
      <c r="BC641" s="949"/>
      <c r="BD641" s="949"/>
      <c r="BE641" s="949"/>
      <c r="BF641" s="949"/>
      <c r="BG641" s="948"/>
      <c r="BH641" s="948"/>
      <c r="BI641" s="948"/>
      <c r="BJ641" s="948"/>
      <c r="BK641" s="948"/>
      <c r="BL641" s="948"/>
      <c r="BM641" s="948"/>
      <c r="BN641" s="948"/>
      <c r="BO641" s="948"/>
      <c r="BP641" s="948"/>
      <c r="BQ641" s="948"/>
      <c r="BR641" s="948"/>
      <c r="BS641" s="948"/>
      <c r="BT641" s="948"/>
      <c r="BU641" s="954"/>
    </row>
    <row r="642" spans="1:73" ht="15.75" customHeight="1" x14ac:dyDescent="0.2">
      <c r="A642" s="947"/>
      <c r="B642" s="947"/>
      <c r="C642" s="947"/>
      <c r="D642" s="948"/>
      <c r="E642" s="948"/>
      <c r="F642" s="948"/>
      <c r="G642" s="948"/>
      <c r="H642" s="948"/>
      <c r="I642" s="948"/>
      <c r="J642" s="948"/>
      <c r="K642" s="949"/>
      <c r="L642" s="949"/>
      <c r="M642" s="949"/>
      <c r="N642" s="950"/>
      <c r="O642" s="948"/>
      <c r="P642" s="948"/>
      <c r="Q642" s="948"/>
      <c r="R642" s="949"/>
      <c r="S642" s="949"/>
      <c r="T642" s="949"/>
      <c r="U642" s="949"/>
      <c r="V642" s="949"/>
      <c r="W642" s="949"/>
      <c r="X642" s="951"/>
      <c r="Y642" s="951"/>
      <c r="Z642" s="952"/>
      <c r="AA642" s="953"/>
      <c r="AB642" s="948"/>
      <c r="AC642" s="948"/>
      <c r="AD642" s="949"/>
      <c r="AE642" s="949"/>
      <c r="AF642" s="949"/>
      <c r="AG642" s="949"/>
      <c r="AH642" s="949"/>
      <c r="AI642" s="949"/>
      <c r="AJ642" s="949"/>
      <c r="AK642" s="949"/>
      <c r="AL642" s="949"/>
      <c r="AM642" s="949"/>
      <c r="AN642" s="949"/>
      <c r="AO642" s="949"/>
      <c r="AP642" s="949"/>
      <c r="AQ642" s="949"/>
      <c r="AR642" s="949"/>
      <c r="AS642" s="949"/>
      <c r="AT642" s="949"/>
      <c r="AU642" s="949"/>
      <c r="AV642" s="949"/>
      <c r="AW642" s="949"/>
      <c r="AX642" s="949"/>
      <c r="AY642" s="949"/>
      <c r="AZ642" s="949"/>
      <c r="BA642" s="949"/>
      <c r="BB642" s="949"/>
      <c r="BC642" s="949"/>
      <c r="BD642" s="949"/>
      <c r="BE642" s="949"/>
      <c r="BF642" s="949"/>
      <c r="BG642" s="948"/>
      <c r="BH642" s="948"/>
      <c r="BI642" s="948"/>
      <c r="BJ642" s="948"/>
      <c r="BK642" s="948"/>
      <c r="BL642" s="948"/>
      <c r="BM642" s="948"/>
      <c r="BN642" s="948"/>
      <c r="BO642" s="948"/>
      <c r="BP642" s="948"/>
      <c r="BQ642" s="948"/>
      <c r="BR642" s="948"/>
      <c r="BS642" s="948"/>
      <c r="BT642" s="948"/>
      <c r="BU642" s="954"/>
    </row>
    <row r="643" spans="1:73" ht="15.75" customHeight="1" x14ac:dyDescent="0.2">
      <c r="A643" s="947"/>
      <c r="B643" s="947"/>
      <c r="C643" s="947"/>
      <c r="D643" s="948"/>
      <c r="E643" s="948"/>
      <c r="F643" s="948"/>
      <c r="G643" s="948"/>
      <c r="H643" s="948"/>
      <c r="I643" s="948"/>
      <c r="J643" s="948"/>
      <c r="K643" s="949"/>
      <c r="L643" s="949"/>
      <c r="M643" s="949"/>
      <c r="N643" s="950"/>
      <c r="O643" s="948"/>
      <c r="P643" s="948"/>
      <c r="Q643" s="948"/>
      <c r="R643" s="949"/>
      <c r="S643" s="949"/>
      <c r="T643" s="949"/>
      <c r="U643" s="949"/>
      <c r="V643" s="949"/>
      <c r="W643" s="949"/>
      <c r="X643" s="951"/>
      <c r="Y643" s="951"/>
      <c r="Z643" s="952"/>
      <c r="AA643" s="953"/>
      <c r="AB643" s="948"/>
      <c r="AC643" s="948"/>
      <c r="AD643" s="949"/>
      <c r="AE643" s="949"/>
      <c r="AF643" s="949"/>
      <c r="AG643" s="949"/>
      <c r="AH643" s="949"/>
      <c r="AI643" s="949"/>
      <c r="AJ643" s="949"/>
      <c r="AK643" s="949"/>
      <c r="AL643" s="949"/>
      <c r="AM643" s="949"/>
      <c r="AN643" s="949"/>
      <c r="AO643" s="949"/>
      <c r="AP643" s="949"/>
      <c r="AQ643" s="949"/>
      <c r="AR643" s="949"/>
      <c r="AS643" s="949"/>
      <c r="AT643" s="949"/>
      <c r="AU643" s="949"/>
      <c r="AV643" s="949"/>
      <c r="AW643" s="949"/>
      <c r="AX643" s="949"/>
      <c r="AY643" s="949"/>
      <c r="AZ643" s="949"/>
      <c r="BA643" s="949"/>
      <c r="BB643" s="949"/>
      <c r="BC643" s="949"/>
      <c r="BD643" s="949"/>
      <c r="BE643" s="949"/>
      <c r="BF643" s="949"/>
      <c r="BG643" s="948"/>
      <c r="BH643" s="948"/>
      <c r="BI643" s="948"/>
      <c r="BJ643" s="948"/>
      <c r="BK643" s="948"/>
      <c r="BL643" s="948"/>
      <c r="BM643" s="948"/>
      <c r="BN643" s="948"/>
      <c r="BO643" s="948"/>
      <c r="BP643" s="948"/>
      <c r="BQ643" s="948"/>
      <c r="BR643" s="948"/>
      <c r="BS643" s="948"/>
      <c r="BT643" s="948"/>
      <c r="BU643" s="954"/>
    </row>
    <row r="644" spans="1:73" ht="15.75" customHeight="1" x14ac:dyDescent="0.2">
      <c r="A644" s="947"/>
      <c r="B644" s="947"/>
      <c r="C644" s="947"/>
      <c r="D644" s="948"/>
      <c r="E644" s="948"/>
      <c r="F644" s="948"/>
      <c r="G644" s="948"/>
      <c r="H644" s="948"/>
      <c r="I644" s="948"/>
      <c r="J644" s="948"/>
      <c r="K644" s="949"/>
      <c r="L644" s="949"/>
      <c r="M644" s="949"/>
      <c r="N644" s="950"/>
      <c r="O644" s="948"/>
      <c r="P644" s="948"/>
      <c r="Q644" s="948"/>
      <c r="R644" s="949"/>
      <c r="S644" s="949"/>
      <c r="T644" s="949"/>
      <c r="U644" s="949"/>
      <c r="V644" s="949"/>
      <c r="W644" s="949"/>
      <c r="X644" s="951"/>
      <c r="Y644" s="951"/>
      <c r="Z644" s="952"/>
      <c r="AA644" s="953"/>
      <c r="AB644" s="948"/>
      <c r="AC644" s="948"/>
      <c r="AD644" s="949"/>
      <c r="AE644" s="949"/>
      <c r="AF644" s="949"/>
      <c r="AG644" s="949"/>
      <c r="AH644" s="949"/>
      <c r="AI644" s="949"/>
      <c r="AJ644" s="949"/>
      <c r="AK644" s="949"/>
      <c r="AL644" s="949"/>
      <c r="AM644" s="949"/>
      <c r="AN644" s="949"/>
      <c r="AO644" s="949"/>
      <c r="AP644" s="949"/>
      <c r="AQ644" s="949"/>
      <c r="AR644" s="949"/>
      <c r="AS644" s="949"/>
      <c r="AT644" s="949"/>
      <c r="AU644" s="949"/>
      <c r="AV644" s="949"/>
      <c r="AW644" s="949"/>
      <c r="AX644" s="949"/>
      <c r="AY644" s="949"/>
      <c r="AZ644" s="949"/>
      <c r="BA644" s="949"/>
      <c r="BB644" s="949"/>
      <c r="BC644" s="949"/>
      <c r="BD644" s="949"/>
      <c r="BE644" s="949"/>
      <c r="BF644" s="949"/>
      <c r="BG644" s="948"/>
      <c r="BH644" s="948"/>
      <c r="BI644" s="948"/>
      <c r="BJ644" s="948"/>
      <c r="BK644" s="948"/>
      <c r="BL644" s="948"/>
      <c r="BM644" s="948"/>
      <c r="BN644" s="948"/>
      <c r="BO644" s="948"/>
      <c r="BP644" s="948"/>
      <c r="BQ644" s="948"/>
      <c r="BR644" s="948"/>
      <c r="BS644" s="948"/>
      <c r="BT644" s="948"/>
      <c r="BU644" s="954"/>
    </row>
    <row r="645" spans="1:73" ht="15.75" customHeight="1" x14ac:dyDescent="0.2">
      <c r="A645" s="947"/>
      <c r="B645" s="947"/>
      <c r="C645" s="947"/>
      <c r="D645" s="948"/>
      <c r="E645" s="948"/>
      <c r="F645" s="948"/>
      <c r="G645" s="948"/>
      <c r="H645" s="948"/>
      <c r="I645" s="948"/>
      <c r="J645" s="948"/>
      <c r="K645" s="949"/>
      <c r="L645" s="949"/>
      <c r="M645" s="949"/>
      <c r="N645" s="950"/>
      <c r="O645" s="948"/>
      <c r="P645" s="948"/>
      <c r="Q645" s="948"/>
      <c r="R645" s="949"/>
      <c r="S645" s="949"/>
      <c r="T645" s="949"/>
      <c r="U645" s="949"/>
      <c r="V645" s="949"/>
      <c r="W645" s="949"/>
      <c r="X645" s="951"/>
      <c r="Y645" s="951"/>
      <c r="Z645" s="952"/>
      <c r="AA645" s="953"/>
      <c r="AB645" s="948"/>
      <c r="AC645" s="948"/>
      <c r="AD645" s="949"/>
      <c r="AE645" s="949"/>
      <c r="AF645" s="949"/>
      <c r="AG645" s="949"/>
      <c r="AH645" s="949"/>
      <c r="AI645" s="949"/>
      <c r="AJ645" s="949"/>
      <c r="AK645" s="949"/>
      <c r="AL645" s="949"/>
      <c r="AM645" s="949"/>
      <c r="AN645" s="949"/>
      <c r="AO645" s="949"/>
      <c r="AP645" s="949"/>
      <c r="AQ645" s="949"/>
      <c r="AR645" s="949"/>
      <c r="AS645" s="949"/>
      <c r="AT645" s="949"/>
      <c r="AU645" s="949"/>
      <c r="AV645" s="949"/>
      <c r="AW645" s="949"/>
      <c r="AX645" s="949"/>
      <c r="AY645" s="949"/>
      <c r="AZ645" s="949"/>
      <c r="BA645" s="949"/>
      <c r="BB645" s="949"/>
      <c r="BC645" s="949"/>
      <c r="BD645" s="949"/>
      <c r="BE645" s="949"/>
      <c r="BF645" s="949"/>
      <c r="BG645" s="948"/>
      <c r="BH645" s="948"/>
      <c r="BI645" s="948"/>
      <c r="BJ645" s="948"/>
      <c r="BK645" s="948"/>
      <c r="BL645" s="948"/>
      <c r="BM645" s="948"/>
      <c r="BN645" s="948"/>
      <c r="BO645" s="948"/>
      <c r="BP645" s="948"/>
      <c r="BQ645" s="948"/>
      <c r="BR645" s="948"/>
      <c r="BS645" s="948"/>
      <c r="BT645" s="948"/>
      <c r="BU645" s="954"/>
    </row>
    <row r="646" spans="1:73" ht="15.75" customHeight="1" x14ac:dyDescent="0.2">
      <c r="A646" s="947"/>
      <c r="B646" s="947"/>
      <c r="C646" s="947"/>
      <c r="D646" s="948"/>
      <c r="E646" s="948"/>
      <c r="F646" s="948"/>
      <c r="G646" s="948"/>
      <c r="H646" s="948"/>
      <c r="I646" s="948"/>
      <c r="J646" s="948"/>
      <c r="K646" s="949"/>
      <c r="L646" s="949"/>
      <c r="M646" s="949"/>
      <c r="N646" s="950"/>
      <c r="O646" s="948"/>
      <c r="P646" s="948"/>
      <c r="Q646" s="948"/>
      <c r="R646" s="949"/>
      <c r="S646" s="949"/>
      <c r="T646" s="949"/>
      <c r="U646" s="949"/>
      <c r="V646" s="949"/>
      <c r="W646" s="949"/>
      <c r="X646" s="951"/>
      <c r="Y646" s="951"/>
      <c r="Z646" s="952"/>
      <c r="AA646" s="953"/>
      <c r="AB646" s="948"/>
      <c r="AC646" s="948"/>
      <c r="AD646" s="949"/>
      <c r="AE646" s="949"/>
      <c r="AF646" s="949"/>
      <c r="AG646" s="949"/>
      <c r="AH646" s="949"/>
      <c r="AI646" s="949"/>
      <c r="AJ646" s="949"/>
      <c r="AK646" s="949"/>
      <c r="AL646" s="949"/>
      <c r="AM646" s="949"/>
      <c r="AN646" s="949"/>
      <c r="AO646" s="949"/>
      <c r="AP646" s="949"/>
      <c r="AQ646" s="949"/>
      <c r="AR646" s="949"/>
      <c r="AS646" s="949"/>
      <c r="AT646" s="949"/>
      <c r="AU646" s="949"/>
      <c r="AV646" s="949"/>
      <c r="AW646" s="949"/>
      <c r="AX646" s="949"/>
      <c r="AY646" s="949"/>
      <c r="AZ646" s="949"/>
      <c r="BA646" s="949"/>
      <c r="BB646" s="949"/>
      <c r="BC646" s="949"/>
      <c r="BD646" s="949"/>
      <c r="BE646" s="949"/>
      <c r="BF646" s="949"/>
      <c r="BG646" s="948"/>
      <c r="BH646" s="948"/>
      <c r="BI646" s="948"/>
      <c r="BJ646" s="948"/>
      <c r="BK646" s="948"/>
      <c r="BL646" s="948"/>
      <c r="BM646" s="948"/>
      <c r="BN646" s="948"/>
      <c r="BO646" s="948"/>
      <c r="BP646" s="948"/>
      <c r="BQ646" s="948"/>
      <c r="BR646" s="948"/>
      <c r="BS646" s="948"/>
      <c r="BT646" s="948"/>
      <c r="BU646" s="954"/>
    </row>
    <row r="647" spans="1:73" ht="15.75" customHeight="1" x14ac:dyDescent="0.2">
      <c r="A647" s="947"/>
      <c r="B647" s="947"/>
      <c r="C647" s="947"/>
      <c r="D647" s="948"/>
      <c r="E647" s="948"/>
      <c r="F647" s="948"/>
      <c r="G647" s="948"/>
      <c r="H647" s="948"/>
      <c r="I647" s="948"/>
      <c r="J647" s="948"/>
      <c r="K647" s="949"/>
      <c r="L647" s="949"/>
      <c r="M647" s="949"/>
      <c r="N647" s="950"/>
      <c r="O647" s="948"/>
      <c r="P647" s="948"/>
      <c r="Q647" s="948"/>
      <c r="R647" s="949"/>
      <c r="S647" s="949"/>
      <c r="T647" s="949"/>
      <c r="U647" s="949"/>
      <c r="V647" s="949"/>
      <c r="W647" s="949"/>
      <c r="X647" s="951"/>
      <c r="Y647" s="951"/>
      <c r="Z647" s="952"/>
      <c r="AA647" s="953"/>
      <c r="AB647" s="948"/>
      <c r="AC647" s="948"/>
      <c r="AD647" s="949"/>
      <c r="AE647" s="949"/>
      <c r="AF647" s="949"/>
      <c r="AG647" s="949"/>
      <c r="AH647" s="949"/>
      <c r="AI647" s="949"/>
      <c r="AJ647" s="949"/>
      <c r="AK647" s="949"/>
      <c r="AL647" s="949"/>
      <c r="AM647" s="949"/>
      <c r="AN647" s="949"/>
      <c r="AO647" s="949"/>
      <c r="AP647" s="949"/>
      <c r="AQ647" s="949"/>
      <c r="AR647" s="949"/>
      <c r="AS647" s="949"/>
      <c r="AT647" s="949"/>
      <c r="AU647" s="949"/>
      <c r="AV647" s="949"/>
      <c r="AW647" s="949"/>
      <c r="AX647" s="949"/>
      <c r="AY647" s="949"/>
      <c r="AZ647" s="949"/>
      <c r="BA647" s="949"/>
      <c r="BB647" s="949"/>
      <c r="BC647" s="949"/>
      <c r="BD647" s="949"/>
      <c r="BE647" s="949"/>
      <c r="BF647" s="949"/>
      <c r="BG647" s="948"/>
      <c r="BH647" s="948"/>
      <c r="BI647" s="948"/>
      <c r="BJ647" s="948"/>
      <c r="BK647" s="948"/>
      <c r="BL647" s="948"/>
      <c r="BM647" s="948"/>
      <c r="BN647" s="948"/>
      <c r="BO647" s="948"/>
      <c r="BP647" s="948"/>
      <c r="BQ647" s="948"/>
      <c r="BR647" s="948"/>
      <c r="BS647" s="948"/>
      <c r="BT647" s="948"/>
      <c r="BU647" s="954"/>
    </row>
    <row r="648" spans="1:73" ht="15.75" customHeight="1" x14ac:dyDescent="0.2">
      <c r="A648" s="947"/>
      <c r="B648" s="947"/>
      <c r="C648" s="947"/>
      <c r="D648" s="948"/>
      <c r="E648" s="948"/>
      <c r="F648" s="948"/>
      <c r="G648" s="948"/>
      <c r="H648" s="948"/>
      <c r="I648" s="948"/>
      <c r="J648" s="948"/>
      <c r="K648" s="949"/>
      <c r="L648" s="949"/>
      <c r="M648" s="949"/>
      <c r="N648" s="950"/>
      <c r="O648" s="948"/>
      <c r="P648" s="948"/>
      <c r="Q648" s="948"/>
      <c r="R648" s="949"/>
      <c r="S648" s="949"/>
      <c r="T648" s="949"/>
      <c r="U648" s="949"/>
      <c r="V648" s="949"/>
      <c r="W648" s="949"/>
      <c r="X648" s="951"/>
      <c r="Y648" s="951"/>
      <c r="Z648" s="952"/>
      <c r="AA648" s="953"/>
      <c r="AB648" s="948"/>
      <c r="AC648" s="948"/>
      <c r="AD648" s="949"/>
      <c r="AE648" s="949"/>
      <c r="AF648" s="949"/>
      <c r="AG648" s="949"/>
      <c r="AH648" s="949"/>
      <c r="AI648" s="949"/>
      <c r="AJ648" s="949"/>
      <c r="AK648" s="949"/>
      <c r="AL648" s="949"/>
      <c r="AM648" s="949"/>
      <c r="AN648" s="949"/>
      <c r="AO648" s="949"/>
      <c r="AP648" s="949"/>
      <c r="AQ648" s="949"/>
      <c r="AR648" s="949"/>
      <c r="AS648" s="949"/>
      <c r="AT648" s="949"/>
      <c r="AU648" s="949"/>
      <c r="AV648" s="949"/>
      <c r="AW648" s="949"/>
      <c r="AX648" s="949"/>
      <c r="AY648" s="949"/>
      <c r="AZ648" s="949"/>
      <c r="BA648" s="949"/>
      <c r="BB648" s="949"/>
      <c r="BC648" s="949"/>
      <c r="BD648" s="949"/>
      <c r="BE648" s="949"/>
      <c r="BF648" s="949"/>
      <c r="BG648" s="948"/>
      <c r="BH648" s="948"/>
      <c r="BI648" s="948"/>
      <c r="BJ648" s="948"/>
      <c r="BK648" s="948"/>
      <c r="BL648" s="948"/>
      <c r="BM648" s="948"/>
      <c r="BN648" s="948"/>
      <c r="BO648" s="948"/>
      <c r="BP648" s="948"/>
      <c r="BQ648" s="948"/>
      <c r="BR648" s="948"/>
      <c r="BS648" s="948"/>
      <c r="BT648" s="948"/>
      <c r="BU648" s="954"/>
    </row>
    <row r="649" spans="1:73" ht="15.75" customHeight="1" x14ac:dyDescent="0.2">
      <c r="A649" s="947"/>
      <c r="B649" s="947"/>
      <c r="C649" s="947"/>
      <c r="D649" s="948"/>
      <c r="E649" s="948"/>
      <c r="F649" s="948"/>
      <c r="G649" s="948"/>
      <c r="H649" s="948"/>
      <c r="I649" s="948"/>
      <c r="J649" s="948"/>
      <c r="K649" s="949"/>
      <c r="L649" s="949"/>
      <c r="M649" s="949"/>
      <c r="N649" s="950"/>
      <c r="O649" s="948"/>
      <c r="P649" s="948"/>
      <c r="Q649" s="948"/>
      <c r="R649" s="949"/>
      <c r="S649" s="949"/>
      <c r="T649" s="949"/>
      <c r="U649" s="949"/>
      <c r="V649" s="949"/>
      <c r="W649" s="949"/>
      <c r="X649" s="951"/>
      <c r="Y649" s="951"/>
      <c r="Z649" s="952"/>
      <c r="AA649" s="953"/>
      <c r="AB649" s="948"/>
      <c r="AC649" s="948"/>
      <c r="AD649" s="949"/>
      <c r="AE649" s="949"/>
      <c r="AF649" s="949"/>
      <c r="AG649" s="949"/>
      <c r="AH649" s="949"/>
      <c r="AI649" s="949"/>
      <c r="AJ649" s="949"/>
      <c r="AK649" s="949"/>
      <c r="AL649" s="949"/>
      <c r="AM649" s="949"/>
      <c r="AN649" s="949"/>
      <c r="AO649" s="949"/>
      <c r="AP649" s="949"/>
      <c r="AQ649" s="949"/>
      <c r="AR649" s="949"/>
      <c r="AS649" s="949"/>
      <c r="AT649" s="949"/>
      <c r="AU649" s="949"/>
      <c r="AV649" s="949"/>
      <c r="AW649" s="949"/>
      <c r="AX649" s="949"/>
      <c r="AY649" s="949"/>
      <c r="AZ649" s="949"/>
      <c r="BA649" s="949"/>
      <c r="BB649" s="949"/>
      <c r="BC649" s="949"/>
      <c r="BD649" s="949"/>
      <c r="BE649" s="949"/>
      <c r="BF649" s="949"/>
      <c r="BG649" s="948"/>
      <c r="BH649" s="948"/>
      <c r="BI649" s="948"/>
      <c r="BJ649" s="948"/>
      <c r="BK649" s="948"/>
      <c r="BL649" s="948"/>
      <c r="BM649" s="948"/>
      <c r="BN649" s="948"/>
      <c r="BO649" s="948"/>
      <c r="BP649" s="948"/>
      <c r="BQ649" s="948"/>
      <c r="BR649" s="948"/>
      <c r="BS649" s="948"/>
      <c r="BT649" s="948"/>
      <c r="BU649" s="954"/>
    </row>
    <row r="650" spans="1:73" ht="15.75" customHeight="1" x14ac:dyDescent="0.2">
      <c r="A650" s="947"/>
      <c r="B650" s="947"/>
      <c r="C650" s="947"/>
      <c r="D650" s="948"/>
      <c r="E650" s="948"/>
      <c r="F650" s="948"/>
      <c r="G650" s="948"/>
      <c r="H650" s="948"/>
      <c r="I650" s="948"/>
      <c r="J650" s="948"/>
      <c r="K650" s="949"/>
      <c r="L650" s="949"/>
      <c r="M650" s="949"/>
      <c r="N650" s="950"/>
      <c r="O650" s="948"/>
      <c r="P650" s="948"/>
      <c r="Q650" s="948"/>
      <c r="R650" s="949"/>
      <c r="S650" s="949"/>
      <c r="T650" s="949"/>
      <c r="U650" s="949"/>
      <c r="V650" s="949"/>
      <c r="W650" s="949"/>
      <c r="X650" s="951"/>
      <c r="Y650" s="951"/>
      <c r="Z650" s="952"/>
      <c r="AA650" s="953"/>
      <c r="AB650" s="948"/>
      <c r="AC650" s="948"/>
      <c r="AD650" s="949"/>
      <c r="AE650" s="949"/>
      <c r="AF650" s="949"/>
      <c r="AG650" s="949"/>
      <c r="AH650" s="949"/>
      <c r="AI650" s="949"/>
      <c r="AJ650" s="949"/>
      <c r="AK650" s="949"/>
      <c r="AL650" s="949"/>
      <c r="AM650" s="949"/>
      <c r="AN650" s="949"/>
      <c r="AO650" s="949"/>
      <c r="AP650" s="949"/>
      <c r="AQ650" s="949"/>
      <c r="AR650" s="949"/>
      <c r="AS650" s="949"/>
      <c r="AT650" s="949"/>
      <c r="AU650" s="949"/>
      <c r="AV650" s="949"/>
      <c r="AW650" s="949"/>
      <c r="AX650" s="949"/>
      <c r="AY650" s="949"/>
      <c r="AZ650" s="949"/>
      <c r="BA650" s="949"/>
      <c r="BB650" s="949"/>
      <c r="BC650" s="949"/>
      <c r="BD650" s="949"/>
      <c r="BE650" s="949"/>
      <c r="BF650" s="949"/>
      <c r="BG650" s="948"/>
      <c r="BH650" s="948"/>
      <c r="BI650" s="948"/>
      <c r="BJ650" s="948"/>
      <c r="BK650" s="948"/>
      <c r="BL650" s="948"/>
      <c r="BM650" s="948"/>
      <c r="BN650" s="948"/>
      <c r="BO650" s="948"/>
      <c r="BP650" s="948"/>
      <c r="BQ650" s="948"/>
      <c r="BR650" s="948"/>
      <c r="BS650" s="948"/>
      <c r="BT650" s="948"/>
      <c r="BU650" s="954"/>
    </row>
    <row r="651" spans="1:73" ht="15.75" customHeight="1" x14ac:dyDescent="0.2">
      <c r="A651" s="947"/>
      <c r="B651" s="947"/>
      <c r="C651" s="947"/>
      <c r="D651" s="948"/>
      <c r="E651" s="948"/>
      <c r="F651" s="948"/>
      <c r="G651" s="948"/>
      <c r="H651" s="948"/>
      <c r="I651" s="948"/>
      <c r="J651" s="948"/>
      <c r="K651" s="949"/>
      <c r="L651" s="949"/>
      <c r="M651" s="949"/>
      <c r="N651" s="950"/>
      <c r="O651" s="948"/>
      <c r="P651" s="948"/>
      <c r="Q651" s="948"/>
      <c r="R651" s="949"/>
      <c r="S651" s="949"/>
      <c r="T651" s="949"/>
      <c r="U651" s="949"/>
      <c r="V651" s="949"/>
      <c r="W651" s="949"/>
      <c r="X651" s="951"/>
      <c r="Y651" s="951"/>
      <c r="Z651" s="952"/>
      <c r="AA651" s="953"/>
      <c r="AB651" s="948"/>
      <c r="AC651" s="948"/>
      <c r="AD651" s="949"/>
      <c r="AE651" s="949"/>
      <c r="AF651" s="949"/>
      <c r="AG651" s="949"/>
      <c r="AH651" s="949"/>
      <c r="AI651" s="949"/>
      <c r="AJ651" s="949"/>
      <c r="AK651" s="949"/>
      <c r="AL651" s="949"/>
      <c r="AM651" s="949"/>
      <c r="AN651" s="949"/>
      <c r="AO651" s="949"/>
      <c r="AP651" s="949"/>
      <c r="AQ651" s="949"/>
      <c r="AR651" s="949"/>
      <c r="AS651" s="949"/>
      <c r="AT651" s="949"/>
      <c r="AU651" s="949"/>
      <c r="AV651" s="949"/>
      <c r="AW651" s="949"/>
      <c r="AX651" s="949"/>
      <c r="AY651" s="949"/>
      <c r="AZ651" s="949"/>
      <c r="BA651" s="949"/>
      <c r="BB651" s="949"/>
      <c r="BC651" s="949"/>
      <c r="BD651" s="949"/>
      <c r="BE651" s="949"/>
      <c r="BF651" s="949"/>
      <c r="BG651" s="948"/>
      <c r="BH651" s="948"/>
      <c r="BI651" s="948"/>
      <c r="BJ651" s="948"/>
      <c r="BK651" s="948"/>
      <c r="BL651" s="948"/>
      <c r="BM651" s="948"/>
      <c r="BN651" s="948"/>
      <c r="BO651" s="948"/>
      <c r="BP651" s="948"/>
      <c r="BQ651" s="948"/>
      <c r="BR651" s="948"/>
      <c r="BS651" s="948"/>
      <c r="BT651" s="948"/>
      <c r="BU651" s="954"/>
    </row>
    <row r="652" spans="1:73" ht="15.75" customHeight="1" x14ac:dyDescent="0.2">
      <c r="A652" s="947"/>
      <c r="B652" s="947"/>
      <c r="C652" s="947"/>
      <c r="D652" s="948"/>
      <c r="E652" s="948"/>
      <c r="F652" s="948"/>
      <c r="G652" s="948"/>
      <c r="H652" s="948"/>
      <c r="I652" s="948"/>
      <c r="J652" s="948"/>
      <c r="K652" s="949"/>
      <c r="L652" s="949"/>
      <c r="M652" s="949"/>
      <c r="N652" s="950"/>
      <c r="O652" s="948"/>
      <c r="P652" s="948"/>
      <c r="Q652" s="948"/>
      <c r="R652" s="949"/>
      <c r="S652" s="949"/>
      <c r="T652" s="949"/>
      <c r="U652" s="949"/>
      <c r="V652" s="949"/>
      <c r="W652" s="949"/>
      <c r="X652" s="951"/>
      <c r="Y652" s="951"/>
      <c r="Z652" s="952"/>
      <c r="AA652" s="953"/>
      <c r="AB652" s="948"/>
      <c r="AC652" s="948"/>
      <c r="AD652" s="949"/>
      <c r="AE652" s="949"/>
      <c r="AF652" s="949"/>
      <c r="AG652" s="949"/>
      <c r="AH652" s="949"/>
      <c r="AI652" s="949"/>
      <c r="AJ652" s="949"/>
      <c r="AK652" s="949"/>
      <c r="AL652" s="949"/>
      <c r="AM652" s="949"/>
      <c r="AN652" s="949"/>
      <c r="AO652" s="949"/>
      <c r="AP652" s="949"/>
      <c r="AQ652" s="949"/>
      <c r="AR652" s="949"/>
      <c r="AS652" s="949"/>
      <c r="AT652" s="949"/>
      <c r="AU652" s="949"/>
      <c r="AV652" s="949"/>
      <c r="AW652" s="949"/>
      <c r="AX652" s="949"/>
      <c r="AY652" s="949"/>
      <c r="AZ652" s="949"/>
      <c r="BA652" s="949"/>
      <c r="BB652" s="949"/>
      <c r="BC652" s="949"/>
      <c r="BD652" s="949"/>
      <c r="BE652" s="949"/>
      <c r="BF652" s="949"/>
      <c r="BG652" s="948"/>
      <c r="BH652" s="948"/>
      <c r="BI652" s="948"/>
      <c r="BJ652" s="948"/>
      <c r="BK652" s="948"/>
      <c r="BL652" s="948"/>
      <c r="BM652" s="948"/>
      <c r="BN652" s="948"/>
      <c r="BO652" s="948"/>
      <c r="BP652" s="948"/>
      <c r="BQ652" s="948"/>
      <c r="BR652" s="948"/>
      <c r="BS652" s="948"/>
      <c r="BT652" s="948"/>
      <c r="BU652" s="954"/>
    </row>
    <row r="653" spans="1:73" ht="15.75" customHeight="1" x14ac:dyDescent="0.2">
      <c r="A653" s="947"/>
      <c r="B653" s="947"/>
      <c r="C653" s="947"/>
      <c r="D653" s="948"/>
      <c r="E653" s="948"/>
      <c r="F653" s="948"/>
      <c r="G653" s="948"/>
      <c r="H653" s="948"/>
      <c r="I653" s="948"/>
      <c r="J653" s="948"/>
      <c r="K653" s="949"/>
      <c r="L653" s="949"/>
      <c r="M653" s="949"/>
      <c r="N653" s="950"/>
      <c r="O653" s="948"/>
      <c r="P653" s="948"/>
      <c r="Q653" s="948"/>
      <c r="R653" s="949"/>
      <c r="S653" s="949"/>
      <c r="T653" s="949"/>
      <c r="U653" s="949"/>
      <c r="V653" s="949"/>
      <c r="W653" s="949"/>
      <c r="X653" s="951"/>
      <c r="Y653" s="951"/>
      <c r="Z653" s="952"/>
      <c r="AA653" s="953"/>
      <c r="AB653" s="948"/>
      <c r="AC653" s="948"/>
      <c r="AD653" s="949"/>
      <c r="AE653" s="949"/>
      <c r="AF653" s="949"/>
      <c r="AG653" s="949"/>
      <c r="AH653" s="949"/>
      <c r="AI653" s="949"/>
      <c r="AJ653" s="949"/>
      <c r="AK653" s="949"/>
      <c r="AL653" s="949"/>
      <c r="AM653" s="949"/>
      <c r="AN653" s="949"/>
      <c r="AO653" s="949"/>
      <c r="AP653" s="949"/>
      <c r="AQ653" s="949"/>
      <c r="AR653" s="949"/>
      <c r="AS653" s="949"/>
      <c r="AT653" s="949"/>
      <c r="AU653" s="949"/>
      <c r="AV653" s="949"/>
      <c r="AW653" s="949"/>
      <c r="AX653" s="949"/>
      <c r="AY653" s="949"/>
      <c r="AZ653" s="949"/>
      <c r="BA653" s="949"/>
      <c r="BB653" s="949"/>
      <c r="BC653" s="949"/>
      <c r="BD653" s="949"/>
      <c r="BE653" s="949"/>
      <c r="BF653" s="949"/>
      <c r="BG653" s="948"/>
      <c r="BH653" s="948"/>
      <c r="BI653" s="948"/>
      <c r="BJ653" s="948"/>
      <c r="BK653" s="948"/>
      <c r="BL653" s="948"/>
      <c r="BM653" s="948"/>
      <c r="BN653" s="948"/>
      <c r="BO653" s="948"/>
      <c r="BP653" s="948"/>
      <c r="BQ653" s="948"/>
      <c r="BR653" s="948"/>
      <c r="BS653" s="948"/>
      <c r="BT653" s="948"/>
      <c r="BU653" s="954"/>
    </row>
    <row r="654" spans="1:73" ht="15.75" customHeight="1" x14ac:dyDescent="0.2">
      <c r="A654" s="947"/>
      <c r="B654" s="947"/>
      <c r="C654" s="947"/>
      <c r="D654" s="948"/>
      <c r="E654" s="948"/>
      <c r="F654" s="948"/>
      <c r="G654" s="948"/>
      <c r="H654" s="948"/>
      <c r="I654" s="948"/>
      <c r="J654" s="948"/>
      <c r="K654" s="949"/>
      <c r="L654" s="949"/>
      <c r="M654" s="949"/>
      <c r="N654" s="950"/>
      <c r="O654" s="948"/>
      <c r="P654" s="948"/>
      <c r="Q654" s="948"/>
      <c r="R654" s="949"/>
      <c r="S654" s="949"/>
      <c r="T654" s="949"/>
      <c r="U654" s="949"/>
      <c r="V654" s="949"/>
      <c r="W654" s="949"/>
      <c r="X654" s="951"/>
      <c r="Y654" s="951"/>
      <c r="Z654" s="952"/>
      <c r="AA654" s="953"/>
      <c r="AB654" s="948"/>
      <c r="AC654" s="948"/>
      <c r="AD654" s="949"/>
      <c r="AE654" s="949"/>
      <c r="AF654" s="949"/>
      <c r="AG654" s="949"/>
      <c r="AH654" s="949"/>
      <c r="AI654" s="949"/>
      <c r="AJ654" s="949"/>
      <c r="AK654" s="949"/>
      <c r="AL654" s="949"/>
      <c r="AM654" s="949"/>
      <c r="AN654" s="949"/>
      <c r="AO654" s="949"/>
      <c r="AP654" s="949"/>
      <c r="AQ654" s="949"/>
      <c r="AR654" s="949"/>
      <c r="AS654" s="949"/>
      <c r="AT654" s="949"/>
      <c r="AU654" s="949"/>
      <c r="AV654" s="949"/>
      <c r="AW654" s="949"/>
      <c r="AX654" s="949"/>
      <c r="AY654" s="949"/>
      <c r="AZ654" s="949"/>
      <c r="BA654" s="949"/>
      <c r="BB654" s="949"/>
      <c r="BC654" s="949"/>
      <c r="BD654" s="949"/>
      <c r="BE654" s="949"/>
      <c r="BF654" s="949"/>
      <c r="BG654" s="948"/>
      <c r="BH654" s="948"/>
      <c r="BI654" s="948"/>
      <c r="BJ654" s="948"/>
      <c r="BK654" s="948"/>
      <c r="BL654" s="948"/>
      <c r="BM654" s="948"/>
      <c r="BN654" s="948"/>
      <c r="BO654" s="948"/>
      <c r="BP654" s="948"/>
      <c r="BQ654" s="948"/>
      <c r="BR654" s="948"/>
      <c r="BS654" s="948"/>
      <c r="BT654" s="948"/>
      <c r="BU654" s="954"/>
    </row>
    <row r="655" spans="1:73" ht="15.75" customHeight="1" x14ac:dyDescent="0.2">
      <c r="A655" s="947"/>
      <c r="B655" s="947"/>
      <c r="C655" s="947"/>
      <c r="D655" s="948"/>
      <c r="E655" s="948"/>
      <c r="F655" s="948"/>
      <c r="G655" s="948"/>
      <c r="H655" s="948"/>
      <c r="I655" s="948"/>
      <c r="J655" s="948"/>
      <c r="K655" s="949"/>
      <c r="L655" s="949"/>
      <c r="M655" s="949"/>
      <c r="N655" s="950"/>
      <c r="O655" s="948"/>
      <c r="P655" s="948"/>
      <c r="Q655" s="948"/>
      <c r="R655" s="949"/>
      <c r="S655" s="949"/>
      <c r="T655" s="949"/>
      <c r="U655" s="949"/>
      <c r="V655" s="949"/>
      <c r="W655" s="949"/>
      <c r="X655" s="951"/>
      <c r="Y655" s="951"/>
      <c r="Z655" s="952"/>
      <c r="AA655" s="953"/>
      <c r="AB655" s="948"/>
      <c r="AC655" s="948"/>
      <c r="AD655" s="949"/>
      <c r="AE655" s="949"/>
      <c r="AF655" s="949"/>
      <c r="AG655" s="949"/>
      <c r="AH655" s="949"/>
      <c r="AI655" s="949"/>
      <c r="AJ655" s="949"/>
      <c r="AK655" s="949"/>
      <c r="AL655" s="949"/>
      <c r="AM655" s="949"/>
      <c r="AN655" s="949"/>
      <c r="AO655" s="949"/>
      <c r="AP655" s="949"/>
      <c r="AQ655" s="949"/>
      <c r="AR655" s="949"/>
      <c r="AS655" s="949"/>
      <c r="AT655" s="949"/>
      <c r="AU655" s="949"/>
      <c r="AV655" s="949"/>
      <c r="AW655" s="949"/>
      <c r="AX655" s="949"/>
      <c r="AY655" s="949"/>
      <c r="AZ655" s="949"/>
      <c r="BA655" s="949"/>
      <c r="BB655" s="949"/>
      <c r="BC655" s="949"/>
      <c r="BD655" s="949"/>
      <c r="BE655" s="949"/>
      <c r="BF655" s="949"/>
      <c r="BG655" s="948"/>
      <c r="BH655" s="948"/>
      <c r="BI655" s="948"/>
      <c r="BJ655" s="948"/>
      <c r="BK655" s="948"/>
      <c r="BL655" s="948"/>
      <c r="BM655" s="948"/>
      <c r="BN655" s="948"/>
      <c r="BO655" s="948"/>
      <c r="BP655" s="948"/>
      <c r="BQ655" s="948"/>
      <c r="BR655" s="948"/>
      <c r="BS655" s="948"/>
      <c r="BT655" s="948"/>
      <c r="BU655" s="954"/>
    </row>
    <row r="656" spans="1:73" ht="15.75" customHeight="1" x14ac:dyDescent="0.2">
      <c r="A656" s="947"/>
      <c r="B656" s="947"/>
      <c r="C656" s="947"/>
      <c r="D656" s="948"/>
      <c r="E656" s="948"/>
      <c r="F656" s="948"/>
      <c r="G656" s="948"/>
      <c r="H656" s="948"/>
      <c r="I656" s="948"/>
      <c r="J656" s="948"/>
      <c r="K656" s="949"/>
      <c r="L656" s="949"/>
      <c r="M656" s="949"/>
      <c r="N656" s="950"/>
      <c r="O656" s="948"/>
      <c r="P656" s="948"/>
      <c r="Q656" s="948"/>
      <c r="R656" s="949"/>
      <c r="S656" s="949"/>
      <c r="T656" s="949"/>
      <c r="U656" s="949"/>
      <c r="V656" s="949"/>
      <c r="W656" s="949"/>
      <c r="X656" s="951"/>
      <c r="Y656" s="951"/>
      <c r="Z656" s="952"/>
      <c r="AA656" s="953"/>
      <c r="AB656" s="948"/>
      <c r="AC656" s="948"/>
      <c r="AD656" s="949"/>
      <c r="AE656" s="949"/>
      <c r="AF656" s="949"/>
      <c r="AG656" s="949"/>
      <c r="AH656" s="949"/>
      <c r="AI656" s="949"/>
      <c r="AJ656" s="949"/>
      <c r="AK656" s="949"/>
      <c r="AL656" s="949"/>
      <c r="AM656" s="949"/>
      <c r="AN656" s="949"/>
      <c r="AO656" s="949"/>
      <c r="AP656" s="949"/>
      <c r="AQ656" s="949"/>
      <c r="AR656" s="949"/>
      <c r="AS656" s="949"/>
      <c r="AT656" s="949"/>
      <c r="AU656" s="949"/>
      <c r="AV656" s="949"/>
      <c r="AW656" s="949"/>
      <c r="AX656" s="949"/>
      <c r="AY656" s="949"/>
      <c r="AZ656" s="949"/>
      <c r="BA656" s="949"/>
      <c r="BB656" s="949"/>
      <c r="BC656" s="949"/>
      <c r="BD656" s="949"/>
      <c r="BE656" s="949"/>
      <c r="BF656" s="949"/>
      <c r="BG656" s="948"/>
      <c r="BH656" s="948"/>
      <c r="BI656" s="948"/>
      <c r="BJ656" s="948"/>
      <c r="BK656" s="948"/>
      <c r="BL656" s="948"/>
      <c r="BM656" s="948"/>
      <c r="BN656" s="948"/>
      <c r="BO656" s="948"/>
      <c r="BP656" s="948"/>
      <c r="BQ656" s="948"/>
      <c r="BR656" s="948"/>
      <c r="BS656" s="948"/>
      <c r="BT656" s="948"/>
      <c r="BU656" s="954"/>
    </row>
    <row r="657" spans="1:73" ht="15.75" customHeight="1" x14ac:dyDescent="0.2">
      <c r="A657" s="947"/>
      <c r="B657" s="947"/>
      <c r="C657" s="947"/>
      <c r="D657" s="948"/>
      <c r="E657" s="948"/>
      <c r="F657" s="948"/>
      <c r="G657" s="948"/>
      <c r="H657" s="948"/>
      <c r="I657" s="948"/>
      <c r="J657" s="948"/>
      <c r="K657" s="949"/>
      <c r="L657" s="949"/>
      <c r="M657" s="949"/>
      <c r="N657" s="950"/>
      <c r="O657" s="948"/>
      <c r="P657" s="948"/>
      <c r="Q657" s="948"/>
      <c r="R657" s="949"/>
      <c r="S657" s="949"/>
      <c r="T657" s="949"/>
      <c r="U657" s="949"/>
      <c r="V657" s="949"/>
      <c r="W657" s="949"/>
      <c r="X657" s="951"/>
      <c r="Y657" s="951"/>
      <c r="Z657" s="952"/>
      <c r="AA657" s="953"/>
      <c r="AB657" s="948"/>
      <c r="AC657" s="948"/>
      <c r="AD657" s="949"/>
      <c r="AE657" s="949"/>
      <c r="AF657" s="949"/>
      <c r="AG657" s="949"/>
      <c r="AH657" s="949"/>
      <c r="AI657" s="949"/>
      <c r="AJ657" s="949"/>
      <c r="AK657" s="949"/>
      <c r="AL657" s="949"/>
      <c r="AM657" s="949"/>
      <c r="AN657" s="949"/>
      <c r="AO657" s="949"/>
      <c r="AP657" s="949"/>
      <c r="AQ657" s="949"/>
      <c r="AR657" s="949"/>
      <c r="AS657" s="949"/>
      <c r="AT657" s="949"/>
      <c r="AU657" s="949"/>
      <c r="AV657" s="949"/>
      <c r="AW657" s="949"/>
      <c r="AX657" s="949"/>
      <c r="AY657" s="949"/>
      <c r="AZ657" s="949"/>
      <c r="BA657" s="949"/>
      <c r="BB657" s="949"/>
      <c r="BC657" s="949"/>
      <c r="BD657" s="949"/>
      <c r="BE657" s="949"/>
      <c r="BF657" s="949"/>
      <c r="BG657" s="948"/>
      <c r="BH657" s="948"/>
      <c r="BI657" s="948"/>
      <c r="BJ657" s="948"/>
      <c r="BK657" s="948"/>
      <c r="BL657" s="948"/>
      <c r="BM657" s="948"/>
      <c r="BN657" s="948"/>
      <c r="BO657" s="948"/>
      <c r="BP657" s="948"/>
      <c r="BQ657" s="948"/>
      <c r="BR657" s="948"/>
      <c r="BS657" s="948"/>
      <c r="BT657" s="948"/>
      <c r="BU657" s="954"/>
    </row>
    <row r="658" spans="1:73" ht="15.75" customHeight="1" x14ac:dyDescent="0.2">
      <c r="A658" s="947"/>
      <c r="B658" s="947"/>
      <c r="C658" s="947"/>
      <c r="D658" s="948"/>
      <c r="E658" s="948"/>
      <c r="F658" s="948"/>
      <c r="G658" s="948"/>
      <c r="H658" s="948"/>
      <c r="I658" s="948"/>
      <c r="J658" s="948"/>
      <c r="K658" s="949"/>
      <c r="L658" s="949"/>
      <c r="M658" s="949"/>
      <c r="N658" s="950"/>
      <c r="O658" s="948"/>
      <c r="P658" s="948"/>
      <c r="Q658" s="948"/>
      <c r="R658" s="949"/>
      <c r="S658" s="949"/>
      <c r="T658" s="949"/>
      <c r="U658" s="949"/>
      <c r="V658" s="949"/>
      <c r="W658" s="949"/>
      <c r="X658" s="951"/>
      <c r="Y658" s="951"/>
      <c r="Z658" s="952"/>
      <c r="AA658" s="953"/>
      <c r="AB658" s="948"/>
      <c r="AC658" s="948"/>
      <c r="AD658" s="949"/>
      <c r="AE658" s="949"/>
      <c r="AF658" s="949"/>
      <c r="AG658" s="949"/>
      <c r="AH658" s="949"/>
      <c r="AI658" s="949"/>
      <c r="AJ658" s="949"/>
      <c r="AK658" s="949"/>
      <c r="AL658" s="949"/>
      <c r="AM658" s="949"/>
      <c r="AN658" s="949"/>
      <c r="AO658" s="949"/>
      <c r="AP658" s="949"/>
      <c r="AQ658" s="949"/>
      <c r="AR658" s="949"/>
      <c r="AS658" s="949"/>
      <c r="AT658" s="949"/>
      <c r="AU658" s="949"/>
      <c r="AV658" s="949"/>
      <c r="AW658" s="949"/>
      <c r="AX658" s="949"/>
      <c r="AY658" s="949"/>
      <c r="AZ658" s="949"/>
      <c r="BA658" s="949"/>
      <c r="BB658" s="949"/>
      <c r="BC658" s="949"/>
      <c r="BD658" s="949"/>
      <c r="BE658" s="949"/>
      <c r="BF658" s="949"/>
      <c r="BG658" s="948"/>
      <c r="BH658" s="948"/>
      <c r="BI658" s="948"/>
      <c r="BJ658" s="948"/>
      <c r="BK658" s="948"/>
      <c r="BL658" s="948"/>
      <c r="BM658" s="948"/>
      <c r="BN658" s="948"/>
      <c r="BO658" s="948"/>
      <c r="BP658" s="948"/>
      <c r="BQ658" s="948"/>
      <c r="BR658" s="948"/>
      <c r="BS658" s="948"/>
      <c r="BT658" s="948"/>
      <c r="BU658" s="954"/>
    </row>
    <row r="659" spans="1:73" ht="15.75" customHeight="1" x14ac:dyDescent="0.2">
      <c r="A659" s="947"/>
      <c r="B659" s="947"/>
      <c r="C659" s="947"/>
      <c r="D659" s="948"/>
      <c r="E659" s="948"/>
      <c r="F659" s="948"/>
      <c r="G659" s="948"/>
      <c r="H659" s="948"/>
      <c r="I659" s="948"/>
      <c r="J659" s="948"/>
      <c r="K659" s="949"/>
      <c r="L659" s="949"/>
      <c r="M659" s="949"/>
      <c r="N659" s="950"/>
      <c r="O659" s="948"/>
      <c r="P659" s="948"/>
      <c r="Q659" s="948"/>
      <c r="R659" s="949"/>
      <c r="S659" s="949"/>
      <c r="T659" s="949"/>
      <c r="U659" s="949"/>
      <c r="V659" s="949"/>
      <c r="W659" s="949"/>
      <c r="X659" s="951"/>
      <c r="Y659" s="951"/>
      <c r="Z659" s="952"/>
      <c r="AA659" s="953"/>
      <c r="AB659" s="948"/>
      <c r="AC659" s="948"/>
      <c r="AD659" s="949"/>
      <c r="AE659" s="949"/>
      <c r="AF659" s="949"/>
      <c r="AG659" s="949"/>
      <c r="AH659" s="949"/>
      <c r="AI659" s="949"/>
      <c r="AJ659" s="949"/>
      <c r="AK659" s="949"/>
      <c r="AL659" s="949"/>
      <c r="AM659" s="949"/>
      <c r="AN659" s="949"/>
      <c r="AO659" s="949"/>
      <c r="AP659" s="949"/>
      <c r="AQ659" s="949"/>
      <c r="AR659" s="949"/>
      <c r="AS659" s="949"/>
      <c r="AT659" s="949"/>
      <c r="AU659" s="949"/>
      <c r="AV659" s="949"/>
      <c r="AW659" s="949"/>
      <c r="AX659" s="949"/>
      <c r="AY659" s="949"/>
      <c r="AZ659" s="949"/>
      <c r="BA659" s="949"/>
      <c r="BB659" s="949"/>
      <c r="BC659" s="949"/>
      <c r="BD659" s="949"/>
      <c r="BE659" s="949"/>
      <c r="BF659" s="949"/>
      <c r="BG659" s="948"/>
      <c r="BH659" s="948"/>
      <c r="BI659" s="948"/>
      <c r="BJ659" s="948"/>
      <c r="BK659" s="948"/>
      <c r="BL659" s="948"/>
      <c r="BM659" s="948"/>
      <c r="BN659" s="948"/>
      <c r="BO659" s="948"/>
      <c r="BP659" s="948"/>
      <c r="BQ659" s="948"/>
      <c r="BR659" s="948"/>
      <c r="BS659" s="948"/>
      <c r="BT659" s="948"/>
      <c r="BU659" s="954"/>
    </row>
    <row r="660" spans="1:73" ht="15.75" customHeight="1" x14ac:dyDescent="0.2">
      <c r="A660" s="947"/>
      <c r="B660" s="947"/>
      <c r="C660" s="947"/>
      <c r="D660" s="948"/>
      <c r="E660" s="948"/>
      <c r="F660" s="948"/>
      <c r="G660" s="948"/>
      <c r="H660" s="948"/>
      <c r="I660" s="948"/>
      <c r="J660" s="948"/>
      <c r="K660" s="949"/>
      <c r="L660" s="949"/>
      <c r="M660" s="949"/>
      <c r="N660" s="950"/>
      <c r="O660" s="948"/>
      <c r="P660" s="948"/>
      <c r="Q660" s="948"/>
      <c r="R660" s="949"/>
      <c r="S660" s="949"/>
      <c r="T660" s="949"/>
      <c r="U660" s="949"/>
      <c r="V660" s="949"/>
      <c r="W660" s="949"/>
      <c r="X660" s="951"/>
      <c r="Y660" s="951"/>
      <c r="Z660" s="952"/>
      <c r="AA660" s="953"/>
      <c r="AB660" s="948"/>
      <c r="AC660" s="948"/>
      <c r="AD660" s="949"/>
      <c r="AE660" s="949"/>
      <c r="AF660" s="949"/>
      <c r="AG660" s="949"/>
      <c r="AH660" s="949"/>
      <c r="AI660" s="949"/>
      <c r="AJ660" s="949"/>
      <c r="AK660" s="949"/>
      <c r="AL660" s="949"/>
      <c r="AM660" s="949"/>
      <c r="AN660" s="949"/>
      <c r="AO660" s="949"/>
      <c r="AP660" s="949"/>
      <c r="AQ660" s="949"/>
      <c r="AR660" s="949"/>
      <c r="AS660" s="949"/>
      <c r="AT660" s="949"/>
      <c r="AU660" s="949"/>
      <c r="AV660" s="949"/>
      <c r="AW660" s="949"/>
      <c r="AX660" s="949"/>
      <c r="AY660" s="949"/>
      <c r="AZ660" s="949"/>
      <c r="BA660" s="949"/>
      <c r="BB660" s="949"/>
      <c r="BC660" s="949"/>
      <c r="BD660" s="949"/>
      <c r="BE660" s="949"/>
      <c r="BF660" s="949"/>
      <c r="BG660" s="948"/>
      <c r="BH660" s="948"/>
      <c r="BI660" s="948"/>
      <c r="BJ660" s="948"/>
      <c r="BK660" s="948"/>
      <c r="BL660" s="948"/>
      <c r="BM660" s="948"/>
      <c r="BN660" s="948"/>
      <c r="BO660" s="948"/>
      <c r="BP660" s="948"/>
      <c r="BQ660" s="948"/>
      <c r="BR660" s="948"/>
      <c r="BS660" s="948"/>
      <c r="BT660" s="948"/>
      <c r="BU660" s="954"/>
    </row>
    <row r="661" spans="1:73" ht="15.75" customHeight="1" x14ac:dyDescent="0.2">
      <c r="A661" s="947"/>
      <c r="B661" s="947"/>
      <c r="C661" s="947"/>
      <c r="D661" s="948"/>
      <c r="E661" s="948"/>
      <c r="F661" s="948"/>
      <c r="G661" s="948"/>
      <c r="H661" s="948"/>
      <c r="I661" s="948"/>
      <c r="J661" s="948"/>
      <c r="K661" s="949"/>
      <c r="L661" s="949"/>
      <c r="M661" s="949"/>
      <c r="N661" s="950"/>
      <c r="O661" s="948"/>
      <c r="P661" s="948"/>
      <c r="Q661" s="948"/>
      <c r="R661" s="949"/>
      <c r="S661" s="949"/>
      <c r="T661" s="949"/>
      <c r="U661" s="949"/>
      <c r="V661" s="949"/>
      <c r="W661" s="949"/>
      <c r="X661" s="951"/>
      <c r="Y661" s="951"/>
      <c r="Z661" s="952"/>
      <c r="AA661" s="953"/>
      <c r="AB661" s="948"/>
      <c r="AC661" s="948"/>
      <c r="AD661" s="949"/>
      <c r="AE661" s="949"/>
      <c r="AF661" s="949"/>
      <c r="AG661" s="949"/>
      <c r="AH661" s="949"/>
      <c r="AI661" s="949"/>
      <c r="AJ661" s="949"/>
      <c r="AK661" s="949"/>
      <c r="AL661" s="949"/>
      <c r="AM661" s="949"/>
      <c r="AN661" s="949"/>
      <c r="AO661" s="949"/>
      <c r="AP661" s="949"/>
      <c r="AQ661" s="949"/>
      <c r="AR661" s="949"/>
      <c r="AS661" s="949"/>
      <c r="AT661" s="949"/>
      <c r="AU661" s="949"/>
      <c r="AV661" s="949"/>
      <c r="AW661" s="949"/>
      <c r="AX661" s="949"/>
      <c r="AY661" s="949"/>
      <c r="AZ661" s="949"/>
      <c r="BA661" s="949"/>
      <c r="BB661" s="949"/>
      <c r="BC661" s="949"/>
      <c r="BD661" s="949"/>
      <c r="BE661" s="949"/>
      <c r="BF661" s="949"/>
      <c r="BG661" s="948"/>
      <c r="BH661" s="948"/>
      <c r="BI661" s="948"/>
      <c r="BJ661" s="948"/>
      <c r="BK661" s="948"/>
      <c r="BL661" s="948"/>
      <c r="BM661" s="948"/>
      <c r="BN661" s="948"/>
      <c r="BO661" s="948"/>
      <c r="BP661" s="948"/>
      <c r="BQ661" s="948"/>
      <c r="BR661" s="948"/>
      <c r="BS661" s="948"/>
      <c r="BT661" s="948"/>
      <c r="BU661" s="954"/>
    </row>
    <row r="662" spans="1:73" ht="15.75" customHeight="1" x14ac:dyDescent="0.2">
      <c r="A662" s="947"/>
      <c r="B662" s="947"/>
      <c r="C662" s="947"/>
      <c r="D662" s="948"/>
      <c r="E662" s="948"/>
      <c r="F662" s="948"/>
      <c r="G662" s="948"/>
      <c r="H662" s="948"/>
      <c r="I662" s="948"/>
      <c r="J662" s="948"/>
      <c r="K662" s="949"/>
      <c r="L662" s="949"/>
      <c r="M662" s="949"/>
      <c r="N662" s="950"/>
      <c r="O662" s="948"/>
      <c r="P662" s="948"/>
      <c r="Q662" s="948"/>
      <c r="R662" s="949"/>
      <c r="S662" s="949"/>
      <c r="T662" s="949"/>
      <c r="U662" s="949"/>
      <c r="V662" s="949"/>
      <c r="W662" s="949"/>
      <c r="X662" s="951"/>
      <c r="Y662" s="951"/>
      <c r="Z662" s="952"/>
      <c r="AA662" s="953"/>
      <c r="AB662" s="948"/>
      <c r="AC662" s="948"/>
      <c r="AD662" s="949"/>
      <c r="AE662" s="949"/>
      <c r="AF662" s="949"/>
      <c r="AG662" s="949"/>
      <c r="AH662" s="949"/>
      <c r="AI662" s="949"/>
      <c r="AJ662" s="949"/>
      <c r="AK662" s="949"/>
      <c r="AL662" s="949"/>
      <c r="AM662" s="949"/>
      <c r="AN662" s="949"/>
      <c r="AO662" s="949"/>
      <c r="AP662" s="949"/>
      <c r="AQ662" s="949"/>
      <c r="AR662" s="949"/>
      <c r="AS662" s="949"/>
      <c r="AT662" s="949"/>
      <c r="AU662" s="949"/>
      <c r="AV662" s="949"/>
      <c r="AW662" s="949"/>
      <c r="AX662" s="949"/>
      <c r="AY662" s="949"/>
      <c r="AZ662" s="949"/>
      <c r="BA662" s="949"/>
      <c r="BB662" s="949"/>
      <c r="BC662" s="949"/>
      <c r="BD662" s="949"/>
      <c r="BE662" s="949"/>
      <c r="BF662" s="949"/>
      <c r="BG662" s="948"/>
      <c r="BH662" s="948"/>
      <c r="BI662" s="948"/>
      <c r="BJ662" s="948"/>
      <c r="BK662" s="948"/>
      <c r="BL662" s="948"/>
      <c r="BM662" s="948"/>
      <c r="BN662" s="948"/>
      <c r="BO662" s="948"/>
      <c r="BP662" s="948"/>
      <c r="BQ662" s="948"/>
      <c r="BR662" s="948"/>
      <c r="BS662" s="948"/>
      <c r="BT662" s="948"/>
      <c r="BU662" s="954"/>
    </row>
    <row r="663" spans="1:73" ht="15.75" customHeight="1" x14ac:dyDescent="0.2">
      <c r="A663" s="947"/>
      <c r="B663" s="947"/>
      <c r="C663" s="947"/>
      <c r="D663" s="948"/>
      <c r="E663" s="948"/>
      <c r="F663" s="948"/>
      <c r="G663" s="948"/>
      <c r="H663" s="948"/>
      <c r="I663" s="948"/>
      <c r="J663" s="948"/>
      <c r="K663" s="949"/>
      <c r="L663" s="949"/>
      <c r="M663" s="949"/>
      <c r="N663" s="950"/>
      <c r="O663" s="948"/>
      <c r="P663" s="948"/>
      <c r="Q663" s="948"/>
      <c r="R663" s="949"/>
      <c r="S663" s="949"/>
      <c r="T663" s="949"/>
      <c r="U663" s="949"/>
      <c r="V663" s="949"/>
      <c r="W663" s="949"/>
      <c r="X663" s="951"/>
      <c r="Y663" s="951"/>
      <c r="Z663" s="952"/>
      <c r="AA663" s="953"/>
      <c r="AB663" s="948"/>
      <c r="AC663" s="948"/>
      <c r="AD663" s="949"/>
      <c r="AE663" s="949"/>
      <c r="AF663" s="949"/>
      <c r="AG663" s="949"/>
      <c r="AH663" s="949"/>
      <c r="AI663" s="949"/>
      <c r="AJ663" s="949"/>
      <c r="AK663" s="949"/>
      <c r="AL663" s="949"/>
      <c r="AM663" s="949"/>
      <c r="AN663" s="949"/>
      <c r="AO663" s="949"/>
      <c r="AP663" s="949"/>
      <c r="AQ663" s="949"/>
      <c r="AR663" s="949"/>
      <c r="AS663" s="949"/>
      <c r="AT663" s="949"/>
      <c r="AU663" s="949"/>
      <c r="AV663" s="949"/>
      <c r="AW663" s="949"/>
      <c r="AX663" s="949"/>
      <c r="AY663" s="949"/>
      <c r="AZ663" s="949"/>
      <c r="BA663" s="949"/>
      <c r="BB663" s="949"/>
      <c r="BC663" s="949"/>
      <c r="BD663" s="949"/>
      <c r="BE663" s="949"/>
      <c r="BF663" s="949"/>
      <c r="BG663" s="948"/>
      <c r="BH663" s="948"/>
      <c r="BI663" s="948"/>
      <c r="BJ663" s="948"/>
      <c r="BK663" s="948"/>
      <c r="BL663" s="948"/>
      <c r="BM663" s="948"/>
      <c r="BN663" s="948"/>
      <c r="BO663" s="948"/>
      <c r="BP663" s="948"/>
      <c r="BQ663" s="948"/>
      <c r="BR663" s="948"/>
      <c r="BS663" s="948"/>
      <c r="BT663" s="948"/>
      <c r="BU663" s="954"/>
    </row>
    <row r="664" spans="1:73" ht="15.75" customHeight="1" x14ac:dyDescent="0.2">
      <c r="A664" s="947"/>
      <c r="B664" s="947"/>
      <c r="C664" s="947"/>
      <c r="D664" s="948"/>
      <c r="E664" s="948"/>
      <c r="F664" s="948"/>
      <c r="G664" s="948"/>
      <c r="H664" s="948"/>
      <c r="I664" s="948"/>
      <c r="J664" s="948"/>
      <c r="K664" s="949"/>
      <c r="L664" s="949"/>
      <c r="M664" s="949"/>
      <c r="N664" s="950"/>
      <c r="O664" s="948"/>
      <c r="P664" s="948"/>
      <c r="Q664" s="948"/>
      <c r="R664" s="949"/>
      <c r="S664" s="949"/>
      <c r="T664" s="949"/>
      <c r="U664" s="949"/>
      <c r="V664" s="949"/>
      <c r="W664" s="949"/>
      <c r="X664" s="951"/>
      <c r="Y664" s="951"/>
      <c r="Z664" s="952"/>
      <c r="AA664" s="953"/>
      <c r="AB664" s="948"/>
      <c r="AC664" s="948"/>
      <c r="AD664" s="949"/>
      <c r="AE664" s="949"/>
      <c r="AF664" s="949"/>
      <c r="AG664" s="949"/>
      <c r="AH664" s="949"/>
      <c r="AI664" s="949"/>
      <c r="AJ664" s="949"/>
      <c r="AK664" s="949"/>
      <c r="AL664" s="949"/>
      <c r="AM664" s="949"/>
      <c r="AN664" s="949"/>
      <c r="AO664" s="949"/>
      <c r="AP664" s="949"/>
      <c r="AQ664" s="949"/>
      <c r="AR664" s="949"/>
      <c r="AS664" s="949"/>
      <c r="AT664" s="949"/>
      <c r="AU664" s="949"/>
      <c r="AV664" s="949"/>
      <c r="AW664" s="949"/>
      <c r="AX664" s="949"/>
      <c r="AY664" s="949"/>
      <c r="AZ664" s="949"/>
      <c r="BA664" s="949"/>
      <c r="BB664" s="949"/>
      <c r="BC664" s="949"/>
      <c r="BD664" s="949"/>
      <c r="BE664" s="949"/>
      <c r="BF664" s="949"/>
      <c r="BG664" s="948"/>
      <c r="BH664" s="948"/>
      <c r="BI664" s="948"/>
      <c r="BJ664" s="948"/>
      <c r="BK664" s="948"/>
      <c r="BL664" s="948"/>
      <c r="BM664" s="948"/>
      <c r="BN664" s="948"/>
      <c r="BO664" s="948"/>
      <c r="BP664" s="948"/>
      <c r="BQ664" s="948"/>
      <c r="BR664" s="948"/>
      <c r="BS664" s="948"/>
      <c r="BT664" s="948"/>
      <c r="BU664" s="954"/>
    </row>
    <row r="665" spans="1:73" ht="15.75" customHeight="1" x14ac:dyDescent="0.2">
      <c r="A665" s="947"/>
      <c r="B665" s="947"/>
      <c r="C665" s="947"/>
      <c r="D665" s="948"/>
      <c r="E665" s="948"/>
      <c r="F665" s="948"/>
      <c r="G665" s="948"/>
      <c r="H665" s="948"/>
      <c r="I665" s="948"/>
      <c r="J665" s="948"/>
      <c r="K665" s="949"/>
      <c r="L665" s="949"/>
      <c r="M665" s="949"/>
      <c r="N665" s="950"/>
      <c r="O665" s="948"/>
      <c r="P665" s="948"/>
      <c r="Q665" s="948"/>
      <c r="R665" s="949"/>
      <c r="S665" s="949"/>
      <c r="T665" s="949"/>
      <c r="U665" s="949"/>
      <c r="V665" s="949"/>
      <c r="W665" s="949"/>
      <c r="X665" s="951"/>
      <c r="Y665" s="951"/>
      <c r="Z665" s="952"/>
      <c r="AA665" s="953"/>
      <c r="AB665" s="948"/>
      <c r="AC665" s="948"/>
      <c r="AD665" s="949"/>
      <c r="AE665" s="949"/>
      <c r="AF665" s="949"/>
      <c r="AG665" s="949"/>
      <c r="AH665" s="949"/>
      <c r="AI665" s="949"/>
      <c r="AJ665" s="949"/>
      <c r="AK665" s="949"/>
      <c r="AL665" s="949"/>
      <c r="AM665" s="949"/>
      <c r="AN665" s="949"/>
      <c r="AO665" s="949"/>
      <c r="AP665" s="949"/>
      <c r="AQ665" s="949"/>
      <c r="AR665" s="949"/>
      <c r="AS665" s="949"/>
      <c r="AT665" s="949"/>
      <c r="AU665" s="949"/>
      <c r="AV665" s="949"/>
      <c r="AW665" s="949"/>
      <c r="AX665" s="949"/>
      <c r="AY665" s="949"/>
      <c r="AZ665" s="949"/>
      <c r="BA665" s="949"/>
      <c r="BB665" s="949"/>
      <c r="BC665" s="949"/>
      <c r="BD665" s="949"/>
      <c r="BE665" s="949"/>
      <c r="BF665" s="949"/>
      <c r="BG665" s="948"/>
      <c r="BH665" s="948"/>
      <c r="BI665" s="948"/>
      <c r="BJ665" s="948"/>
      <c r="BK665" s="948"/>
      <c r="BL665" s="948"/>
      <c r="BM665" s="948"/>
      <c r="BN665" s="948"/>
      <c r="BO665" s="948"/>
      <c r="BP665" s="948"/>
      <c r="BQ665" s="948"/>
      <c r="BR665" s="948"/>
      <c r="BS665" s="948"/>
      <c r="BT665" s="948"/>
      <c r="BU665" s="954"/>
    </row>
    <row r="666" spans="1:73" ht="15.75" customHeight="1" x14ac:dyDescent="0.2">
      <c r="A666" s="947"/>
      <c r="B666" s="947"/>
      <c r="C666" s="947"/>
      <c r="D666" s="948"/>
      <c r="E666" s="948"/>
      <c r="F666" s="948"/>
      <c r="G666" s="948"/>
      <c r="H666" s="948"/>
      <c r="I666" s="948"/>
      <c r="J666" s="948"/>
      <c r="K666" s="949"/>
      <c r="L666" s="949"/>
      <c r="M666" s="949"/>
      <c r="N666" s="950"/>
      <c r="O666" s="948"/>
      <c r="P666" s="948"/>
      <c r="Q666" s="948"/>
      <c r="R666" s="949"/>
      <c r="S666" s="949"/>
      <c r="T666" s="949"/>
      <c r="U666" s="949"/>
      <c r="V666" s="949"/>
      <c r="W666" s="949"/>
      <c r="X666" s="951"/>
      <c r="Y666" s="951"/>
      <c r="Z666" s="952"/>
      <c r="AA666" s="953"/>
      <c r="AB666" s="948"/>
      <c r="AC666" s="948"/>
      <c r="AD666" s="949"/>
      <c r="AE666" s="949"/>
      <c r="AF666" s="949"/>
      <c r="AG666" s="949"/>
      <c r="AH666" s="949"/>
      <c r="AI666" s="949"/>
      <c r="AJ666" s="949"/>
      <c r="AK666" s="949"/>
      <c r="AL666" s="949"/>
      <c r="AM666" s="949"/>
      <c r="AN666" s="949"/>
      <c r="AO666" s="949"/>
      <c r="AP666" s="949"/>
      <c r="AQ666" s="949"/>
      <c r="AR666" s="949"/>
      <c r="AS666" s="949"/>
      <c r="AT666" s="949"/>
      <c r="AU666" s="949"/>
      <c r="AV666" s="949"/>
      <c r="AW666" s="949"/>
      <c r="AX666" s="949"/>
      <c r="AY666" s="949"/>
      <c r="AZ666" s="949"/>
      <c r="BA666" s="949"/>
      <c r="BB666" s="949"/>
      <c r="BC666" s="949"/>
      <c r="BD666" s="949"/>
      <c r="BE666" s="949"/>
      <c r="BF666" s="949"/>
      <c r="BG666" s="948"/>
      <c r="BH666" s="948"/>
      <c r="BI666" s="948"/>
      <c r="BJ666" s="948"/>
      <c r="BK666" s="948"/>
      <c r="BL666" s="948"/>
      <c r="BM666" s="948"/>
      <c r="BN666" s="948"/>
      <c r="BO666" s="948"/>
      <c r="BP666" s="948"/>
      <c r="BQ666" s="948"/>
      <c r="BR666" s="948"/>
      <c r="BS666" s="948"/>
      <c r="BT666" s="948"/>
      <c r="BU666" s="954"/>
    </row>
    <row r="667" spans="1:73" ht="15.75" customHeight="1" x14ac:dyDescent="0.2">
      <c r="A667" s="947"/>
      <c r="B667" s="947"/>
      <c r="C667" s="947"/>
      <c r="D667" s="948"/>
      <c r="E667" s="948"/>
      <c r="F667" s="948"/>
      <c r="G667" s="948"/>
      <c r="H667" s="948"/>
      <c r="I667" s="948"/>
      <c r="J667" s="948"/>
      <c r="K667" s="949"/>
      <c r="L667" s="949"/>
      <c r="M667" s="949"/>
      <c r="N667" s="950"/>
      <c r="O667" s="948"/>
      <c r="P667" s="948"/>
      <c r="Q667" s="948"/>
      <c r="R667" s="949"/>
      <c r="S667" s="949"/>
      <c r="T667" s="949"/>
      <c r="U667" s="949"/>
      <c r="V667" s="949"/>
      <c r="W667" s="949"/>
      <c r="X667" s="951"/>
      <c r="Y667" s="951"/>
      <c r="Z667" s="952"/>
      <c r="AA667" s="953"/>
      <c r="AB667" s="948"/>
      <c r="AC667" s="948"/>
      <c r="AD667" s="949"/>
      <c r="AE667" s="949"/>
      <c r="AF667" s="949"/>
      <c r="AG667" s="949"/>
      <c r="AH667" s="949"/>
      <c r="AI667" s="949"/>
      <c r="AJ667" s="949"/>
      <c r="AK667" s="949"/>
      <c r="AL667" s="949"/>
      <c r="AM667" s="949"/>
      <c r="AN667" s="949"/>
      <c r="AO667" s="949"/>
      <c r="AP667" s="949"/>
      <c r="AQ667" s="949"/>
      <c r="AR667" s="949"/>
      <c r="AS667" s="949"/>
      <c r="AT667" s="949"/>
      <c r="AU667" s="949"/>
      <c r="AV667" s="949"/>
      <c r="AW667" s="949"/>
      <c r="AX667" s="949"/>
      <c r="AY667" s="949"/>
      <c r="AZ667" s="949"/>
      <c r="BA667" s="949"/>
      <c r="BB667" s="949"/>
      <c r="BC667" s="949"/>
      <c r="BD667" s="949"/>
      <c r="BE667" s="949"/>
      <c r="BF667" s="949"/>
      <c r="BG667" s="948"/>
      <c r="BH667" s="948"/>
      <c r="BI667" s="948"/>
      <c r="BJ667" s="948"/>
      <c r="BK667" s="948"/>
      <c r="BL667" s="948"/>
      <c r="BM667" s="948"/>
      <c r="BN667" s="948"/>
      <c r="BO667" s="948"/>
      <c r="BP667" s="948"/>
      <c r="BQ667" s="948"/>
      <c r="BR667" s="948"/>
      <c r="BS667" s="948"/>
      <c r="BT667" s="948"/>
      <c r="BU667" s="954"/>
    </row>
    <row r="668" spans="1:73" ht="15.75" customHeight="1" x14ac:dyDescent="0.2">
      <c r="A668" s="947"/>
      <c r="B668" s="947"/>
      <c r="C668" s="947"/>
      <c r="D668" s="948"/>
      <c r="E668" s="948"/>
      <c r="F668" s="948"/>
      <c r="G668" s="948"/>
      <c r="H668" s="948"/>
      <c r="I668" s="948"/>
      <c r="J668" s="948"/>
      <c r="K668" s="949"/>
      <c r="L668" s="949"/>
      <c r="M668" s="949"/>
      <c r="N668" s="950"/>
      <c r="O668" s="948"/>
      <c r="P668" s="948"/>
      <c r="Q668" s="948"/>
      <c r="R668" s="949"/>
      <c r="S668" s="949"/>
      <c r="T668" s="949"/>
      <c r="U668" s="949"/>
      <c r="V668" s="949"/>
      <c r="W668" s="949"/>
      <c r="X668" s="951"/>
      <c r="Y668" s="951"/>
      <c r="Z668" s="952"/>
      <c r="AA668" s="953"/>
      <c r="AB668" s="948"/>
      <c r="AC668" s="948"/>
      <c r="AD668" s="949"/>
      <c r="AE668" s="949"/>
      <c r="AF668" s="949"/>
      <c r="AG668" s="949"/>
      <c r="AH668" s="949"/>
      <c r="AI668" s="949"/>
      <c r="AJ668" s="949"/>
      <c r="AK668" s="949"/>
      <c r="AL668" s="949"/>
      <c r="AM668" s="949"/>
      <c r="AN668" s="949"/>
      <c r="AO668" s="949"/>
      <c r="AP668" s="949"/>
      <c r="AQ668" s="949"/>
      <c r="AR668" s="949"/>
      <c r="AS668" s="949"/>
      <c r="AT668" s="949"/>
      <c r="AU668" s="949"/>
      <c r="AV668" s="949"/>
      <c r="AW668" s="949"/>
      <c r="AX668" s="949"/>
      <c r="AY668" s="949"/>
      <c r="AZ668" s="949"/>
      <c r="BA668" s="949"/>
      <c r="BB668" s="949"/>
      <c r="BC668" s="949"/>
      <c r="BD668" s="949"/>
      <c r="BE668" s="949"/>
      <c r="BF668" s="949"/>
      <c r="BG668" s="948"/>
      <c r="BH668" s="948"/>
      <c r="BI668" s="948"/>
      <c r="BJ668" s="948"/>
      <c r="BK668" s="948"/>
      <c r="BL668" s="948"/>
      <c r="BM668" s="948"/>
      <c r="BN668" s="948"/>
      <c r="BO668" s="948"/>
      <c r="BP668" s="948"/>
      <c r="BQ668" s="948"/>
      <c r="BR668" s="948"/>
      <c r="BS668" s="948"/>
      <c r="BT668" s="948"/>
      <c r="BU668" s="954"/>
    </row>
    <row r="669" spans="1:73" ht="15.75" customHeight="1" x14ac:dyDescent="0.2">
      <c r="A669" s="947"/>
      <c r="B669" s="947"/>
      <c r="C669" s="947"/>
      <c r="D669" s="948"/>
      <c r="E669" s="948"/>
      <c r="F669" s="948"/>
      <c r="G669" s="948"/>
      <c r="H669" s="948"/>
      <c r="I669" s="948"/>
      <c r="J669" s="948"/>
      <c r="K669" s="949"/>
      <c r="L669" s="949"/>
      <c r="M669" s="949"/>
      <c r="N669" s="950"/>
      <c r="O669" s="948"/>
      <c r="P669" s="948"/>
      <c r="Q669" s="948"/>
      <c r="R669" s="949"/>
      <c r="S669" s="949"/>
      <c r="T669" s="949"/>
      <c r="U669" s="949"/>
      <c r="V669" s="949"/>
      <c r="W669" s="949"/>
      <c r="X669" s="951"/>
      <c r="Y669" s="951"/>
      <c r="Z669" s="952"/>
      <c r="AA669" s="953"/>
      <c r="AB669" s="948"/>
      <c r="AC669" s="948"/>
      <c r="AD669" s="949"/>
      <c r="AE669" s="949"/>
      <c r="AF669" s="949"/>
      <c r="AG669" s="949"/>
      <c r="AH669" s="949"/>
      <c r="AI669" s="949"/>
      <c r="AJ669" s="949"/>
      <c r="AK669" s="949"/>
      <c r="AL669" s="949"/>
      <c r="AM669" s="949"/>
      <c r="AN669" s="949"/>
      <c r="AO669" s="949"/>
      <c r="AP669" s="949"/>
      <c r="AQ669" s="949"/>
      <c r="AR669" s="949"/>
      <c r="AS669" s="949"/>
      <c r="AT669" s="949"/>
      <c r="AU669" s="949"/>
      <c r="AV669" s="949"/>
      <c r="AW669" s="949"/>
      <c r="AX669" s="949"/>
      <c r="AY669" s="949"/>
      <c r="AZ669" s="949"/>
      <c r="BA669" s="949"/>
      <c r="BB669" s="949"/>
      <c r="BC669" s="949"/>
      <c r="BD669" s="949"/>
      <c r="BE669" s="949"/>
      <c r="BF669" s="949"/>
      <c r="BG669" s="948"/>
      <c r="BH669" s="948"/>
      <c r="BI669" s="948"/>
      <c r="BJ669" s="948"/>
      <c r="BK669" s="948"/>
      <c r="BL669" s="948"/>
      <c r="BM669" s="948"/>
      <c r="BN669" s="948"/>
      <c r="BO669" s="948"/>
      <c r="BP669" s="948"/>
      <c r="BQ669" s="948"/>
      <c r="BR669" s="948"/>
      <c r="BS669" s="948"/>
      <c r="BT669" s="948"/>
      <c r="BU669" s="954"/>
    </row>
    <row r="670" spans="1:73" ht="15.75" customHeight="1" x14ac:dyDescent="0.2">
      <c r="A670" s="947"/>
      <c r="B670" s="947"/>
      <c r="C670" s="947"/>
      <c r="D670" s="948"/>
      <c r="E670" s="948"/>
      <c r="F670" s="948"/>
      <c r="G670" s="948"/>
      <c r="H670" s="948"/>
      <c r="I670" s="948"/>
      <c r="J670" s="948"/>
      <c r="K670" s="949"/>
      <c r="L670" s="949"/>
      <c r="M670" s="949"/>
      <c r="N670" s="950"/>
      <c r="O670" s="948"/>
      <c r="P670" s="948"/>
      <c r="Q670" s="948"/>
      <c r="R670" s="949"/>
      <c r="S670" s="949"/>
      <c r="T670" s="949"/>
      <c r="U670" s="949"/>
      <c r="V670" s="949"/>
      <c r="W670" s="949"/>
      <c r="X670" s="951"/>
      <c r="Y670" s="951"/>
      <c r="Z670" s="952"/>
      <c r="AA670" s="953"/>
      <c r="AB670" s="948"/>
      <c r="AC670" s="948"/>
      <c r="AD670" s="949"/>
      <c r="AE670" s="949"/>
      <c r="AF670" s="949"/>
      <c r="AG670" s="949"/>
      <c r="AH670" s="949"/>
      <c r="AI670" s="949"/>
      <c r="AJ670" s="949"/>
      <c r="AK670" s="949"/>
      <c r="AL670" s="949"/>
      <c r="AM670" s="949"/>
      <c r="AN670" s="949"/>
      <c r="AO670" s="949"/>
      <c r="AP670" s="949"/>
      <c r="AQ670" s="949"/>
      <c r="AR670" s="949"/>
      <c r="AS670" s="949"/>
      <c r="AT670" s="949"/>
      <c r="AU670" s="949"/>
      <c r="AV670" s="949"/>
      <c r="AW670" s="949"/>
      <c r="AX670" s="949"/>
      <c r="AY670" s="949"/>
      <c r="AZ670" s="949"/>
      <c r="BA670" s="949"/>
      <c r="BB670" s="949"/>
      <c r="BC670" s="949"/>
      <c r="BD670" s="949"/>
      <c r="BE670" s="949"/>
      <c r="BF670" s="949"/>
      <c r="BG670" s="948"/>
      <c r="BH670" s="948"/>
      <c r="BI670" s="948"/>
      <c r="BJ670" s="948"/>
      <c r="BK670" s="948"/>
      <c r="BL670" s="948"/>
      <c r="BM670" s="948"/>
      <c r="BN670" s="948"/>
      <c r="BO670" s="948"/>
      <c r="BP670" s="948"/>
      <c r="BQ670" s="948"/>
      <c r="BR670" s="948"/>
      <c r="BS670" s="948"/>
      <c r="BT670" s="948"/>
      <c r="BU670" s="954"/>
    </row>
    <row r="671" spans="1:73" ht="15.75" customHeight="1" x14ac:dyDescent="0.2">
      <c r="A671" s="947"/>
      <c r="B671" s="947"/>
      <c r="C671" s="947"/>
      <c r="D671" s="948"/>
      <c r="E671" s="948"/>
      <c r="F671" s="948"/>
      <c r="G671" s="948"/>
      <c r="H671" s="948"/>
      <c r="I671" s="948"/>
      <c r="J671" s="948"/>
      <c r="K671" s="949"/>
      <c r="L671" s="949"/>
      <c r="M671" s="949"/>
      <c r="N671" s="950"/>
      <c r="O671" s="948"/>
      <c r="P671" s="948"/>
      <c r="Q671" s="948"/>
      <c r="R671" s="949"/>
      <c r="S671" s="949"/>
      <c r="T671" s="949"/>
      <c r="U671" s="949"/>
      <c r="V671" s="949"/>
      <c r="W671" s="949"/>
      <c r="X671" s="951"/>
      <c r="Y671" s="951"/>
      <c r="Z671" s="952"/>
      <c r="AA671" s="953"/>
      <c r="AB671" s="948"/>
      <c r="AC671" s="948"/>
      <c r="AD671" s="949"/>
      <c r="AE671" s="949"/>
      <c r="AF671" s="949"/>
      <c r="AG671" s="949"/>
      <c r="AH671" s="949"/>
      <c r="AI671" s="949"/>
      <c r="AJ671" s="949"/>
      <c r="AK671" s="949"/>
      <c r="AL671" s="949"/>
      <c r="AM671" s="949"/>
      <c r="AN671" s="949"/>
      <c r="AO671" s="949"/>
      <c r="AP671" s="949"/>
      <c r="AQ671" s="949"/>
      <c r="AR671" s="949"/>
      <c r="AS671" s="949"/>
      <c r="AT671" s="949"/>
      <c r="AU671" s="949"/>
      <c r="AV671" s="949"/>
      <c r="AW671" s="949"/>
      <c r="AX671" s="949"/>
      <c r="AY671" s="949"/>
      <c r="AZ671" s="949"/>
      <c r="BA671" s="949"/>
      <c r="BB671" s="949"/>
      <c r="BC671" s="949"/>
      <c r="BD671" s="949"/>
      <c r="BE671" s="949"/>
      <c r="BF671" s="949"/>
      <c r="BG671" s="948"/>
      <c r="BH671" s="948"/>
      <c r="BI671" s="948"/>
      <c r="BJ671" s="948"/>
      <c r="BK671" s="948"/>
      <c r="BL671" s="948"/>
      <c r="BM671" s="948"/>
      <c r="BN671" s="948"/>
      <c r="BO671" s="948"/>
      <c r="BP671" s="948"/>
      <c r="BQ671" s="948"/>
      <c r="BR671" s="948"/>
      <c r="BS671" s="948"/>
      <c r="BT671" s="948"/>
      <c r="BU671" s="954"/>
    </row>
    <row r="672" spans="1:73" ht="15.75" customHeight="1" x14ac:dyDescent="0.2">
      <c r="A672" s="947"/>
      <c r="B672" s="947"/>
      <c r="C672" s="947"/>
      <c r="D672" s="948"/>
      <c r="E672" s="948"/>
      <c r="F672" s="948"/>
      <c r="G672" s="948"/>
      <c r="H672" s="948"/>
      <c r="I672" s="948"/>
      <c r="J672" s="948"/>
      <c r="K672" s="949"/>
      <c r="L672" s="949"/>
      <c r="M672" s="949"/>
      <c r="N672" s="950"/>
      <c r="O672" s="948"/>
      <c r="P672" s="948"/>
      <c r="Q672" s="948"/>
      <c r="R672" s="949"/>
      <c r="S672" s="949"/>
      <c r="T672" s="949"/>
      <c r="U672" s="949"/>
      <c r="V672" s="949"/>
      <c r="W672" s="949"/>
      <c r="X672" s="951"/>
      <c r="Y672" s="951"/>
      <c r="Z672" s="952"/>
      <c r="AA672" s="953"/>
      <c r="AB672" s="948"/>
      <c r="AC672" s="948"/>
      <c r="AD672" s="949"/>
      <c r="AE672" s="949"/>
      <c r="AF672" s="949"/>
      <c r="AG672" s="949"/>
      <c r="AH672" s="949"/>
      <c r="AI672" s="949"/>
      <c r="AJ672" s="949"/>
      <c r="AK672" s="949"/>
      <c r="AL672" s="949"/>
      <c r="AM672" s="949"/>
      <c r="AN672" s="949"/>
      <c r="AO672" s="949"/>
      <c r="AP672" s="949"/>
      <c r="AQ672" s="949"/>
      <c r="AR672" s="949"/>
      <c r="AS672" s="949"/>
      <c r="AT672" s="949"/>
      <c r="AU672" s="949"/>
      <c r="AV672" s="949"/>
      <c r="AW672" s="949"/>
      <c r="AX672" s="949"/>
      <c r="AY672" s="949"/>
      <c r="AZ672" s="949"/>
      <c r="BA672" s="949"/>
      <c r="BB672" s="949"/>
      <c r="BC672" s="949"/>
      <c r="BD672" s="949"/>
      <c r="BE672" s="949"/>
      <c r="BF672" s="949"/>
      <c r="BG672" s="948"/>
      <c r="BH672" s="948"/>
      <c r="BI672" s="948"/>
      <c r="BJ672" s="948"/>
      <c r="BK672" s="948"/>
      <c r="BL672" s="948"/>
      <c r="BM672" s="948"/>
      <c r="BN672" s="948"/>
      <c r="BO672" s="948"/>
      <c r="BP672" s="948"/>
      <c r="BQ672" s="948"/>
      <c r="BR672" s="948"/>
      <c r="BS672" s="948"/>
      <c r="BT672" s="948"/>
      <c r="BU672" s="954"/>
    </row>
    <row r="673" spans="1:73" ht="15.75" customHeight="1" x14ac:dyDescent="0.2">
      <c r="A673" s="947"/>
      <c r="B673" s="947"/>
      <c r="C673" s="947"/>
      <c r="D673" s="948"/>
      <c r="E673" s="948"/>
      <c r="F673" s="948"/>
      <c r="G673" s="948"/>
      <c r="H673" s="948"/>
      <c r="I673" s="948"/>
      <c r="J673" s="948"/>
      <c r="K673" s="949"/>
      <c r="L673" s="949"/>
      <c r="M673" s="949"/>
      <c r="N673" s="950"/>
      <c r="O673" s="948"/>
      <c r="P673" s="948"/>
      <c r="Q673" s="948"/>
      <c r="R673" s="949"/>
      <c r="S673" s="949"/>
      <c r="T673" s="949"/>
      <c r="U673" s="949"/>
      <c r="V673" s="949"/>
      <c r="W673" s="949"/>
      <c r="X673" s="951"/>
      <c r="Y673" s="951"/>
      <c r="Z673" s="952"/>
      <c r="AA673" s="953"/>
      <c r="AB673" s="948"/>
      <c r="AC673" s="948"/>
      <c r="AD673" s="949"/>
      <c r="AE673" s="949"/>
      <c r="AF673" s="949"/>
      <c r="AG673" s="949"/>
      <c r="AH673" s="949"/>
      <c r="AI673" s="949"/>
      <c r="AJ673" s="949"/>
      <c r="AK673" s="949"/>
      <c r="AL673" s="949"/>
      <c r="AM673" s="949"/>
      <c r="AN673" s="949"/>
      <c r="AO673" s="949"/>
      <c r="AP673" s="949"/>
      <c r="AQ673" s="949"/>
      <c r="AR673" s="949"/>
      <c r="AS673" s="949"/>
      <c r="AT673" s="949"/>
      <c r="AU673" s="949"/>
      <c r="AV673" s="949"/>
      <c r="AW673" s="949"/>
      <c r="AX673" s="949"/>
      <c r="AY673" s="949"/>
      <c r="AZ673" s="949"/>
      <c r="BA673" s="949"/>
      <c r="BB673" s="949"/>
      <c r="BC673" s="949"/>
      <c r="BD673" s="949"/>
      <c r="BE673" s="949"/>
      <c r="BF673" s="949"/>
      <c r="BG673" s="948"/>
      <c r="BH673" s="948"/>
      <c r="BI673" s="948"/>
      <c r="BJ673" s="948"/>
      <c r="BK673" s="948"/>
      <c r="BL673" s="948"/>
      <c r="BM673" s="948"/>
      <c r="BN673" s="948"/>
      <c r="BO673" s="948"/>
      <c r="BP673" s="948"/>
      <c r="BQ673" s="948"/>
      <c r="BR673" s="948"/>
      <c r="BS673" s="948"/>
      <c r="BT673" s="948"/>
      <c r="BU673" s="954"/>
    </row>
    <row r="674" spans="1:73" ht="15.75" customHeight="1" x14ac:dyDescent="0.2">
      <c r="A674" s="947"/>
      <c r="B674" s="947"/>
      <c r="C674" s="947"/>
      <c r="D674" s="948"/>
      <c r="E674" s="948"/>
      <c r="F674" s="948"/>
      <c r="G674" s="948"/>
      <c r="H674" s="948"/>
      <c r="I674" s="948"/>
      <c r="J674" s="948"/>
      <c r="K674" s="949"/>
      <c r="L674" s="949"/>
      <c r="M674" s="949"/>
      <c r="N674" s="950"/>
      <c r="O674" s="948"/>
      <c r="P674" s="948"/>
      <c r="Q674" s="948"/>
      <c r="R674" s="949"/>
      <c r="S674" s="949"/>
      <c r="T674" s="949"/>
      <c r="U674" s="949"/>
      <c r="V674" s="949"/>
      <c r="W674" s="949"/>
      <c r="X674" s="951"/>
      <c r="Y674" s="951"/>
      <c r="Z674" s="952"/>
      <c r="AA674" s="953"/>
      <c r="AB674" s="948"/>
      <c r="AC674" s="948"/>
      <c r="AD674" s="949"/>
      <c r="AE674" s="949"/>
      <c r="AF674" s="949"/>
      <c r="AG674" s="949"/>
      <c r="AH674" s="949"/>
      <c r="AI674" s="949"/>
      <c r="AJ674" s="949"/>
      <c r="AK674" s="949"/>
      <c r="AL674" s="949"/>
      <c r="AM674" s="949"/>
      <c r="AN674" s="949"/>
      <c r="AO674" s="949"/>
      <c r="AP674" s="949"/>
      <c r="AQ674" s="949"/>
      <c r="AR674" s="949"/>
      <c r="AS674" s="949"/>
      <c r="AT674" s="949"/>
      <c r="AU674" s="949"/>
      <c r="AV674" s="949"/>
      <c r="AW674" s="949"/>
      <c r="AX674" s="949"/>
      <c r="AY674" s="949"/>
      <c r="AZ674" s="949"/>
      <c r="BA674" s="949"/>
      <c r="BB674" s="949"/>
      <c r="BC674" s="949"/>
      <c r="BD674" s="949"/>
      <c r="BE674" s="949"/>
      <c r="BF674" s="949"/>
      <c r="BG674" s="948"/>
      <c r="BH674" s="948"/>
      <c r="BI674" s="948"/>
      <c r="BJ674" s="948"/>
      <c r="BK674" s="948"/>
      <c r="BL674" s="948"/>
      <c r="BM674" s="948"/>
      <c r="BN674" s="948"/>
      <c r="BO674" s="948"/>
      <c r="BP674" s="948"/>
      <c r="BQ674" s="948"/>
      <c r="BR674" s="948"/>
      <c r="BS674" s="948"/>
      <c r="BT674" s="948"/>
      <c r="BU674" s="954"/>
    </row>
    <row r="675" spans="1:73" ht="15.75" customHeight="1" x14ac:dyDescent="0.2">
      <c r="A675" s="947"/>
      <c r="B675" s="947"/>
      <c r="C675" s="947"/>
      <c r="D675" s="948"/>
      <c r="E675" s="948"/>
      <c r="F675" s="948"/>
      <c r="G675" s="948"/>
      <c r="H675" s="948"/>
      <c r="I675" s="948"/>
      <c r="J675" s="948"/>
      <c r="K675" s="949"/>
      <c r="L675" s="949"/>
      <c r="M675" s="949"/>
      <c r="N675" s="950"/>
      <c r="O675" s="948"/>
      <c r="P675" s="948"/>
      <c r="Q675" s="948"/>
      <c r="R675" s="949"/>
      <c r="S675" s="949"/>
      <c r="T675" s="949"/>
      <c r="U675" s="949"/>
      <c r="V675" s="949"/>
      <c r="W675" s="949"/>
      <c r="X675" s="951"/>
      <c r="Y675" s="951"/>
      <c r="Z675" s="952"/>
      <c r="AA675" s="953"/>
      <c r="AB675" s="948"/>
      <c r="AC675" s="948"/>
      <c r="AD675" s="949"/>
      <c r="AE675" s="949"/>
      <c r="AF675" s="949"/>
      <c r="AG675" s="949"/>
      <c r="AH675" s="949"/>
      <c r="AI675" s="949"/>
      <c r="AJ675" s="949"/>
      <c r="AK675" s="949"/>
      <c r="AL675" s="949"/>
      <c r="AM675" s="949"/>
      <c r="AN675" s="949"/>
      <c r="AO675" s="949"/>
      <c r="AP675" s="949"/>
      <c r="AQ675" s="949"/>
      <c r="AR675" s="949"/>
      <c r="AS675" s="949"/>
      <c r="AT675" s="949"/>
      <c r="AU675" s="949"/>
      <c r="AV675" s="949"/>
      <c r="AW675" s="949"/>
      <c r="AX675" s="949"/>
      <c r="AY675" s="949"/>
      <c r="AZ675" s="949"/>
      <c r="BA675" s="949"/>
      <c r="BB675" s="949"/>
      <c r="BC675" s="949"/>
      <c r="BD675" s="949"/>
      <c r="BE675" s="949"/>
      <c r="BF675" s="949"/>
      <c r="BG675" s="948"/>
      <c r="BH675" s="948"/>
      <c r="BI675" s="948"/>
      <c r="BJ675" s="948"/>
      <c r="BK675" s="948"/>
      <c r="BL675" s="948"/>
      <c r="BM675" s="948"/>
      <c r="BN675" s="948"/>
      <c r="BO675" s="948"/>
      <c r="BP675" s="948"/>
      <c r="BQ675" s="948"/>
      <c r="BR675" s="948"/>
      <c r="BS675" s="948"/>
      <c r="BT675" s="948"/>
      <c r="BU675" s="954"/>
    </row>
    <row r="676" spans="1:73" ht="15.75" customHeight="1" x14ac:dyDescent="0.2">
      <c r="A676" s="947"/>
      <c r="B676" s="947"/>
      <c r="C676" s="947"/>
      <c r="D676" s="948"/>
      <c r="E676" s="948"/>
      <c r="F676" s="948"/>
      <c r="G676" s="948"/>
      <c r="H676" s="948"/>
      <c r="I676" s="948"/>
      <c r="J676" s="948"/>
      <c r="K676" s="949"/>
      <c r="L676" s="949"/>
      <c r="M676" s="949"/>
      <c r="N676" s="950"/>
      <c r="O676" s="948"/>
      <c r="P676" s="948"/>
      <c r="Q676" s="948"/>
      <c r="R676" s="949"/>
      <c r="S676" s="949"/>
      <c r="T676" s="949"/>
      <c r="U676" s="949"/>
      <c r="V676" s="949"/>
      <c r="W676" s="949"/>
      <c r="X676" s="951"/>
      <c r="Y676" s="951"/>
      <c r="Z676" s="952"/>
      <c r="AA676" s="953"/>
      <c r="AB676" s="948"/>
      <c r="AC676" s="948"/>
      <c r="AD676" s="949"/>
      <c r="AE676" s="949"/>
      <c r="AF676" s="949"/>
      <c r="AG676" s="949"/>
      <c r="AH676" s="949"/>
      <c r="AI676" s="949"/>
      <c r="AJ676" s="949"/>
      <c r="AK676" s="949"/>
      <c r="AL676" s="949"/>
      <c r="AM676" s="949"/>
      <c r="AN676" s="949"/>
      <c r="AO676" s="949"/>
      <c r="AP676" s="949"/>
      <c r="AQ676" s="949"/>
      <c r="AR676" s="949"/>
      <c r="AS676" s="949"/>
      <c r="AT676" s="949"/>
      <c r="AU676" s="949"/>
      <c r="AV676" s="949"/>
      <c r="AW676" s="949"/>
      <c r="AX676" s="949"/>
      <c r="AY676" s="949"/>
      <c r="AZ676" s="949"/>
      <c r="BA676" s="949"/>
      <c r="BB676" s="949"/>
      <c r="BC676" s="949"/>
      <c r="BD676" s="949"/>
      <c r="BE676" s="949"/>
      <c r="BF676" s="949"/>
      <c r="BG676" s="948"/>
      <c r="BH676" s="948"/>
      <c r="BI676" s="948"/>
      <c r="BJ676" s="948"/>
      <c r="BK676" s="948"/>
      <c r="BL676" s="948"/>
      <c r="BM676" s="948"/>
      <c r="BN676" s="948"/>
      <c r="BO676" s="948"/>
      <c r="BP676" s="948"/>
      <c r="BQ676" s="948"/>
      <c r="BR676" s="948"/>
      <c r="BS676" s="948"/>
      <c r="BT676" s="948"/>
      <c r="BU676" s="954"/>
    </row>
    <row r="677" spans="1:73" ht="15.75" customHeight="1" x14ac:dyDescent="0.2">
      <c r="A677" s="947"/>
      <c r="B677" s="947"/>
      <c r="C677" s="947"/>
      <c r="D677" s="948"/>
      <c r="E677" s="948"/>
      <c r="F677" s="948"/>
      <c r="G677" s="948"/>
      <c r="H677" s="948"/>
      <c r="I677" s="948"/>
      <c r="J677" s="948"/>
      <c r="K677" s="949"/>
      <c r="L677" s="949"/>
      <c r="M677" s="949"/>
      <c r="N677" s="950"/>
      <c r="O677" s="948"/>
      <c r="P677" s="948"/>
      <c r="Q677" s="948"/>
      <c r="R677" s="949"/>
      <c r="S677" s="949"/>
      <c r="T677" s="949"/>
      <c r="U677" s="949"/>
      <c r="V677" s="949"/>
      <c r="W677" s="949"/>
      <c r="X677" s="951"/>
      <c r="Y677" s="951"/>
      <c r="Z677" s="952"/>
      <c r="AA677" s="953"/>
      <c r="AB677" s="948"/>
      <c r="AC677" s="948"/>
      <c r="AD677" s="949"/>
      <c r="AE677" s="949"/>
      <c r="AF677" s="949"/>
      <c r="AG677" s="949"/>
      <c r="AH677" s="949"/>
      <c r="AI677" s="949"/>
      <c r="AJ677" s="949"/>
      <c r="AK677" s="949"/>
      <c r="AL677" s="949"/>
      <c r="AM677" s="949"/>
      <c r="AN677" s="949"/>
      <c r="AO677" s="949"/>
      <c r="AP677" s="949"/>
      <c r="AQ677" s="949"/>
      <c r="AR677" s="949"/>
      <c r="AS677" s="949"/>
      <c r="AT677" s="949"/>
      <c r="AU677" s="949"/>
      <c r="AV677" s="949"/>
      <c r="AW677" s="949"/>
      <c r="AX677" s="949"/>
      <c r="AY677" s="949"/>
      <c r="AZ677" s="949"/>
      <c r="BA677" s="949"/>
      <c r="BB677" s="949"/>
      <c r="BC677" s="949"/>
      <c r="BD677" s="949"/>
      <c r="BE677" s="949"/>
      <c r="BF677" s="949"/>
      <c r="BG677" s="948"/>
      <c r="BH677" s="948"/>
      <c r="BI677" s="948"/>
      <c r="BJ677" s="948"/>
      <c r="BK677" s="948"/>
      <c r="BL677" s="948"/>
      <c r="BM677" s="948"/>
      <c r="BN677" s="948"/>
      <c r="BO677" s="948"/>
      <c r="BP677" s="948"/>
      <c r="BQ677" s="948"/>
      <c r="BR677" s="948"/>
      <c r="BS677" s="948"/>
      <c r="BT677" s="948"/>
      <c r="BU677" s="954"/>
    </row>
    <row r="678" spans="1:73" ht="15.75" customHeight="1" x14ac:dyDescent="0.2">
      <c r="A678" s="947"/>
      <c r="B678" s="947"/>
      <c r="C678" s="947"/>
      <c r="D678" s="948"/>
      <c r="E678" s="948"/>
      <c r="F678" s="948"/>
      <c r="G678" s="948"/>
      <c r="H678" s="948"/>
      <c r="I678" s="948"/>
      <c r="J678" s="948"/>
      <c r="K678" s="949"/>
      <c r="L678" s="949"/>
      <c r="M678" s="949"/>
      <c r="N678" s="950"/>
      <c r="O678" s="948"/>
      <c r="P678" s="948"/>
      <c r="Q678" s="948"/>
      <c r="R678" s="949"/>
      <c r="S678" s="949"/>
      <c r="T678" s="949"/>
      <c r="U678" s="949"/>
      <c r="V678" s="949"/>
      <c r="W678" s="949"/>
      <c r="X678" s="951"/>
      <c r="Y678" s="951"/>
      <c r="Z678" s="952"/>
      <c r="AA678" s="953"/>
      <c r="AB678" s="948"/>
      <c r="AC678" s="948"/>
      <c r="AD678" s="949"/>
      <c r="AE678" s="949"/>
      <c r="AF678" s="949"/>
      <c r="AG678" s="949"/>
      <c r="AH678" s="949"/>
      <c r="AI678" s="949"/>
      <c r="AJ678" s="949"/>
      <c r="AK678" s="949"/>
      <c r="AL678" s="949"/>
      <c r="AM678" s="949"/>
      <c r="AN678" s="949"/>
      <c r="AO678" s="949"/>
      <c r="AP678" s="949"/>
      <c r="AQ678" s="949"/>
      <c r="AR678" s="949"/>
      <c r="AS678" s="949"/>
      <c r="AT678" s="949"/>
      <c r="AU678" s="949"/>
      <c r="AV678" s="949"/>
      <c r="AW678" s="949"/>
      <c r="AX678" s="949"/>
      <c r="AY678" s="949"/>
      <c r="AZ678" s="949"/>
      <c r="BA678" s="949"/>
      <c r="BB678" s="949"/>
      <c r="BC678" s="949"/>
      <c r="BD678" s="949"/>
      <c r="BE678" s="949"/>
      <c r="BF678" s="949"/>
      <c r="BG678" s="948"/>
      <c r="BH678" s="948"/>
      <c r="BI678" s="948"/>
      <c r="BJ678" s="948"/>
      <c r="BK678" s="948"/>
      <c r="BL678" s="948"/>
      <c r="BM678" s="948"/>
      <c r="BN678" s="948"/>
      <c r="BO678" s="948"/>
      <c r="BP678" s="948"/>
      <c r="BQ678" s="948"/>
      <c r="BR678" s="948"/>
      <c r="BS678" s="948"/>
      <c r="BT678" s="948"/>
      <c r="BU678" s="954"/>
    </row>
    <row r="679" spans="1:73" ht="15.75" customHeight="1" x14ac:dyDescent="0.2">
      <c r="A679" s="947"/>
      <c r="B679" s="947"/>
      <c r="C679" s="947"/>
      <c r="D679" s="948"/>
      <c r="E679" s="948"/>
      <c r="F679" s="948"/>
      <c r="G679" s="948"/>
      <c r="H679" s="948"/>
      <c r="I679" s="948"/>
      <c r="J679" s="948"/>
      <c r="K679" s="949"/>
      <c r="L679" s="949"/>
      <c r="M679" s="949"/>
      <c r="N679" s="950"/>
      <c r="O679" s="948"/>
      <c r="P679" s="948"/>
      <c r="Q679" s="948"/>
      <c r="R679" s="949"/>
      <c r="S679" s="949"/>
      <c r="T679" s="949"/>
      <c r="U679" s="949"/>
      <c r="V679" s="949"/>
      <c r="W679" s="949"/>
      <c r="X679" s="951"/>
      <c r="Y679" s="951"/>
      <c r="Z679" s="952"/>
      <c r="AA679" s="953"/>
      <c r="AB679" s="948"/>
      <c r="AC679" s="948"/>
      <c r="AD679" s="949"/>
      <c r="AE679" s="949"/>
      <c r="AF679" s="949"/>
      <c r="AG679" s="949"/>
      <c r="AH679" s="949"/>
      <c r="AI679" s="949"/>
      <c r="AJ679" s="949"/>
      <c r="AK679" s="949"/>
      <c r="AL679" s="949"/>
      <c r="AM679" s="949"/>
      <c r="AN679" s="949"/>
      <c r="AO679" s="949"/>
      <c r="AP679" s="949"/>
      <c r="AQ679" s="949"/>
      <c r="AR679" s="949"/>
      <c r="AS679" s="949"/>
      <c r="AT679" s="949"/>
      <c r="AU679" s="949"/>
      <c r="AV679" s="949"/>
      <c r="AW679" s="949"/>
      <c r="AX679" s="949"/>
      <c r="AY679" s="949"/>
      <c r="AZ679" s="949"/>
      <c r="BA679" s="949"/>
      <c r="BB679" s="949"/>
      <c r="BC679" s="949"/>
      <c r="BD679" s="949"/>
      <c r="BE679" s="949"/>
      <c r="BF679" s="949"/>
      <c r="BG679" s="948"/>
      <c r="BH679" s="948"/>
      <c r="BI679" s="948"/>
      <c r="BJ679" s="948"/>
      <c r="BK679" s="948"/>
      <c r="BL679" s="948"/>
      <c r="BM679" s="948"/>
      <c r="BN679" s="948"/>
      <c r="BO679" s="948"/>
      <c r="BP679" s="948"/>
      <c r="BQ679" s="948"/>
      <c r="BR679" s="948"/>
      <c r="BS679" s="948"/>
      <c r="BT679" s="948"/>
      <c r="BU679" s="954"/>
    </row>
    <row r="680" spans="1:73" ht="15.75" customHeight="1" x14ac:dyDescent="0.2">
      <c r="A680" s="947"/>
      <c r="B680" s="947"/>
      <c r="C680" s="947"/>
      <c r="D680" s="948"/>
      <c r="E680" s="948"/>
      <c r="F680" s="948"/>
      <c r="G680" s="948"/>
      <c r="H680" s="948"/>
      <c r="I680" s="948"/>
      <c r="J680" s="948"/>
      <c r="K680" s="949"/>
      <c r="L680" s="949"/>
      <c r="M680" s="949"/>
      <c r="N680" s="950"/>
      <c r="O680" s="948"/>
      <c r="P680" s="948"/>
      <c r="Q680" s="948"/>
      <c r="R680" s="949"/>
      <c r="S680" s="949"/>
      <c r="T680" s="949"/>
      <c r="U680" s="949"/>
      <c r="V680" s="949"/>
      <c r="W680" s="949"/>
      <c r="X680" s="951"/>
      <c r="Y680" s="951"/>
      <c r="Z680" s="952"/>
      <c r="AA680" s="953"/>
      <c r="AB680" s="948"/>
      <c r="AC680" s="948"/>
      <c r="AD680" s="949"/>
      <c r="AE680" s="949"/>
      <c r="AF680" s="949"/>
      <c r="AG680" s="949"/>
      <c r="AH680" s="949"/>
      <c r="AI680" s="949"/>
      <c r="AJ680" s="949"/>
      <c r="AK680" s="949"/>
      <c r="AL680" s="949"/>
      <c r="AM680" s="949"/>
      <c r="AN680" s="949"/>
      <c r="AO680" s="949"/>
      <c r="AP680" s="949"/>
      <c r="AQ680" s="949"/>
      <c r="AR680" s="949"/>
      <c r="AS680" s="949"/>
      <c r="AT680" s="949"/>
      <c r="AU680" s="949"/>
      <c r="AV680" s="949"/>
      <c r="AW680" s="949"/>
      <c r="AX680" s="949"/>
      <c r="AY680" s="949"/>
      <c r="AZ680" s="949"/>
      <c r="BA680" s="949"/>
      <c r="BB680" s="949"/>
      <c r="BC680" s="949"/>
      <c r="BD680" s="949"/>
      <c r="BE680" s="949"/>
      <c r="BF680" s="949"/>
      <c r="BG680" s="948"/>
      <c r="BH680" s="948"/>
      <c r="BI680" s="948"/>
      <c r="BJ680" s="948"/>
      <c r="BK680" s="948"/>
      <c r="BL680" s="948"/>
      <c r="BM680" s="948"/>
      <c r="BN680" s="948"/>
      <c r="BO680" s="948"/>
      <c r="BP680" s="948"/>
      <c r="BQ680" s="948"/>
      <c r="BR680" s="948"/>
      <c r="BS680" s="948"/>
      <c r="BT680" s="948"/>
      <c r="BU680" s="954"/>
    </row>
    <row r="681" spans="1:73" ht="15.75" customHeight="1" x14ac:dyDescent="0.2">
      <c r="A681" s="947"/>
      <c r="B681" s="947"/>
      <c r="C681" s="947"/>
      <c r="D681" s="948"/>
      <c r="E681" s="948"/>
      <c r="F681" s="948"/>
      <c r="G681" s="948"/>
      <c r="H681" s="948"/>
      <c r="I681" s="948"/>
      <c r="J681" s="948"/>
      <c r="K681" s="949"/>
      <c r="L681" s="949"/>
      <c r="M681" s="949"/>
      <c r="N681" s="950"/>
      <c r="O681" s="948"/>
      <c r="P681" s="948"/>
      <c r="Q681" s="948"/>
      <c r="R681" s="949"/>
      <c r="S681" s="949"/>
      <c r="T681" s="949"/>
      <c r="U681" s="949"/>
      <c r="V681" s="949"/>
      <c r="W681" s="949"/>
      <c r="X681" s="951"/>
      <c r="Y681" s="951"/>
      <c r="Z681" s="952"/>
      <c r="AA681" s="953"/>
      <c r="AB681" s="948"/>
      <c r="AC681" s="948"/>
      <c r="AD681" s="949"/>
      <c r="AE681" s="949"/>
      <c r="AF681" s="949"/>
      <c r="AG681" s="949"/>
      <c r="AH681" s="949"/>
      <c r="AI681" s="949"/>
      <c r="AJ681" s="949"/>
      <c r="AK681" s="949"/>
      <c r="AL681" s="949"/>
      <c r="AM681" s="949"/>
      <c r="AN681" s="949"/>
      <c r="AO681" s="949"/>
      <c r="AP681" s="949"/>
      <c r="AQ681" s="949"/>
      <c r="AR681" s="949"/>
      <c r="AS681" s="949"/>
      <c r="AT681" s="949"/>
      <c r="AU681" s="949"/>
      <c r="AV681" s="949"/>
      <c r="AW681" s="949"/>
      <c r="AX681" s="949"/>
      <c r="AY681" s="949"/>
      <c r="AZ681" s="949"/>
      <c r="BA681" s="949"/>
      <c r="BB681" s="949"/>
      <c r="BC681" s="949"/>
      <c r="BD681" s="949"/>
      <c r="BE681" s="949"/>
      <c r="BF681" s="949"/>
      <c r="BG681" s="948"/>
      <c r="BH681" s="948"/>
      <c r="BI681" s="948"/>
      <c r="BJ681" s="948"/>
      <c r="BK681" s="948"/>
      <c r="BL681" s="948"/>
      <c r="BM681" s="948"/>
      <c r="BN681" s="948"/>
      <c r="BO681" s="948"/>
      <c r="BP681" s="948"/>
      <c r="BQ681" s="948"/>
      <c r="BR681" s="948"/>
      <c r="BS681" s="948"/>
      <c r="BT681" s="948"/>
      <c r="BU681" s="954"/>
    </row>
    <row r="682" spans="1:73" ht="15.75" customHeight="1" x14ac:dyDescent="0.2">
      <c r="A682" s="947"/>
      <c r="B682" s="947"/>
      <c r="C682" s="947"/>
      <c r="D682" s="948"/>
      <c r="E682" s="948"/>
      <c r="F682" s="948"/>
      <c r="G682" s="948"/>
      <c r="H682" s="948"/>
      <c r="I682" s="948"/>
      <c r="J682" s="948"/>
      <c r="K682" s="949"/>
      <c r="L682" s="949"/>
      <c r="M682" s="949"/>
      <c r="N682" s="950"/>
      <c r="O682" s="948"/>
      <c r="P682" s="948"/>
      <c r="Q682" s="948"/>
      <c r="R682" s="949"/>
      <c r="S682" s="949"/>
      <c r="T682" s="949"/>
      <c r="U682" s="949"/>
      <c r="V682" s="949"/>
      <c r="W682" s="949"/>
      <c r="X682" s="951"/>
      <c r="Y682" s="951"/>
      <c r="Z682" s="952"/>
      <c r="AA682" s="953"/>
      <c r="AB682" s="948"/>
      <c r="AC682" s="948"/>
      <c r="AD682" s="949"/>
      <c r="AE682" s="949"/>
      <c r="AF682" s="949"/>
      <c r="AG682" s="949"/>
      <c r="AH682" s="949"/>
      <c r="AI682" s="949"/>
      <c r="AJ682" s="949"/>
      <c r="AK682" s="949"/>
      <c r="AL682" s="949"/>
      <c r="AM682" s="949"/>
      <c r="AN682" s="949"/>
      <c r="AO682" s="949"/>
      <c r="AP682" s="949"/>
      <c r="AQ682" s="949"/>
      <c r="AR682" s="949"/>
      <c r="AS682" s="949"/>
      <c r="AT682" s="949"/>
      <c r="AU682" s="949"/>
      <c r="AV682" s="949"/>
      <c r="AW682" s="949"/>
      <c r="AX682" s="949"/>
      <c r="AY682" s="949"/>
      <c r="AZ682" s="949"/>
      <c r="BA682" s="949"/>
      <c r="BB682" s="949"/>
      <c r="BC682" s="949"/>
      <c r="BD682" s="949"/>
      <c r="BE682" s="949"/>
      <c r="BF682" s="949"/>
      <c r="BG682" s="948"/>
      <c r="BH682" s="948"/>
      <c r="BI682" s="948"/>
      <c r="BJ682" s="948"/>
      <c r="BK682" s="948"/>
      <c r="BL682" s="948"/>
      <c r="BM682" s="948"/>
      <c r="BN682" s="948"/>
      <c r="BO682" s="948"/>
      <c r="BP682" s="948"/>
      <c r="BQ682" s="948"/>
      <c r="BR682" s="948"/>
      <c r="BS682" s="948"/>
      <c r="BT682" s="948"/>
      <c r="BU682" s="954"/>
    </row>
    <row r="683" spans="1:73" ht="15.75" customHeight="1" x14ac:dyDescent="0.2">
      <c r="A683" s="947"/>
      <c r="B683" s="947"/>
      <c r="C683" s="947"/>
      <c r="D683" s="948"/>
      <c r="E683" s="948"/>
      <c r="F683" s="948"/>
      <c r="G683" s="948"/>
      <c r="H683" s="948"/>
      <c r="I683" s="948"/>
      <c r="J683" s="948"/>
      <c r="K683" s="949"/>
      <c r="L683" s="949"/>
      <c r="M683" s="949"/>
      <c r="N683" s="950"/>
      <c r="O683" s="948"/>
      <c r="P683" s="948"/>
      <c r="Q683" s="948"/>
      <c r="R683" s="949"/>
      <c r="S683" s="949"/>
      <c r="T683" s="949"/>
      <c r="U683" s="949"/>
      <c r="V683" s="949"/>
      <c r="W683" s="949"/>
      <c r="X683" s="951"/>
      <c r="Y683" s="951"/>
      <c r="Z683" s="952"/>
      <c r="AA683" s="953"/>
      <c r="AB683" s="948"/>
      <c r="AC683" s="948"/>
      <c r="AD683" s="949"/>
      <c r="AE683" s="949"/>
      <c r="AF683" s="949"/>
      <c r="AG683" s="949"/>
      <c r="AH683" s="949"/>
      <c r="AI683" s="949"/>
      <c r="AJ683" s="949"/>
      <c r="AK683" s="949"/>
      <c r="AL683" s="949"/>
      <c r="AM683" s="949"/>
      <c r="AN683" s="949"/>
      <c r="AO683" s="949"/>
      <c r="AP683" s="949"/>
      <c r="AQ683" s="949"/>
      <c r="AR683" s="949"/>
      <c r="AS683" s="949"/>
      <c r="AT683" s="949"/>
      <c r="AU683" s="949"/>
      <c r="AV683" s="949"/>
      <c r="AW683" s="949"/>
      <c r="AX683" s="949"/>
      <c r="AY683" s="949"/>
      <c r="AZ683" s="949"/>
      <c r="BA683" s="949"/>
      <c r="BB683" s="949"/>
      <c r="BC683" s="949"/>
      <c r="BD683" s="949"/>
      <c r="BE683" s="949"/>
      <c r="BF683" s="949"/>
      <c r="BG683" s="948"/>
      <c r="BH683" s="948"/>
      <c r="BI683" s="948"/>
      <c r="BJ683" s="948"/>
      <c r="BK683" s="948"/>
      <c r="BL683" s="948"/>
      <c r="BM683" s="948"/>
      <c r="BN683" s="948"/>
      <c r="BO683" s="948"/>
      <c r="BP683" s="948"/>
      <c r="BQ683" s="948"/>
      <c r="BR683" s="948"/>
      <c r="BS683" s="948"/>
      <c r="BT683" s="948"/>
      <c r="BU683" s="954"/>
    </row>
    <row r="684" spans="1:73" ht="15.75" customHeight="1" x14ac:dyDescent="0.2">
      <c r="A684" s="947"/>
      <c r="B684" s="947"/>
      <c r="C684" s="947"/>
      <c r="D684" s="948"/>
      <c r="E684" s="948"/>
      <c r="F684" s="948"/>
      <c r="G684" s="948"/>
      <c r="H684" s="948"/>
      <c r="I684" s="948"/>
      <c r="J684" s="948"/>
      <c r="K684" s="949"/>
      <c r="L684" s="949"/>
      <c r="M684" s="949"/>
      <c r="N684" s="950"/>
      <c r="O684" s="948"/>
      <c r="P684" s="948"/>
      <c r="Q684" s="948"/>
      <c r="R684" s="949"/>
      <c r="S684" s="949"/>
      <c r="T684" s="949"/>
      <c r="U684" s="949"/>
      <c r="V684" s="949"/>
      <c r="W684" s="949"/>
      <c r="X684" s="951"/>
      <c r="Y684" s="951"/>
      <c r="Z684" s="952"/>
      <c r="AA684" s="953"/>
      <c r="AB684" s="948"/>
      <c r="AC684" s="948"/>
      <c r="AD684" s="949"/>
      <c r="AE684" s="949"/>
      <c r="AF684" s="949"/>
      <c r="AG684" s="949"/>
      <c r="AH684" s="949"/>
      <c r="AI684" s="949"/>
      <c r="AJ684" s="949"/>
      <c r="AK684" s="949"/>
      <c r="AL684" s="949"/>
      <c r="AM684" s="949"/>
      <c r="AN684" s="949"/>
      <c r="AO684" s="949"/>
      <c r="AP684" s="949"/>
      <c r="AQ684" s="949"/>
      <c r="AR684" s="949"/>
      <c r="AS684" s="949"/>
      <c r="AT684" s="949"/>
      <c r="AU684" s="949"/>
      <c r="AV684" s="949"/>
      <c r="AW684" s="949"/>
      <c r="AX684" s="949"/>
      <c r="AY684" s="949"/>
      <c r="AZ684" s="949"/>
      <c r="BA684" s="949"/>
      <c r="BB684" s="949"/>
      <c r="BC684" s="949"/>
      <c r="BD684" s="949"/>
      <c r="BE684" s="949"/>
      <c r="BF684" s="949"/>
      <c r="BG684" s="948"/>
      <c r="BH684" s="948"/>
      <c r="BI684" s="948"/>
      <c r="BJ684" s="948"/>
      <c r="BK684" s="948"/>
      <c r="BL684" s="948"/>
      <c r="BM684" s="948"/>
      <c r="BN684" s="948"/>
      <c r="BO684" s="948"/>
      <c r="BP684" s="948"/>
      <c r="BQ684" s="948"/>
      <c r="BR684" s="948"/>
      <c r="BS684" s="948"/>
      <c r="BT684" s="948"/>
      <c r="BU684" s="954"/>
    </row>
    <row r="685" spans="1:73" ht="15.75" customHeight="1" x14ac:dyDescent="0.2">
      <c r="A685" s="947"/>
      <c r="B685" s="947"/>
      <c r="C685" s="947"/>
      <c r="D685" s="948"/>
      <c r="E685" s="948"/>
      <c r="F685" s="948"/>
      <c r="G685" s="948"/>
      <c r="H685" s="948"/>
      <c r="I685" s="948"/>
      <c r="J685" s="948"/>
      <c r="K685" s="949"/>
      <c r="L685" s="949"/>
      <c r="M685" s="949"/>
      <c r="N685" s="950"/>
      <c r="O685" s="948"/>
      <c r="P685" s="948"/>
      <c r="Q685" s="948"/>
      <c r="R685" s="949"/>
      <c r="S685" s="949"/>
      <c r="T685" s="949"/>
      <c r="U685" s="949"/>
      <c r="V685" s="949"/>
      <c r="W685" s="949"/>
      <c r="X685" s="951"/>
      <c r="Y685" s="951"/>
      <c r="Z685" s="952"/>
      <c r="AA685" s="953"/>
      <c r="AB685" s="948"/>
      <c r="AC685" s="948"/>
      <c r="AD685" s="949"/>
      <c r="AE685" s="949"/>
      <c r="AF685" s="949"/>
      <c r="AG685" s="949"/>
      <c r="AH685" s="949"/>
      <c r="AI685" s="949"/>
      <c r="AJ685" s="949"/>
      <c r="AK685" s="949"/>
      <c r="AL685" s="949"/>
      <c r="AM685" s="949"/>
      <c r="AN685" s="949"/>
      <c r="AO685" s="949"/>
      <c r="AP685" s="949"/>
      <c r="AQ685" s="949"/>
      <c r="AR685" s="949"/>
      <c r="AS685" s="949"/>
      <c r="AT685" s="949"/>
      <c r="AU685" s="949"/>
      <c r="AV685" s="949"/>
      <c r="AW685" s="949"/>
      <c r="AX685" s="949"/>
      <c r="AY685" s="949"/>
      <c r="AZ685" s="949"/>
      <c r="BA685" s="949"/>
      <c r="BB685" s="949"/>
      <c r="BC685" s="949"/>
      <c r="BD685" s="949"/>
      <c r="BE685" s="949"/>
      <c r="BF685" s="949"/>
      <c r="BG685" s="948"/>
      <c r="BH685" s="948"/>
      <c r="BI685" s="948"/>
      <c r="BJ685" s="948"/>
      <c r="BK685" s="948"/>
      <c r="BL685" s="948"/>
      <c r="BM685" s="948"/>
      <c r="BN685" s="948"/>
      <c r="BO685" s="948"/>
      <c r="BP685" s="948"/>
      <c r="BQ685" s="948"/>
      <c r="BR685" s="948"/>
      <c r="BS685" s="948"/>
      <c r="BT685" s="948"/>
      <c r="BU685" s="954"/>
    </row>
    <row r="686" spans="1:73" ht="15.75" customHeight="1" x14ac:dyDescent="0.2">
      <c r="A686" s="947"/>
      <c r="B686" s="947"/>
      <c r="C686" s="947"/>
      <c r="D686" s="948"/>
      <c r="E686" s="948"/>
      <c r="F686" s="948"/>
      <c r="G686" s="948"/>
      <c r="H686" s="948"/>
      <c r="I686" s="948"/>
      <c r="J686" s="948"/>
      <c r="K686" s="949"/>
      <c r="L686" s="949"/>
      <c r="M686" s="949"/>
      <c r="N686" s="950"/>
      <c r="O686" s="948"/>
      <c r="P686" s="948"/>
      <c r="Q686" s="948"/>
      <c r="R686" s="949"/>
      <c r="S686" s="949"/>
      <c r="T686" s="949"/>
      <c r="U686" s="949"/>
      <c r="V686" s="949"/>
      <c r="W686" s="949"/>
      <c r="X686" s="951"/>
      <c r="Y686" s="951"/>
      <c r="Z686" s="952"/>
      <c r="AA686" s="953"/>
      <c r="AB686" s="948"/>
      <c r="AC686" s="948"/>
      <c r="AD686" s="949"/>
      <c r="AE686" s="949"/>
      <c r="AF686" s="949"/>
      <c r="AG686" s="949"/>
      <c r="AH686" s="949"/>
      <c r="AI686" s="949"/>
      <c r="AJ686" s="949"/>
      <c r="AK686" s="949"/>
      <c r="AL686" s="949"/>
      <c r="AM686" s="949"/>
      <c r="AN686" s="949"/>
      <c r="AO686" s="949"/>
      <c r="AP686" s="949"/>
      <c r="AQ686" s="949"/>
      <c r="AR686" s="949"/>
      <c r="AS686" s="949"/>
      <c r="AT686" s="949"/>
      <c r="AU686" s="949"/>
      <c r="AV686" s="949"/>
      <c r="AW686" s="949"/>
      <c r="AX686" s="949"/>
      <c r="AY686" s="949"/>
      <c r="AZ686" s="949"/>
      <c r="BA686" s="949"/>
      <c r="BB686" s="949"/>
      <c r="BC686" s="949"/>
      <c r="BD686" s="949"/>
      <c r="BE686" s="949"/>
      <c r="BF686" s="949"/>
      <c r="BG686" s="948"/>
      <c r="BH686" s="948"/>
      <c r="BI686" s="948"/>
      <c r="BJ686" s="948"/>
      <c r="BK686" s="948"/>
      <c r="BL686" s="948"/>
      <c r="BM686" s="948"/>
      <c r="BN686" s="948"/>
      <c r="BO686" s="948"/>
      <c r="BP686" s="948"/>
      <c r="BQ686" s="948"/>
      <c r="BR686" s="948"/>
      <c r="BS686" s="948"/>
      <c r="BT686" s="948"/>
      <c r="BU686" s="954"/>
    </row>
    <row r="687" spans="1:73" ht="15.75" customHeight="1" x14ac:dyDescent="0.2">
      <c r="A687" s="947"/>
      <c r="B687" s="947"/>
      <c r="C687" s="947"/>
      <c r="D687" s="948"/>
      <c r="E687" s="948"/>
      <c r="F687" s="948"/>
      <c r="G687" s="948"/>
      <c r="H687" s="948"/>
      <c r="I687" s="948"/>
      <c r="J687" s="948"/>
      <c r="K687" s="949"/>
      <c r="L687" s="949"/>
      <c r="M687" s="949"/>
      <c r="N687" s="950"/>
      <c r="O687" s="948"/>
      <c r="P687" s="948"/>
      <c r="Q687" s="948"/>
      <c r="R687" s="949"/>
      <c r="S687" s="949"/>
      <c r="T687" s="949"/>
      <c r="U687" s="949"/>
      <c r="V687" s="949"/>
      <c r="W687" s="949"/>
      <c r="X687" s="951"/>
      <c r="Y687" s="951"/>
      <c r="Z687" s="952"/>
      <c r="AA687" s="953"/>
      <c r="AB687" s="948"/>
      <c r="AC687" s="948"/>
      <c r="AD687" s="949"/>
      <c r="AE687" s="949"/>
      <c r="AF687" s="949"/>
      <c r="AG687" s="949"/>
      <c r="AH687" s="949"/>
      <c r="AI687" s="949"/>
      <c r="AJ687" s="949"/>
      <c r="AK687" s="949"/>
      <c r="AL687" s="949"/>
      <c r="AM687" s="949"/>
      <c r="AN687" s="949"/>
      <c r="AO687" s="949"/>
      <c r="AP687" s="949"/>
      <c r="AQ687" s="949"/>
      <c r="AR687" s="949"/>
      <c r="AS687" s="949"/>
      <c r="AT687" s="949"/>
      <c r="AU687" s="949"/>
      <c r="AV687" s="949"/>
      <c r="AW687" s="949"/>
      <c r="AX687" s="949"/>
      <c r="AY687" s="949"/>
      <c r="AZ687" s="949"/>
      <c r="BA687" s="949"/>
      <c r="BB687" s="949"/>
      <c r="BC687" s="949"/>
      <c r="BD687" s="949"/>
      <c r="BE687" s="949"/>
      <c r="BF687" s="949"/>
      <c r="BG687" s="948"/>
      <c r="BH687" s="948"/>
      <c r="BI687" s="948"/>
      <c r="BJ687" s="948"/>
      <c r="BK687" s="948"/>
      <c r="BL687" s="948"/>
      <c r="BM687" s="948"/>
      <c r="BN687" s="948"/>
      <c r="BO687" s="948"/>
      <c r="BP687" s="948"/>
      <c r="BQ687" s="948"/>
      <c r="BR687" s="948"/>
      <c r="BS687" s="948"/>
      <c r="BT687" s="948"/>
      <c r="BU687" s="954"/>
    </row>
    <row r="688" spans="1:73" ht="15.75" customHeight="1" x14ac:dyDescent="0.2">
      <c r="A688" s="947"/>
      <c r="B688" s="947"/>
      <c r="C688" s="947"/>
      <c r="D688" s="948"/>
      <c r="E688" s="948"/>
      <c r="F688" s="948"/>
      <c r="G688" s="948"/>
      <c r="H688" s="948"/>
      <c r="I688" s="948"/>
      <c r="J688" s="948"/>
      <c r="K688" s="949"/>
      <c r="L688" s="949"/>
      <c r="M688" s="949"/>
      <c r="N688" s="950"/>
      <c r="O688" s="948"/>
      <c r="P688" s="948"/>
      <c r="Q688" s="948"/>
      <c r="R688" s="949"/>
      <c r="S688" s="949"/>
      <c r="T688" s="949"/>
      <c r="U688" s="949"/>
      <c r="V688" s="949"/>
      <c r="W688" s="949"/>
      <c r="X688" s="951"/>
      <c r="Y688" s="951"/>
      <c r="Z688" s="952"/>
      <c r="AA688" s="953"/>
      <c r="AB688" s="948"/>
      <c r="AC688" s="948"/>
      <c r="AD688" s="949"/>
      <c r="AE688" s="949"/>
      <c r="AF688" s="949"/>
      <c r="AG688" s="949"/>
      <c r="AH688" s="949"/>
      <c r="AI688" s="949"/>
      <c r="AJ688" s="949"/>
      <c r="AK688" s="949"/>
      <c r="AL688" s="949"/>
      <c r="AM688" s="949"/>
      <c r="AN688" s="949"/>
      <c r="AO688" s="949"/>
      <c r="AP688" s="949"/>
      <c r="AQ688" s="949"/>
      <c r="AR688" s="949"/>
      <c r="AS688" s="949"/>
      <c r="AT688" s="949"/>
      <c r="AU688" s="949"/>
      <c r="AV688" s="949"/>
      <c r="AW688" s="949"/>
      <c r="AX688" s="949"/>
      <c r="AY688" s="949"/>
      <c r="AZ688" s="949"/>
      <c r="BA688" s="949"/>
      <c r="BB688" s="949"/>
      <c r="BC688" s="949"/>
      <c r="BD688" s="949"/>
      <c r="BE688" s="949"/>
      <c r="BF688" s="949"/>
      <c r="BG688" s="948"/>
      <c r="BH688" s="948"/>
      <c r="BI688" s="948"/>
      <c r="BJ688" s="948"/>
      <c r="BK688" s="948"/>
      <c r="BL688" s="948"/>
      <c r="BM688" s="948"/>
      <c r="BN688" s="948"/>
      <c r="BO688" s="948"/>
      <c r="BP688" s="948"/>
      <c r="BQ688" s="948"/>
      <c r="BR688" s="948"/>
      <c r="BS688" s="948"/>
      <c r="BT688" s="948"/>
      <c r="BU688" s="954"/>
    </row>
    <row r="689" spans="1:73" ht="15.75" customHeight="1" x14ac:dyDescent="0.2">
      <c r="A689" s="947"/>
      <c r="B689" s="947"/>
      <c r="C689" s="947"/>
      <c r="D689" s="948"/>
      <c r="E689" s="948"/>
      <c r="F689" s="948"/>
      <c r="G689" s="948"/>
      <c r="H689" s="948"/>
      <c r="I689" s="948"/>
      <c r="J689" s="948"/>
      <c r="K689" s="949"/>
      <c r="L689" s="949"/>
      <c r="M689" s="949"/>
      <c r="N689" s="950"/>
      <c r="O689" s="948"/>
      <c r="P689" s="948"/>
      <c r="Q689" s="948"/>
      <c r="R689" s="949"/>
      <c r="S689" s="949"/>
      <c r="T689" s="949"/>
      <c r="U689" s="949"/>
      <c r="V689" s="949"/>
      <c r="W689" s="949"/>
      <c r="X689" s="951"/>
      <c r="Y689" s="951"/>
      <c r="Z689" s="952"/>
      <c r="AA689" s="953"/>
      <c r="AB689" s="948"/>
      <c r="AC689" s="948"/>
      <c r="AD689" s="949"/>
      <c r="AE689" s="949"/>
      <c r="AF689" s="949"/>
      <c r="AG689" s="949"/>
      <c r="AH689" s="949"/>
      <c r="AI689" s="949"/>
      <c r="AJ689" s="949"/>
      <c r="AK689" s="949"/>
      <c r="AL689" s="949"/>
      <c r="AM689" s="949"/>
      <c r="AN689" s="949"/>
      <c r="AO689" s="949"/>
      <c r="AP689" s="949"/>
      <c r="AQ689" s="949"/>
      <c r="AR689" s="949"/>
      <c r="AS689" s="949"/>
      <c r="AT689" s="949"/>
      <c r="AU689" s="949"/>
      <c r="AV689" s="949"/>
      <c r="AW689" s="949"/>
      <c r="AX689" s="949"/>
      <c r="AY689" s="949"/>
      <c r="AZ689" s="949"/>
      <c r="BA689" s="949"/>
      <c r="BB689" s="949"/>
      <c r="BC689" s="949"/>
      <c r="BD689" s="949"/>
      <c r="BE689" s="949"/>
      <c r="BF689" s="949"/>
      <c r="BG689" s="948"/>
      <c r="BH689" s="948"/>
      <c r="BI689" s="948"/>
      <c r="BJ689" s="948"/>
      <c r="BK689" s="948"/>
      <c r="BL689" s="948"/>
      <c r="BM689" s="948"/>
      <c r="BN689" s="948"/>
      <c r="BO689" s="948"/>
      <c r="BP689" s="948"/>
      <c r="BQ689" s="948"/>
      <c r="BR689" s="948"/>
      <c r="BS689" s="948"/>
      <c r="BT689" s="948"/>
      <c r="BU689" s="954"/>
    </row>
    <row r="690" spans="1:73" ht="15.75" customHeight="1" x14ac:dyDescent="0.2">
      <c r="A690" s="947"/>
      <c r="B690" s="947"/>
      <c r="C690" s="947"/>
      <c r="D690" s="948"/>
      <c r="E690" s="948"/>
      <c r="F690" s="948"/>
      <c r="G690" s="948"/>
      <c r="H690" s="948"/>
      <c r="I690" s="948"/>
      <c r="J690" s="948"/>
      <c r="K690" s="949"/>
      <c r="L690" s="949"/>
      <c r="M690" s="949"/>
      <c r="N690" s="950"/>
      <c r="O690" s="948"/>
      <c r="P690" s="948"/>
      <c r="Q690" s="948"/>
      <c r="R690" s="949"/>
      <c r="S690" s="949"/>
      <c r="T690" s="949"/>
      <c r="U690" s="949"/>
      <c r="V690" s="949"/>
      <c r="W690" s="949"/>
      <c r="X690" s="951"/>
      <c r="Y690" s="951"/>
      <c r="Z690" s="952"/>
      <c r="AA690" s="953"/>
      <c r="AB690" s="948"/>
      <c r="AC690" s="948"/>
      <c r="AD690" s="949"/>
      <c r="AE690" s="949"/>
      <c r="AF690" s="949"/>
      <c r="AG690" s="949"/>
      <c r="AH690" s="949"/>
      <c r="AI690" s="949"/>
      <c r="AJ690" s="949"/>
      <c r="AK690" s="949"/>
      <c r="AL690" s="949"/>
      <c r="AM690" s="949"/>
      <c r="AN690" s="949"/>
      <c r="AO690" s="949"/>
      <c r="AP690" s="949"/>
      <c r="AQ690" s="949"/>
      <c r="AR690" s="949"/>
      <c r="AS690" s="949"/>
      <c r="AT690" s="949"/>
      <c r="AU690" s="949"/>
      <c r="AV690" s="949"/>
      <c r="AW690" s="949"/>
      <c r="AX690" s="949"/>
      <c r="AY690" s="949"/>
      <c r="AZ690" s="949"/>
      <c r="BA690" s="949"/>
      <c r="BB690" s="949"/>
      <c r="BC690" s="949"/>
      <c r="BD690" s="949"/>
      <c r="BE690" s="949"/>
      <c r="BF690" s="949"/>
      <c r="BG690" s="948"/>
      <c r="BH690" s="948"/>
      <c r="BI690" s="948"/>
      <c r="BJ690" s="948"/>
      <c r="BK690" s="948"/>
      <c r="BL690" s="948"/>
      <c r="BM690" s="948"/>
      <c r="BN690" s="948"/>
      <c r="BO690" s="948"/>
      <c r="BP690" s="948"/>
      <c r="BQ690" s="948"/>
      <c r="BR690" s="948"/>
      <c r="BS690" s="948"/>
      <c r="BT690" s="948"/>
      <c r="BU690" s="954"/>
    </row>
    <row r="691" spans="1:73" ht="15.75" customHeight="1" x14ac:dyDescent="0.2">
      <c r="A691" s="947"/>
      <c r="B691" s="947"/>
      <c r="C691" s="947"/>
      <c r="D691" s="948"/>
      <c r="E691" s="948"/>
      <c r="F691" s="948"/>
      <c r="G691" s="948"/>
      <c r="H691" s="948"/>
      <c r="I691" s="948"/>
      <c r="J691" s="948"/>
      <c r="K691" s="949"/>
      <c r="L691" s="949"/>
      <c r="M691" s="949"/>
      <c r="N691" s="950"/>
      <c r="O691" s="948"/>
      <c r="P691" s="948"/>
      <c r="Q691" s="948"/>
      <c r="R691" s="949"/>
      <c r="S691" s="949"/>
      <c r="T691" s="949"/>
      <c r="U691" s="949"/>
      <c r="V691" s="949"/>
      <c r="W691" s="949"/>
      <c r="X691" s="951"/>
      <c r="Y691" s="951"/>
      <c r="Z691" s="952"/>
      <c r="AA691" s="953"/>
      <c r="AB691" s="948"/>
      <c r="AC691" s="948"/>
      <c r="AD691" s="949"/>
      <c r="AE691" s="949"/>
      <c r="AF691" s="949"/>
      <c r="AG691" s="949"/>
      <c r="AH691" s="949"/>
      <c r="AI691" s="949"/>
      <c r="AJ691" s="949"/>
      <c r="AK691" s="949"/>
      <c r="AL691" s="949"/>
      <c r="AM691" s="949"/>
      <c r="AN691" s="949"/>
      <c r="AO691" s="949"/>
      <c r="AP691" s="949"/>
      <c r="AQ691" s="949"/>
      <c r="AR691" s="949"/>
      <c r="AS691" s="949"/>
      <c r="AT691" s="949"/>
      <c r="AU691" s="949"/>
      <c r="AV691" s="949"/>
      <c r="AW691" s="949"/>
      <c r="AX691" s="949"/>
      <c r="AY691" s="949"/>
      <c r="AZ691" s="949"/>
      <c r="BA691" s="949"/>
      <c r="BB691" s="949"/>
      <c r="BC691" s="949"/>
      <c r="BD691" s="949"/>
      <c r="BE691" s="949"/>
      <c r="BF691" s="949"/>
      <c r="BG691" s="948"/>
      <c r="BH691" s="948"/>
      <c r="BI691" s="948"/>
      <c r="BJ691" s="948"/>
      <c r="BK691" s="948"/>
      <c r="BL691" s="948"/>
      <c r="BM691" s="948"/>
      <c r="BN691" s="948"/>
      <c r="BO691" s="948"/>
      <c r="BP691" s="948"/>
      <c r="BQ691" s="948"/>
      <c r="BR691" s="948"/>
      <c r="BS691" s="948"/>
      <c r="BT691" s="948"/>
      <c r="BU691" s="954"/>
    </row>
    <row r="692" spans="1:73" ht="15.75" customHeight="1" x14ac:dyDescent="0.2">
      <c r="A692" s="947"/>
      <c r="B692" s="947"/>
      <c r="C692" s="947"/>
      <c r="D692" s="948"/>
      <c r="E692" s="948"/>
      <c r="F692" s="948"/>
      <c r="G692" s="948"/>
      <c r="H692" s="948"/>
      <c r="I692" s="948"/>
      <c r="J692" s="948"/>
      <c r="K692" s="949"/>
      <c r="L692" s="949"/>
      <c r="M692" s="949"/>
      <c r="N692" s="950"/>
      <c r="O692" s="948"/>
      <c r="P692" s="948"/>
      <c r="Q692" s="948"/>
      <c r="R692" s="949"/>
      <c r="S692" s="949"/>
      <c r="T692" s="949"/>
      <c r="U692" s="949"/>
      <c r="V692" s="949"/>
      <c r="W692" s="949"/>
      <c r="X692" s="951"/>
      <c r="Y692" s="951"/>
      <c r="Z692" s="952"/>
      <c r="AA692" s="953"/>
      <c r="AB692" s="948"/>
      <c r="AC692" s="948"/>
      <c r="AD692" s="949"/>
      <c r="AE692" s="949"/>
      <c r="AF692" s="949"/>
      <c r="AG692" s="949"/>
      <c r="AH692" s="949"/>
      <c r="AI692" s="949"/>
      <c r="AJ692" s="949"/>
      <c r="AK692" s="949"/>
      <c r="AL692" s="949"/>
      <c r="AM692" s="949"/>
      <c r="AN692" s="949"/>
      <c r="AO692" s="949"/>
      <c r="AP692" s="949"/>
      <c r="AQ692" s="949"/>
      <c r="AR692" s="949"/>
      <c r="AS692" s="949"/>
      <c r="AT692" s="949"/>
      <c r="AU692" s="949"/>
      <c r="AV692" s="949"/>
      <c r="AW692" s="949"/>
      <c r="AX692" s="949"/>
      <c r="AY692" s="949"/>
      <c r="AZ692" s="949"/>
      <c r="BA692" s="949"/>
      <c r="BB692" s="949"/>
      <c r="BC692" s="949"/>
      <c r="BD692" s="949"/>
      <c r="BE692" s="949"/>
      <c r="BF692" s="949"/>
      <c r="BG692" s="948"/>
      <c r="BH692" s="948"/>
      <c r="BI692" s="948"/>
      <c r="BJ692" s="948"/>
      <c r="BK692" s="948"/>
      <c r="BL692" s="948"/>
      <c r="BM692" s="948"/>
      <c r="BN692" s="948"/>
      <c r="BO692" s="948"/>
      <c r="BP692" s="948"/>
      <c r="BQ692" s="948"/>
      <c r="BR692" s="948"/>
      <c r="BS692" s="948"/>
      <c r="BT692" s="948"/>
      <c r="BU692" s="954"/>
    </row>
    <row r="693" spans="1:73" ht="15.75" customHeight="1" x14ac:dyDescent="0.2">
      <c r="A693" s="947"/>
      <c r="B693" s="947"/>
      <c r="C693" s="947"/>
      <c r="D693" s="948"/>
      <c r="E693" s="948"/>
      <c r="F693" s="948"/>
      <c r="G693" s="948"/>
      <c r="H693" s="948"/>
      <c r="I693" s="948"/>
      <c r="J693" s="948"/>
      <c r="K693" s="949"/>
      <c r="L693" s="949"/>
      <c r="M693" s="949"/>
      <c r="N693" s="950"/>
      <c r="O693" s="948"/>
      <c r="P693" s="948"/>
      <c r="Q693" s="948"/>
      <c r="R693" s="949"/>
      <c r="S693" s="949"/>
      <c r="T693" s="949"/>
      <c r="U693" s="949"/>
      <c r="V693" s="949"/>
      <c r="W693" s="949"/>
      <c r="X693" s="951"/>
      <c r="Y693" s="951"/>
      <c r="Z693" s="952"/>
      <c r="AA693" s="953"/>
      <c r="AB693" s="948"/>
      <c r="AC693" s="948"/>
      <c r="AD693" s="949"/>
      <c r="AE693" s="949"/>
      <c r="AF693" s="949"/>
      <c r="AG693" s="949"/>
      <c r="AH693" s="949"/>
      <c r="AI693" s="949"/>
      <c r="AJ693" s="949"/>
      <c r="AK693" s="949"/>
      <c r="AL693" s="949"/>
      <c r="AM693" s="949"/>
      <c r="AN693" s="949"/>
      <c r="AO693" s="949"/>
      <c r="AP693" s="949"/>
      <c r="AQ693" s="949"/>
      <c r="AR693" s="949"/>
      <c r="AS693" s="949"/>
      <c r="AT693" s="949"/>
      <c r="AU693" s="949"/>
      <c r="AV693" s="949"/>
      <c r="AW693" s="949"/>
      <c r="AX693" s="949"/>
      <c r="AY693" s="949"/>
      <c r="AZ693" s="949"/>
      <c r="BA693" s="949"/>
      <c r="BB693" s="949"/>
      <c r="BC693" s="949"/>
      <c r="BD693" s="949"/>
      <c r="BE693" s="949"/>
      <c r="BF693" s="949"/>
      <c r="BG693" s="948"/>
      <c r="BH693" s="948"/>
      <c r="BI693" s="948"/>
      <c r="BJ693" s="948"/>
      <c r="BK693" s="948"/>
      <c r="BL693" s="948"/>
      <c r="BM693" s="948"/>
      <c r="BN693" s="948"/>
      <c r="BO693" s="948"/>
      <c r="BP693" s="948"/>
      <c r="BQ693" s="948"/>
      <c r="BR693" s="948"/>
      <c r="BS693" s="948"/>
      <c r="BT693" s="948"/>
      <c r="BU693" s="954"/>
    </row>
    <row r="694" spans="1:73" ht="15.75" customHeight="1" x14ac:dyDescent="0.2">
      <c r="A694" s="947"/>
      <c r="B694" s="947"/>
      <c r="C694" s="947"/>
      <c r="D694" s="948"/>
      <c r="E694" s="948"/>
      <c r="F694" s="948"/>
      <c r="G694" s="948"/>
      <c r="H694" s="948"/>
      <c r="I694" s="948"/>
      <c r="J694" s="948"/>
      <c r="K694" s="949"/>
      <c r="L694" s="949"/>
      <c r="M694" s="949"/>
      <c r="N694" s="950"/>
      <c r="O694" s="948"/>
      <c r="P694" s="948"/>
      <c r="Q694" s="948"/>
      <c r="R694" s="949"/>
      <c r="S694" s="949"/>
      <c r="T694" s="949"/>
      <c r="U694" s="949"/>
      <c r="V694" s="949"/>
      <c r="W694" s="949"/>
      <c r="X694" s="951"/>
      <c r="Y694" s="951"/>
      <c r="Z694" s="952"/>
      <c r="AA694" s="953"/>
      <c r="AB694" s="948"/>
      <c r="AC694" s="948"/>
      <c r="AD694" s="949"/>
      <c r="AE694" s="949"/>
      <c r="AF694" s="949"/>
      <c r="AG694" s="949"/>
      <c r="AH694" s="949"/>
      <c r="AI694" s="949"/>
      <c r="AJ694" s="949"/>
      <c r="AK694" s="949"/>
      <c r="AL694" s="949"/>
      <c r="AM694" s="949"/>
      <c r="AN694" s="949"/>
      <c r="AO694" s="949"/>
      <c r="AP694" s="949"/>
      <c r="AQ694" s="949"/>
      <c r="AR694" s="949"/>
      <c r="AS694" s="949"/>
      <c r="AT694" s="949"/>
      <c r="AU694" s="949"/>
      <c r="AV694" s="949"/>
      <c r="AW694" s="949"/>
      <c r="AX694" s="949"/>
      <c r="AY694" s="949"/>
      <c r="AZ694" s="949"/>
      <c r="BA694" s="949"/>
      <c r="BB694" s="949"/>
      <c r="BC694" s="949"/>
      <c r="BD694" s="949"/>
      <c r="BE694" s="949"/>
      <c r="BF694" s="949"/>
      <c r="BG694" s="948"/>
      <c r="BH694" s="948"/>
      <c r="BI694" s="948"/>
      <c r="BJ694" s="948"/>
      <c r="BK694" s="948"/>
      <c r="BL694" s="948"/>
      <c r="BM694" s="948"/>
      <c r="BN694" s="948"/>
      <c r="BO694" s="948"/>
      <c r="BP694" s="948"/>
      <c r="BQ694" s="948"/>
      <c r="BR694" s="948"/>
      <c r="BS694" s="948"/>
      <c r="BT694" s="948"/>
      <c r="BU694" s="954"/>
    </row>
    <row r="695" spans="1:73" ht="15.75" customHeight="1" x14ac:dyDescent="0.2">
      <c r="A695" s="947"/>
      <c r="B695" s="947"/>
      <c r="C695" s="947"/>
      <c r="D695" s="948"/>
      <c r="E695" s="948"/>
      <c r="F695" s="948"/>
      <c r="G695" s="948"/>
      <c r="H695" s="948"/>
      <c r="I695" s="948"/>
      <c r="J695" s="948"/>
      <c r="K695" s="949"/>
      <c r="L695" s="949"/>
      <c r="M695" s="949"/>
      <c r="N695" s="950"/>
      <c r="O695" s="948"/>
      <c r="P695" s="948"/>
      <c r="Q695" s="948"/>
      <c r="R695" s="949"/>
      <c r="S695" s="949"/>
      <c r="T695" s="949"/>
      <c r="U695" s="949"/>
      <c r="V695" s="949"/>
      <c r="W695" s="949"/>
      <c r="X695" s="951"/>
      <c r="Y695" s="951"/>
      <c r="Z695" s="952"/>
      <c r="AA695" s="953"/>
      <c r="AB695" s="948"/>
      <c r="AC695" s="948"/>
      <c r="AD695" s="949"/>
      <c r="AE695" s="949"/>
      <c r="AF695" s="949"/>
      <c r="AG695" s="949"/>
      <c r="AH695" s="949"/>
      <c r="AI695" s="949"/>
      <c r="AJ695" s="949"/>
      <c r="AK695" s="949"/>
      <c r="AL695" s="949"/>
      <c r="AM695" s="949"/>
      <c r="AN695" s="949"/>
      <c r="AO695" s="949"/>
      <c r="AP695" s="949"/>
      <c r="AQ695" s="949"/>
      <c r="AR695" s="949"/>
      <c r="AS695" s="949"/>
      <c r="AT695" s="949"/>
      <c r="AU695" s="949"/>
      <c r="AV695" s="949"/>
      <c r="AW695" s="949"/>
      <c r="AX695" s="949"/>
      <c r="AY695" s="949"/>
      <c r="AZ695" s="949"/>
      <c r="BA695" s="949"/>
      <c r="BB695" s="949"/>
      <c r="BC695" s="949"/>
      <c r="BD695" s="949"/>
      <c r="BE695" s="949"/>
      <c r="BF695" s="949"/>
      <c r="BG695" s="948"/>
      <c r="BH695" s="948"/>
      <c r="BI695" s="948"/>
      <c r="BJ695" s="948"/>
      <c r="BK695" s="948"/>
      <c r="BL695" s="948"/>
      <c r="BM695" s="948"/>
      <c r="BN695" s="948"/>
      <c r="BO695" s="948"/>
      <c r="BP695" s="948"/>
      <c r="BQ695" s="948"/>
      <c r="BR695" s="948"/>
      <c r="BS695" s="948"/>
      <c r="BT695" s="948"/>
      <c r="BU695" s="954"/>
    </row>
    <row r="696" spans="1:73" ht="15.75" customHeight="1" x14ac:dyDescent="0.2">
      <c r="A696" s="947"/>
      <c r="B696" s="947"/>
      <c r="C696" s="947"/>
      <c r="D696" s="948"/>
      <c r="E696" s="948"/>
      <c r="F696" s="948"/>
      <c r="G696" s="948"/>
      <c r="H696" s="948"/>
      <c r="I696" s="948"/>
      <c r="J696" s="948"/>
      <c r="K696" s="949"/>
      <c r="L696" s="949"/>
      <c r="M696" s="949"/>
      <c r="N696" s="950"/>
      <c r="O696" s="948"/>
      <c r="P696" s="948"/>
      <c r="Q696" s="948"/>
      <c r="R696" s="949"/>
      <c r="S696" s="949"/>
      <c r="T696" s="949"/>
      <c r="U696" s="949"/>
      <c r="V696" s="949"/>
      <c r="W696" s="949"/>
      <c r="X696" s="951"/>
      <c r="Y696" s="951"/>
      <c r="Z696" s="952"/>
      <c r="AA696" s="953"/>
      <c r="AB696" s="948"/>
      <c r="AC696" s="948"/>
      <c r="AD696" s="949"/>
      <c r="AE696" s="949"/>
      <c r="AF696" s="949"/>
      <c r="AG696" s="949"/>
      <c r="AH696" s="949"/>
      <c r="AI696" s="949"/>
      <c r="AJ696" s="949"/>
      <c r="AK696" s="949"/>
      <c r="AL696" s="949"/>
      <c r="AM696" s="949"/>
      <c r="AN696" s="949"/>
      <c r="AO696" s="949"/>
      <c r="AP696" s="949"/>
      <c r="AQ696" s="949"/>
      <c r="AR696" s="949"/>
      <c r="AS696" s="949"/>
      <c r="AT696" s="949"/>
      <c r="AU696" s="949"/>
      <c r="AV696" s="949"/>
      <c r="AW696" s="949"/>
      <c r="AX696" s="949"/>
      <c r="AY696" s="949"/>
      <c r="AZ696" s="949"/>
      <c r="BA696" s="949"/>
      <c r="BB696" s="949"/>
      <c r="BC696" s="949"/>
      <c r="BD696" s="949"/>
      <c r="BE696" s="949"/>
      <c r="BF696" s="949"/>
      <c r="BG696" s="948"/>
      <c r="BH696" s="948"/>
      <c r="BI696" s="948"/>
      <c r="BJ696" s="948"/>
      <c r="BK696" s="948"/>
      <c r="BL696" s="948"/>
      <c r="BM696" s="948"/>
      <c r="BN696" s="948"/>
      <c r="BO696" s="948"/>
      <c r="BP696" s="948"/>
      <c r="BQ696" s="948"/>
      <c r="BR696" s="948"/>
      <c r="BS696" s="948"/>
      <c r="BT696" s="948"/>
      <c r="BU696" s="954"/>
    </row>
    <row r="697" spans="1:73" ht="15.75" customHeight="1" x14ac:dyDescent="0.2">
      <c r="A697" s="947"/>
      <c r="B697" s="947"/>
      <c r="C697" s="947"/>
      <c r="D697" s="948"/>
      <c r="E697" s="948"/>
      <c r="F697" s="948"/>
      <c r="G697" s="948"/>
      <c r="H697" s="948"/>
      <c r="I697" s="948"/>
      <c r="J697" s="948"/>
      <c r="K697" s="949"/>
      <c r="L697" s="949"/>
      <c r="M697" s="949"/>
      <c r="N697" s="950"/>
      <c r="O697" s="948"/>
      <c r="P697" s="948"/>
      <c r="Q697" s="948"/>
      <c r="R697" s="949"/>
      <c r="S697" s="949"/>
      <c r="T697" s="949"/>
      <c r="U697" s="949"/>
      <c r="V697" s="949"/>
      <c r="W697" s="949"/>
      <c r="X697" s="951"/>
      <c r="Y697" s="951"/>
      <c r="Z697" s="952"/>
      <c r="AA697" s="953"/>
      <c r="AB697" s="948"/>
      <c r="AC697" s="948"/>
      <c r="AD697" s="949"/>
      <c r="AE697" s="949"/>
      <c r="AF697" s="949"/>
      <c r="AG697" s="949"/>
      <c r="AH697" s="949"/>
      <c r="AI697" s="949"/>
      <c r="AJ697" s="949"/>
      <c r="AK697" s="949"/>
      <c r="AL697" s="949"/>
      <c r="AM697" s="949"/>
      <c r="AN697" s="949"/>
      <c r="AO697" s="949"/>
      <c r="AP697" s="949"/>
      <c r="AQ697" s="949"/>
      <c r="AR697" s="949"/>
      <c r="AS697" s="949"/>
      <c r="AT697" s="949"/>
      <c r="AU697" s="949"/>
      <c r="AV697" s="949"/>
      <c r="AW697" s="949"/>
      <c r="AX697" s="949"/>
      <c r="AY697" s="949"/>
      <c r="AZ697" s="949"/>
      <c r="BA697" s="949"/>
      <c r="BB697" s="949"/>
      <c r="BC697" s="949"/>
      <c r="BD697" s="949"/>
      <c r="BE697" s="949"/>
      <c r="BF697" s="949"/>
      <c r="BG697" s="948"/>
      <c r="BH697" s="948"/>
      <c r="BI697" s="948"/>
      <c r="BJ697" s="948"/>
      <c r="BK697" s="948"/>
      <c r="BL697" s="948"/>
      <c r="BM697" s="948"/>
      <c r="BN697" s="948"/>
      <c r="BO697" s="948"/>
      <c r="BP697" s="948"/>
      <c r="BQ697" s="948"/>
      <c r="BR697" s="948"/>
      <c r="BS697" s="948"/>
      <c r="BT697" s="948"/>
      <c r="BU697" s="954"/>
    </row>
    <row r="698" spans="1:73" ht="15.75" customHeight="1" x14ac:dyDescent="0.2">
      <c r="A698" s="947"/>
      <c r="B698" s="947"/>
      <c r="C698" s="947"/>
      <c r="D698" s="948"/>
      <c r="E698" s="948"/>
      <c r="F698" s="948"/>
      <c r="G698" s="948"/>
      <c r="H698" s="948"/>
      <c r="I698" s="948"/>
      <c r="J698" s="948"/>
      <c r="K698" s="949"/>
      <c r="L698" s="949"/>
      <c r="M698" s="949"/>
      <c r="N698" s="950"/>
      <c r="O698" s="948"/>
      <c r="P698" s="948"/>
      <c r="Q698" s="948"/>
      <c r="R698" s="949"/>
      <c r="S698" s="949"/>
      <c r="T698" s="949"/>
      <c r="U698" s="949"/>
      <c r="V698" s="949"/>
      <c r="W698" s="949"/>
      <c r="X698" s="951"/>
      <c r="Y698" s="951"/>
      <c r="Z698" s="952"/>
      <c r="AA698" s="953"/>
      <c r="AB698" s="948"/>
      <c r="AC698" s="948"/>
      <c r="AD698" s="949"/>
      <c r="AE698" s="949"/>
      <c r="AF698" s="949"/>
      <c r="AG698" s="949"/>
      <c r="AH698" s="949"/>
      <c r="AI698" s="949"/>
      <c r="AJ698" s="949"/>
      <c r="AK698" s="949"/>
      <c r="AL698" s="949"/>
      <c r="AM698" s="949"/>
      <c r="AN698" s="949"/>
      <c r="AO698" s="949"/>
      <c r="AP698" s="949"/>
      <c r="AQ698" s="949"/>
      <c r="AR698" s="949"/>
      <c r="AS698" s="949"/>
      <c r="AT698" s="949"/>
      <c r="AU698" s="949"/>
      <c r="AV698" s="949"/>
      <c r="AW698" s="949"/>
      <c r="AX698" s="949"/>
      <c r="AY698" s="949"/>
      <c r="AZ698" s="949"/>
      <c r="BA698" s="949"/>
      <c r="BB698" s="949"/>
      <c r="BC698" s="949"/>
      <c r="BD698" s="949"/>
      <c r="BE698" s="949"/>
      <c r="BF698" s="949"/>
      <c r="BG698" s="948"/>
      <c r="BH698" s="948"/>
      <c r="BI698" s="948"/>
      <c r="BJ698" s="948"/>
      <c r="BK698" s="948"/>
      <c r="BL698" s="948"/>
      <c r="BM698" s="948"/>
      <c r="BN698" s="948"/>
      <c r="BO698" s="948"/>
      <c r="BP698" s="948"/>
      <c r="BQ698" s="948"/>
      <c r="BR698" s="948"/>
      <c r="BS698" s="948"/>
      <c r="BT698" s="948"/>
      <c r="BU698" s="954"/>
    </row>
    <row r="699" spans="1:73" ht="15.75" customHeight="1" x14ac:dyDescent="0.2">
      <c r="A699" s="947"/>
      <c r="B699" s="947"/>
      <c r="C699" s="947"/>
      <c r="D699" s="948"/>
      <c r="E699" s="948"/>
      <c r="F699" s="948"/>
      <c r="G699" s="948"/>
      <c r="H699" s="948"/>
      <c r="I699" s="948"/>
      <c r="J699" s="948"/>
      <c r="K699" s="949"/>
      <c r="L699" s="949"/>
      <c r="M699" s="949"/>
      <c r="N699" s="950"/>
      <c r="O699" s="948"/>
      <c r="P699" s="948"/>
      <c r="Q699" s="948"/>
      <c r="R699" s="949"/>
      <c r="S699" s="949"/>
      <c r="T699" s="949"/>
      <c r="U699" s="949"/>
      <c r="V699" s="949"/>
      <c r="W699" s="949"/>
      <c r="X699" s="951"/>
      <c r="Y699" s="951"/>
      <c r="Z699" s="952"/>
      <c r="AA699" s="953"/>
      <c r="AB699" s="948"/>
      <c r="AC699" s="948"/>
      <c r="AD699" s="949"/>
      <c r="AE699" s="949"/>
      <c r="AF699" s="949"/>
      <c r="AG699" s="949"/>
      <c r="AH699" s="949"/>
      <c r="AI699" s="949"/>
      <c r="AJ699" s="949"/>
      <c r="AK699" s="949"/>
      <c r="AL699" s="949"/>
      <c r="AM699" s="949"/>
      <c r="AN699" s="949"/>
      <c r="AO699" s="949"/>
      <c r="AP699" s="949"/>
      <c r="AQ699" s="949"/>
      <c r="AR699" s="949"/>
      <c r="AS699" s="949"/>
      <c r="AT699" s="949"/>
      <c r="AU699" s="949"/>
      <c r="AV699" s="949"/>
      <c r="AW699" s="949"/>
      <c r="AX699" s="949"/>
      <c r="AY699" s="949"/>
      <c r="AZ699" s="949"/>
      <c r="BA699" s="949"/>
      <c r="BB699" s="949"/>
      <c r="BC699" s="949"/>
      <c r="BD699" s="949"/>
      <c r="BE699" s="949"/>
      <c r="BF699" s="949"/>
      <c r="BG699" s="948"/>
      <c r="BH699" s="948"/>
      <c r="BI699" s="948"/>
      <c r="BJ699" s="948"/>
      <c r="BK699" s="948"/>
      <c r="BL699" s="948"/>
      <c r="BM699" s="948"/>
      <c r="BN699" s="948"/>
      <c r="BO699" s="948"/>
      <c r="BP699" s="948"/>
      <c r="BQ699" s="948"/>
      <c r="BR699" s="948"/>
      <c r="BS699" s="948"/>
      <c r="BT699" s="948"/>
      <c r="BU699" s="954"/>
    </row>
    <row r="700" spans="1:73" ht="15.75" customHeight="1" x14ac:dyDescent="0.2">
      <c r="A700" s="947"/>
      <c r="B700" s="947"/>
      <c r="C700" s="947"/>
      <c r="D700" s="948"/>
      <c r="E700" s="948"/>
      <c r="F700" s="948"/>
      <c r="G700" s="948"/>
      <c r="H700" s="948"/>
      <c r="I700" s="948"/>
      <c r="J700" s="948"/>
      <c r="K700" s="949"/>
      <c r="L700" s="949"/>
      <c r="M700" s="949"/>
      <c r="N700" s="950"/>
      <c r="O700" s="948"/>
      <c r="P700" s="948"/>
      <c r="Q700" s="948"/>
      <c r="R700" s="949"/>
      <c r="S700" s="949"/>
      <c r="T700" s="949"/>
      <c r="U700" s="949"/>
      <c r="V700" s="949"/>
      <c r="W700" s="949"/>
      <c r="X700" s="951"/>
      <c r="Y700" s="951"/>
      <c r="Z700" s="952"/>
      <c r="AA700" s="953"/>
      <c r="AB700" s="948"/>
      <c r="AC700" s="948"/>
      <c r="AD700" s="949"/>
      <c r="AE700" s="949"/>
      <c r="AF700" s="949"/>
      <c r="AG700" s="949"/>
      <c r="AH700" s="949"/>
      <c r="AI700" s="949"/>
      <c r="AJ700" s="949"/>
      <c r="AK700" s="949"/>
      <c r="AL700" s="949"/>
      <c r="AM700" s="949"/>
      <c r="AN700" s="949"/>
      <c r="AO700" s="949"/>
      <c r="AP700" s="949"/>
      <c r="AQ700" s="949"/>
      <c r="AR700" s="949"/>
      <c r="AS700" s="949"/>
      <c r="AT700" s="949"/>
      <c r="AU700" s="949"/>
      <c r="AV700" s="949"/>
      <c r="AW700" s="949"/>
      <c r="AX700" s="949"/>
      <c r="AY700" s="949"/>
      <c r="AZ700" s="949"/>
      <c r="BA700" s="949"/>
      <c r="BB700" s="949"/>
      <c r="BC700" s="949"/>
      <c r="BD700" s="949"/>
      <c r="BE700" s="949"/>
      <c r="BF700" s="949"/>
      <c r="BG700" s="948"/>
      <c r="BH700" s="948"/>
      <c r="BI700" s="948"/>
      <c r="BJ700" s="948"/>
      <c r="BK700" s="948"/>
      <c r="BL700" s="948"/>
      <c r="BM700" s="948"/>
      <c r="BN700" s="948"/>
      <c r="BO700" s="948"/>
      <c r="BP700" s="948"/>
      <c r="BQ700" s="948"/>
      <c r="BR700" s="948"/>
      <c r="BS700" s="948"/>
      <c r="BT700" s="948"/>
      <c r="BU700" s="954"/>
    </row>
    <row r="701" spans="1:73" ht="15.75" customHeight="1" x14ac:dyDescent="0.2">
      <c r="A701" s="947"/>
      <c r="B701" s="947"/>
      <c r="C701" s="947"/>
      <c r="D701" s="948"/>
      <c r="E701" s="948"/>
      <c r="F701" s="948"/>
      <c r="G701" s="948"/>
      <c r="H701" s="948"/>
      <c r="I701" s="948"/>
      <c r="J701" s="948"/>
      <c r="K701" s="949"/>
      <c r="L701" s="949"/>
      <c r="M701" s="949"/>
      <c r="N701" s="950"/>
      <c r="O701" s="948"/>
      <c r="P701" s="948"/>
      <c r="Q701" s="948"/>
      <c r="R701" s="949"/>
      <c r="S701" s="949"/>
      <c r="T701" s="949"/>
      <c r="U701" s="949"/>
      <c r="V701" s="949"/>
      <c r="W701" s="949"/>
      <c r="X701" s="951"/>
      <c r="Y701" s="951"/>
      <c r="Z701" s="952"/>
      <c r="AA701" s="953"/>
      <c r="AB701" s="948"/>
      <c r="AC701" s="948"/>
      <c r="AD701" s="949"/>
      <c r="AE701" s="949"/>
      <c r="AF701" s="949"/>
      <c r="AG701" s="949"/>
      <c r="AH701" s="949"/>
      <c r="AI701" s="949"/>
      <c r="AJ701" s="949"/>
      <c r="AK701" s="949"/>
      <c r="AL701" s="949"/>
      <c r="AM701" s="949"/>
      <c r="AN701" s="949"/>
      <c r="AO701" s="949"/>
      <c r="AP701" s="949"/>
      <c r="AQ701" s="949"/>
      <c r="AR701" s="949"/>
      <c r="AS701" s="949"/>
      <c r="AT701" s="949"/>
      <c r="AU701" s="949"/>
      <c r="AV701" s="949"/>
      <c r="AW701" s="949"/>
      <c r="AX701" s="949"/>
      <c r="AY701" s="949"/>
      <c r="AZ701" s="949"/>
      <c r="BA701" s="949"/>
      <c r="BB701" s="949"/>
      <c r="BC701" s="949"/>
      <c r="BD701" s="949"/>
      <c r="BE701" s="949"/>
      <c r="BF701" s="949"/>
      <c r="BG701" s="948"/>
      <c r="BH701" s="948"/>
      <c r="BI701" s="948"/>
      <c r="BJ701" s="948"/>
      <c r="BK701" s="948"/>
      <c r="BL701" s="948"/>
      <c r="BM701" s="948"/>
      <c r="BN701" s="948"/>
      <c r="BO701" s="948"/>
      <c r="BP701" s="948"/>
      <c r="BQ701" s="948"/>
      <c r="BR701" s="948"/>
      <c r="BS701" s="948"/>
      <c r="BT701" s="948"/>
      <c r="BU701" s="954"/>
    </row>
    <row r="702" spans="1:73" ht="15.75" customHeight="1" x14ac:dyDescent="0.2">
      <c r="A702" s="947"/>
      <c r="B702" s="947"/>
      <c r="C702" s="947"/>
      <c r="D702" s="948"/>
      <c r="E702" s="948"/>
      <c r="F702" s="948"/>
      <c r="G702" s="948"/>
      <c r="H702" s="948"/>
      <c r="I702" s="948"/>
      <c r="J702" s="948"/>
      <c r="K702" s="949"/>
      <c r="L702" s="949"/>
      <c r="M702" s="949"/>
      <c r="N702" s="950"/>
      <c r="O702" s="948"/>
      <c r="P702" s="948"/>
      <c r="Q702" s="948"/>
      <c r="R702" s="949"/>
      <c r="S702" s="949"/>
      <c r="T702" s="949"/>
      <c r="U702" s="949"/>
      <c r="V702" s="949"/>
      <c r="W702" s="949"/>
      <c r="X702" s="951"/>
      <c r="Y702" s="951"/>
      <c r="Z702" s="952"/>
      <c r="AA702" s="953"/>
      <c r="AB702" s="948"/>
      <c r="AC702" s="948"/>
      <c r="AD702" s="949"/>
      <c r="AE702" s="949"/>
      <c r="AF702" s="949"/>
      <c r="AG702" s="949"/>
      <c r="AH702" s="949"/>
      <c r="AI702" s="949"/>
      <c r="AJ702" s="949"/>
      <c r="AK702" s="949"/>
      <c r="AL702" s="949"/>
      <c r="AM702" s="949"/>
      <c r="AN702" s="949"/>
      <c r="AO702" s="949"/>
      <c r="AP702" s="949"/>
      <c r="AQ702" s="949"/>
      <c r="AR702" s="949"/>
      <c r="AS702" s="949"/>
      <c r="AT702" s="949"/>
      <c r="AU702" s="949"/>
      <c r="AV702" s="949"/>
      <c r="AW702" s="949"/>
      <c r="AX702" s="949"/>
      <c r="AY702" s="949"/>
      <c r="AZ702" s="949"/>
      <c r="BA702" s="949"/>
      <c r="BB702" s="949"/>
      <c r="BC702" s="949"/>
      <c r="BD702" s="949"/>
      <c r="BE702" s="949"/>
      <c r="BF702" s="949"/>
      <c r="BG702" s="948"/>
      <c r="BH702" s="948"/>
      <c r="BI702" s="948"/>
      <c r="BJ702" s="948"/>
      <c r="BK702" s="948"/>
      <c r="BL702" s="948"/>
      <c r="BM702" s="948"/>
      <c r="BN702" s="948"/>
      <c r="BO702" s="948"/>
      <c r="BP702" s="948"/>
      <c r="BQ702" s="948"/>
      <c r="BR702" s="948"/>
      <c r="BS702" s="948"/>
      <c r="BT702" s="948"/>
      <c r="BU702" s="954"/>
    </row>
    <row r="703" spans="1:73" ht="15.75" customHeight="1" x14ac:dyDescent="0.2">
      <c r="A703" s="947"/>
      <c r="B703" s="947"/>
      <c r="C703" s="947"/>
      <c r="D703" s="948"/>
      <c r="E703" s="948"/>
      <c r="F703" s="948"/>
      <c r="G703" s="948"/>
      <c r="H703" s="948"/>
      <c r="I703" s="948"/>
      <c r="J703" s="948"/>
      <c r="K703" s="949"/>
      <c r="L703" s="949"/>
      <c r="M703" s="949"/>
      <c r="N703" s="950"/>
      <c r="O703" s="948"/>
      <c r="P703" s="948"/>
      <c r="Q703" s="948"/>
      <c r="R703" s="949"/>
      <c r="S703" s="949"/>
      <c r="T703" s="949"/>
      <c r="U703" s="949"/>
      <c r="V703" s="949"/>
      <c r="W703" s="949"/>
      <c r="X703" s="951"/>
      <c r="Y703" s="951"/>
      <c r="Z703" s="952"/>
      <c r="AA703" s="953"/>
      <c r="AB703" s="948"/>
      <c r="AC703" s="948"/>
      <c r="AD703" s="949"/>
      <c r="AE703" s="949"/>
      <c r="AF703" s="949"/>
      <c r="AG703" s="949"/>
      <c r="AH703" s="949"/>
      <c r="AI703" s="949"/>
      <c r="AJ703" s="949"/>
      <c r="AK703" s="949"/>
      <c r="AL703" s="949"/>
      <c r="AM703" s="949"/>
      <c r="AN703" s="949"/>
      <c r="AO703" s="949"/>
      <c r="AP703" s="949"/>
      <c r="AQ703" s="949"/>
      <c r="AR703" s="949"/>
      <c r="AS703" s="949"/>
      <c r="AT703" s="949"/>
      <c r="AU703" s="949"/>
      <c r="AV703" s="949"/>
      <c r="AW703" s="949"/>
      <c r="AX703" s="949"/>
      <c r="AY703" s="949"/>
      <c r="AZ703" s="949"/>
      <c r="BA703" s="949"/>
      <c r="BB703" s="949"/>
      <c r="BC703" s="949"/>
      <c r="BD703" s="949"/>
      <c r="BE703" s="949"/>
      <c r="BF703" s="949"/>
      <c r="BG703" s="948"/>
      <c r="BH703" s="948"/>
      <c r="BI703" s="948"/>
      <c r="BJ703" s="948"/>
      <c r="BK703" s="948"/>
      <c r="BL703" s="948"/>
      <c r="BM703" s="948"/>
      <c r="BN703" s="948"/>
      <c r="BO703" s="948"/>
      <c r="BP703" s="948"/>
      <c r="BQ703" s="948"/>
      <c r="BR703" s="948"/>
      <c r="BS703" s="948"/>
      <c r="BT703" s="948"/>
      <c r="BU703" s="954"/>
    </row>
    <row r="704" spans="1:73" ht="15.75" customHeight="1" x14ac:dyDescent="0.2">
      <c r="A704" s="947"/>
      <c r="B704" s="947"/>
      <c r="C704" s="947"/>
      <c r="D704" s="948"/>
      <c r="E704" s="948"/>
      <c r="F704" s="948"/>
      <c r="G704" s="948"/>
      <c r="H704" s="948"/>
      <c r="I704" s="948"/>
      <c r="J704" s="948"/>
      <c r="K704" s="949"/>
      <c r="L704" s="949"/>
      <c r="M704" s="949"/>
      <c r="N704" s="950"/>
      <c r="O704" s="948"/>
      <c r="P704" s="948"/>
      <c r="Q704" s="948"/>
      <c r="R704" s="949"/>
      <c r="S704" s="949"/>
      <c r="T704" s="949"/>
      <c r="U704" s="949"/>
      <c r="V704" s="949"/>
      <c r="W704" s="949"/>
      <c r="X704" s="951"/>
      <c r="Y704" s="951"/>
      <c r="Z704" s="952"/>
      <c r="AA704" s="953"/>
      <c r="AB704" s="948"/>
      <c r="AC704" s="948"/>
      <c r="AD704" s="949"/>
      <c r="AE704" s="949"/>
      <c r="AF704" s="949"/>
      <c r="AG704" s="949"/>
      <c r="AH704" s="949"/>
      <c r="AI704" s="949"/>
      <c r="AJ704" s="949"/>
      <c r="AK704" s="949"/>
      <c r="AL704" s="949"/>
      <c r="AM704" s="949"/>
      <c r="AN704" s="949"/>
      <c r="AO704" s="949"/>
      <c r="AP704" s="949"/>
      <c r="AQ704" s="949"/>
      <c r="AR704" s="949"/>
      <c r="AS704" s="949"/>
      <c r="AT704" s="949"/>
      <c r="AU704" s="949"/>
      <c r="AV704" s="949"/>
      <c r="AW704" s="949"/>
      <c r="AX704" s="949"/>
      <c r="AY704" s="949"/>
      <c r="AZ704" s="949"/>
      <c r="BA704" s="949"/>
      <c r="BB704" s="949"/>
      <c r="BC704" s="949"/>
      <c r="BD704" s="949"/>
      <c r="BE704" s="949"/>
      <c r="BF704" s="949"/>
      <c r="BG704" s="948"/>
      <c r="BH704" s="948"/>
      <c r="BI704" s="948"/>
      <c r="BJ704" s="948"/>
      <c r="BK704" s="948"/>
      <c r="BL704" s="948"/>
      <c r="BM704" s="948"/>
      <c r="BN704" s="948"/>
      <c r="BO704" s="948"/>
      <c r="BP704" s="948"/>
      <c r="BQ704" s="948"/>
      <c r="BR704" s="948"/>
      <c r="BS704" s="948"/>
      <c r="BT704" s="948"/>
      <c r="BU704" s="954"/>
    </row>
    <row r="705" spans="1:73" ht="15.75" customHeight="1" x14ac:dyDescent="0.2">
      <c r="A705" s="947"/>
      <c r="B705" s="947"/>
      <c r="C705" s="947"/>
      <c r="D705" s="948"/>
      <c r="E705" s="948"/>
      <c r="F705" s="948"/>
      <c r="G705" s="948"/>
      <c r="H705" s="948"/>
      <c r="I705" s="948"/>
      <c r="J705" s="948"/>
      <c r="K705" s="949"/>
      <c r="L705" s="949"/>
      <c r="M705" s="949"/>
      <c r="N705" s="950"/>
      <c r="O705" s="948"/>
      <c r="P705" s="948"/>
      <c r="Q705" s="948"/>
      <c r="R705" s="949"/>
      <c r="S705" s="949"/>
      <c r="T705" s="949"/>
      <c r="U705" s="949"/>
      <c r="V705" s="949"/>
      <c r="W705" s="949"/>
      <c r="X705" s="951"/>
      <c r="Y705" s="951"/>
      <c r="Z705" s="952"/>
      <c r="AA705" s="953"/>
      <c r="AB705" s="948"/>
      <c r="AC705" s="948"/>
      <c r="AD705" s="949"/>
      <c r="AE705" s="949"/>
      <c r="AF705" s="949"/>
      <c r="AG705" s="949"/>
      <c r="AH705" s="949"/>
      <c r="AI705" s="949"/>
      <c r="AJ705" s="949"/>
      <c r="AK705" s="949"/>
      <c r="AL705" s="949"/>
      <c r="AM705" s="949"/>
      <c r="AN705" s="949"/>
      <c r="AO705" s="949"/>
      <c r="AP705" s="949"/>
      <c r="AQ705" s="949"/>
      <c r="AR705" s="949"/>
      <c r="AS705" s="949"/>
      <c r="AT705" s="949"/>
      <c r="AU705" s="949"/>
      <c r="AV705" s="949"/>
      <c r="AW705" s="949"/>
      <c r="AX705" s="949"/>
      <c r="AY705" s="949"/>
      <c r="AZ705" s="949"/>
      <c r="BA705" s="949"/>
      <c r="BB705" s="949"/>
      <c r="BC705" s="949"/>
      <c r="BD705" s="949"/>
      <c r="BE705" s="949"/>
      <c r="BF705" s="949"/>
      <c r="BG705" s="948"/>
      <c r="BH705" s="948"/>
      <c r="BI705" s="948"/>
      <c r="BJ705" s="948"/>
      <c r="BK705" s="948"/>
      <c r="BL705" s="948"/>
      <c r="BM705" s="948"/>
      <c r="BN705" s="948"/>
      <c r="BO705" s="948"/>
      <c r="BP705" s="948"/>
      <c r="BQ705" s="948"/>
      <c r="BR705" s="948"/>
      <c r="BS705" s="948"/>
      <c r="BT705" s="948"/>
      <c r="BU705" s="954"/>
    </row>
    <row r="706" spans="1:73" ht="15.75" customHeight="1" x14ac:dyDescent="0.2">
      <c r="A706" s="947"/>
      <c r="B706" s="947"/>
      <c r="C706" s="947"/>
      <c r="D706" s="948"/>
      <c r="E706" s="948"/>
      <c r="F706" s="948"/>
      <c r="G706" s="948"/>
      <c r="H706" s="948"/>
      <c r="I706" s="948"/>
      <c r="J706" s="948"/>
      <c r="K706" s="949"/>
      <c r="L706" s="949"/>
      <c r="M706" s="949"/>
      <c r="N706" s="950"/>
      <c r="O706" s="948"/>
      <c r="P706" s="948"/>
      <c r="Q706" s="948"/>
      <c r="R706" s="949"/>
      <c r="S706" s="949"/>
      <c r="T706" s="949"/>
      <c r="U706" s="949"/>
      <c r="V706" s="949"/>
      <c r="W706" s="949"/>
      <c r="X706" s="951"/>
      <c r="Y706" s="951"/>
      <c r="Z706" s="952"/>
      <c r="AA706" s="953"/>
      <c r="AB706" s="948"/>
      <c r="AC706" s="948"/>
      <c r="AD706" s="949"/>
      <c r="AE706" s="949"/>
      <c r="AF706" s="949"/>
      <c r="AG706" s="949"/>
      <c r="AH706" s="949"/>
      <c r="AI706" s="949"/>
      <c r="AJ706" s="949"/>
      <c r="AK706" s="949"/>
      <c r="AL706" s="949"/>
      <c r="AM706" s="949"/>
      <c r="AN706" s="949"/>
      <c r="AO706" s="949"/>
      <c r="AP706" s="949"/>
      <c r="AQ706" s="949"/>
      <c r="AR706" s="949"/>
      <c r="AS706" s="949"/>
      <c r="AT706" s="949"/>
      <c r="AU706" s="949"/>
      <c r="AV706" s="949"/>
      <c r="AW706" s="949"/>
      <c r="AX706" s="949"/>
      <c r="AY706" s="949"/>
      <c r="AZ706" s="949"/>
      <c r="BA706" s="949"/>
      <c r="BB706" s="949"/>
      <c r="BC706" s="949"/>
      <c r="BD706" s="949"/>
      <c r="BE706" s="949"/>
      <c r="BF706" s="949"/>
      <c r="BG706" s="948"/>
      <c r="BH706" s="948"/>
      <c r="BI706" s="948"/>
      <c r="BJ706" s="948"/>
      <c r="BK706" s="948"/>
      <c r="BL706" s="948"/>
      <c r="BM706" s="948"/>
      <c r="BN706" s="948"/>
      <c r="BO706" s="948"/>
      <c r="BP706" s="948"/>
      <c r="BQ706" s="948"/>
      <c r="BR706" s="948"/>
      <c r="BS706" s="948"/>
      <c r="BT706" s="948"/>
      <c r="BU706" s="954"/>
    </row>
    <row r="707" spans="1:73" ht="15.75" customHeight="1" x14ac:dyDescent="0.2">
      <c r="A707" s="947"/>
      <c r="B707" s="947"/>
      <c r="C707" s="947"/>
      <c r="D707" s="948"/>
      <c r="E707" s="948"/>
      <c r="F707" s="948"/>
      <c r="G707" s="948"/>
      <c r="H707" s="948"/>
      <c r="I707" s="948"/>
      <c r="J707" s="948"/>
      <c r="K707" s="949"/>
      <c r="L707" s="949"/>
      <c r="M707" s="949"/>
      <c r="N707" s="950"/>
      <c r="O707" s="948"/>
      <c r="P707" s="948"/>
      <c r="Q707" s="948"/>
      <c r="R707" s="949"/>
      <c r="S707" s="949"/>
      <c r="T707" s="949"/>
      <c r="U707" s="949"/>
      <c r="V707" s="949"/>
      <c r="W707" s="949"/>
      <c r="X707" s="951"/>
      <c r="Y707" s="951"/>
      <c r="Z707" s="952"/>
      <c r="AA707" s="953"/>
      <c r="AB707" s="948"/>
      <c r="AC707" s="948"/>
      <c r="AD707" s="949"/>
      <c r="AE707" s="949"/>
      <c r="AF707" s="949"/>
      <c r="AG707" s="949"/>
      <c r="AH707" s="949"/>
      <c r="AI707" s="949"/>
      <c r="AJ707" s="949"/>
      <c r="AK707" s="949"/>
      <c r="AL707" s="949"/>
      <c r="AM707" s="949"/>
      <c r="AN707" s="949"/>
      <c r="AO707" s="949"/>
      <c r="AP707" s="949"/>
      <c r="AQ707" s="949"/>
      <c r="AR707" s="949"/>
      <c r="AS707" s="949"/>
      <c r="AT707" s="949"/>
      <c r="AU707" s="949"/>
      <c r="AV707" s="949"/>
      <c r="AW707" s="949"/>
      <c r="AX707" s="949"/>
      <c r="AY707" s="949"/>
      <c r="AZ707" s="949"/>
      <c r="BA707" s="949"/>
      <c r="BB707" s="949"/>
      <c r="BC707" s="949"/>
      <c r="BD707" s="949"/>
      <c r="BE707" s="949"/>
      <c r="BF707" s="949"/>
      <c r="BG707" s="948"/>
      <c r="BH707" s="948"/>
      <c r="BI707" s="948"/>
      <c r="BJ707" s="948"/>
      <c r="BK707" s="948"/>
      <c r="BL707" s="948"/>
      <c r="BM707" s="948"/>
      <c r="BN707" s="948"/>
      <c r="BO707" s="948"/>
      <c r="BP707" s="948"/>
      <c r="BQ707" s="948"/>
      <c r="BR707" s="948"/>
      <c r="BS707" s="948"/>
      <c r="BT707" s="948"/>
      <c r="BU707" s="954"/>
    </row>
    <row r="708" spans="1:73" ht="15.75" customHeight="1" x14ac:dyDescent="0.2">
      <c r="A708" s="947"/>
      <c r="B708" s="947"/>
      <c r="C708" s="947"/>
      <c r="D708" s="948"/>
      <c r="E708" s="948"/>
      <c r="F708" s="948"/>
      <c r="G708" s="948"/>
      <c r="H708" s="948"/>
      <c r="I708" s="948"/>
      <c r="J708" s="948"/>
      <c r="K708" s="949"/>
      <c r="L708" s="949"/>
      <c r="M708" s="949"/>
      <c r="N708" s="950"/>
      <c r="O708" s="948"/>
      <c r="P708" s="948"/>
      <c r="Q708" s="948"/>
      <c r="R708" s="949"/>
      <c r="S708" s="949"/>
      <c r="T708" s="949"/>
      <c r="U708" s="949"/>
      <c r="V708" s="949"/>
      <c r="W708" s="949"/>
      <c r="X708" s="951"/>
      <c r="Y708" s="951"/>
      <c r="Z708" s="952"/>
      <c r="AA708" s="953"/>
      <c r="AB708" s="948"/>
      <c r="AC708" s="948"/>
      <c r="AD708" s="949"/>
      <c r="AE708" s="949"/>
      <c r="AF708" s="949"/>
      <c r="AG708" s="949"/>
      <c r="AH708" s="949"/>
      <c r="AI708" s="949"/>
      <c r="AJ708" s="949"/>
      <c r="AK708" s="949"/>
      <c r="AL708" s="949"/>
      <c r="AM708" s="949"/>
      <c r="AN708" s="949"/>
      <c r="AO708" s="949"/>
      <c r="AP708" s="949"/>
      <c r="AQ708" s="949"/>
      <c r="AR708" s="949"/>
      <c r="AS708" s="949"/>
      <c r="AT708" s="949"/>
      <c r="AU708" s="949"/>
      <c r="AV708" s="949"/>
      <c r="AW708" s="949"/>
      <c r="AX708" s="949"/>
      <c r="AY708" s="949"/>
      <c r="AZ708" s="949"/>
      <c r="BA708" s="949"/>
      <c r="BB708" s="949"/>
      <c r="BC708" s="949"/>
      <c r="BD708" s="949"/>
      <c r="BE708" s="949"/>
      <c r="BF708" s="949"/>
      <c r="BG708" s="948"/>
      <c r="BH708" s="948"/>
      <c r="BI708" s="948"/>
      <c r="BJ708" s="948"/>
      <c r="BK708" s="948"/>
      <c r="BL708" s="948"/>
      <c r="BM708" s="948"/>
      <c r="BN708" s="948"/>
      <c r="BO708" s="948"/>
      <c r="BP708" s="948"/>
      <c r="BQ708" s="948"/>
      <c r="BR708" s="948"/>
      <c r="BS708" s="948"/>
      <c r="BT708" s="948"/>
      <c r="BU708" s="954"/>
    </row>
    <row r="709" spans="1:73" ht="15.75" customHeight="1" x14ac:dyDescent="0.2">
      <c r="A709" s="947"/>
      <c r="B709" s="947"/>
      <c r="C709" s="947"/>
      <c r="D709" s="948"/>
      <c r="E709" s="948"/>
      <c r="F709" s="948"/>
      <c r="G709" s="948"/>
      <c r="H709" s="948"/>
      <c r="I709" s="948"/>
      <c r="J709" s="948"/>
      <c r="K709" s="949"/>
      <c r="L709" s="949"/>
      <c r="M709" s="949"/>
      <c r="N709" s="950"/>
      <c r="O709" s="948"/>
      <c r="P709" s="948"/>
      <c r="Q709" s="948"/>
      <c r="R709" s="949"/>
      <c r="S709" s="949"/>
      <c r="T709" s="949"/>
      <c r="U709" s="949"/>
      <c r="V709" s="949"/>
      <c r="W709" s="949"/>
      <c r="X709" s="951"/>
      <c r="Y709" s="951"/>
      <c r="Z709" s="952"/>
      <c r="AA709" s="953"/>
      <c r="AB709" s="948"/>
      <c r="AC709" s="948"/>
      <c r="AD709" s="949"/>
      <c r="AE709" s="949"/>
      <c r="AF709" s="949"/>
      <c r="AG709" s="949"/>
      <c r="AH709" s="949"/>
      <c r="AI709" s="949"/>
      <c r="AJ709" s="949"/>
      <c r="AK709" s="949"/>
      <c r="AL709" s="949"/>
      <c r="AM709" s="949"/>
      <c r="AN709" s="949"/>
      <c r="AO709" s="949"/>
      <c r="AP709" s="949"/>
      <c r="AQ709" s="949"/>
      <c r="AR709" s="949"/>
      <c r="AS709" s="949"/>
      <c r="AT709" s="949"/>
      <c r="AU709" s="949"/>
      <c r="AV709" s="949"/>
      <c r="AW709" s="949"/>
      <c r="AX709" s="949"/>
      <c r="AY709" s="949"/>
      <c r="AZ709" s="949"/>
      <c r="BA709" s="949"/>
      <c r="BB709" s="949"/>
      <c r="BC709" s="949"/>
      <c r="BD709" s="949"/>
      <c r="BE709" s="949"/>
      <c r="BF709" s="949"/>
      <c r="BG709" s="948"/>
      <c r="BH709" s="948"/>
      <c r="BI709" s="948"/>
      <c r="BJ709" s="948"/>
      <c r="BK709" s="948"/>
      <c r="BL709" s="948"/>
      <c r="BM709" s="948"/>
      <c r="BN709" s="948"/>
      <c r="BO709" s="948"/>
      <c r="BP709" s="948"/>
      <c r="BQ709" s="948"/>
      <c r="BR709" s="948"/>
      <c r="BS709" s="948"/>
      <c r="BT709" s="948"/>
      <c r="BU709" s="954"/>
    </row>
    <row r="710" spans="1:73" ht="15.75" customHeight="1" x14ac:dyDescent="0.2">
      <c r="A710" s="947"/>
      <c r="B710" s="947"/>
      <c r="C710" s="947"/>
      <c r="D710" s="948"/>
      <c r="E710" s="948"/>
      <c r="F710" s="948"/>
      <c r="G710" s="948"/>
      <c r="H710" s="948"/>
      <c r="I710" s="948"/>
      <c r="J710" s="948"/>
      <c r="K710" s="949"/>
      <c r="L710" s="949"/>
      <c r="M710" s="949"/>
      <c r="N710" s="950"/>
      <c r="O710" s="948"/>
      <c r="P710" s="948"/>
      <c r="Q710" s="948"/>
      <c r="R710" s="949"/>
      <c r="S710" s="949"/>
      <c r="T710" s="949"/>
      <c r="U710" s="949"/>
      <c r="V710" s="949"/>
      <c r="W710" s="949"/>
      <c r="X710" s="951"/>
      <c r="Y710" s="951"/>
      <c r="Z710" s="952"/>
      <c r="AA710" s="953"/>
      <c r="AB710" s="948"/>
      <c r="AC710" s="948"/>
      <c r="AD710" s="949"/>
      <c r="AE710" s="949"/>
      <c r="AF710" s="949"/>
      <c r="AG710" s="949"/>
      <c r="AH710" s="949"/>
      <c r="AI710" s="949"/>
      <c r="AJ710" s="949"/>
      <c r="AK710" s="949"/>
      <c r="AL710" s="949"/>
      <c r="AM710" s="949"/>
      <c r="AN710" s="949"/>
      <c r="AO710" s="949"/>
      <c r="AP710" s="949"/>
      <c r="AQ710" s="949"/>
      <c r="AR710" s="949"/>
      <c r="AS710" s="949"/>
      <c r="AT710" s="949"/>
      <c r="AU710" s="949"/>
      <c r="AV710" s="949"/>
      <c r="AW710" s="949"/>
      <c r="AX710" s="949"/>
      <c r="AY710" s="949"/>
      <c r="AZ710" s="949"/>
      <c r="BA710" s="949"/>
      <c r="BB710" s="949"/>
      <c r="BC710" s="949"/>
      <c r="BD710" s="949"/>
      <c r="BE710" s="949"/>
      <c r="BF710" s="949"/>
      <c r="BG710" s="948"/>
      <c r="BH710" s="948"/>
      <c r="BI710" s="948"/>
      <c r="BJ710" s="948"/>
      <c r="BK710" s="948"/>
      <c r="BL710" s="948"/>
      <c r="BM710" s="948"/>
      <c r="BN710" s="948"/>
      <c r="BO710" s="948"/>
      <c r="BP710" s="948"/>
      <c r="BQ710" s="948"/>
      <c r="BR710" s="948"/>
      <c r="BS710" s="948"/>
      <c r="BT710" s="948"/>
      <c r="BU710" s="954"/>
    </row>
    <row r="711" spans="1:73" ht="15.75" customHeight="1" x14ac:dyDescent="0.2">
      <c r="A711" s="947"/>
      <c r="B711" s="947"/>
      <c r="C711" s="947"/>
      <c r="D711" s="948"/>
      <c r="E711" s="948"/>
      <c r="F711" s="948"/>
      <c r="G711" s="948"/>
      <c r="H711" s="948"/>
      <c r="I711" s="948"/>
      <c r="J711" s="948"/>
      <c r="K711" s="949"/>
      <c r="L711" s="949"/>
      <c r="M711" s="949"/>
      <c r="N711" s="950"/>
      <c r="O711" s="948"/>
      <c r="P711" s="948"/>
      <c r="Q711" s="948"/>
      <c r="R711" s="949"/>
      <c r="S711" s="949"/>
      <c r="T711" s="949"/>
      <c r="U711" s="949"/>
      <c r="V711" s="949"/>
      <c r="W711" s="949"/>
      <c r="X711" s="951"/>
      <c r="Y711" s="951"/>
      <c r="Z711" s="952"/>
      <c r="AA711" s="953"/>
      <c r="AB711" s="948"/>
      <c r="AC711" s="948"/>
      <c r="AD711" s="949"/>
      <c r="AE711" s="949"/>
      <c r="AF711" s="949"/>
      <c r="AG711" s="949"/>
      <c r="AH711" s="949"/>
      <c r="AI711" s="949"/>
      <c r="AJ711" s="949"/>
      <c r="AK711" s="949"/>
      <c r="AL711" s="949"/>
      <c r="AM711" s="949"/>
      <c r="AN711" s="949"/>
      <c r="AO711" s="949"/>
      <c r="AP711" s="949"/>
      <c r="AQ711" s="949"/>
      <c r="AR711" s="949"/>
      <c r="AS711" s="949"/>
      <c r="AT711" s="949"/>
      <c r="AU711" s="949"/>
      <c r="AV711" s="949"/>
      <c r="AW711" s="949"/>
      <c r="AX711" s="949"/>
      <c r="AY711" s="949"/>
      <c r="AZ711" s="949"/>
      <c r="BA711" s="949"/>
      <c r="BB711" s="949"/>
      <c r="BC711" s="949"/>
      <c r="BD711" s="949"/>
      <c r="BE711" s="949"/>
      <c r="BF711" s="949"/>
      <c r="BG711" s="948"/>
      <c r="BH711" s="948"/>
      <c r="BI711" s="948"/>
      <c r="BJ711" s="948"/>
      <c r="BK711" s="948"/>
      <c r="BL711" s="948"/>
      <c r="BM711" s="948"/>
      <c r="BN711" s="948"/>
      <c r="BO711" s="948"/>
      <c r="BP711" s="948"/>
      <c r="BQ711" s="948"/>
      <c r="BR711" s="948"/>
      <c r="BS711" s="948"/>
      <c r="BT711" s="948"/>
      <c r="BU711" s="954"/>
    </row>
    <row r="712" spans="1:73" ht="15.75" customHeight="1" x14ac:dyDescent="0.2">
      <c r="A712" s="947"/>
      <c r="B712" s="947"/>
      <c r="C712" s="947"/>
      <c r="D712" s="948"/>
      <c r="E712" s="948"/>
      <c r="F712" s="948"/>
      <c r="G712" s="948"/>
      <c r="H712" s="948"/>
      <c r="I712" s="948"/>
      <c r="J712" s="948"/>
      <c r="K712" s="949"/>
      <c r="L712" s="949"/>
      <c r="M712" s="949"/>
      <c r="N712" s="950"/>
      <c r="O712" s="948"/>
      <c r="P712" s="948"/>
      <c r="Q712" s="948"/>
      <c r="R712" s="949"/>
      <c r="S712" s="949"/>
      <c r="T712" s="949"/>
      <c r="U712" s="949"/>
      <c r="V712" s="949"/>
      <c r="W712" s="949"/>
      <c r="X712" s="951"/>
      <c r="Y712" s="951"/>
      <c r="Z712" s="952"/>
      <c r="AA712" s="953"/>
      <c r="AB712" s="948"/>
      <c r="AC712" s="948"/>
      <c r="AD712" s="949"/>
      <c r="AE712" s="949"/>
      <c r="AF712" s="949"/>
      <c r="AG712" s="949"/>
      <c r="AH712" s="949"/>
      <c r="AI712" s="949"/>
      <c r="AJ712" s="949"/>
      <c r="AK712" s="949"/>
      <c r="AL712" s="949"/>
      <c r="AM712" s="949"/>
      <c r="AN712" s="949"/>
      <c r="AO712" s="949"/>
      <c r="AP712" s="949"/>
      <c r="AQ712" s="949"/>
      <c r="AR712" s="949"/>
      <c r="AS712" s="949"/>
      <c r="AT712" s="949"/>
      <c r="AU712" s="949"/>
      <c r="AV712" s="949"/>
      <c r="AW712" s="949"/>
      <c r="AX712" s="949"/>
      <c r="AY712" s="949"/>
      <c r="AZ712" s="949"/>
      <c r="BA712" s="949"/>
      <c r="BB712" s="949"/>
      <c r="BC712" s="949"/>
      <c r="BD712" s="949"/>
      <c r="BE712" s="949"/>
      <c r="BF712" s="949"/>
      <c r="BG712" s="948"/>
      <c r="BH712" s="948"/>
      <c r="BI712" s="948"/>
      <c r="BJ712" s="948"/>
      <c r="BK712" s="948"/>
      <c r="BL712" s="948"/>
      <c r="BM712" s="948"/>
      <c r="BN712" s="948"/>
      <c r="BO712" s="948"/>
      <c r="BP712" s="948"/>
      <c r="BQ712" s="948"/>
      <c r="BR712" s="948"/>
      <c r="BS712" s="948"/>
      <c r="BT712" s="948"/>
      <c r="BU712" s="954"/>
    </row>
    <row r="713" spans="1:73" ht="15.75" customHeight="1" x14ac:dyDescent="0.2">
      <c r="A713" s="947"/>
      <c r="B713" s="947"/>
      <c r="C713" s="947"/>
      <c r="D713" s="948"/>
      <c r="E713" s="948"/>
      <c r="F713" s="948"/>
      <c r="G713" s="948"/>
      <c r="H713" s="948"/>
      <c r="I713" s="948"/>
      <c r="J713" s="948"/>
      <c r="K713" s="949"/>
      <c r="L713" s="949"/>
      <c r="M713" s="949"/>
      <c r="N713" s="950"/>
      <c r="O713" s="948"/>
      <c r="P713" s="948"/>
      <c r="Q713" s="948"/>
      <c r="R713" s="949"/>
      <c r="S713" s="949"/>
      <c r="T713" s="949"/>
      <c r="U713" s="949"/>
      <c r="V713" s="949"/>
      <c r="W713" s="949"/>
      <c r="X713" s="951"/>
      <c r="Y713" s="951"/>
      <c r="Z713" s="952"/>
      <c r="AA713" s="953"/>
      <c r="AB713" s="948"/>
      <c r="AC713" s="948"/>
      <c r="AD713" s="949"/>
      <c r="AE713" s="949"/>
      <c r="AF713" s="949"/>
      <c r="AG713" s="949"/>
      <c r="AH713" s="949"/>
      <c r="AI713" s="949"/>
      <c r="AJ713" s="949"/>
      <c r="AK713" s="949"/>
      <c r="AL713" s="949"/>
      <c r="AM713" s="949"/>
      <c r="AN713" s="949"/>
      <c r="AO713" s="949"/>
      <c r="AP713" s="949"/>
      <c r="AQ713" s="949"/>
      <c r="AR713" s="949"/>
      <c r="AS713" s="949"/>
      <c r="AT713" s="949"/>
      <c r="AU713" s="949"/>
      <c r="AV713" s="949"/>
      <c r="AW713" s="949"/>
      <c r="AX713" s="949"/>
      <c r="AY713" s="949"/>
      <c r="AZ713" s="949"/>
      <c r="BA713" s="949"/>
      <c r="BB713" s="949"/>
      <c r="BC713" s="949"/>
      <c r="BD713" s="949"/>
      <c r="BE713" s="949"/>
      <c r="BF713" s="949"/>
      <c r="BG713" s="948"/>
      <c r="BH713" s="948"/>
      <c r="BI713" s="948"/>
      <c r="BJ713" s="948"/>
      <c r="BK713" s="948"/>
      <c r="BL713" s="948"/>
      <c r="BM713" s="948"/>
      <c r="BN713" s="948"/>
      <c r="BO713" s="948"/>
      <c r="BP713" s="948"/>
      <c r="BQ713" s="948"/>
      <c r="BR713" s="948"/>
      <c r="BS713" s="948"/>
      <c r="BT713" s="948"/>
      <c r="BU713" s="954"/>
    </row>
    <row r="714" spans="1:73" ht="15.75" customHeight="1" x14ac:dyDescent="0.2">
      <c r="A714" s="947"/>
      <c r="B714" s="947"/>
      <c r="C714" s="947"/>
      <c r="D714" s="948"/>
      <c r="E714" s="948"/>
      <c r="F714" s="948"/>
      <c r="G714" s="948"/>
      <c r="H714" s="948"/>
      <c r="I714" s="948"/>
      <c r="J714" s="948"/>
      <c r="K714" s="949"/>
      <c r="L714" s="949"/>
      <c r="M714" s="949"/>
      <c r="N714" s="950"/>
      <c r="O714" s="948"/>
      <c r="P714" s="948"/>
      <c r="Q714" s="948"/>
      <c r="R714" s="949"/>
      <c r="S714" s="949"/>
      <c r="T714" s="949"/>
      <c r="U714" s="949"/>
      <c r="V714" s="949"/>
      <c r="W714" s="949"/>
      <c r="X714" s="951"/>
      <c r="Y714" s="951"/>
      <c r="Z714" s="952"/>
      <c r="AA714" s="953"/>
      <c r="AB714" s="948"/>
      <c r="AC714" s="948"/>
      <c r="AD714" s="949"/>
      <c r="AE714" s="949"/>
      <c r="AF714" s="949"/>
      <c r="AG714" s="949"/>
      <c r="AH714" s="949"/>
      <c r="AI714" s="949"/>
      <c r="AJ714" s="949"/>
      <c r="AK714" s="949"/>
      <c r="AL714" s="949"/>
      <c r="AM714" s="949"/>
      <c r="AN714" s="949"/>
      <c r="AO714" s="949"/>
      <c r="AP714" s="949"/>
      <c r="AQ714" s="949"/>
      <c r="AR714" s="949"/>
      <c r="AS714" s="949"/>
      <c r="AT714" s="949"/>
      <c r="AU714" s="949"/>
      <c r="AV714" s="949"/>
      <c r="AW714" s="949"/>
      <c r="AX714" s="949"/>
      <c r="AY714" s="949"/>
      <c r="AZ714" s="949"/>
      <c r="BA714" s="949"/>
      <c r="BB714" s="949"/>
      <c r="BC714" s="949"/>
      <c r="BD714" s="949"/>
      <c r="BE714" s="949"/>
      <c r="BF714" s="949"/>
      <c r="BG714" s="948"/>
      <c r="BH714" s="948"/>
      <c r="BI714" s="948"/>
      <c r="BJ714" s="948"/>
      <c r="BK714" s="948"/>
      <c r="BL714" s="948"/>
      <c r="BM714" s="948"/>
      <c r="BN714" s="948"/>
      <c r="BO714" s="948"/>
      <c r="BP714" s="948"/>
      <c r="BQ714" s="948"/>
      <c r="BR714" s="948"/>
      <c r="BS714" s="948"/>
      <c r="BT714" s="948"/>
      <c r="BU714" s="954"/>
    </row>
    <row r="715" spans="1:73" ht="15.75" customHeight="1" x14ac:dyDescent="0.2">
      <c r="A715" s="947"/>
      <c r="B715" s="947"/>
      <c r="C715" s="947"/>
      <c r="D715" s="948"/>
      <c r="E715" s="948"/>
      <c r="F715" s="948"/>
      <c r="G715" s="948"/>
      <c r="H715" s="948"/>
      <c r="I715" s="948"/>
      <c r="J715" s="948"/>
      <c r="K715" s="949"/>
      <c r="L715" s="949"/>
      <c r="M715" s="949"/>
      <c r="N715" s="950"/>
      <c r="O715" s="948"/>
      <c r="P715" s="948"/>
      <c r="Q715" s="948"/>
      <c r="R715" s="949"/>
      <c r="S715" s="949"/>
      <c r="T715" s="949"/>
      <c r="U715" s="949"/>
      <c r="V715" s="949"/>
      <c r="W715" s="949"/>
      <c r="X715" s="951"/>
      <c r="Y715" s="951"/>
      <c r="Z715" s="952"/>
      <c r="AA715" s="953"/>
      <c r="AB715" s="948"/>
      <c r="AC715" s="948"/>
      <c r="AD715" s="949"/>
      <c r="AE715" s="949"/>
      <c r="AF715" s="949"/>
      <c r="AG715" s="949"/>
      <c r="AH715" s="949"/>
      <c r="AI715" s="949"/>
      <c r="AJ715" s="949"/>
      <c r="AK715" s="949"/>
      <c r="AL715" s="949"/>
      <c r="AM715" s="949"/>
      <c r="AN715" s="949"/>
      <c r="AO715" s="949"/>
      <c r="AP715" s="949"/>
      <c r="AQ715" s="949"/>
      <c r="AR715" s="949"/>
      <c r="AS715" s="949"/>
      <c r="AT715" s="949"/>
      <c r="AU715" s="949"/>
      <c r="AV715" s="949"/>
      <c r="AW715" s="949"/>
      <c r="AX715" s="949"/>
      <c r="AY715" s="949"/>
      <c r="AZ715" s="949"/>
      <c r="BA715" s="949"/>
      <c r="BB715" s="949"/>
      <c r="BC715" s="949"/>
      <c r="BD715" s="949"/>
      <c r="BE715" s="949"/>
      <c r="BF715" s="949"/>
      <c r="BG715" s="948"/>
      <c r="BH715" s="948"/>
      <c r="BI715" s="948"/>
      <c r="BJ715" s="948"/>
      <c r="BK715" s="948"/>
      <c r="BL715" s="948"/>
      <c r="BM715" s="948"/>
      <c r="BN715" s="948"/>
      <c r="BO715" s="948"/>
      <c r="BP715" s="948"/>
      <c r="BQ715" s="948"/>
      <c r="BR715" s="948"/>
      <c r="BS715" s="948"/>
      <c r="BT715" s="948"/>
      <c r="BU715" s="954"/>
    </row>
    <row r="716" spans="1:73" ht="15.75" customHeight="1" x14ac:dyDescent="0.2">
      <c r="A716" s="947"/>
      <c r="B716" s="947"/>
      <c r="C716" s="947"/>
      <c r="D716" s="948"/>
      <c r="E716" s="948"/>
      <c r="F716" s="948"/>
      <c r="G716" s="948"/>
      <c r="H716" s="948"/>
      <c r="I716" s="948"/>
      <c r="J716" s="948"/>
      <c r="K716" s="949"/>
      <c r="L716" s="949"/>
      <c r="M716" s="949"/>
      <c r="N716" s="950"/>
      <c r="O716" s="948"/>
      <c r="P716" s="948"/>
      <c r="Q716" s="948"/>
      <c r="R716" s="949"/>
      <c r="S716" s="949"/>
      <c r="T716" s="949"/>
      <c r="U716" s="949"/>
      <c r="V716" s="949"/>
      <c r="W716" s="949"/>
      <c r="X716" s="951"/>
      <c r="Y716" s="951"/>
      <c r="Z716" s="952"/>
      <c r="AA716" s="953"/>
      <c r="AB716" s="948"/>
      <c r="AC716" s="948"/>
      <c r="AD716" s="949"/>
      <c r="AE716" s="949"/>
      <c r="AF716" s="949"/>
      <c r="AG716" s="949"/>
      <c r="AH716" s="949"/>
      <c r="AI716" s="949"/>
      <c r="AJ716" s="949"/>
      <c r="AK716" s="949"/>
      <c r="AL716" s="949"/>
      <c r="AM716" s="949"/>
      <c r="AN716" s="949"/>
      <c r="AO716" s="949"/>
      <c r="AP716" s="949"/>
      <c r="AQ716" s="949"/>
      <c r="AR716" s="949"/>
      <c r="AS716" s="949"/>
      <c r="AT716" s="949"/>
      <c r="AU716" s="949"/>
      <c r="AV716" s="949"/>
      <c r="AW716" s="949"/>
      <c r="AX716" s="949"/>
      <c r="AY716" s="949"/>
      <c r="AZ716" s="949"/>
      <c r="BA716" s="949"/>
      <c r="BB716" s="949"/>
      <c r="BC716" s="949"/>
      <c r="BD716" s="949"/>
      <c r="BE716" s="949"/>
      <c r="BF716" s="949"/>
      <c r="BG716" s="948"/>
      <c r="BH716" s="948"/>
      <c r="BI716" s="948"/>
      <c r="BJ716" s="948"/>
      <c r="BK716" s="948"/>
      <c r="BL716" s="948"/>
      <c r="BM716" s="948"/>
      <c r="BN716" s="948"/>
      <c r="BO716" s="948"/>
      <c r="BP716" s="948"/>
      <c r="BQ716" s="948"/>
      <c r="BR716" s="948"/>
      <c r="BS716" s="948"/>
      <c r="BT716" s="948"/>
      <c r="BU716" s="954"/>
    </row>
    <row r="717" spans="1:73" ht="15.75" customHeight="1" x14ac:dyDescent="0.2">
      <c r="A717" s="947"/>
      <c r="B717" s="947"/>
      <c r="C717" s="947"/>
      <c r="D717" s="948"/>
      <c r="E717" s="948"/>
      <c r="F717" s="948"/>
      <c r="G717" s="948"/>
      <c r="H717" s="948"/>
      <c r="I717" s="948"/>
      <c r="J717" s="948"/>
      <c r="K717" s="949"/>
      <c r="L717" s="949"/>
      <c r="M717" s="949"/>
      <c r="N717" s="950"/>
      <c r="O717" s="948"/>
      <c r="P717" s="948"/>
      <c r="Q717" s="948"/>
      <c r="R717" s="949"/>
      <c r="S717" s="949"/>
      <c r="T717" s="949"/>
      <c r="U717" s="949"/>
      <c r="V717" s="949"/>
      <c r="W717" s="949"/>
      <c r="X717" s="951"/>
      <c r="Y717" s="951"/>
      <c r="Z717" s="952"/>
      <c r="AA717" s="953"/>
      <c r="AB717" s="948"/>
      <c r="AC717" s="948"/>
      <c r="AD717" s="949"/>
      <c r="AE717" s="949"/>
      <c r="AF717" s="949"/>
      <c r="AG717" s="949"/>
      <c r="AH717" s="949"/>
      <c r="AI717" s="949"/>
      <c r="AJ717" s="949"/>
      <c r="AK717" s="949"/>
      <c r="AL717" s="949"/>
      <c r="AM717" s="949"/>
      <c r="AN717" s="949"/>
      <c r="AO717" s="949"/>
      <c r="AP717" s="949"/>
      <c r="AQ717" s="949"/>
      <c r="AR717" s="949"/>
      <c r="AS717" s="949"/>
      <c r="AT717" s="949"/>
      <c r="AU717" s="949"/>
      <c r="AV717" s="949"/>
      <c r="AW717" s="949"/>
      <c r="AX717" s="949"/>
      <c r="AY717" s="949"/>
      <c r="AZ717" s="949"/>
      <c r="BA717" s="949"/>
      <c r="BB717" s="949"/>
      <c r="BC717" s="949"/>
      <c r="BD717" s="949"/>
      <c r="BE717" s="949"/>
      <c r="BF717" s="949"/>
      <c r="BG717" s="948"/>
      <c r="BH717" s="948"/>
      <c r="BI717" s="948"/>
      <c r="BJ717" s="948"/>
      <c r="BK717" s="948"/>
      <c r="BL717" s="948"/>
      <c r="BM717" s="948"/>
      <c r="BN717" s="948"/>
      <c r="BO717" s="948"/>
      <c r="BP717" s="948"/>
      <c r="BQ717" s="948"/>
      <c r="BR717" s="948"/>
      <c r="BS717" s="948"/>
      <c r="BT717" s="948"/>
      <c r="BU717" s="954"/>
    </row>
    <row r="718" spans="1:73" ht="15.75" customHeight="1" x14ac:dyDescent="0.2">
      <c r="A718" s="947"/>
      <c r="B718" s="947"/>
      <c r="C718" s="947"/>
      <c r="D718" s="948"/>
      <c r="E718" s="948"/>
      <c r="F718" s="948"/>
      <c r="G718" s="948"/>
      <c r="H718" s="948"/>
      <c r="I718" s="948"/>
      <c r="J718" s="948"/>
      <c r="K718" s="949"/>
      <c r="L718" s="949"/>
      <c r="M718" s="949"/>
      <c r="N718" s="950"/>
      <c r="O718" s="948"/>
      <c r="P718" s="948"/>
      <c r="Q718" s="948"/>
      <c r="R718" s="949"/>
      <c r="S718" s="949"/>
      <c r="T718" s="949"/>
      <c r="U718" s="949"/>
      <c r="V718" s="949"/>
      <c r="W718" s="949"/>
      <c r="X718" s="951"/>
      <c r="Y718" s="951"/>
      <c r="Z718" s="952"/>
      <c r="AA718" s="953"/>
      <c r="AB718" s="948"/>
      <c r="AC718" s="948"/>
      <c r="AD718" s="949"/>
      <c r="AE718" s="949"/>
      <c r="AF718" s="949"/>
      <c r="AG718" s="949"/>
      <c r="AH718" s="949"/>
      <c r="AI718" s="949"/>
      <c r="AJ718" s="949"/>
      <c r="AK718" s="949"/>
      <c r="AL718" s="949"/>
      <c r="AM718" s="949"/>
      <c r="AN718" s="949"/>
      <c r="AO718" s="949"/>
      <c r="AP718" s="949"/>
      <c r="AQ718" s="949"/>
      <c r="AR718" s="949"/>
      <c r="AS718" s="949"/>
      <c r="AT718" s="949"/>
      <c r="AU718" s="949"/>
      <c r="AV718" s="949"/>
      <c r="AW718" s="949"/>
      <c r="AX718" s="949"/>
      <c r="AY718" s="949"/>
      <c r="AZ718" s="949"/>
      <c r="BA718" s="949"/>
      <c r="BB718" s="949"/>
      <c r="BC718" s="949"/>
      <c r="BD718" s="949"/>
      <c r="BE718" s="949"/>
      <c r="BF718" s="949"/>
      <c r="BG718" s="948"/>
      <c r="BH718" s="948"/>
      <c r="BI718" s="948"/>
      <c r="BJ718" s="948"/>
      <c r="BK718" s="948"/>
      <c r="BL718" s="948"/>
      <c r="BM718" s="948"/>
      <c r="BN718" s="948"/>
      <c r="BO718" s="948"/>
      <c r="BP718" s="948"/>
      <c r="BQ718" s="948"/>
      <c r="BR718" s="948"/>
      <c r="BS718" s="948"/>
      <c r="BT718" s="948"/>
      <c r="BU718" s="954"/>
    </row>
    <row r="719" spans="1:73" ht="15.75" customHeight="1" x14ac:dyDescent="0.2">
      <c r="A719" s="947"/>
      <c r="B719" s="947"/>
      <c r="C719" s="947"/>
      <c r="D719" s="948"/>
      <c r="E719" s="948"/>
      <c r="F719" s="948"/>
      <c r="G719" s="948"/>
      <c r="H719" s="948"/>
      <c r="I719" s="948"/>
      <c r="J719" s="948"/>
      <c r="K719" s="949"/>
      <c r="L719" s="949"/>
      <c r="M719" s="949"/>
      <c r="N719" s="950"/>
      <c r="O719" s="948"/>
      <c r="P719" s="948"/>
      <c r="Q719" s="948"/>
      <c r="R719" s="949"/>
      <c r="S719" s="949"/>
      <c r="T719" s="949"/>
      <c r="U719" s="949"/>
      <c r="V719" s="949"/>
      <c r="W719" s="949"/>
      <c r="X719" s="951"/>
      <c r="Y719" s="951"/>
      <c r="Z719" s="952"/>
      <c r="AA719" s="953"/>
      <c r="AB719" s="948"/>
      <c r="AC719" s="948"/>
      <c r="AD719" s="949"/>
      <c r="AE719" s="949"/>
      <c r="AF719" s="949"/>
      <c r="AG719" s="949"/>
      <c r="AH719" s="949"/>
      <c r="AI719" s="949"/>
      <c r="AJ719" s="949"/>
      <c r="AK719" s="949"/>
      <c r="AL719" s="949"/>
      <c r="AM719" s="949"/>
      <c r="AN719" s="949"/>
      <c r="AO719" s="949"/>
      <c r="AP719" s="949"/>
      <c r="AQ719" s="949"/>
      <c r="AR719" s="949"/>
      <c r="AS719" s="949"/>
      <c r="AT719" s="949"/>
      <c r="AU719" s="949"/>
      <c r="AV719" s="949"/>
      <c r="AW719" s="949"/>
      <c r="AX719" s="949"/>
      <c r="AY719" s="949"/>
      <c r="AZ719" s="949"/>
      <c r="BA719" s="949"/>
      <c r="BB719" s="949"/>
      <c r="BC719" s="949"/>
      <c r="BD719" s="949"/>
      <c r="BE719" s="949"/>
      <c r="BF719" s="949"/>
      <c r="BG719" s="948"/>
      <c r="BH719" s="948"/>
      <c r="BI719" s="948"/>
      <c r="BJ719" s="948"/>
      <c r="BK719" s="948"/>
      <c r="BL719" s="948"/>
      <c r="BM719" s="948"/>
      <c r="BN719" s="948"/>
      <c r="BO719" s="948"/>
      <c r="BP719" s="948"/>
      <c r="BQ719" s="948"/>
      <c r="BR719" s="948"/>
      <c r="BS719" s="948"/>
      <c r="BT719" s="948"/>
      <c r="BU719" s="954"/>
    </row>
    <row r="720" spans="1:73" ht="15.75" customHeight="1" x14ac:dyDescent="0.2">
      <c r="A720" s="947"/>
      <c r="B720" s="947"/>
      <c r="C720" s="947"/>
      <c r="D720" s="948"/>
      <c r="E720" s="948"/>
      <c r="F720" s="948"/>
      <c r="G720" s="948"/>
      <c r="H720" s="948"/>
      <c r="I720" s="948"/>
      <c r="J720" s="948"/>
      <c r="K720" s="949"/>
      <c r="L720" s="949"/>
      <c r="M720" s="949"/>
      <c r="N720" s="950"/>
      <c r="O720" s="948"/>
      <c r="P720" s="948"/>
      <c r="Q720" s="948"/>
      <c r="R720" s="949"/>
      <c r="S720" s="949"/>
      <c r="T720" s="949"/>
      <c r="U720" s="949"/>
      <c r="V720" s="949"/>
      <c r="W720" s="949"/>
      <c r="X720" s="951"/>
      <c r="Y720" s="951"/>
      <c r="Z720" s="952"/>
      <c r="AA720" s="953"/>
      <c r="AB720" s="948"/>
      <c r="AC720" s="948"/>
      <c r="AD720" s="949"/>
      <c r="AE720" s="949"/>
      <c r="AF720" s="949"/>
      <c r="AG720" s="949"/>
      <c r="AH720" s="949"/>
      <c r="AI720" s="949"/>
      <c r="AJ720" s="949"/>
      <c r="AK720" s="949"/>
      <c r="AL720" s="949"/>
      <c r="AM720" s="949"/>
      <c r="AN720" s="949"/>
      <c r="AO720" s="949"/>
      <c r="AP720" s="949"/>
      <c r="AQ720" s="949"/>
      <c r="AR720" s="949"/>
      <c r="AS720" s="949"/>
      <c r="AT720" s="949"/>
      <c r="AU720" s="949"/>
      <c r="AV720" s="949"/>
      <c r="AW720" s="949"/>
      <c r="AX720" s="949"/>
      <c r="AY720" s="949"/>
      <c r="AZ720" s="949"/>
      <c r="BA720" s="949"/>
      <c r="BB720" s="949"/>
      <c r="BC720" s="949"/>
      <c r="BD720" s="949"/>
      <c r="BE720" s="949"/>
      <c r="BF720" s="949"/>
      <c r="BG720" s="948"/>
      <c r="BH720" s="948"/>
      <c r="BI720" s="948"/>
      <c r="BJ720" s="948"/>
      <c r="BK720" s="948"/>
      <c r="BL720" s="948"/>
      <c r="BM720" s="948"/>
      <c r="BN720" s="948"/>
      <c r="BO720" s="948"/>
      <c r="BP720" s="948"/>
      <c r="BQ720" s="948"/>
      <c r="BR720" s="948"/>
      <c r="BS720" s="948"/>
      <c r="BT720" s="948"/>
      <c r="BU720" s="954"/>
    </row>
    <row r="721" spans="1:73" ht="15.75" customHeight="1" x14ac:dyDescent="0.2">
      <c r="A721" s="947"/>
      <c r="B721" s="947"/>
      <c r="C721" s="947"/>
      <c r="D721" s="948"/>
      <c r="E721" s="948"/>
      <c r="F721" s="948"/>
      <c r="G721" s="948"/>
      <c r="H721" s="948"/>
      <c r="I721" s="948"/>
      <c r="J721" s="948"/>
      <c r="K721" s="949"/>
      <c r="L721" s="949"/>
      <c r="M721" s="949"/>
      <c r="N721" s="950"/>
      <c r="O721" s="948"/>
      <c r="P721" s="948"/>
      <c r="Q721" s="948"/>
      <c r="R721" s="949"/>
      <c r="S721" s="949"/>
      <c r="T721" s="949"/>
      <c r="U721" s="949"/>
      <c r="V721" s="949"/>
      <c r="W721" s="949"/>
      <c r="X721" s="951"/>
      <c r="Y721" s="951"/>
      <c r="Z721" s="952"/>
      <c r="AA721" s="953"/>
      <c r="AB721" s="948"/>
      <c r="AC721" s="948"/>
      <c r="AD721" s="949"/>
      <c r="AE721" s="949"/>
      <c r="AF721" s="949"/>
      <c r="AG721" s="949"/>
      <c r="AH721" s="949"/>
      <c r="AI721" s="949"/>
      <c r="AJ721" s="949"/>
      <c r="AK721" s="949"/>
      <c r="AL721" s="949"/>
      <c r="AM721" s="949"/>
      <c r="AN721" s="949"/>
      <c r="AO721" s="949"/>
      <c r="AP721" s="949"/>
      <c r="AQ721" s="949"/>
      <c r="AR721" s="949"/>
      <c r="AS721" s="949"/>
      <c r="AT721" s="949"/>
      <c r="AU721" s="949"/>
      <c r="AV721" s="949"/>
      <c r="AW721" s="949"/>
      <c r="AX721" s="949"/>
      <c r="AY721" s="949"/>
      <c r="AZ721" s="949"/>
      <c r="BA721" s="949"/>
      <c r="BB721" s="949"/>
      <c r="BC721" s="949"/>
      <c r="BD721" s="949"/>
      <c r="BE721" s="949"/>
      <c r="BF721" s="949"/>
      <c r="BG721" s="948"/>
      <c r="BH721" s="948"/>
      <c r="BI721" s="948"/>
      <c r="BJ721" s="948"/>
      <c r="BK721" s="948"/>
      <c r="BL721" s="948"/>
      <c r="BM721" s="948"/>
      <c r="BN721" s="948"/>
      <c r="BO721" s="948"/>
      <c r="BP721" s="948"/>
      <c r="BQ721" s="948"/>
      <c r="BR721" s="948"/>
      <c r="BS721" s="948"/>
      <c r="BT721" s="948"/>
      <c r="BU721" s="954"/>
    </row>
    <row r="722" spans="1:73" ht="15.75" customHeight="1" x14ac:dyDescent="0.2">
      <c r="A722" s="947"/>
      <c r="B722" s="947"/>
      <c r="C722" s="947"/>
      <c r="D722" s="948"/>
      <c r="E722" s="948"/>
      <c r="F722" s="948"/>
      <c r="G722" s="948"/>
      <c r="H722" s="948"/>
      <c r="I722" s="948"/>
      <c r="J722" s="948"/>
      <c r="K722" s="949"/>
      <c r="L722" s="949"/>
      <c r="M722" s="949"/>
      <c r="N722" s="950"/>
      <c r="O722" s="948"/>
      <c r="P722" s="948"/>
      <c r="Q722" s="948"/>
      <c r="R722" s="949"/>
      <c r="S722" s="949"/>
      <c r="T722" s="949"/>
      <c r="U722" s="949"/>
      <c r="V722" s="949"/>
      <c r="W722" s="949"/>
      <c r="X722" s="951"/>
      <c r="Y722" s="951"/>
      <c r="Z722" s="952"/>
      <c r="AA722" s="953"/>
      <c r="AB722" s="948"/>
      <c r="AC722" s="948"/>
      <c r="AD722" s="949"/>
      <c r="AE722" s="949"/>
      <c r="AF722" s="949"/>
      <c r="AG722" s="949"/>
      <c r="AH722" s="949"/>
      <c r="AI722" s="949"/>
      <c r="AJ722" s="949"/>
      <c r="AK722" s="949"/>
      <c r="AL722" s="949"/>
      <c r="AM722" s="949"/>
      <c r="AN722" s="949"/>
      <c r="AO722" s="949"/>
      <c r="AP722" s="949"/>
      <c r="AQ722" s="949"/>
      <c r="AR722" s="949"/>
      <c r="AS722" s="949"/>
      <c r="AT722" s="949"/>
      <c r="AU722" s="949"/>
      <c r="AV722" s="949"/>
      <c r="AW722" s="949"/>
      <c r="AX722" s="949"/>
      <c r="AY722" s="949"/>
      <c r="AZ722" s="949"/>
      <c r="BA722" s="949"/>
      <c r="BB722" s="949"/>
      <c r="BC722" s="949"/>
      <c r="BD722" s="949"/>
      <c r="BE722" s="949"/>
      <c r="BF722" s="949"/>
      <c r="BG722" s="948"/>
      <c r="BH722" s="948"/>
      <c r="BI722" s="948"/>
      <c r="BJ722" s="948"/>
      <c r="BK722" s="948"/>
      <c r="BL722" s="948"/>
      <c r="BM722" s="948"/>
      <c r="BN722" s="948"/>
      <c r="BO722" s="948"/>
      <c r="BP722" s="948"/>
      <c r="BQ722" s="948"/>
      <c r="BR722" s="948"/>
      <c r="BS722" s="948"/>
      <c r="BT722" s="948"/>
      <c r="BU722" s="954"/>
    </row>
    <row r="723" spans="1:73" ht="15.75" customHeight="1" x14ac:dyDescent="0.2">
      <c r="A723" s="947"/>
      <c r="B723" s="947"/>
      <c r="C723" s="947"/>
      <c r="D723" s="948"/>
      <c r="E723" s="948"/>
      <c r="F723" s="948"/>
      <c r="G723" s="948"/>
      <c r="H723" s="948"/>
      <c r="I723" s="948"/>
      <c r="J723" s="948"/>
      <c r="K723" s="949"/>
      <c r="L723" s="949"/>
      <c r="M723" s="949"/>
      <c r="N723" s="950"/>
      <c r="O723" s="948"/>
      <c r="P723" s="948"/>
      <c r="Q723" s="948"/>
      <c r="R723" s="949"/>
      <c r="S723" s="949"/>
      <c r="T723" s="949"/>
      <c r="U723" s="949"/>
      <c r="V723" s="949"/>
      <c r="W723" s="949"/>
      <c r="X723" s="951"/>
      <c r="Y723" s="951"/>
      <c r="Z723" s="952"/>
      <c r="AA723" s="953"/>
      <c r="AB723" s="948"/>
      <c r="AC723" s="948"/>
      <c r="AD723" s="949"/>
      <c r="AE723" s="949"/>
      <c r="AF723" s="949"/>
      <c r="AG723" s="949"/>
      <c r="AH723" s="949"/>
      <c r="AI723" s="949"/>
      <c r="AJ723" s="949"/>
      <c r="AK723" s="949"/>
      <c r="AL723" s="949"/>
      <c r="AM723" s="949"/>
      <c r="AN723" s="949"/>
      <c r="AO723" s="949"/>
      <c r="AP723" s="949"/>
      <c r="AQ723" s="949"/>
      <c r="AR723" s="949"/>
      <c r="AS723" s="949"/>
      <c r="AT723" s="949"/>
      <c r="AU723" s="949"/>
      <c r="AV723" s="949"/>
      <c r="AW723" s="949"/>
      <c r="AX723" s="949"/>
      <c r="AY723" s="949"/>
      <c r="AZ723" s="949"/>
      <c r="BA723" s="949"/>
      <c r="BB723" s="949"/>
      <c r="BC723" s="949"/>
      <c r="BD723" s="949"/>
      <c r="BE723" s="949"/>
      <c r="BF723" s="949"/>
      <c r="BG723" s="948"/>
      <c r="BH723" s="948"/>
      <c r="BI723" s="948"/>
      <c r="BJ723" s="948"/>
      <c r="BK723" s="948"/>
      <c r="BL723" s="948"/>
      <c r="BM723" s="948"/>
      <c r="BN723" s="948"/>
      <c r="BO723" s="948"/>
      <c r="BP723" s="948"/>
      <c r="BQ723" s="948"/>
      <c r="BR723" s="948"/>
      <c r="BS723" s="948"/>
      <c r="BT723" s="948"/>
      <c r="BU723" s="954"/>
    </row>
    <row r="724" spans="1:73" ht="15.75" customHeight="1" x14ac:dyDescent="0.2">
      <c r="A724" s="947"/>
      <c r="B724" s="947"/>
      <c r="C724" s="947"/>
      <c r="D724" s="948"/>
      <c r="E724" s="948"/>
      <c r="F724" s="948"/>
      <c r="G724" s="948"/>
      <c r="H724" s="948"/>
      <c r="I724" s="948"/>
      <c r="J724" s="948"/>
      <c r="K724" s="949"/>
      <c r="L724" s="949"/>
      <c r="M724" s="949"/>
      <c r="N724" s="950"/>
      <c r="O724" s="948"/>
      <c r="P724" s="948"/>
      <c r="Q724" s="948"/>
      <c r="R724" s="949"/>
      <c r="S724" s="949"/>
      <c r="T724" s="949"/>
      <c r="U724" s="949"/>
      <c r="V724" s="949"/>
      <c r="W724" s="949"/>
      <c r="X724" s="951"/>
      <c r="Y724" s="951"/>
      <c r="Z724" s="952"/>
      <c r="AA724" s="953"/>
      <c r="AB724" s="948"/>
      <c r="AC724" s="948"/>
      <c r="AD724" s="949"/>
      <c r="AE724" s="949"/>
      <c r="AF724" s="949"/>
      <c r="AG724" s="949"/>
      <c r="AH724" s="949"/>
      <c r="AI724" s="949"/>
      <c r="AJ724" s="949"/>
      <c r="AK724" s="949"/>
      <c r="AL724" s="949"/>
      <c r="AM724" s="949"/>
      <c r="AN724" s="949"/>
      <c r="AO724" s="949"/>
      <c r="AP724" s="949"/>
      <c r="AQ724" s="949"/>
      <c r="AR724" s="949"/>
      <c r="AS724" s="949"/>
      <c r="AT724" s="949"/>
      <c r="AU724" s="949"/>
      <c r="AV724" s="949"/>
      <c r="AW724" s="949"/>
      <c r="AX724" s="949"/>
      <c r="AY724" s="949"/>
      <c r="AZ724" s="949"/>
      <c r="BA724" s="949"/>
      <c r="BB724" s="949"/>
      <c r="BC724" s="949"/>
      <c r="BD724" s="949"/>
      <c r="BE724" s="949"/>
      <c r="BF724" s="949"/>
      <c r="BG724" s="948"/>
      <c r="BH724" s="948"/>
      <c r="BI724" s="948"/>
      <c r="BJ724" s="948"/>
      <c r="BK724" s="948"/>
      <c r="BL724" s="948"/>
      <c r="BM724" s="948"/>
      <c r="BN724" s="948"/>
      <c r="BO724" s="948"/>
      <c r="BP724" s="948"/>
      <c r="BQ724" s="948"/>
      <c r="BR724" s="948"/>
      <c r="BS724" s="948"/>
      <c r="BT724" s="948"/>
      <c r="BU724" s="954"/>
    </row>
    <row r="725" spans="1:73" ht="15.75" customHeight="1" x14ac:dyDescent="0.2">
      <c r="A725" s="947"/>
      <c r="B725" s="947"/>
      <c r="C725" s="947"/>
      <c r="D725" s="948"/>
      <c r="E725" s="948"/>
      <c r="F725" s="948"/>
      <c r="G725" s="948"/>
      <c r="H725" s="948"/>
      <c r="I725" s="948"/>
      <c r="J725" s="948"/>
      <c r="K725" s="949"/>
      <c r="L725" s="949"/>
      <c r="M725" s="949"/>
      <c r="N725" s="950"/>
      <c r="O725" s="948"/>
      <c r="P725" s="948"/>
      <c r="Q725" s="948"/>
      <c r="R725" s="949"/>
      <c r="S725" s="949"/>
      <c r="T725" s="949"/>
      <c r="U725" s="949"/>
      <c r="V725" s="949"/>
      <c r="W725" s="949"/>
      <c r="X725" s="951"/>
      <c r="Y725" s="951"/>
      <c r="Z725" s="952"/>
      <c r="AA725" s="953"/>
      <c r="AB725" s="948"/>
      <c r="AC725" s="948"/>
      <c r="AD725" s="949"/>
      <c r="AE725" s="949"/>
      <c r="AF725" s="949"/>
      <c r="AG725" s="949"/>
      <c r="AH725" s="949"/>
      <c r="AI725" s="949"/>
      <c r="AJ725" s="949"/>
      <c r="AK725" s="949"/>
      <c r="AL725" s="949"/>
      <c r="AM725" s="949"/>
      <c r="AN725" s="949"/>
      <c r="AO725" s="949"/>
      <c r="AP725" s="949"/>
      <c r="AQ725" s="949"/>
      <c r="AR725" s="949"/>
      <c r="AS725" s="949"/>
      <c r="AT725" s="949"/>
      <c r="AU725" s="949"/>
      <c r="AV725" s="949"/>
      <c r="AW725" s="949"/>
      <c r="AX725" s="949"/>
      <c r="AY725" s="949"/>
      <c r="AZ725" s="949"/>
      <c r="BA725" s="949"/>
      <c r="BB725" s="949"/>
      <c r="BC725" s="949"/>
      <c r="BD725" s="949"/>
      <c r="BE725" s="949"/>
      <c r="BF725" s="949"/>
      <c r="BG725" s="948"/>
      <c r="BH725" s="948"/>
      <c r="BI725" s="948"/>
      <c r="BJ725" s="948"/>
      <c r="BK725" s="948"/>
      <c r="BL725" s="948"/>
      <c r="BM725" s="948"/>
      <c r="BN725" s="948"/>
      <c r="BO725" s="948"/>
      <c r="BP725" s="948"/>
      <c r="BQ725" s="948"/>
      <c r="BR725" s="948"/>
      <c r="BS725" s="948"/>
      <c r="BT725" s="948"/>
      <c r="BU725" s="954"/>
    </row>
    <row r="726" spans="1:73" ht="15.75" customHeight="1" x14ac:dyDescent="0.2">
      <c r="A726" s="947"/>
      <c r="B726" s="947"/>
      <c r="C726" s="947"/>
      <c r="D726" s="948"/>
      <c r="E726" s="948"/>
      <c r="F726" s="948"/>
      <c r="G726" s="948"/>
      <c r="H726" s="948"/>
      <c r="I726" s="948"/>
      <c r="J726" s="948"/>
      <c r="K726" s="949"/>
      <c r="L726" s="949"/>
      <c r="M726" s="949"/>
      <c r="N726" s="950"/>
      <c r="O726" s="948"/>
      <c r="P726" s="948"/>
      <c r="Q726" s="948"/>
      <c r="R726" s="949"/>
      <c r="S726" s="949"/>
      <c r="T726" s="949"/>
      <c r="U726" s="949"/>
      <c r="V726" s="949"/>
      <c r="W726" s="949"/>
      <c r="X726" s="951"/>
      <c r="Y726" s="951"/>
      <c r="Z726" s="952"/>
      <c r="AA726" s="953"/>
      <c r="AB726" s="948"/>
      <c r="AC726" s="948"/>
      <c r="AD726" s="949"/>
      <c r="AE726" s="949"/>
      <c r="AF726" s="949"/>
      <c r="AG726" s="949"/>
      <c r="AH726" s="949"/>
      <c r="AI726" s="949"/>
      <c r="AJ726" s="949"/>
      <c r="AK726" s="949"/>
      <c r="AL726" s="949"/>
      <c r="AM726" s="949"/>
      <c r="AN726" s="949"/>
      <c r="AO726" s="949"/>
      <c r="AP726" s="949"/>
      <c r="AQ726" s="949"/>
      <c r="AR726" s="949"/>
      <c r="AS726" s="949"/>
      <c r="AT726" s="949"/>
      <c r="AU726" s="949"/>
      <c r="AV726" s="949"/>
      <c r="AW726" s="949"/>
      <c r="AX726" s="949"/>
      <c r="AY726" s="949"/>
      <c r="AZ726" s="949"/>
      <c r="BA726" s="949"/>
      <c r="BB726" s="949"/>
      <c r="BC726" s="949"/>
      <c r="BD726" s="949"/>
      <c r="BE726" s="949"/>
      <c r="BF726" s="949"/>
      <c r="BG726" s="948"/>
      <c r="BH726" s="948"/>
      <c r="BI726" s="948"/>
      <c r="BJ726" s="948"/>
      <c r="BK726" s="948"/>
      <c r="BL726" s="948"/>
      <c r="BM726" s="948"/>
      <c r="BN726" s="948"/>
      <c r="BO726" s="948"/>
      <c r="BP726" s="948"/>
      <c r="BQ726" s="948"/>
      <c r="BR726" s="948"/>
      <c r="BS726" s="948"/>
      <c r="BT726" s="948"/>
      <c r="BU726" s="954"/>
    </row>
    <row r="727" spans="1:73" ht="15.75" customHeight="1" x14ac:dyDescent="0.2">
      <c r="A727" s="947"/>
      <c r="B727" s="947"/>
      <c r="C727" s="947"/>
      <c r="D727" s="948"/>
      <c r="E727" s="948"/>
      <c r="F727" s="948"/>
      <c r="G727" s="948"/>
      <c r="H727" s="948"/>
      <c r="I727" s="948"/>
      <c r="J727" s="948"/>
      <c r="K727" s="949"/>
      <c r="L727" s="949"/>
      <c r="M727" s="949"/>
      <c r="N727" s="950"/>
      <c r="O727" s="948"/>
      <c r="P727" s="948"/>
      <c r="Q727" s="948"/>
      <c r="R727" s="949"/>
      <c r="S727" s="949"/>
      <c r="T727" s="949"/>
      <c r="U727" s="949"/>
      <c r="V727" s="949"/>
      <c r="W727" s="949"/>
      <c r="X727" s="951"/>
      <c r="Y727" s="951"/>
      <c r="Z727" s="952"/>
      <c r="AA727" s="953"/>
      <c r="AB727" s="948"/>
      <c r="AC727" s="948"/>
      <c r="AD727" s="949"/>
      <c r="AE727" s="949"/>
      <c r="AF727" s="949"/>
      <c r="AG727" s="949"/>
      <c r="AH727" s="949"/>
      <c r="AI727" s="949"/>
      <c r="AJ727" s="949"/>
      <c r="AK727" s="949"/>
      <c r="AL727" s="949"/>
      <c r="AM727" s="949"/>
      <c r="AN727" s="949"/>
      <c r="AO727" s="949"/>
      <c r="AP727" s="949"/>
      <c r="AQ727" s="949"/>
      <c r="AR727" s="949"/>
      <c r="AS727" s="949"/>
      <c r="AT727" s="949"/>
      <c r="AU727" s="949"/>
      <c r="AV727" s="949"/>
      <c r="AW727" s="949"/>
      <c r="AX727" s="949"/>
      <c r="AY727" s="949"/>
      <c r="AZ727" s="949"/>
      <c r="BA727" s="949"/>
      <c r="BB727" s="949"/>
      <c r="BC727" s="949"/>
      <c r="BD727" s="949"/>
      <c r="BE727" s="949"/>
      <c r="BF727" s="949"/>
      <c r="BG727" s="948"/>
      <c r="BH727" s="948"/>
      <c r="BI727" s="948"/>
      <c r="BJ727" s="948"/>
      <c r="BK727" s="948"/>
      <c r="BL727" s="948"/>
      <c r="BM727" s="948"/>
      <c r="BN727" s="948"/>
      <c r="BO727" s="948"/>
      <c r="BP727" s="948"/>
      <c r="BQ727" s="948"/>
      <c r="BR727" s="948"/>
      <c r="BS727" s="948"/>
      <c r="BT727" s="948"/>
      <c r="BU727" s="954"/>
    </row>
    <row r="728" spans="1:73" ht="15.75" customHeight="1" x14ac:dyDescent="0.2">
      <c r="A728" s="947"/>
      <c r="B728" s="947"/>
      <c r="C728" s="947"/>
      <c r="D728" s="948"/>
      <c r="E728" s="948"/>
      <c r="F728" s="948"/>
      <c r="G728" s="948"/>
      <c r="H728" s="948"/>
      <c r="I728" s="948"/>
      <c r="J728" s="948"/>
      <c r="K728" s="949"/>
      <c r="L728" s="949"/>
      <c r="M728" s="949"/>
      <c r="N728" s="950"/>
      <c r="O728" s="948"/>
      <c r="P728" s="948"/>
      <c r="Q728" s="948"/>
      <c r="R728" s="949"/>
      <c r="S728" s="949"/>
      <c r="T728" s="949"/>
      <c r="U728" s="949"/>
      <c r="V728" s="949"/>
      <c r="W728" s="949"/>
      <c r="X728" s="951"/>
      <c r="Y728" s="951"/>
      <c r="Z728" s="952"/>
      <c r="AA728" s="953"/>
      <c r="AB728" s="948"/>
      <c r="AC728" s="948"/>
      <c r="AD728" s="949"/>
      <c r="AE728" s="949"/>
      <c r="AF728" s="949"/>
      <c r="AG728" s="949"/>
      <c r="AH728" s="949"/>
      <c r="AI728" s="949"/>
      <c r="AJ728" s="949"/>
      <c r="AK728" s="949"/>
      <c r="AL728" s="949"/>
      <c r="AM728" s="949"/>
      <c r="AN728" s="949"/>
      <c r="AO728" s="949"/>
      <c r="AP728" s="949"/>
      <c r="AQ728" s="949"/>
      <c r="AR728" s="949"/>
      <c r="AS728" s="949"/>
      <c r="AT728" s="949"/>
      <c r="AU728" s="949"/>
      <c r="AV728" s="949"/>
      <c r="AW728" s="949"/>
      <c r="AX728" s="949"/>
      <c r="AY728" s="949"/>
      <c r="AZ728" s="949"/>
      <c r="BA728" s="949"/>
      <c r="BB728" s="949"/>
      <c r="BC728" s="949"/>
      <c r="BD728" s="949"/>
      <c r="BE728" s="949"/>
      <c r="BF728" s="949"/>
      <c r="BG728" s="948"/>
      <c r="BH728" s="948"/>
      <c r="BI728" s="948"/>
      <c r="BJ728" s="948"/>
      <c r="BK728" s="948"/>
      <c r="BL728" s="948"/>
      <c r="BM728" s="948"/>
      <c r="BN728" s="948"/>
      <c r="BO728" s="948"/>
      <c r="BP728" s="948"/>
      <c r="BQ728" s="948"/>
      <c r="BR728" s="948"/>
      <c r="BS728" s="948"/>
      <c r="BT728" s="948"/>
      <c r="BU728" s="954"/>
    </row>
    <row r="729" spans="1:73" ht="15.75" customHeight="1" x14ac:dyDescent="0.2">
      <c r="A729" s="947"/>
      <c r="B729" s="947"/>
      <c r="C729" s="947"/>
      <c r="D729" s="948"/>
      <c r="E729" s="948"/>
      <c r="F729" s="948"/>
      <c r="G729" s="948"/>
      <c r="H729" s="948"/>
      <c r="I729" s="948"/>
      <c r="J729" s="948"/>
      <c r="K729" s="949"/>
      <c r="L729" s="949"/>
      <c r="M729" s="949"/>
      <c r="N729" s="950"/>
      <c r="O729" s="948"/>
      <c r="P729" s="948"/>
      <c r="Q729" s="948"/>
      <c r="R729" s="949"/>
      <c r="S729" s="949"/>
      <c r="T729" s="949"/>
      <c r="U729" s="949"/>
      <c r="V729" s="949"/>
      <c r="W729" s="949"/>
      <c r="X729" s="951"/>
      <c r="Y729" s="951"/>
      <c r="Z729" s="952"/>
      <c r="AA729" s="953"/>
      <c r="AB729" s="948"/>
      <c r="AC729" s="948"/>
      <c r="AD729" s="949"/>
      <c r="AE729" s="949"/>
      <c r="AF729" s="949"/>
      <c r="AG729" s="949"/>
      <c r="AH729" s="949"/>
      <c r="AI729" s="949"/>
      <c r="AJ729" s="949"/>
      <c r="AK729" s="949"/>
      <c r="AL729" s="949"/>
      <c r="AM729" s="949"/>
      <c r="AN729" s="949"/>
      <c r="AO729" s="949"/>
      <c r="AP729" s="949"/>
      <c r="AQ729" s="949"/>
      <c r="AR729" s="949"/>
      <c r="AS729" s="949"/>
      <c r="AT729" s="949"/>
      <c r="AU729" s="949"/>
      <c r="AV729" s="949"/>
      <c r="AW729" s="949"/>
      <c r="AX729" s="949"/>
      <c r="AY729" s="949"/>
      <c r="AZ729" s="949"/>
      <c r="BA729" s="949"/>
      <c r="BB729" s="949"/>
      <c r="BC729" s="949"/>
      <c r="BD729" s="949"/>
      <c r="BE729" s="949"/>
      <c r="BF729" s="949"/>
      <c r="BG729" s="948"/>
      <c r="BH729" s="948"/>
      <c r="BI729" s="948"/>
      <c r="BJ729" s="948"/>
      <c r="BK729" s="948"/>
      <c r="BL729" s="948"/>
      <c r="BM729" s="948"/>
      <c r="BN729" s="948"/>
      <c r="BO729" s="948"/>
      <c r="BP729" s="948"/>
      <c r="BQ729" s="948"/>
      <c r="BR729" s="948"/>
      <c r="BS729" s="948"/>
      <c r="BT729" s="948"/>
      <c r="BU729" s="954"/>
    </row>
    <row r="730" spans="1:73" ht="15.75" customHeight="1" x14ac:dyDescent="0.2">
      <c r="A730" s="947"/>
      <c r="B730" s="947"/>
      <c r="C730" s="947"/>
      <c r="D730" s="948"/>
      <c r="E730" s="948"/>
      <c r="F730" s="948"/>
      <c r="G730" s="948"/>
      <c r="H730" s="948"/>
      <c r="I730" s="948"/>
      <c r="J730" s="948"/>
      <c r="K730" s="949"/>
      <c r="L730" s="949"/>
      <c r="M730" s="949"/>
      <c r="N730" s="950"/>
      <c r="O730" s="948"/>
      <c r="P730" s="948"/>
      <c r="Q730" s="948"/>
      <c r="R730" s="949"/>
      <c r="S730" s="949"/>
      <c r="T730" s="949"/>
      <c r="U730" s="949"/>
      <c r="V730" s="949"/>
      <c r="W730" s="949"/>
      <c r="X730" s="951"/>
      <c r="Y730" s="951"/>
      <c r="Z730" s="952"/>
      <c r="AA730" s="953"/>
      <c r="AB730" s="948"/>
      <c r="AC730" s="948"/>
      <c r="AD730" s="949"/>
      <c r="AE730" s="949"/>
      <c r="AF730" s="949"/>
      <c r="AG730" s="949"/>
      <c r="AH730" s="949"/>
      <c r="AI730" s="949"/>
      <c r="AJ730" s="949"/>
      <c r="AK730" s="949"/>
      <c r="AL730" s="949"/>
      <c r="AM730" s="949"/>
      <c r="AN730" s="949"/>
      <c r="AO730" s="949"/>
      <c r="AP730" s="949"/>
      <c r="AQ730" s="949"/>
      <c r="AR730" s="949"/>
      <c r="AS730" s="949"/>
      <c r="AT730" s="949"/>
      <c r="AU730" s="949"/>
      <c r="AV730" s="949"/>
      <c r="AW730" s="949"/>
      <c r="AX730" s="949"/>
      <c r="AY730" s="949"/>
      <c r="AZ730" s="949"/>
      <c r="BA730" s="949"/>
      <c r="BB730" s="949"/>
      <c r="BC730" s="949"/>
      <c r="BD730" s="949"/>
      <c r="BE730" s="949"/>
      <c r="BF730" s="949"/>
      <c r="BG730" s="948"/>
      <c r="BH730" s="948"/>
      <c r="BI730" s="948"/>
      <c r="BJ730" s="948"/>
      <c r="BK730" s="948"/>
      <c r="BL730" s="948"/>
      <c r="BM730" s="948"/>
      <c r="BN730" s="948"/>
      <c r="BO730" s="948"/>
      <c r="BP730" s="948"/>
      <c r="BQ730" s="948"/>
      <c r="BR730" s="948"/>
      <c r="BS730" s="948"/>
      <c r="BT730" s="948"/>
      <c r="BU730" s="954"/>
    </row>
    <row r="731" spans="1:73" ht="15.75" customHeight="1" x14ac:dyDescent="0.2">
      <c r="A731" s="947"/>
      <c r="B731" s="947"/>
      <c r="C731" s="947"/>
      <c r="D731" s="948"/>
      <c r="E731" s="948"/>
      <c r="F731" s="948"/>
      <c r="G731" s="948"/>
      <c r="H731" s="948"/>
      <c r="I731" s="948"/>
      <c r="J731" s="948"/>
      <c r="K731" s="949"/>
      <c r="L731" s="949"/>
      <c r="M731" s="949"/>
      <c r="N731" s="950"/>
      <c r="O731" s="948"/>
      <c r="P731" s="948"/>
      <c r="Q731" s="948"/>
      <c r="R731" s="949"/>
      <c r="S731" s="949"/>
      <c r="T731" s="949"/>
      <c r="U731" s="949"/>
      <c r="V731" s="949"/>
      <c r="W731" s="949"/>
      <c r="X731" s="951"/>
      <c r="Y731" s="951"/>
      <c r="Z731" s="952"/>
      <c r="AA731" s="953"/>
      <c r="AB731" s="948"/>
      <c r="AC731" s="948"/>
      <c r="AD731" s="949"/>
      <c r="AE731" s="949"/>
      <c r="AF731" s="949"/>
      <c r="AG731" s="949"/>
      <c r="AH731" s="949"/>
      <c r="AI731" s="949"/>
      <c r="AJ731" s="949"/>
      <c r="AK731" s="949"/>
      <c r="AL731" s="949"/>
      <c r="AM731" s="949"/>
      <c r="AN731" s="949"/>
      <c r="AO731" s="949"/>
      <c r="AP731" s="949"/>
      <c r="AQ731" s="949"/>
      <c r="AR731" s="949"/>
      <c r="AS731" s="949"/>
      <c r="AT731" s="949"/>
      <c r="AU731" s="949"/>
      <c r="AV731" s="949"/>
      <c r="AW731" s="949"/>
      <c r="AX731" s="949"/>
      <c r="AY731" s="949"/>
      <c r="AZ731" s="949"/>
      <c r="BA731" s="949"/>
      <c r="BB731" s="949"/>
      <c r="BC731" s="949"/>
      <c r="BD731" s="949"/>
      <c r="BE731" s="949"/>
      <c r="BF731" s="949"/>
      <c r="BG731" s="948"/>
      <c r="BH731" s="948"/>
      <c r="BI731" s="948"/>
      <c r="BJ731" s="948"/>
      <c r="BK731" s="948"/>
      <c r="BL731" s="948"/>
      <c r="BM731" s="948"/>
      <c r="BN731" s="948"/>
      <c r="BO731" s="948"/>
      <c r="BP731" s="948"/>
      <c r="BQ731" s="948"/>
      <c r="BR731" s="948"/>
      <c r="BS731" s="948"/>
      <c r="BT731" s="948"/>
      <c r="BU731" s="954"/>
    </row>
    <row r="732" spans="1:73" ht="15.75" customHeight="1" x14ac:dyDescent="0.2">
      <c r="A732" s="947"/>
      <c r="B732" s="947"/>
      <c r="C732" s="947"/>
      <c r="D732" s="948"/>
      <c r="E732" s="948"/>
      <c r="F732" s="948"/>
      <c r="G732" s="948"/>
      <c r="H732" s="948"/>
      <c r="I732" s="948"/>
      <c r="J732" s="948"/>
      <c r="K732" s="949"/>
      <c r="L732" s="949"/>
      <c r="M732" s="949"/>
      <c r="N732" s="950"/>
      <c r="O732" s="948"/>
      <c r="P732" s="948"/>
      <c r="Q732" s="948"/>
      <c r="R732" s="949"/>
      <c r="S732" s="949"/>
      <c r="T732" s="949"/>
      <c r="U732" s="949"/>
      <c r="V732" s="949"/>
      <c r="W732" s="949"/>
      <c r="X732" s="951"/>
      <c r="Y732" s="951"/>
      <c r="Z732" s="952"/>
      <c r="AA732" s="953"/>
      <c r="AB732" s="948"/>
      <c r="AC732" s="948"/>
      <c r="AD732" s="949"/>
      <c r="AE732" s="949"/>
      <c r="AF732" s="949"/>
      <c r="AG732" s="949"/>
      <c r="AH732" s="949"/>
      <c r="AI732" s="949"/>
      <c r="AJ732" s="949"/>
      <c r="AK732" s="949"/>
      <c r="AL732" s="949"/>
      <c r="AM732" s="949"/>
      <c r="AN732" s="949"/>
      <c r="AO732" s="949"/>
      <c r="AP732" s="949"/>
      <c r="AQ732" s="949"/>
      <c r="AR732" s="949"/>
      <c r="AS732" s="949"/>
      <c r="AT732" s="949"/>
      <c r="AU732" s="949"/>
      <c r="AV732" s="949"/>
      <c r="AW732" s="949"/>
      <c r="AX732" s="949"/>
      <c r="AY732" s="949"/>
      <c r="AZ732" s="949"/>
      <c r="BA732" s="949"/>
      <c r="BB732" s="949"/>
      <c r="BC732" s="949"/>
      <c r="BD732" s="949"/>
      <c r="BE732" s="949"/>
      <c r="BF732" s="949"/>
      <c r="BG732" s="948"/>
      <c r="BH732" s="948"/>
      <c r="BI732" s="948"/>
      <c r="BJ732" s="948"/>
      <c r="BK732" s="948"/>
      <c r="BL732" s="948"/>
      <c r="BM732" s="948"/>
      <c r="BN732" s="948"/>
      <c r="BO732" s="948"/>
      <c r="BP732" s="948"/>
      <c r="BQ732" s="948"/>
      <c r="BR732" s="948"/>
      <c r="BS732" s="948"/>
      <c r="BT732" s="948"/>
      <c r="BU732" s="954"/>
    </row>
    <row r="733" spans="1:73" ht="15.75" customHeight="1" x14ac:dyDescent="0.2">
      <c r="A733" s="947"/>
      <c r="B733" s="947"/>
      <c r="C733" s="947"/>
      <c r="D733" s="948"/>
      <c r="E733" s="948"/>
      <c r="F733" s="948"/>
      <c r="G733" s="948"/>
      <c r="H733" s="948"/>
      <c r="I733" s="948"/>
      <c r="J733" s="948"/>
      <c r="K733" s="949"/>
      <c r="L733" s="949"/>
      <c r="M733" s="949"/>
      <c r="N733" s="950"/>
      <c r="O733" s="948"/>
      <c r="P733" s="948"/>
      <c r="Q733" s="948"/>
      <c r="R733" s="949"/>
      <c r="S733" s="949"/>
      <c r="T733" s="949"/>
      <c r="U733" s="949"/>
      <c r="V733" s="949"/>
      <c r="W733" s="949"/>
      <c r="X733" s="951"/>
      <c r="Y733" s="951"/>
      <c r="Z733" s="952"/>
      <c r="AA733" s="953"/>
      <c r="AB733" s="948"/>
      <c r="AC733" s="948"/>
      <c r="AD733" s="949"/>
      <c r="AE733" s="949"/>
      <c r="AF733" s="949"/>
      <c r="AG733" s="949"/>
      <c r="AH733" s="949"/>
      <c r="AI733" s="949"/>
      <c r="AJ733" s="949"/>
      <c r="AK733" s="949"/>
      <c r="AL733" s="949"/>
      <c r="AM733" s="949"/>
      <c r="AN733" s="949"/>
      <c r="AO733" s="949"/>
      <c r="AP733" s="949"/>
      <c r="AQ733" s="949"/>
      <c r="AR733" s="949"/>
      <c r="AS733" s="949"/>
      <c r="AT733" s="949"/>
      <c r="AU733" s="949"/>
      <c r="AV733" s="949"/>
      <c r="AW733" s="949"/>
      <c r="AX733" s="949"/>
      <c r="AY733" s="949"/>
      <c r="AZ733" s="949"/>
      <c r="BA733" s="949"/>
      <c r="BB733" s="949"/>
      <c r="BC733" s="949"/>
      <c r="BD733" s="949"/>
      <c r="BE733" s="949"/>
      <c r="BF733" s="949"/>
      <c r="BG733" s="948"/>
      <c r="BH733" s="948"/>
      <c r="BI733" s="948"/>
      <c r="BJ733" s="948"/>
      <c r="BK733" s="948"/>
      <c r="BL733" s="948"/>
      <c r="BM733" s="948"/>
      <c r="BN733" s="948"/>
      <c r="BO733" s="948"/>
      <c r="BP733" s="948"/>
      <c r="BQ733" s="948"/>
      <c r="BR733" s="948"/>
      <c r="BS733" s="948"/>
      <c r="BT733" s="948"/>
      <c r="BU733" s="954"/>
    </row>
    <row r="734" spans="1:73" ht="15.75" customHeight="1" x14ac:dyDescent="0.2">
      <c r="A734" s="947"/>
      <c r="B734" s="947"/>
      <c r="C734" s="947"/>
      <c r="D734" s="948"/>
      <c r="E734" s="948"/>
      <c r="F734" s="948"/>
      <c r="G734" s="948"/>
      <c r="H734" s="948"/>
      <c r="I734" s="948"/>
      <c r="J734" s="948"/>
      <c r="K734" s="949"/>
      <c r="L734" s="949"/>
      <c r="M734" s="949"/>
      <c r="N734" s="950"/>
      <c r="O734" s="948"/>
      <c r="P734" s="948"/>
      <c r="Q734" s="948"/>
      <c r="R734" s="949"/>
      <c r="S734" s="949"/>
      <c r="T734" s="949"/>
      <c r="U734" s="949"/>
      <c r="V734" s="949"/>
      <c r="W734" s="949"/>
      <c r="X734" s="951"/>
      <c r="Y734" s="951"/>
      <c r="Z734" s="952"/>
      <c r="AA734" s="953"/>
      <c r="AB734" s="948"/>
      <c r="AC734" s="948"/>
      <c r="AD734" s="949"/>
      <c r="AE734" s="949"/>
      <c r="AF734" s="949"/>
      <c r="AG734" s="949"/>
      <c r="AH734" s="949"/>
      <c r="AI734" s="949"/>
      <c r="AJ734" s="949"/>
      <c r="AK734" s="949"/>
      <c r="AL734" s="949"/>
      <c r="AM734" s="949"/>
      <c r="AN734" s="949"/>
      <c r="AO734" s="949"/>
      <c r="AP734" s="949"/>
      <c r="AQ734" s="949"/>
      <c r="AR734" s="949"/>
      <c r="AS734" s="949"/>
      <c r="AT734" s="949"/>
      <c r="AU734" s="949"/>
      <c r="AV734" s="949"/>
      <c r="AW734" s="949"/>
      <c r="AX734" s="949"/>
      <c r="AY734" s="949"/>
      <c r="AZ734" s="949"/>
      <c r="BA734" s="949"/>
      <c r="BB734" s="949"/>
      <c r="BC734" s="949"/>
      <c r="BD734" s="949"/>
      <c r="BE734" s="949"/>
      <c r="BF734" s="949"/>
      <c r="BG734" s="948"/>
      <c r="BH734" s="948"/>
      <c r="BI734" s="948"/>
      <c r="BJ734" s="948"/>
      <c r="BK734" s="948"/>
      <c r="BL734" s="948"/>
      <c r="BM734" s="948"/>
      <c r="BN734" s="948"/>
      <c r="BO734" s="948"/>
      <c r="BP734" s="948"/>
      <c r="BQ734" s="948"/>
      <c r="BR734" s="948"/>
      <c r="BS734" s="948"/>
      <c r="BT734" s="948"/>
      <c r="BU734" s="954"/>
    </row>
    <row r="735" spans="1:73" ht="15.75" customHeight="1" x14ac:dyDescent="0.2">
      <c r="A735" s="947"/>
      <c r="B735" s="947"/>
      <c r="C735" s="947"/>
      <c r="D735" s="948"/>
      <c r="E735" s="948"/>
      <c r="F735" s="948"/>
      <c r="G735" s="948"/>
      <c r="H735" s="948"/>
      <c r="I735" s="948"/>
      <c r="J735" s="948"/>
      <c r="K735" s="949"/>
      <c r="L735" s="949"/>
      <c r="M735" s="949"/>
      <c r="N735" s="950"/>
      <c r="O735" s="948"/>
      <c r="P735" s="948"/>
      <c r="Q735" s="948"/>
      <c r="R735" s="949"/>
      <c r="S735" s="949"/>
      <c r="T735" s="949"/>
      <c r="U735" s="949"/>
      <c r="V735" s="949"/>
      <c r="W735" s="949"/>
      <c r="X735" s="951"/>
      <c r="Y735" s="951"/>
      <c r="Z735" s="952"/>
      <c r="AA735" s="953"/>
      <c r="AB735" s="948"/>
      <c r="AC735" s="948"/>
      <c r="AD735" s="949"/>
      <c r="AE735" s="949"/>
      <c r="AF735" s="949"/>
      <c r="AG735" s="949"/>
      <c r="AH735" s="949"/>
      <c r="AI735" s="949"/>
      <c r="AJ735" s="949"/>
      <c r="AK735" s="949"/>
      <c r="AL735" s="949"/>
      <c r="AM735" s="949"/>
      <c r="AN735" s="949"/>
      <c r="AO735" s="949"/>
      <c r="AP735" s="949"/>
      <c r="AQ735" s="949"/>
      <c r="AR735" s="949"/>
      <c r="AS735" s="949"/>
      <c r="AT735" s="949"/>
      <c r="AU735" s="949"/>
      <c r="AV735" s="949"/>
      <c r="AW735" s="949"/>
      <c r="AX735" s="949"/>
      <c r="AY735" s="949"/>
      <c r="AZ735" s="949"/>
      <c r="BA735" s="949"/>
      <c r="BB735" s="949"/>
      <c r="BC735" s="949"/>
      <c r="BD735" s="949"/>
      <c r="BE735" s="949"/>
      <c r="BF735" s="949"/>
      <c r="BG735" s="948"/>
      <c r="BH735" s="948"/>
      <c r="BI735" s="948"/>
      <c r="BJ735" s="948"/>
      <c r="BK735" s="948"/>
      <c r="BL735" s="948"/>
      <c r="BM735" s="948"/>
      <c r="BN735" s="948"/>
      <c r="BO735" s="948"/>
      <c r="BP735" s="948"/>
      <c r="BQ735" s="948"/>
      <c r="BR735" s="948"/>
      <c r="BS735" s="948"/>
      <c r="BT735" s="948"/>
      <c r="BU735" s="954"/>
    </row>
    <row r="736" spans="1:73" ht="15.75" customHeight="1" x14ac:dyDescent="0.2">
      <c r="A736" s="947"/>
      <c r="B736" s="947"/>
      <c r="C736" s="947"/>
      <c r="D736" s="948"/>
      <c r="E736" s="948"/>
      <c r="F736" s="948"/>
      <c r="G736" s="948"/>
      <c r="H736" s="948"/>
      <c r="I736" s="948"/>
      <c r="J736" s="948"/>
      <c r="K736" s="949"/>
      <c r="L736" s="949"/>
      <c r="M736" s="949"/>
      <c r="N736" s="950"/>
      <c r="O736" s="948"/>
      <c r="P736" s="948"/>
      <c r="Q736" s="948"/>
      <c r="R736" s="949"/>
      <c r="S736" s="949"/>
      <c r="T736" s="949"/>
      <c r="U736" s="949"/>
      <c r="V736" s="949"/>
      <c r="W736" s="949"/>
      <c r="X736" s="951"/>
      <c r="Y736" s="951"/>
      <c r="Z736" s="952"/>
      <c r="AA736" s="953"/>
      <c r="AB736" s="948"/>
      <c r="AC736" s="948"/>
      <c r="AD736" s="949"/>
      <c r="AE736" s="949"/>
      <c r="AF736" s="949"/>
      <c r="AG736" s="949"/>
      <c r="AH736" s="949"/>
      <c r="AI736" s="949"/>
      <c r="AJ736" s="949"/>
      <c r="AK736" s="949"/>
      <c r="AL736" s="949"/>
      <c r="AM736" s="949"/>
      <c r="AN736" s="949"/>
      <c r="AO736" s="949"/>
      <c r="AP736" s="949"/>
      <c r="AQ736" s="949"/>
      <c r="AR736" s="949"/>
      <c r="AS736" s="949"/>
      <c r="AT736" s="949"/>
      <c r="AU736" s="949"/>
      <c r="AV736" s="949"/>
      <c r="AW736" s="949"/>
      <c r="AX736" s="949"/>
      <c r="AY736" s="949"/>
      <c r="AZ736" s="949"/>
      <c r="BA736" s="949"/>
      <c r="BB736" s="949"/>
      <c r="BC736" s="949"/>
      <c r="BD736" s="949"/>
      <c r="BE736" s="949"/>
      <c r="BF736" s="949"/>
      <c r="BG736" s="948"/>
      <c r="BH736" s="948"/>
      <c r="BI736" s="948"/>
      <c r="BJ736" s="948"/>
      <c r="BK736" s="948"/>
      <c r="BL736" s="948"/>
      <c r="BM736" s="948"/>
      <c r="BN736" s="948"/>
      <c r="BO736" s="948"/>
      <c r="BP736" s="948"/>
      <c r="BQ736" s="948"/>
      <c r="BR736" s="948"/>
      <c r="BS736" s="948"/>
      <c r="BT736" s="948"/>
      <c r="BU736" s="954"/>
    </row>
    <row r="737" spans="1:73" ht="15.75" customHeight="1" x14ac:dyDescent="0.2">
      <c r="A737" s="947"/>
      <c r="B737" s="947"/>
      <c r="C737" s="947"/>
      <c r="D737" s="948"/>
      <c r="E737" s="948"/>
      <c r="F737" s="948"/>
      <c r="G737" s="948"/>
      <c r="H737" s="948"/>
      <c r="I737" s="948"/>
      <c r="J737" s="948"/>
      <c r="K737" s="949"/>
      <c r="L737" s="949"/>
      <c r="M737" s="949"/>
      <c r="N737" s="950"/>
      <c r="O737" s="948"/>
      <c r="P737" s="948"/>
      <c r="Q737" s="948"/>
      <c r="R737" s="949"/>
      <c r="S737" s="949"/>
      <c r="T737" s="949"/>
      <c r="U737" s="949"/>
      <c r="V737" s="949"/>
      <c r="W737" s="949"/>
      <c r="X737" s="951"/>
      <c r="Y737" s="951"/>
      <c r="Z737" s="952"/>
      <c r="AA737" s="953"/>
      <c r="AB737" s="948"/>
      <c r="AC737" s="948"/>
      <c r="AD737" s="949"/>
      <c r="AE737" s="949"/>
      <c r="AF737" s="949"/>
      <c r="AG737" s="949"/>
      <c r="AH737" s="949"/>
      <c r="AI737" s="949"/>
      <c r="AJ737" s="949"/>
      <c r="AK737" s="949"/>
      <c r="AL737" s="949"/>
      <c r="AM737" s="949"/>
      <c r="AN737" s="949"/>
      <c r="AO737" s="949"/>
      <c r="AP737" s="949"/>
      <c r="AQ737" s="949"/>
      <c r="AR737" s="949"/>
      <c r="AS737" s="949"/>
      <c r="AT737" s="949"/>
      <c r="AU737" s="949"/>
      <c r="AV737" s="949"/>
      <c r="AW737" s="949"/>
      <c r="AX737" s="949"/>
      <c r="AY737" s="949"/>
      <c r="AZ737" s="949"/>
      <c r="BA737" s="949"/>
      <c r="BB737" s="949"/>
      <c r="BC737" s="949"/>
      <c r="BD737" s="949"/>
      <c r="BE737" s="949"/>
      <c r="BF737" s="949"/>
      <c r="BG737" s="948"/>
      <c r="BH737" s="948"/>
      <c r="BI737" s="948"/>
      <c r="BJ737" s="948"/>
      <c r="BK737" s="948"/>
      <c r="BL737" s="948"/>
      <c r="BM737" s="948"/>
      <c r="BN737" s="948"/>
      <c r="BO737" s="948"/>
      <c r="BP737" s="948"/>
      <c r="BQ737" s="948"/>
      <c r="BR737" s="948"/>
      <c r="BS737" s="948"/>
      <c r="BT737" s="948"/>
      <c r="BU737" s="954"/>
    </row>
    <row r="738" spans="1:73" ht="15.75" customHeight="1" x14ac:dyDescent="0.2">
      <c r="A738" s="947"/>
      <c r="B738" s="947"/>
      <c r="C738" s="947"/>
      <c r="D738" s="948"/>
      <c r="E738" s="948"/>
      <c r="F738" s="948"/>
      <c r="G738" s="948"/>
      <c r="H738" s="948"/>
      <c r="I738" s="948"/>
      <c r="J738" s="948"/>
      <c r="K738" s="949"/>
      <c r="L738" s="949"/>
      <c r="M738" s="949"/>
      <c r="N738" s="950"/>
      <c r="O738" s="948"/>
      <c r="P738" s="948"/>
      <c r="Q738" s="948"/>
      <c r="R738" s="949"/>
      <c r="S738" s="949"/>
      <c r="T738" s="949"/>
      <c r="U738" s="949"/>
      <c r="V738" s="949"/>
      <c r="W738" s="949"/>
      <c r="X738" s="951"/>
      <c r="Y738" s="951"/>
      <c r="Z738" s="952"/>
      <c r="AA738" s="953"/>
      <c r="AB738" s="948"/>
      <c r="AC738" s="948"/>
      <c r="AD738" s="949"/>
      <c r="AE738" s="949"/>
      <c r="AF738" s="949"/>
      <c r="AG738" s="949"/>
      <c r="AH738" s="949"/>
      <c r="AI738" s="949"/>
      <c r="AJ738" s="949"/>
      <c r="AK738" s="949"/>
      <c r="AL738" s="949"/>
      <c r="AM738" s="949"/>
      <c r="AN738" s="949"/>
      <c r="AO738" s="949"/>
      <c r="AP738" s="949"/>
      <c r="AQ738" s="949"/>
      <c r="AR738" s="949"/>
      <c r="AS738" s="949"/>
      <c r="AT738" s="949"/>
      <c r="AU738" s="949"/>
      <c r="AV738" s="949"/>
      <c r="AW738" s="949"/>
      <c r="AX738" s="949"/>
      <c r="AY738" s="949"/>
      <c r="AZ738" s="949"/>
      <c r="BA738" s="949"/>
      <c r="BB738" s="949"/>
      <c r="BC738" s="949"/>
      <c r="BD738" s="949"/>
      <c r="BE738" s="949"/>
      <c r="BF738" s="949"/>
      <c r="BG738" s="948"/>
      <c r="BH738" s="948"/>
      <c r="BI738" s="948"/>
      <c r="BJ738" s="948"/>
      <c r="BK738" s="948"/>
      <c r="BL738" s="948"/>
      <c r="BM738" s="948"/>
      <c r="BN738" s="948"/>
      <c r="BO738" s="948"/>
      <c r="BP738" s="948"/>
      <c r="BQ738" s="948"/>
      <c r="BR738" s="948"/>
      <c r="BS738" s="948"/>
      <c r="BT738" s="948"/>
      <c r="BU738" s="954"/>
    </row>
    <row r="739" spans="1:73" ht="15.75" customHeight="1" x14ac:dyDescent="0.2">
      <c r="A739" s="947"/>
      <c r="B739" s="947"/>
      <c r="C739" s="947"/>
      <c r="D739" s="948"/>
      <c r="E739" s="948"/>
      <c r="F739" s="948"/>
      <c r="G739" s="948"/>
      <c r="H739" s="948"/>
      <c r="I739" s="948"/>
      <c r="J739" s="948"/>
      <c r="K739" s="949"/>
      <c r="L739" s="949"/>
      <c r="M739" s="949"/>
      <c r="N739" s="950"/>
      <c r="O739" s="948"/>
      <c r="P739" s="948"/>
      <c r="Q739" s="948"/>
      <c r="R739" s="949"/>
      <c r="S739" s="949"/>
      <c r="T739" s="949"/>
      <c r="U739" s="949"/>
      <c r="V739" s="949"/>
      <c r="W739" s="949"/>
      <c r="X739" s="951"/>
      <c r="Y739" s="951"/>
      <c r="Z739" s="952"/>
      <c r="AA739" s="953"/>
      <c r="AB739" s="948"/>
      <c r="AC739" s="948"/>
      <c r="AD739" s="949"/>
      <c r="AE739" s="949"/>
      <c r="AF739" s="949"/>
      <c r="AG739" s="949"/>
      <c r="AH739" s="949"/>
      <c r="AI739" s="949"/>
      <c r="AJ739" s="949"/>
      <c r="AK739" s="949"/>
      <c r="AL739" s="949"/>
      <c r="AM739" s="949"/>
      <c r="AN739" s="949"/>
      <c r="AO739" s="949"/>
      <c r="AP739" s="949"/>
      <c r="AQ739" s="949"/>
      <c r="AR739" s="949"/>
      <c r="AS739" s="949"/>
      <c r="AT739" s="949"/>
      <c r="AU739" s="949"/>
      <c r="AV739" s="949"/>
      <c r="AW739" s="949"/>
      <c r="AX739" s="949"/>
      <c r="AY739" s="949"/>
      <c r="AZ739" s="949"/>
      <c r="BA739" s="949"/>
      <c r="BB739" s="949"/>
      <c r="BC739" s="949"/>
      <c r="BD739" s="949"/>
      <c r="BE739" s="949"/>
      <c r="BF739" s="949"/>
      <c r="BG739" s="948"/>
      <c r="BH739" s="948"/>
      <c r="BI739" s="948"/>
      <c r="BJ739" s="948"/>
      <c r="BK739" s="948"/>
      <c r="BL739" s="948"/>
      <c r="BM739" s="948"/>
      <c r="BN739" s="948"/>
      <c r="BO739" s="948"/>
      <c r="BP739" s="948"/>
      <c r="BQ739" s="948"/>
      <c r="BR739" s="948"/>
      <c r="BS739" s="948"/>
      <c r="BT739" s="948"/>
      <c r="BU739" s="954"/>
    </row>
    <row r="740" spans="1:73" ht="15.75" customHeight="1" x14ac:dyDescent="0.2">
      <c r="A740" s="947"/>
      <c r="B740" s="947"/>
      <c r="C740" s="947"/>
      <c r="D740" s="948"/>
      <c r="E740" s="948"/>
      <c r="F740" s="948"/>
      <c r="G740" s="948"/>
      <c r="H740" s="948"/>
      <c r="I740" s="948"/>
      <c r="J740" s="948"/>
      <c r="K740" s="949"/>
      <c r="L740" s="949"/>
      <c r="M740" s="949"/>
      <c r="N740" s="950"/>
      <c r="O740" s="948"/>
      <c r="P740" s="948"/>
      <c r="Q740" s="948"/>
      <c r="R740" s="949"/>
      <c r="S740" s="949"/>
      <c r="T740" s="949"/>
      <c r="U740" s="949"/>
      <c r="V740" s="949"/>
      <c r="W740" s="949"/>
      <c r="X740" s="951"/>
      <c r="Y740" s="951"/>
      <c r="Z740" s="952"/>
      <c r="AA740" s="953"/>
      <c r="AB740" s="948"/>
      <c r="AC740" s="948"/>
      <c r="AD740" s="949"/>
      <c r="AE740" s="949"/>
      <c r="AF740" s="949"/>
      <c r="AG740" s="949"/>
      <c r="AH740" s="949"/>
      <c r="AI740" s="949"/>
      <c r="AJ740" s="949"/>
      <c r="AK740" s="949"/>
      <c r="AL740" s="949"/>
      <c r="AM740" s="949"/>
      <c r="AN740" s="949"/>
      <c r="AO740" s="949"/>
      <c r="AP740" s="949"/>
      <c r="AQ740" s="949"/>
      <c r="AR740" s="949"/>
      <c r="AS740" s="949"/>
      <c r="AT740" s="949"/>
      <c r="AU740" s="949"/>
      <c r="AV740" s="949"/>
      <c r="AW740" s="949"/>
      <c r="AX740" s="949"/>
      <c r="AY740" s="949"/>
      <c r="AZ740" s="949"/>
      <c r="BA740" s="949"/>
      <c r="BB740" s="949"/>
      <c r="BC740" s="949"/>
      <c r="BD740" s="949"/>
      <c r="BE740" s="949"/>
      <c r="BF740" s="949"/>
      <c r="BG740" s="948"/>
      <c r="BH740" s="948"/>
      <c r="BI740" s="948"/>
      <c r="BJ740" s="948"/>
      <c r="BK740" s="948"/>
      <c r="BL740" s="948"/>
      <c r="BM740" s="948"/>
      <c r="BN740" s="948"/>
      <c r="BO740" s="948"/>
      <c r="BP740" s="948"/>
      <c r="BQ740" s="948"/>
      <c r="BR740" s="948"/>
      <c r="BS740" s="948"/>
      <c r="BT740" s="948"/>
      <c r="BU740" s="954"/>
    </row>
    <row r="741" spans="1:73" ht="15.75" customHeight="1" x14ac:dyDescent="0.2">
      <c r="A741" s="947"/>
      <c r="B741" s="947"/>
      <c r="C741" s="947"/>
      <c r="D741" s="948"/>
      <c r="E741" s="948"/>
      <c r="F741" s="948"/>
      <c r="G741" s="948"/>
      <c r="H741" s="948"/>
      <c r="I741" s="948"/>
      <c r="J741" s="948"/>
      <c r="K741" s="949"/>
      <c r="L741" s="949"/>
      <c r="M741" s="949"/>
      <c r="N741" s="950"/>
      <c r="O741" s="948"/>
      <c r="P741" s="948"/>
      <c r="Q741" s="948"/>
      <c r="R741" s="949"/>
      <c r="S741" s="949"/>
      <c r="T741" s="949"/>
      <c r="U741" s="949"/>
      <c r="V741" s="949"/>
      <c r="W741" s="949"/>
      <c r="X741" s="951"/>
      <c r="Y741" s="951"/>
      <c r="Z741" s="952"/>
      <c r="AA741" s="953"/>
      <c r="AB741" s="948"/>
      <c r="AC741" s="948"/>
      <c r="AD741" s="949"/>
      <c r="AE741" s="949"/>
      <c r="AF741" s="949"/>
      <c r="AG741" s="949"/>
      <c r="AH741" s="949"/>
      <c r="AI741" s="949"/>
      <c r="AJ741" s="949"/>
      <c r="AK741" s="949"/>
      <c r="AL741" s="949"/>
      <c r="AM741" s="949"/>
      <c r="AN741" s="949"/>
      <c r="AO741" s="949"/>
      <c r="AP741" s="949"/>
      <c r="AQ741" s="949"/>
      <c r="AR741" s="949"/>
      <c r="AS741" s="949"/>
      <c r="AT741" s="949"/>
      <c r="AU741" s="949"/>
      <c r="AV741" s="949"/>
      <c r="AW741" s="949"/>
      <c r="AX741" s="949"/>
      <c r="AY741" s="949"/>
      <c r="AZ741" s="949"/>
      <c r="BA741" s="949"/>
      <c r="BB741" s="949"/>
      <c r="BC741" s="949"/>
      <c r="BD741" s="949"/>
      <c r="BE741" s="949"/>
      <c r="BF741" s="949"/>
      <c r="BG741" s="948"/>
      <c r="BH741" s="948"/>
      <c r="BI741" s="948"/>
      <c r="BJ741" s="948"/>
      <c r="BK741" s="948"/>
      <c r="BL741" s="948"/>
      <c r="BM741" s="948"/>
      <c r="BN741" s="948"/>
      <c r="BO741" s="948"/>
      <c r="BP741" s="948"/>
      <c r="BQ741" s="948"/>
      <c r="BR741" s="948"/>
      <c r="BS741" s="948"/>
      <c r="BT741" s="948"/>
      <c r="BU741" s="954"/>
    </row>
    <row r="742" spans="1:73" ht="15.75" customHeight="1" x14ac:dyDescent="0.2">
      <c r="A742" s="947"/>
      <c r="B742" s="947"/>
      <c r="C742" s="947"/>
      <c r="D742" s="948"/>
      <c r="E742" s="948"/>
      <c r="F742" s="948"/>
      <c r="G742" s="948"/>
      <c r="H742" s="948"/>
      <c r="I742" s="948"/>
      <c r="J742" s="948"/>
      <c r="K742" s="949"/>
      <c r="L742" s="949"/>
      <c r="M742" s="949"/>
      <c r="N742" s="950"/>
      <c r="O742" s="948"/>
      <c r="P742" s="948"/>
      <c r="Q742" s="948"/>
      <c r="R742" s="949"/>
      <c r="S742" s="949"/>
      <c r="T742" s="949"/>
      <c r="U742" s="949"/>
      <c r="V742" s="949"/>
      <c r="W742" s="949"/>
      <c r="X742" s="951"/>
      <c r="Y742" s="951"/>
      <c r="Z742" s="952"/>
      <c r="AA742" s="953"/>
      <c r="AB742" s="948"/>
      <c r="AC742" s="948"/>
      <c r="AD742" s="949"/>
      <c r="AE742" s="949"/>
      <c r="AF742" s="949"/>
      <c r="AG742" s="949"/>
      <c r="AH742" s="949"/>
      <c r="AI742" s="949"/>
      <c r="AJ742" s="949"/>
      <c r="AK742" s="949"/>
      <c r="AL742" s="949"/>
      <c r="AM742" s="949"/>
      <c r="AN742" s="949"/>
      <c r="AO742" s="949"/>
      <c r="AP742" s="949"/>
      <c r="AQ742" s="949"/>
      <c r="AR742" s="949"/>
      <c r="AS742" s="949"/>
      <c r="AT742" s="949"/>
      <c r="AU742" s="949"/>
      <c r="AV742" s="949"/>
      <c r="AW742" s="949"/>
      <c r="AX742" s="949"/>
      <c r="AY742" s="949"/>
      <c r="AZ742" s="949"/>
      <c r="BA742" s="949"/>
      <c r="BB742" s="949"/>
      <c r="BC742" s="949"/>
      <c r="BD742" s="949"/>
      <c r="BE742" s="949"/>
      <c r="BF742" s="949"/>
      <c r="BG742" s="948"/>
      <c r="BH742" s="948"/>
      <c r="BI742" s="948"/>
      <c r="BJ742" s="948"/>
      <c r="BK742" s="948"/>
      <c r="BL742" s="948"/>
      <c r="BM742" s="948"/>
      <c r="BN742" s="948"/>
      <c r="BO742" s="948"/>
      <c r="BP742" s="948"/>
      <c r="BQ742" s="948"/>
      <c r="BR742" s="948"/>
      <c r="BS742" s="948"/>
      <c r="BT742" s="948"/>
      <c r="BU742" s="954"/>
    </row>
    <row r="743" spans="1:73" ht="15.75" customHeight="1" x14ac:dyDescent="0.2">
      <c r="A743" s="947"/>
      <c r="B743" s="947"/>
      <c r="C743" s="947"/>
      <c r="D743" s="948"/>
      <c r="E743" s="948"/>
      <c r="F743" s="948"/>
      <c r="G743" s="948"/>
      <c r="H743" s="948"/>
      <c r="I743" s="948"/>
      <c r="J743" s="948"/>
      <c r="K743" s="949"/>
      <c r="L743" s="949"/>
      <c r="M743" s="949"/>
      <c r="N743" s="950"/>
      <c r="O743" s="948"/>
      <c r="P743" s="948"/>
      <c r="Q743" s="948"/>
      <c r="R743" s="949"/>
      <c r="S743" s="949"/>
      <c r="T743" s="949"/>
      <c r="U743" s="949"/>
      <c r="V743" s="949"/>
      <c r="W743" s="949"/>
      <c r="X743" s="951"/>
      <c r="Y743" s="951"/>
      <c r="Z743" s="952"/>
      <c r="AA743" s="953"/>
      <c r="AB743" s="948"/>
      <c r="AC743" s="948"/>
      <c r="AD743" s="949"/>
      <c r="AE743" s="949"/>
      <c r="AF743" s="949"/>
      <c r="AG743" s="949"/>
      <c r="AH743" s="949"/>
      <c r="AI743" s="949"/>
      <c r="AJ743" s="949"/>
      <c r="AK743" s="949"/>
      <c r="AL743" s="949"/>
      <c r="AM743" s="949"/>
      <c r="AN743" s="949"/>
      <c r="AO743" s="949"/>
      <c r="AP743" s="949"/>
      <c r="AQ743" s="949"/>
      <c r="AR743" s="949"/>
      <c r="AS743" s="949"/>
      <c r="AT743" s="949"/>
      <c r="AU743" s="949"/>
      <c r="AV743" s="949"/>
      <c r="AW743" s="949"/>
      <c r="AX743" s="949"/>
      <c r="AY743" s="949"/>
      <c r="AZ743" s="949"/>
      <c r="BA743" s="949"/>
      <c r="BB743" s="949"/>
      <c r="BC743" s="949"/>
      <c r="BD743" s="949"/>
      <c r="BE743" s="949"/>
      <c r="BF743" s="949"/>
      <c r="BG743" s="948"/>
      <c r="BH743" s="948"/>
      <c r="BI743" s="948"/>
      <c r="BJ743" s="948"/>
      <c r="BK743" s="948"/>
      <c r="BL743" s="948"/>
      <c r="BM743" s="948"/>
      <c r="BN743" s="948"/>
      <c r="BO743" s="948"/>
      <c r="BP743" s="948"/>
      <c r="BQ743" s="948"/>
      <c r="BR743" s="948"/>
      <c r="BS743" s="948"/>
      <c r="BT743" s="948"/>
      <c r="BU743" s="954"/>
    </row>
    <row r="744" spans="1:73" ht="15.75" customHeight="1" x14ac:dyDescent="0.2">
      <c r="A744" s="947"/>
      <c r="B744" s="947"/>
      <c r="C744" s="947"/>
      <c r="D744" s="948"/>
      <c r="E744" s="948"/>
      <c r="F744" s="948"/>
      <c r="G744" s="948"/>
      <c r="H744" s="948"/>
      <c r="I744" s="948"/>
      <c r="J744" s="948"/>
      <c r="K744" s="949"/>
      <c r="L744" s="949"/>
      <c r="M744" s="949"/>
      <c r="N744" s="950"/>
      <c r="O744" s="948"/>
      <c r="P744" s="948"/>
      <c r="Q744" s="948"/>
      <c r="R744" s="949"/>
      <c r="S744" s="949"/>
      <c r="T744" s="949"/>
      <c r="U744" s="949"/>
      <c r="V744" s="949"/>
      <c r="W744" s="949"/>
      <c r="X744" s="951"/>
      <c r="Y744" s="951"/>
      <c r="Z744" s="952"/>
      <c r="AA744" s="953"/>
      <c r="AB744" s="948"/>
      <c r="AC744" s="948"/>
      <c r="AD744" s="949"/>
      <c r="AE744" s="949"/>
      <c r="AF744" s="949"/>
      <c r="AG744" s="949"/>
      <c r="AH744" s="949"/>
      <c r="AI744" s="949"/>
      <c r="AJ744" s="949"/>
      <c r="AK744" s="949"/>
      <c r="AL744" s="949"/>
      <c r="AM744" s="949"/>
      <c r="AN744" s="949"/>
      <c r="AO744" s="949"/>
      <c r="AP744" s="949"/>
      <c r="AQ744" s="949"/>
      <c r="AR744" s="949"/>
      <c r="AS744" s="949"/>
      <c r="AT744" s="949"/>
      <c r="AU744" s="949"/>
      <c r="AV744" s="949"/>
      <c r="AW744" s="949"/>
      <c r="AX744" s="949"/>
      <c r="AY744" s="949"/>
      <c r="AZ744" s="949"/>
      <c r="BA744" s="949"/>
      <c r="BB744" s="949"/>
      <c r="BC744" s="949"/>
      <c r="BD744" s="949"/>
      <c r="BE744" s="949"/>
      <c r="BF744" s="949"/>
      <c r="BG744" s="948"/>
      <c r="BH744" s="948"/>
      <c r="BI744" s="948"/>
      <c r="BJ744" s="948"/>
      <c r="BK744" s="948"/>
      <c r="BL744" s="948"/>
      <c r="BM744" s="948"/>
      <c r="BN744" s="948"/>
      <c r="BO744" s="948"/>
      <c r="BP744" s="948"/>
      <c r="BQ744" s="948"/>
      <c r="BR744" s="948"/>
      <c r="BS744" s="948"/>
      <c r="BT744" s="948"/>
      <c r="BU744" s="954"/>
    </row>
    <row r="745" spans="1:73" ht="15.75" customHeight="1" x14ac:dyDescent="0.2">
      <c r="A745" s="947"/>
      <c r="B745" s="947"/>
      <c r="C745" s="947"/>
      <c r="D745" s="948"/>
      <c r="E745" s="948"/>
      <c r="F745" s="948"/>
      <c r="G745" s="948"/>
      <c r="H745" s="948"/>
      <c r="I745" s="948"/>
      <c r="J745" s="948"/>
      <c r="K745" s="949"/>
      <c r="L745" s="949"/>
      <c r="M745" s="949"/>
      <c r="N745" s="950"/>
      <c r="O745" s="948"/>
      <c r="P745" s="948"/>
      <c r="Q745" s="948"/>
      <c r="R745" s="949"/>
      <c r="S745" s="949"/>
      <c r="T745" s="949"/>
      <c r="U745" s="949"/>
      <c r="V745" s="949"/>
      <c r="W745" s="949"/>
      <c r="X745" s="951"/>
      <c r="Y745" s="951"/>
      <c r="Z745" s="952"/>
      <c r="AA745" s="953"/>
      <c r="AB745" s="948"/>
      <c r="AC745" s="948"/>
      <c r="AD745" s="949"/>
      <c r="AE745" s="949"/>
      <c r="AF745" s="949"/>
      <c r="AG745" s="949"/>
      <c r="AH745" s="949"/>
      <c r="AI745" s="949"/>
      <c r="AJ745" s="949"/>
      <c r="AK745" s="949"/>
      <c r="AL745" s="949"/>
      <c r="AM745" s="949"/>
      <c r="AN745" s="949"/>
      <c r="AO745" s="949"/>
      <c r="AP745" s="949"/>
      <c r="AQ745" s="949"/>
      <c r="AR745" s="949"/>
      <c r="AS745" s="949"/>
      <c r="AT745" s="949"/>
      <c r="AU745" s="949"/>
      <c r="AV745" s="949"/>
      <c r="AW745" s="949"/>
      <c r="AX745" s="949"/>
      <c r="AY745" s="949"/>
      <c r="AZ745" s="949"/>
      <c r="BA745" s="949"/>
      <c r="BB745" s="949"/>
      <c r="BC745" s="949"/>
      <c r="BD745" s="949"/>
      <c r="BE745" s="949"/>
      <c r="BF745" s="949"/>
      <c r="BG745" s="948"/>
      <c r="BH745" s="948"/>
      <c r="BI745" s="948"/>
      <c r="BJ745" s="948"/>
      <c r="BK745" s="948"/>
      <c r="BL745" s="948"/>
      <c r="BM745" s="948"/>
      <c r="BN745" s="948"/>
      <c r="BO745" s="948"/>
      <c r="BP745" s="948"/>
      <c r="BQ745" s="948"/>
      <c r="BR745" s="948"/>
      <c r="BS745" s="948"/>
      <c r="BT745" s="948"/>
      <c r="BU745" s="954"/>
    </row>
    <row r="746" spans="1:73" ht="15.75" customHeight="1" x14ac:dyDescent="0.2">
      <c r="A746" s="947"/>
      <c r="B746" s="947"/>
      <c r="C746" s="947"/>
      <c r="D746" s="948"/>
      <c r="E746" s="948"/>
      <c r="F746" s="948"/>
      <c r="G746" s="948"/>
      <c r="H746" s="948"/>
      <c r="I746" s="948"/>
      <c r="J746" s="948"/>
      <c r="K746" s="949"/>
      <c r="L746" s="949"/>
      <c r="M746" s="949"/>
      <c r="N746" s="950"/>
      <c r="O746" s="948"/>
      <c r="P746" s="948"/>
      <c r="Q746" s="948"/>
      <c r="R746" s="949"/>
      <c r="S746" s="949"/>
      <c r="T746" s="949"/>
      <c r="U746" s="949"/>
      <c r="V746" s="949"/>
      <c r="W746" s="949"/>
      <c r="X746" s="951"/>
      <c r="Y746" s="951"/>
      <c r="Z746" s="952"/>
      <c r="AA746" s="953"/>
      <c r="AB746" s="948"/>
      <c r="AC746" s="948"/>
      <c r="AD746" s="949"/>
      <c r="AE746" s="949"/>
      <c r="AF746" s="949"/>
      <c r="AG746" s="949"/>
      <c r="AH746" s="949"/>
      <c r="AI746" s="949"/>
      <c r="AJ746" s="949"/>
      <c r="AK746" s="949"/>
      <c r="AL746" s="949"/>
      <c r="AM746" s="949"/>
      <c r="AN746" s="949"/>
      <c r="AO746" s="949"/>
      <c r="AP746" s="949"/>
      <c r="AQ746" s="949"/>
      <c r="AR746" s="949"/>
      <c r="AS746" s="949"/>
      <c r="AT746" s="949"/>
      <c r="AU746" s="949"/>
      <c r="AV746" s="949"/>
      <c r="AW746" s="949"/>
      <c r="AX746" s="949"/>
      <c r="AY746" s="949"/>
      <c r="AZ746" s="949"/>
      <c r="BA746" s="949"/>
      <c r="BB746" s="949"/>
      <c r="BC746" s="949"/>
      <c r="BD746" s="949"/>
      <c r="BE746" s="949"/>
      <c r="BF746" s="949"/>
      <c r="BG746" s="948"/>
      <c r="BH746" s="948"/>
      <c r="BI746" s="948"/>
      <c r="BJ746" s="948"/>
      <c r="BK746" s="948"/>
      <c r="BL746" s="948"/>
      <c r="BM746" s="948"/>
      <c r="BN746" s="948"/>
      <c r="BO746" s="948"/>
      <c r="BP746" s="948"/>
      <c r="BQ746" s="948"/>
      <c r="BR746" s="948"/>
      <c r="BS746" s="948"/>
      <c r="BT746" s="948"/>
      <c r="BU746" s="954"/>
    </row>
    <row r="747" spans="1:73" ht="15.75" customHeight="1" x14ac:dyDescent="0.2">
      <c r="A747" s="947"/>
      <c r="B747" s="947"/>
      <c r="C747" s="947"/>
      <c r="D747" s="948"/>
      <c r="E747" s="948"/>
      <c r="F747" s="948"/>
      <c r="G747" s="948"/>
      <c r="H747" s="948"/>
      <c r="I747" s="948"/>
      <c r="J747" s="948"/>
      <c r="K747" s="949"/>
      <c r="L747" s="949"/>
      <c r="M747" s="949"/>
      <c r="N747" s="950"/>
      <c r="O747" s="948"/>
      <c r="P747" s="948"/>
      <c r="Q747" s="948"/>
      <c r="R747" s="949"/>
      <c r="S747" s="949"/>
      <c r="T747" s="949"/>
      <c r="U747" s="949"/>
      <c r="V747" s="949"/>
      <c r="W747" s="949"/>
      <c r="X747" s="951"/>
      <c r="Y747" s="951"/>
      <c r="Z747" s="952"/>
      <c r="AA747" s="953"/>
      <c r="AB747" s="948"/>
      <c r="AC747" s="948"/>
      <c r="AD747" s="949"/>
      <c r="AE747" s="949"/>
      <c r="AF747" s="949"/>
      <c r="AG747" s="949"/>
      <c r="AH747" s="949"/>
      <c r="AI747" s="949"/>
      <c r="AJ747" s="949"/>
      <c r="AK747" s="949"/>
      <c r="AL747" s="949"/>
      <c r="AM747" s="949"/>
      <c r="AN747" s="949"/>
      <c r="AO747" s="949"/>
      <c r="AP747" s="949"/>
      <c r="AQ747" s="949"/>
      <c r="AR747" s="949"/>
      <c r="AS747" s="949"/>
      <c r="AT747" s="949"/>
      <c r="AU747" s="949"/>
      <c r="AV747" s="949"/>
      <c r="AW747" s="949"/>
      <c r="AX747" s="949"/>
      <c r="AY747" s="949"/>
      <c r="AZ747" s="949"/>
      <c r="BA747" s="949"/>
      <c r="BB747" s="949"/>
      <c r="BC747" s="949"/>
      <c r="BD747" s="949"/>
      <c r="BE747" s="949"/>
      <c r="BF747" s="949"/>
      <c r="BG747" s="948"/>
      <c r="BH747" s="948"/>
      <c r="BI747" s="948"/>
      <c r="BJ747" s="948"/>
      <c r="BK747" s="948"/>
      <c r="BL747" s="948"/>
      <c r="BM747" s="948"/>
      <c r="BN747" s="948"/>
      <c r="BO747" s="948"/>
      <c r="BP747" s="948"/>
      <c r="BQ747" s="948"/>
      <c r="BR747" s="948"/>
      <c r="BS747" s="948"/>
      <c r="BT747" s="948"/>
      <c r="BU747" s="954"/>
    </row>
    <row r="748" spans="1:73" ht="15.75" customHeight="1" x14ac:dyDescent="0.2">
      <c r="A748" s="947"/>
      <c r="B748" s="947"/>
      <c r="C748" s="947"/>
      <c r="D748" s="948"/>
      <c r="E748" s="948"/>
      <c r="F748" s="948"/>
      <c r="G748" s="948"/>
      <c r="H748" s="948"/>
      <c r="I748" s="948"/>
      <c r="J748" s="948"/>
      <c r="K748" s="949"/>
      <c r="L748" s="949"/>
      <c r="M748" s="949"/>
      <c r="N748" s="950"/>
      <c r="O748" s="948"/>
      <c r="P748" s="948"/>
      <c r="Q748" s="948"/>
      <c r="R748" s="949"/>
      <c r="S748" s="949"/>
      <c r="T748" s="949"/>
      <c r="U748" s="949"/>
      <c r="V748" s="949"/>
      <c r="W748" s="949"/>
      <c r="X748" s="951"/>
      <c r="Y748" s="951"/>
      <c r="Z748" s="952"/>
      <c r="AA748" s="953"/>
      <c r="AB748" s="948"/>
      <c r="AC748" s="948"/>
      <c r="AD748" s="949"/>
      <c r="AE748" s="949"/>
      <c r="AF748" s="949"/>
      <c r="AG748" s="949"/>
      <c r="AH748" s="949"/>
      <c r="AI748" s="949"/>
      <c r="AJ748" s="949"/>
      <c r="AK748" s="949"/>
      <c r="AL748" s="949"/>
      <c r="AM748" s="949"/>
      <c r="AN748" s="949"/>
      <c r="AO748" s="949"/>
      <c r="AP748" s="949"/>
      <c r="AQ748" s="949"/>
      <c r="AR748" s="949"/>
      <c r="AS748" s="949"/>
      <c r="AT748" s="949"/>
      <c r="AU748" s="949"/>
      <c r="AV748" s="949"/>
      <c r="AW748" s="949"/>
      <c r="AX748" s="949"/>
      <c r="AY748" s="949"/>
      <c r="AZ748" s="949"/>
      <c r="BA748" s="949"/>
      <c r="BB748" s="949"/>
      <c r="BC748" s="949"/>
      <c r="BD748" s="949"/>
      <c r="BE748" s="949"/>
      <c r="BF748" s="949"/>
      <c r="BG748" s="948"/>
      <c r="BH748" s="948"/>
      <c r="BI748" s="948"/>
      <c r="BJ748" s="948"/>
      <c r="BK748" s="948"/>
      <c r="BL748" s="948"/>
      <c r="BM748" s="948"/>
      <c r="BN748" s="948"/>
      <c r="BO748" s="948"/>
      <c r="BP748" s="948"/>
      <c r="BQ748" s="948"/>
      <c r="BR748" s="948"/>
      <c r="BS748" s="948"/>
      <c r="BT748" s="948"/>
      <c r="BU748" s="954"/>
    </row>
    <row r="749" spans="1:73" ht="15.75" customHeight="1" x14ac:dyDescent="0.2">
      <c r="A749" s="947"/>
      <c r="B749" s="947"/>
      <c r="C749" s="947"/>
      <c r="D749" s="948"/>
      <c r="E749" s="948"/>
      <c r="F749" s="948"/>
      <c r="G749" s="948"/>
      <c r="H749" s="948"/>
      <c r="I749" s="948"/>
      <c r="J749" s="948"/>
      <c r="K749" s="949"/>
      <c r="L749" s="949"/>
      <c r="M749" s="949"/>
      <c r="N749" s="950"/>
      <c r="O749" s="948"/>
      <c r="P749" s="948"/>
      <c r="Q749" s="948"/>
      <c r="R749" s="949"/>
      <c r="S749" s="949"/>
      <c r="T749" s="949"/>
      <c r="U749" s="949"/>
      <c r="V749" s="949"/>
      <c r="W749" s="949"/>
      <c r="X749" s="951"/>
      <c r="Y749" s="951"/>
      <c r="Z749" s="952"/>
      <c r="AA749" s="953"/>
      <c r="AB749" s="948"/>
      <c r="AC749" s="948"/>
      <c r="AD749" s="949"/>
      <c r="AE749" s="949"/>
      <c r="AF749" s="949"/>
      <c r="AG749" s="949"/>
      <c r="AH749" s="949"/>
      <c r="AI749" s="949"/>
      <c r="AJ749" s="949"/>
      <c r="AK749" s="949"/>
      <c r="AL749" s="949"/>
      <c r="AM749" s="949"/>
      <c r="AN749" s="949"/>
      <c r="AO749" s="949"/>
      <c r="AP749" s="949"/>
      <c r="AQ749" s="949"/>
      <c r="AR749" s="949"/>
      <c r="AS749" s="949"/>
      <c r="AT749" s="949"/>
      <c r="AU749" s="949"/>
      <c r="AV749" s="949"/>
      <c r="AW749" s="949"/>
      <c r="AX749" s="949"/>
      <c r="AY749" s="949"/>
      <c r="AZ749" s="949"/>
      <c r="BA749" s="949"/>
      <c r="BB749" s="949"/>
      <c r="BC749" s="949"/>
      <c r="BD749" s="949"/>
      <c r="BE749" s="949"/>
      <c r="BF749" s="949"/>
      <c r="BG749" s="948"/>
      <c r="BH749" s="948"/>
      <c r="BI749" s="948"/>
      <c r="BJ749" s="948"/>
      <c r="BK749" s="948"/>
      <c r="BL749" s="948"/>
      <c r="BM749" s="948"/>
      <c r="BN749" s="948"/>
      <c r="BO749" s="948"/>
      <c r="BP749" s="948"/>
      <c r="BQ749" s="948"/>
      <c r="BR749" s="948"/>
      <c r="BS749" s="948"/>
      <c r="BT749" s="948"/>
      <c r="BU749" s="954"/>
    </row>
    <row r="750" spans="1:73" ht="15.75" customHeight="1" x14ac:dyDescent="0.2">
      <c r="A750" s="947"/>
      <c r="B750" s="947"/>
      <c r="C750" s="947"/>
      <c r="D750" s="948"/>
      <c r="E750" s="948"/>
      <c r="F750" s="948"/>
      <c r="G750" s="948"/>
      <c r="H750" s="948"/>
      <c r="I750" s="948"/>
      <c r="J750" s="948"/>
      <c r="K750" s="949"/>
      <c r="L750" s="949"/>
      <c r="M750" s="949"/>
      <c r="N750" s="950"/>
      <c r="O750" s="948"/>
      <c r="P750" s="948"/>
      <c r="Q750" s="948"/>
      <c r="R750" s="949"/>
      <c r="S750" s="949"/>
      <c r="T750" s="949"/>
      <c r="U750" s="949"/>
      <c r="V750" s="949"/>
      <c r="W750" s="949"/>
      <c r="X750" s="951"/>
      <c r="Y750" s="951"/>
      <c r="Z750" s="952"/>
      <c r="AA750" s="953"/>
      <c r="AB750" s="948"/>
      <c r="AC750" s="948"/>
      <c r="AD750" s="949"/>
      <c r="AE750" s="949"/>
      <c r="AF750" s="949"/>
      <c r="AG750" s="949"/>
      <c r="AH750" s="949"/>
      <c r="AI750" s="949"/>
      <c r="AJ750" s="949"/>
      <c r="AK750" s="949"/>
      <c r="AL750" s="949"/>
      <c r="AM750" s="949"/>
      <c r="AN750" s="949"/>
      <c r="AO750" s="949"/>
      <c r="AP750" s="949"/>
      <c r="AQ750" s="949"/>
      <c r="AR750" s="949"/>
      <c r="AS750" s="949"/>
      <c r="AT750" s="949"/>
      <c r="AU750" s="949"/>
      <c r="AV750" s="949"/>
      <c r="AW750" s="949"/>
      <c r="AX750" s="949"/>
      <c r="AY750" s="949"/>
      <c r="AZ750" s="949"/>
      <c r="BA750" s="949"/>
      <c r="BB750" s="949"/>
      <c r="BC750" s="949"/>
      <c r="BD750" s="949"/>
      <c r="BE750" s="949"/>
      <c r="BF750" s="949"/>
      <c r="BG750" s="948"/>
      <c r="BH750" s="948"/>
      <c r="BI750" s="948"/>
      <c r="BJ750" s="948"/>
      <c r="BK750" s="948"/>
      <c r="BL750" s="948"/>
      <c r="BM750" s="948"/>
      <c r="BN750" s="948"/>
      <c r="BO750" s="948"/>
      <c r="BP750" s="948"/>
      <c r="BQ750" s="948"/>
      <c r="BR750" s="948"/>
      <c r="BS750" s="948"/>
      <c r="BT750" s="948"/>
      <c r="BU750" s="954"/>
    </row>
    <row r="751" spans="1:73" ht="15.75" customHeight="1" x14ac:dyDescent="0.2">
      <c r="A751" s="947"/>
      <c r="B751" s="947"/>
      <c r="C751" s="947"/>
      <c r="D751" s="948"/>
      <c r="E751" s="948"/>
      <c r="F751" s="948"/>
      <c r="G751" s="948"/>
      <c r="H751" s="948"/>
      <c r="I751" s="948"/>
      <c r="J751" s="948"/>
      <c r="K751" s="949"/>
      <c r="L751" s="949"/>
      <c r="M751" s="949"/>
      <c r="N751" s="950"/>
      <c r="O751" s="948"/>
      <c r="P751" s="948"/>
      <c r="Q751" s="948"/>
      <c r="R751" s="949"/>
      <c r="S751" s="949"/>
      <c r="T751" s="949"/>
      <c r="U751" s="949"/>
      <c r="V751" s="949"/>
      <c r="W751" s="949"/>
      <c r="X751" s="951"/>
      <c r="Y751" s="951"/>
      <c r="Z751" s="952"/>
      <c r="AA751" s="953"/>
      <c r="AB751" s="948"/>
      <c r="AC751" s="948"/>
      <c r="AD751" s="949"/>
      <c r="AE751" s="949"/>
      <c r="AF751" s="949"/>
      <c r="AG751" s="949"/>
      <c r="AH751" s="949"/>
      <c r="AI751" s="949"/>
      <c r="AJ751" s="949"/>
      <c r="AK751" s="949"/>
      <c r="AL751" s="949"/>
      <c r="AM751" s="949"/>
      <c r="AN751" s="949"/>
      <c r="AO751" s="949"/>
      <c r="AP751" s="949"/>
      <c r="AQ751" s="949"/>
      <c r="AR751" s="949"/>
      <c r="AS751" s="949"/>
      <c r="AT751" s="949"/>
      <c r="AU751" s="949"/>
      <c r="AV751" s="949"/>
      <c r="AW751" s="949"/>
      <c r="AX751" s="949"/>
      <c r="AY751" s="949"/>
      <c r="AZ751" s="949"/>
      <c r="BA751" s="949"/>
      <c r="BB751" s="949"/>
      <c r="BC751" s="949"/>
      <c r="BD751" s="949"/>
      <c r="BE751" s="949"/>
      <c r="BF751" s="949"/>
      <c r="BG751" s="948"/>
      <c r="BH751" s="948"/>
      <c r="BI751" s="948"/>
      <c r="BJ751" s="948"/>
      <c r="BK751" s="948"/>
      <c r="BL751" s="948"/>
      <c r="BM751" s="948"/>
      <c r="BN751" s="948"/>
      <c r="BO751" s="948"/>
      <c r="BP751" s="948"/>
      <c r="BQ751" s="948"/>
      <c r="BR751" s="948"/>
      <c r="BS751" s="948"/>
      <c r="BT751" s="948"/>
      <c r="BU751" s="954"/>
    </row>
    <row r="752" spans="1:73" ht="15.75" customHeight="1" x14ac:dyDescent="0.2">
      <c r="A752" s="947"/>
      <c r="B752" s="947"/>
      <c r="C752" s="947"/>
      <c r="D752" s="948"/>
      <c r="E752" s="948"/>
      <c r="F752" s="948"/>
      <c r="G752" s="948"/>
      <c r="H752" s="948"/>
      <c r="I752" s="948"/>
      <c r="J752" s="948"/>
      <c r="K752" s="949"/>
      <c r="L752" s="949"/>
      <c r="M752" s="949"/>
      <c r="N752" s="950"/>
      <c r="O752" s="948"/>
      <c r="P752" s="948"/>
      <c r="Q752" s="948"/>
      <c r="R752" s="949"/>
      <c r="S752" s="949"/>
      <c r="T752" s="949"/>
      <c r="U752" s="949"/>
      <c r="V752" s="949"/>
      <c r="W752" s="949"/>
      <c r="X752" s="951"/>
      <c r="Y752" s="951"/>
      <c r="Z752" s="952"/>
      <c r="AA752" s="953"/>
      <c r="AB752" s="948"/>
      <c r="AC752" s="948"/>
      <c r="AD752" s="949"/>
      <c r="AE752" s="949"/>
      <c r="AF752" s="949"/>
      <c r="AG752" s="949"/>
      <c r="AH752" s="949"/>
      <c r="AI752" s="949"/>
      <c r="AJ752" s="949"/>
      <c r="AK752" s="949"/>
      <c r="AL752" s="949"/>
      <c r="AM752" s="949"/>
      <c r="AN752" s="949"/>
      <c r="AO752" s="949"/>
      <c r="AP752" s="949"/>
      <c r="AQ752" s="949"/>
      <c r="AR752" s="949"/>
      <c r="AS752" s="949"/>
      <c r="AT752" s="949"/>
      <c r="AU752" s="949"/>
      <c r="AV752" s="949"/>
      <c r="AW752" s="949"/>
      <c r="AX752" s="949"/>
      <c r="AY752" s="949"/>
      <c r="AZ752" s="949"/>
      <c r="BA752" s="949"/>
      <c r="BB752" s="949"/>
      <c r="BC752" s="949"/>
      <c r="BD752" s="949"/>
      <c r="BE752" s="949"/>
      <c r="BF752" s="949"/>
      <c r="BG752" s="948"/>
      <c r="BH752" s="948"/>
      <c r="BI752" s="948"/>
      <c r="BJ752" s="948"/>
      <c r="BK752" s="948"/>
      <c r="BL752" s="948"/>
      <c r="BM752" s="948"/>
      <c r="BN752" s="948"/>
      <c r="BO752" s="948"/>
      <c r="BP752" s="948"/>
      <c r="BQ752" s="948"/>
      <c r="BR752" s="948"/>
      <c r="BS752" s="948"/>
      <c r="BT752" s="948"/>
      <c r="BU752" s="954"/>
    </row>
    <row r="753" spans="1:73" ht="15.75" customHeight="1" x14ac:dyDescent="0.2">
      <c r="A753" s="947"/>
      <c r="B753" s="947"/>
      <c r="C753" s="947"/>
      <c r="D753" s="948"/>
      <c r="E753" s="948"/>
      <c r="F753" s="948"/>
      <c r="G753" s="948"/>
      <c r="H753" s="948"/>
      <c r="I753" s="948"/>
      <c r="J753" s="948"/>
      <c r="K753" s="949"/>
      <c r="L753" s="949"/>
      <c r="M753" s="949"/>
      <c r="N753" s="950"/>
      <c r="O753" s="948"/>
      <c r="P753" s="948"/>
      <c r="Q753" s="948"/>
      <c r="R753" s="949"/>
      <c r="S753" s="949"/>
      <c r="T753" s="949"/>
      <c r="U753" s="949"/>
      <c r="V753" s="949"/>
      <c r="W753" s="949"/>
      <c r="X753" s="951"/>
      <c r="Y753" s="951"/>
      <c r="Z753" s="952"/>
      <c r="AA753" s="953"/>
      <c r="AB753" s="948"/>
      <c r="AC753" s="948"/>
      <c r="AD753" s="949"/>
      <c r="AE753" s="949"/>
      <c r="AF753" s="949"/>
      <c r="AG753" s="949"/>
      <c r="AH753" s="949"/>
      <c r="AI753" s="949"/>
      <c r="AJ753" s="949"/>
      <c r="AK753" s="949"/>
      <c r="AL753" s="949"/>
      <c r="AM753" s="949"/>
      <c r="AN753" s="949"/>
      <c r="AO753" s="949"/>
      <c r="AP753" s="949"/>
      <c r="AQ753" s="949"/>
      <c r="AR753" s="949"/>
      <c r="AS753" s="949"/>
      <c r="AT753" s="949"/>
      <c r="AU753" s="949"/>
      <c r="AV753" s="949"/>
      <c r="AW753" s="949"/>
      <c r="AX753" s="949"/>
      <c r="AY753" s="949"/>
      <c r="AZ753" s="949"/>
      <c r="BA753" s="949"/>
      <c r="BB753" s="949"/>
      <c r="BC753" s="949"/>
      <c r="BD753" s="949"/>
      <c r="BE753" s="949"/>
      <c r="BF753" s="949"/>
      <c r="BG753" s="948"/>
      <c r="BH753" s="948"/>
      <c r="BI753" s="948"/>
      <c r="BJ753" s="948"/>
      <c r="BK753" s="948"/>
      <c r="BL753" s="948"/>
      <c r="BM753" s="948"/>
      <c r="BN753" s="948"/>
      <c r="BO753" s="948"/>
      <c r="BP753" s="948"/>
      <c r="BQ753" s="948"/>
      <c r="BR753" s="948"/>
      <c r="BS753" s="948"/>
      <c r="BT753" s="948"/>
      <c r="BU753" s="954"/>
    </row>
    <row r="754" spans="1:73" ht="15.75" customHeight="1" x14ac:dyDescent="0.2">
      <c r="A754" s="947"/>
      <c r="B754" s="947"/>
      <c r="C754" s="947"/>
      <c r="D754" s="948"/>
      <c r="E754" s="948"/>
      <c r="F754" s="948"/>
      <c r="G754" s="948"/>
      <c r="H754" s="948"/>
      <c r="I754" s="948"/>
      <c r="J754" s="948"/>
      <c r="K754" s="949"/>
      <c r="L754" s="949"/>
      <c r="M754" s="949"/>
      <c r="N754" s="950"/>
      <c r="O754" s="948"/>
      <c r="P754" s="948"/>
      <c r="Q754" s="948"/>
      <c r="R754" s="949"/>
      <c r="S754" s="949"/>
      <c r="T754" s="949"/>
      <c r="U754" s="949"/>
      <c r="V754" s="949"/>
      <c r="W754" s="949"/>
      <c r="X754" s="951"/>
      <c r="Y754" s="951"/>
      <c r="Z754" s="952"/>
      <c r="AA754" s="953"/>
      <c r="AB754" s="948"/>
      <c r="AC754" s="948"/>
      <c r="AD754" s="949"/>
      <c r="AE754" s="949"/>
      <c r="AF754" s="949"/>
      <c r="AG754" s="949"/>
      <c r="AH754" s="949"/>
      <c r="AI754" s="949"/>
      <c r="AJ754" s="949"/>
      <c r="AK754" s="949"/>
      <c r="AL754" s="949"/>
      <c r="AM754" s="949"/>
      <c r="AN754" s="949"/>
      <c r="AO754" s="949"/>
      <c r="AP754" s="949"/>
      <c r="AQ754" s="949"/>
      <c r="AR754" s="949"/>
      <c r="AS754" s="949"/>
      <c r="AT754" s="949"/>
      <c r="AU754" s="949"/>
      <c r="AV754" s="949"/>
      <c r="AW754" s="949"/>
      <c r="AX754" s="949"/>
      <c r="AY754" s="949"/>
      <c r="AZ754" s="949"/>
      <c r="BA754" s="949"/>
      <c r="BB754" s="949"/>
      <c r="BC754" s="949"/>
      <c r="BD754" s="949"/>
      <c r="BE754" s="949"/>
      <c r="BF754" s="949"/>
      <c r="BG754" s="948"/>
      <c r="BH754" s="948"/>
      <c r="BI754" s="948"/>
      <c r="BJ754" s="948"/>
      <c r="BK754" s="948"/>
      <c r="BL754" s="948"/>
      <c r="BM754" s="948"/>
      <c r="BN754" s="948"/>
      <c r="BO754" s="948"/>
      <c r="BP754" s="948"/>
      <c r="BQ754" s="948"/>
      <c r="BR754" s="948"/>
      <c r="BS754" s="948"/>
      <c r="BT754" s="948"/>
      <c r="BU754" s="954"/>
    </row>
    <row r="755" spans="1:73" ht="15.75" customHeight="1" x14ac:dyDescent="0.2">
      <c r="A755" s="947"/>
      <c r="B755" s="947"/>
      <c r="C755" s="947"/>
      <c r="D755" s="948"/>
      <c r="E755" s="948"/>
      <c r="F755" s="948"/>
      <c r="G755" s="948"/>
      <c r="H755" s="948"/>
      <c r="I755" s="948"/>
      <c r="J755" s="948"/>
      <c r="K755" s="949"/>
      <c r="L755" s="949"/>
      <c r="M755" s="949"/>
      <c r="N755" s="950"/>
      <c r="O755" s="948"/>
      <c r="P755" s="948"/>
      <c r="Q755" s="948"/>
      <c r="R755" s="949"/>
      <c r="S755" s="949"/>
      <c r="T755" s="949"/>
      <c r="U755" s="949"/>
      <c r="V755" s="949"/>
      <c r="W755" s="949"/>
      <c r="X755" s="951"/>
      <c r="Y755" s="951"/>
      <c r="Z755" s="952"/>
      <c r="AA755" s="953"/>
      <c r="AB755" s="948"/>
      <c r="AC755" s="948"/>
      <c r="AD755" s="949"/>
      <c r="AE755" s="949"/>
      <c r="AF755" s="949"/>
      <c r="AG755" s="949"/>
      <c r="AH755" s="949"/>
      <c r="AI755" s="949"/>
      <c r="AJ755" s="949"/>
      <c r="AK755" s="949"/>
      <c r="AL755" s="949"/>
      <c r="AM755" s="949"/>
      <c r="AN755" s="949"/>
      <c r="AO755" s="949"/>
      <c r="AP755" s="949"/>
      <c r="AQ755" s="949"/>
      <c r="AR755" s="949"/>
      <c r="AS755" s="949"/>
      <c r="AT755" s="949"/>
      <c r="AU755" s="949"/>
      <c r="AV755" s="949"/>
      <c r="AW755" s="949"/>
      <c r="AX755" s="949"/>
      <c r="AY755" s="949"/>
      <c r="AZ755" s="949"/>
      <c r="BA755" s="949"/>
      <c r="BB755" s="949"/>
      <c r="BC755" s="949"/>
      <c r="BD755" s="949"/>
      <c r="BE755" s="949"/>
      <c r="BF755" s="949"/>
      <c r="BG755" s="948"/>
      <c r="BH755" s="948"/>
      <c r="BI755" s="948"/>
      <c r="BJ755" s="948"/>
      <c r="BK755" s="948"/>
      <c r="BL755" s="948"/>
      <c r="BM755" s="948"/>
      <c r="BN755" s="948"/>
      <c r="BO755" s="948"/>
      <c r="BP755" s="948"/>
      <c r="BQ755" s="948"/>
      <c r="BR755" s="948"/>
      <c r="BS755" s="948"/>
      <c r="BT755" s="948"/>
      <c r="BU755" s="954"/>
    </row>
    <row r="756" spans="1:73" ht="15.75" customHeight="1" x14ac:dyDescent="0.2">
      <c r="A756" s="947"/>
      <c r="B756" s="947"/>
      <c r="C756" s="947"/>
      <c r="D756" s="948"/>
      <c r="E756" s="948"/>
      <c r="F756" s="948"/>
      <c r="G756" s="948"/>
      <c r="H756" s="948"/>
      <c r="I756" s="948"/>
      <c r="J756" s="948"/>
      <c r="K756" s="949"/>
      <c r="L756" s="949"/>
      <c r="M756" s="949"/>
      <c r="N756" s="950"/>
      <c r="O756" s="948"/>
      <c r="P756" s="948"/>
      <c r="Q756" s="948"/>
      <c r="R756" s="949"/>
      <c r="S756" s="949"/>
      <c r="T756" s="949"/>
      <c r="U756" s="949"/>
      <c r="V756" s="949"/>
      <c r="W756" s="949"/>
      <c r="X756" s="951"/>
      <c r="Y756" s="951"/>
      <c r="Z756" s="952"/>
      <c r="AA756" s="953"/>
      <c r="AB756" s="948"/>
      <c r="AC756" s="948"/>
      <c r="AD756" s="949"/>
      <c r="AE756" s="949"/>
      <c r="AF756" s="949"/>
      <c r="AG756" s="949"/>
      <c r="AH756" s="949"/>
      <c r="AI756" s="949"/>
      <c r="AJ756" s="949"/>
      <c r="AK756" s="949"/>
      <c r="AL756" s="949"/>
      <c r="AM756" s="949"/>
      <c r="AN756" s="949"/>
      <c r="AO756" s="949"/>
      <c r="AP756" s="949"/>
      <c r="AQ756" s="949"/>
      <c r="AR756" s="949"/>
      <c r="AS756" s="949"/>
      <c r="AT756" s="949"/>
      <c r="AU756" s="949"/>
      <c r="AV756" s="949"/>
      <c r="AW756" s="949"/>
      <c r="AX756" s="949"/>
      <c r="AY756" s="949"/>
      <c r="AZ756" s="949"/>
      <c r="BA756" s="949"/>
      <c r="BB756" s="949"/>
      <c r="BC756" s="949"/>
      <c r="BD756" s="949"/>
      <c r="BE756" s="949"/>
      <c r="BF756" s="949"/>
      <c r="BG756" s="948"/>
      <c r="BH756" s="948"/>
      <c r="BI756" s="948"/>
      <c r="BJ756" s="948"/>
      <c r="BK756" s="948"/>
      <c r="BL756" s="948"/>
      <c r="BM756" s="948"/>
      <c r="BN756" s="948"/>
      <c r="BO756" s="948"/>
      <c r="BP756" s="948"/>
      <c r="BQ756" s="948"/>
      <c r="BR756" s="948"/>
      <c r="BS756" s="948"/>
      <c r="BT756" s="948"/>
      <c r="BU756" s="954"/>
    </row>
    <row r="757" spans="1:73" ht="15.75" customHeight="1" x14ac:dyDescent="0.2">
      <c r="A757" s="947"/>
      <c r="B757" s="947"/>
      <c r="C757" s="947"/>
      <c r="D757" s="948"/>
      <c r="E757" s="948"/>
      <c r="F757" s="948"/>
      <c r="G757" s="948"/>
      <c r="H757" s="948"/>
      <c r="I757" s="948"/>
      <c r="J757" s="948"/>
      <c r="K757" s="949"/>
      <c r="L757" s="949"/>
      <c r="M757" s="949"/>
      <c r="N757" s="950"/>
      <c r="O757" s="948"/>
      <c r="P757" s="948"/>
      <c r="Q757" s="948"/>
      <c r="R757" s="949"/>
      <c r="S757" s="949"/>
      <c r="T757" s="949"/>
      <c r="U757" s="949"/>
      <c r="V757" s="949"/>
      <c r="W757" s="949"/>
      <c r="X757" s="951"/>
      <c r="Y757" s="951"/>
      <c r="Z757" s="952"/>
      <c r="AA757" s="953"/>
      <c r="AB757" s="948"/>
      <c r="AC757" s="948"/>
      <c r="AD757" s="949"/>
      <c r="AE757" s="949"/>
      <c r="AF757" s="949"/>
      <c r="AG757" s="949"/>
      <c r="AH757" s="949"/>
      <c r="AI757" s="949"/>
      <c r="AJ757" s="949"/>
      <c r="AK757" s="949"/>
      <c r="AL757" s="949"/>
      <c r="AM757" s="949"/>
      <c r="AN757" s="949"/>
      <c r="AO757" s="949"/>
      <c r="AP757" s="949"/>
      <c r="AQ757" s="949"/>
      <c r="AR757" s="949"/>
      <c r="AS757" s="949"/>
      <c r="AT757" s="949"/>
      <c r="AU757" s="949"/>
      <c r="AV757" s="949"/>
      <c r="AW757" s="949"/>
      <c r="AX757" s="949"/>
      <c r="AY757" s="949"/>
      <c r="AZ757" s="949"/>
      <c r="BA757" s="949"/>
      <c r="BB757" s="949"/>
      <c r="BC757" s="949"/>
      <c r="BD757" s="949"/>
      <c r="BE757" s="949"/>
      <c r="BF757" s="949"/>
      <c r="BG757" s="948"/>
      <c r="BH757" s="948"/>
      <c r="BI757" s="948"/>
      <c r="BJ757" s="948"/>
      <c r="BK757" s="948"/>
      <c r="BL757" s="948"/>
      <c r="BM757" s="948"/>
      <c r="BN757" s="948"/>
      <c r="BO757" s="948"/>
      <c r="BP757" s="948"/>
      <c r="BQ757" s="948"/>
      <c r="BR757" s="948"/>
      <c r="BS757" s="948"/>
      <c r="BT757" s="948"/>
      <c r="BU757" s="954"/>
    </row>
    <row r="758" spans="1:73" ht="15.75" customHeight="1" x14ac:dyDescent="0.2">
      <c r="A758" s="947"/>
      <c r="B758" s="947"/>
      <c r="C758" s="947"/>
      <c r="D758" s="948"/>
      <c r="E758" s="948"/>
      <c r="F758" s="948"/>
      <c r="G758" s="948"/>
      <c r="H758" s="948"/>
      <c r="I758" s="948"/>
      <c r="J758" s="948"/>
      <c r="K758" s="949"/>
      <c r="L758" s="949"/>
      <c r="M758" s="949"/>
      <c r="N758" s="950"/>
      <c r="O758" s="948"/>
      <c r="P758" s="948"/>
      <c r="Q758" s="948"/>
      <c r="R758" s="949"/>
      <c r="S758" s="949"/>
      <c r="T758" s="949"/>
      <c r="U758" s="949"/>
      <c r="V758" s="949"/>
      <c r="W758" s="949"/>
      <c r="X758" s="951"/>
      <c r="Y758" s="951"/>
      <c r="Z758" s="952"/>
      <c r="AA758" s="953"/>
      <c r="AB758" s="948"/>
      <c r="AC758" s="948"/>
      <c r="AD758" s="949"/>
      <c r="AE758" s="949"/>
      <c r="AF758" s="949"/>
      <c r="AG758" s="949"/>
      <c r="AH758" s="949"/>
      <c r="AI758" s="949"/>
      <c r="AJ758" s="949"/>
      <c r="AK758" s="949"/>
      <c r="AL758" s="949"/>
      <c r="AM758" s="949"/>
      <c r="AN758" s="949"/>
      <c r="AO758" s="949"/>
      <c r="AP758" s="949"/>
      <c r="AQ758" s="949"/>
      <c r="AR758" s="949"/>
      <c r="AS758" s="949"/>
      <c r="AT758" s="949"/>
      <c r="AU758" s="949"/>
      <c r="AV758" s="949"/>
      <c r="AW758" s="949"/>
      <c r="AX758" s="949"/>
      <c r="AY758" s="949"/>
      <c r="AZ758" s="949"/>
      <c r="BA758" s="949"/>
      <c r="BB758" s="949"/>
      <c r="BC758" s="949"/>
      <c r="BD758" s="949"/>
      <c r="BE758" s="949"/>
      <c r="BF758" s="949"/>
      <c r="BG758" s="948"/>
      <c r="BH758" s="948"/>
      <c r="BI758" s="948"/>
      <c r="BJ758" s="948"/>
      <c r="BK758" s="948"/>
      <c r="BL758" s="948"/>
      <c r="BM758" s="948"/>
      <c r="BN758" s="948"/>
      <c r="BO758" s="948"/>
      <c r="BP758" s="948"/>
      <c r="BQ758" s="948"/>
      <c r="BR758" s="948"/>
      <c r="BS758" s="948"/>
      <c r="BT758" s="948"/>
      <c r="BU758" s="954"/>
    </row>
    <row r="759" spans="1:73" ht="15.75" customHeight="1" x14ac:dyDescent="0.2">
      <c r="A759" s="947"/>
      <c r="B759" s="947"/>
      <c r="C759" s="947"/>
      <c r="D759" s="948"/>
      <c r="E759" s="948"/>
      <c r="F759" s="948"/>
      <c r="G759" s="948"/>
      <c r="H759" s="948"/>
      <c r="I759" s="948"/>
      <c r="J759" s="948"/>
      <c r="K759" s="949"/>
      <c r="L759" s="949"/>
      <c r="M759" s="949"/>
      <c r="N759" s="950"/>
      <c r="O759" s="948"/>
      <c r="P759" s="948"/>
      <c r="Q759" s="948"/>
      <c r="R759" s="949"/>
      <c r="S759" s="949"/>
      <c r="T759" s="949"/>
      <c r="U759" s="949"/>
      <c r="V759" s="949"/>
      <c r="W759" s="949"/>
      <c r="X759" s="951"/>
      <c r="Y759" s="951"/>
      <c r="Z759" s="952"/>
      <c r="AA759" s="953"/>
      <c r="AB759" s="948"/>
      <c r="AC759" s="948"/>
      <c r="AD759" s="949"/>
      <c r="AE759" s="949"/>
      <c r="AF759" s="949"/>
      <c r="AG759" s="949"/>
      <c r="AH759" s="949"/>
      <c r="AI759" s="949"/>
      <c r="AJ759" s="949"/>
      <c r="AK759" s="949"/>
      <c r="AL759" s="949"/>
      <c r="AM759" s="949"/>
      <c r="AN759" s="949"/>
      <c r="AO759" s="949"/>
      <c r="AP759" s="949"/>
      <c r="AQ759" s="949"/>
      <c r="AR759" s="949"/>
      <c r="AS759" s="949"/>
      <c r="AT759" s="949"/>
      <c r="AU759" s="949"/>
      <c r="AV759" s="949"/>
      <c r="AW759" s="949"/>
      <c r="AX759" s="949"/>
      <c r="AY759" s="949"/>
      <c r="AZ759" s="949"/>
      <c r="BA759" s="949"/>
      <c r="BB759" s="949"/>
      <c r="BC759" s="949"/>
      <c r="BD759" s="949"/>
      <c r="BE759" s="949"/>
      <c r="BF759" s="949"/>
      <c r="BG759" s="948"/>
      <c r="BH759" s="948"/>
      <c r="BI759" s="948"/>
      <c r="BJ759" s="948"/>
      <c r="BK759" s="948"/>
      <c r="BL759" s="948"/>
      <c r="BM759" s="948"/>
      <c r="BN759" s="948"/>
      <c r="BO759" s="948"/>
      <c r="BP759" s="948"/>
      <c r="BQ759" s="948"/>
      <c r="BR759" s="948"/>
      <c r="BS759" s="948"/>
      <c r="BT759" s="948"/>
      <c r="BU759" s="954"/>
    </row>
    <row r="760" spans="1:73" ht="15.75" customHeight="1" x14ac:dyDescent="0.2">
      <c r="A760" s="947"/>
      <c r="B760" s="947"/>
      <c r="C760" s="947"/>
      <c r="D760" s="948"/>
      <c r="E760" s="948"/>
      <c r="F760" s="948"/>
      <c r="G760" s="948"/>
      <c r="H760" s="948"/>
      <c r="I760" s="948"/>
      <c r="J760" s="948"/>
      <c r="K760" s="949"/>
      <c r="L760" s="949"/>
      <c r="M760" s="949"/>
      <c r="N760" s="950"/>
      <c r="O760" s="948"/>
      <c r="P760" s="948"/>
      <c r="Q760" s="948"/>
      <c r="R760" s="949"/>
      <c r="S760" s="949"/>
      <c r="T760" s="949"/>
      <c r="U760" s="949"/>
      <c r="V760" s="949"/>
      <c r="W760" s="949"/>
      <c r="X760" s="951"/>
      <c r="Y760" s="951"/>
      <c r="Z760" s="952"/>
      <c r="AA760" s="953"/>
      <c r="AB760" s="948"/>
      <c r="AC760" s="948"/>
      <c r="AD760" s="949"/>
      <c r="AE760" s="949"/>
      <c r="AF760" s="949"/>
      <c r="AG760" s="949"/>
      <c r="AH760" s="949"/>
      <c r="AI760" s="949"/>
      <c r="AJ760" s="949"/>
      <c r="AK760" s="949"/>
      <c r="AL760" s="949"/>
      <c r="AM760" s="949"/>
      <c r="AN760" s="949"/>
      <c r="AO760" s="949"/>
      <c r="AP760" s="949"/>
      <c r="AQ760" s="949"/>
      <c r="AR760" s="949"/>
      <c r="AS760" s="949"/>
      <c r="AT760" s="949"/>
      <c r="AU760" s="949"/>
      <c r="AV760" s="949"/>
      <c r="AW760" s="949"/>
      <c r="AX760" s="949"/>
      <c r="AY760" s="949"/>
      <c r="AZ760" s="949"/>
      <c r="BA760" s="949"/>
      <c r="BB760" s="949"/>
      <c r="BC760" s="949"/>
      <c r="BD760" s="949"/>
      <c r="BE760" s="949"/>
      <c r="BF760" s="949"/>
      <c r="BG760" s="948"/>
      <c r="BH760" s="948"/>
      <c r="BI760" s="948"/>
      <c r="BJ760" s="948"/>
      <c r="BK760" s="948"/>
      <c r="BL760" s="948"/>
      <c r="BM760" s="948"/>
      <c r="BN760" s="948"/>
      <c r="BO760" s="948"/>
      <c r="BP760" s="948"/>
      <c r="BQ760" s="948"/>
      <c r="BR760" s="948"/>
      <c r="BS760" s="948"/>
      <c r="BT760" s="948"/>
      <c r="BU760" s="954"/>
    </row>
    <row r="761" spans="1:73" ht="15.75" customHeight="1" x14ac:dyDescent="0.2">
      <c r="A761" s="947"/>
      <c r="B761" s="947"/>
      <c r="C761" s="947"/>
      <c r="D761" s="948"/>
      <c r="E761" s="948"/>
      <c r="F761" s="948"/>
      <c r="G761" s="948"/>
      <c r="H761" s="948"/>
      <c r="I761" s="948"/>
      <c r="J761" s="948"/>
      <c r="K761" s="949"/>
      <c r="L761" s="949"/>
      <c r="M761" s="949"/>
      <c r="N761" s="950"/>
      <c r="O761" s="948"/>
      <c r="P761" s="948"/>
      <c r="Q761" s="948"/>
      <c r="R761" s="949"/>
      <c r="S761" s="949"/>
      <c r="T761" s="949"/>
      <c r="U761" s="949"/>
      <c r="V761" s="949"/>
      <c r="W761" s="949"/>
      <c r="X761" s="951"/>
      <c r="Y761" s="951"/>
      <c r="Z761" s="952"/>
      <c r="AA761" s="953"/>
      <c r="AB761" s="948"/>
      <c r="AC761" s="948"/>
      <c r="AD761" s="949"/>
      <c r="AE761" s="949"/>
      <c r="AF761" s="949"/>
      <c r="AG761" s="949"/>
      <c r="AH761" s="949"/>
      <c r="AI761" s="949"/>
      <c r="AJ761" s="949"/>
      <c r="AK761" s="949"/>
      <c r="AL761" s="949"/>
      <c r="AM761" s="949"/>
      <c r="AN761" s="949"/>
      <c r="AO761" s="949"/>
      <c r="AP761" s="949"/>
      <c r="AQ761" s="949"/>
      <c r="AR761" s="949"/>
      <c r="AS761" s="949"/>
      <c r="AT761" s="949"/>
      <c r="AU761" s="949"/>
      <c r="AV761" s="949"/>
      <c r="AW761" s="949"/>
      <c r="AX761" s="949"/>
      <c r="AY761" s="949"/>
      <c r="AZ761" s="949"/>
      <c r="BA761" s="949"/>
      <c r="BB761" s="949"/>
      <c r="BC761" s="949"/>
      <c r="BD761" s="949"/>
      <c r="BE761" s="949"/>
      <c r="BF761" s="949"/>
      <c r="BG761" s="948"/>
      <c r="BH761" s="948"/>
      <c r="BI761" s="948"/>
      <c r="BJ761" s="948"/>
      <c r="BK761" s="948"/>
      <c r="BL761" s="948"/>
      <c r="BM761" s="948"/>
      <c r="BN761" s="948"/>
      <c r="BO761" s="948"/>
      <c r="BP761" s="948"/>
      <c r="BQ761" s="948"/>
      <c r="BR761" s="948"/>
      <c r="BS761" s="948"/>
      <c r="BT761" s="948"/>
      <c r="BU761" s="954"/>
    </row>
    <row r="762" spans="1:73" ht="15.75" customHeight="1" x14ac:dyDescent="0.2">
      <c r="A762" s="947"/>
      <c r="B762" s="947"/>
      <c r="C762" s="947"/>
      <c r="D762" s="948"/>
      <c r="E762" s="948"/>
      <c r="F762" s="948"/>
      <c r="G762" s="948"/>
      <c r="H762" s="948"/>
      <c r="I762" s="948"/>
      <c r="J762" s="948"/>
      <c r="K762" s="949"/>
      <c r="L762" s="949"/>
      <c r="M762" s="949"/>
      <c r="N762" s="950"/>
      <c r="O762" s="948"/>
      <c r="P762" s="948"/>
      <c r="Q762" s="948"/>
      <c r="R762" s="949"/>
      <c r="S762" s="949"/>
      <c r="T762" s="949"/>
      <c r="U762" s="949"/>
      <c r="V762" s="949"/>
      <c r="W762" s="949"/>
      <c r="X762" s="951"/>
      <c r="Y762" s="951"/>
      <c r="Z762" s="952"/>
      <c r="AA762" s="953"/>
      <c r="AB762" s="948"/>
      <c r="AC762" s="948"/>
      <c r="AD762" s="949"/>
      <c r="AE762" s="949"/>
      <c r="AF762" s="949"/>
      <c r="AG762" s="949"/>
      <c r="AH762" s="949"/>
      <c r="AI762" s="949"/>
      <c r="AJ762" s="949"/>
      <c r="AK762" s="949"/>
      <c r="AL762" s="949"/>
      <c r="AM762" s="949"/>
      <c r="AN762" s="949"/>
      <c r="AO762" s="949"/>
      <c r="AP762" s="949"/>
      <c r="AQ762" s="949"/>
      <c r="AR762" s="949"/>
      <c r="AS762" s="949"/>
      <c r="AT762" s="949"/>
      <c r="AU762" s="949"/>
      <c r="AV762" s="949"/>
      <c r="AW762" s="949"/>
      <c r="AX762" s="949"/>
      <c r="AY762" s="949"/>
      <c r="AZ762" s="949"/>
      <c r="BA762" s="949"/>
      <c r="BB762" s="949"/>
      <c r="BC762" s="949"/>
      <c r="BD762" s="949"/>
      <c r="BE762" s="949"/>
      <c r="BF762" s="949"/>
      <c r="BG762" s="948"/>
      <c r="BH762" s="948"/>
      <c r="BI762" s="948"/>
      <c r="BJ762" s="948"/>
      <c r="BK762" s="948"/>
      <c r="BL762" s="948"/>
      <c r="BM762" s="948"/>
      <c r="BN762" s="948"/>
      <c r="BO762" s="948"/>
      <c r="BP762" s="948"/>
      <c r="BQ762" s="948"/>
      <c r="BR762" s="948"/>
      <c r="BS762" s="948"/>
      <c r="BT762" s="948"/>
      <c r="BU762" s="954"/>
    </row>
    <row r="763" spans="1:73" ht="15.75" customHeight="1" x14ac:dyDescent="0.2">
      <c r="A763" s="947"/>
      <c r="B763" s="947"/>
      <c r="C763" s="947"/>
      <c r="D763" s="948"/>
      <c r="E763" s="948"/>
      <c r="F763" s="948"/>
      <c r="G763" s="948"/>
      <c r="H763" s="948"/>
      <c r="I763" s="948"/>
      <c r="J763" s="948"/>
      <c r="K763" s="949"/>
      <c r="L763" s="949"/>
      <c r="M763" s="949"/>
      <c r="N763" s="950"/>
      <c r="O763" s="948"/>
      <c r="P763" s="948"/>
      <c r="Q763" s="948"/>
      <c r="R763" s="949"/>
      <c r="S763" s="949"/>
      <c r="T763" s="949"/>
      <c r="U763" s="949"/>
      <c r="V763" s="949"/>
      <c r="W763" s="949"/>
      <c r="X763" s="951"/>
      <c r="Y763" s="951"/>
      <c r="Z763" s="952"/>
      <c r="AA763" s="953"/>
      <c r="AB763" s="948"/>
      <c r="AC763" s="948"/>
      <c r="AD763" s="949"/>
      <c r="AE763" s="949"/>
      <c r="AF763" s="949"/>
      <c r="AG763" s="949"/>
      <c r="AH763" s="949"/>
      <c r="AI763" s="949"/>
      <c r="AJ763" s="949"/>
      <c r="AK763" s="949"/>
      <c r="AL763" s="949"/>
      <c r="AM763" s="949"/>
      <c r="AN763" s="949"/>
      <c r="AO763" s="949"/>
      <c r="AP763" s="949"/>
      <c r="AQ763" s="949"/>
      <c r="AR763" s="949"/>
      <c r="AS763" s="949"/>
      <c r="AT763" s="949"/>
      <c r="AU763" s="949"/>
      <c r="AV763" s="949"/>
      <c r="AW763" s="949"/>
      <c r="AX763" s="949"/>
      <c r="AY763" s="949"/>
      <c r="AZ763" s="949"/>
      <c r="BA763" s="949"/>
      <c r="BB763" s="949"/>
      <c r="BC763" s="949"/>
      <c r="BD763" s="949"/>
      <c r="BE763" s="949"/>
      <c r="BF763" s="949"/>
      <c r="BG763" s="948"/>
      <c r="BH763" s="948"/>
      <c r="BI763" s="948"/>
      <c r="BJ763" s="948"/>
      <c r="BK763" s="948"/>
      <c r="BL763" s="948"/>
      <c r="BM763" s="948"/>
      <c r="BN763" s="948"/>
      <c r="BO763" s="948"/>
      <c r="BP763" s="948"/>
      <c r="BQ763" s="948"/>
      <c r="BR763" s="948"/>
      <c r="BS763" s="948"/>
      <c r="BT763" s="948"/>
      <c r="BU763" s="954"/>
    </row>
    <row r="764" spans="1:73" ht="15.75" customHeight="1" x14ac:dyDescent="0.2">
      <c r="A764" s="947"/>
      <c r="B764" s="947"/>
      <c r="C764" s="947"/>
      <c r="D764" s="948"/>
      <c r="E764" s="948"/>
      <c r="F764" s="948"/>
      <c r="G764" s="948"/>
      <c r="H764" s="948"/>
      <c r="I764" s="948"/>
      <c r="J764" s="948"/>
      <c r="K764" s="949"/>
      <c r="L764" s="949"/>
      <c r="M764" s="949"/>
      <c r="N764" s="950"/>
      <c r="O764" s="948"/>
      <c r="P764" s="948"/>
      <c r="Q764" s="948"/>
      <c r="R764" s="949"/>
      <c r="S764" s="949"/>
      <c r="T764" s="949"/>
      <c r="U764" s="949"/>
      <c r="V764" s="949"/>
      <c r="W764" s="949"/>
      <c r="X764" s="951"/>
      <c r="Y764" s="951"/>
      <c r="Z764" s="952"/>
      <c r="AA764" s="953"/>
      <c r="AB764" s="948"/>
      <c r="AC764" s="948"/>
      <c r="AD764" s="949"/>
      <c r="AE764" s="949"/>
      <c r="AF764" s="949"/>
      <c r="AG764" s="949"/>
      <c r="AH764" s="949"/>
      <c r="AI764" s="949"/>
      <c r="AJ764" s="949"/>
      <c r="AK764" s="949"/>
      <c r="AL764" s="949"/>
      <c r="AM764" s="949"/>
      <c r="AN764" s="949"/>
      <c r="AO764" s="949"/>
      <c r="AP764" s="949"/>
      <c r="AQ764" s="949"/>
      <c r="AR764" s="949"/>
      <c r="AS764" s="949"/>
      <c r="AT764" s="949"/>
      <c r="AU764" s="949"/>
      <c r="AV764" s="949"/>
      <c r="AW764" s="949"/>
      <c r="AX764" s="949"/>
      <c r="AY764" s="949"/>
      <c r="AZ764" s="949"/>
      <c r="BA764" s="949"/>
      <c r="BB764" s="949"/>
      <c r="BC764" s="949"/>
      <c r="BD764" s="949"/>
      <c r="BE764" s="949"/>
      <c r="BF764" s="949"/>
      <c r="BG764" s="948"/>
      <c r="BH764" s="948"/>
      <c r="BI764" s="948"/>
      <c r="BJ764" s="948"/>
      <c r="BK764" s="948"/>
      <c r="BL764" s="948"/>
      <c r="BM764" s="948"/>
      <c r="BN764" s="948"/>
      <c r="BO764" s="948"/>
      <c r="BP764" s="948"/>
      <c r="BQ764" s="948"/>
      <c r="BR764" s="948"/>
      <c r="BS764" s="948"/>
      <c r="BT764" s="948"/>
      <c r="BU764" s="954"/>
    </row>
    <row r="765" spans="1:73" ht="15.75" customHeight="1" x14ac:dyDescent="0.2">
      <c r="A765" s="947"/>
      <c r="B765" s="947"/>
      <c r="C765" s="947"/>
      <c r="D765" s="948"/>
      <c r="E765" s="948"/>
      <c r="F765" s="948"/>
      <c r="G765" s="948"/>
      <c r="H765" s="948"/>
      <c r="I765" s="948"/>
      <c r="J765" s="948"/>
      <c r="K765" s="949"/>
      <c r="L765" s="949"/>
      <c r="M765" s="949"/>
      <c r="N765" s="950"/>
      <c r="O765" s="948"/>
      <c r="P765" s="948"/>
      <c r="Q765" s="948"/>
      <c r="R765" s="949"/>
      <c r="S765" s="949"/>
      <c r="T765" s="949"/>
      <c r="U765" s="949"/>
      <c r="V765" s="949"/>
      <c r="W765" s="949"/>
      <c r="X765" s="951"/>
      <c r="Y765" s="951"/>
      <c r="Z765" s="952"/>
      <c r="AA765" s="953"/>
      <c r="AB765" s="948"/>
      <c r="AC765" s="948"/>
      <c r="AD765" s="949"/>
      <c r="AE765" s="949"/>
      <c r="AF765" s="949"/>
      <c r="AG765" s="949"/>
      <c r="AH765" s="949"/>
      <c r="AI765" s="949"/>
      <c r="AJ765" s="949"/>
      <c r="AK765" s="949"/>
      <c r="AL765" s="949"/>
      <c r="AM765" s="949"/>
      <c r="AN765" s="949"/>
      <c r="AO765" s="949"/>
      <c r="AP765" s="949"/>
      <c r="AQ765" s="949"/>
      <c r="AR765" s="949"/>
      <c r="AS765" s="949"/>
      <c r="AT765" s="949"/>
      <c r="AU765" s="949"/>
      <c r="AV765" s="949"/>
      <c r="AW765" s="949"/>
      <c r="AX765" s="949"/>
      <c r="AY765" s="949"/>
      <c r="AZ765" s="949"/>
      <c r="BA765" s="949"/>
      <c r="BB765" s="949"/>
      <c r="BC765" s="949"/>
      <c r="BD765" s="949"/>
      <c r="BE765" s="949"/>
      <c r="BF765" s="949"/>
      <c r="BG765" s="948"/>
      <c r="BH765" s="948"/>
      <c r="BI765" s="948"/>
      <c r="BJ765" s="948"/>
      <c r="BK765" s="948"/>
      <c r="BL765" s="948"/>
      <c r="BM765" s="948"/>
      <c r="BN765" s="948"/>
      <c r="BO765" s="948"/>
      <c r="BP765" s="948"/>
      <c r="BQ765" s="948"/>
      <c r="BR765" s="948"/>
      <c r="BS765" s="948"/>
      <c r="BT765" s="948"/>
      <c r="BU765" s="954"/>
    </row>
    <row r="766" spans="1:73" ht="15.75" customHeight="1" x14ac:dyDescent="0.2">
      <c r="A766" s="947"/>
      <c r="B766" s="947"/>
      <c r="C766" s="947"/>
      <c r="D766" s="948"/>
      <c r="E766" s="948"/>
      <c r="F766" s="948"/>
      <c r="G766" s="948"/>
      <c r="H766" s="948"/>
      <c r="I766" s="948"/>
      <c r="J766" s="948"/>
      <c r="K766" s="949"/>
      <c r="L766" s="949"/>
      <c r="M766" s="949"/>
      <c r="N766" s="950"/>
      <c r="O766" s="948"/>
      <c r="P766" s="948"/>
      <c r="Q766" s="948"/>
      <c r="R766" s="949"/>
      <c r="S766" s="949"/>
      <c r="T766" s="949"/>
      <c r="U766" s="949"/>
      <c r="V766" s="949"/>
      <c r="W766" s="949"/>
      <c r="X766" s="951"/>
      <c r="Y766" s="951"/>
      <c r="Z766" s="952"/>
      <c r="AA766" s="953"/>
      <c r="AB766" s="948"/>
      <c r="AC766" s="948"/>
      <c r="AD766" s="949"/>
      <c r="AE766" s="949"/>
      <c r="AF766" s="949"/>
      <c r="AG766" s="949"/>
      <c r="AH766" s="949"/>
      <c r="AI766" s="949"/>
      <c r="AJ766" s="949"/>
      <c r="AK766" s="949"/>
      <c r="AL766" s="949"/>
      <c r="AM766" s="949"/>
      <c r="AN766" s="949"/>
      <c r="AO766" s="949"/>
      <c r="AP766" s="949"/>
      <c r="AQ766" s="949"/>
      <c r="AR766" s="949"/>
      <c r="AS766" s="949"/>
      <c r="AT766" s="949"/>
      <c r="AU766" s="949"/>
      <c r="AV766" s="949"/>
      <c r="AW766" s="949"/>
      <c r="AX766" s="949"/>
      <c r="AY766" s="949"/>
      <c r="AZ766" s="949"/>
      <c r="BA766" s="949"/>
      <c r="BB766" s="949"/>
      <c r="BC766" s="949"/>
      <c r="BD766" s="949"/>
      <c r="BE766" s="949"/>
      <c r="BF766" s="949"/>
      <c r="BG766" s="948"/>
      <c r="BH766" s="948"/>
      <c r="BI766" s="948"/>
      <c r="BJ766" s="948"/>
      <c r="BK766" s="948"/>
      <c r="BL766" s="948"/>
      <c r="BM766" s="948"/>
      <c r="BN766" s="948"/>
      <c r="BO766" s="948"/>
      <c r="BP766" s="948"/>
      <c r="BQ766" s="948"/>
      <c r="BR766" s="948"/>
      <c r="BS766" s="948"/>
      <c r="BT766" s="948"/>
      <c r="BU766" s="954"/>
    </row>
    <row r="767" spans="1:73" ht="15.75" customHeight="1" x14ac:dyDescent="0.2">
      <c r="A767" s="947"/>
      <c r="B767" s="947"/>
      <c r="C767" s="947"/>
      <c r="D767" s="948"/>
      <c r="E767" s="948"/>
      <c r="F767" s="948"/>
      <c r="G767" s="948"/>
      <c r="H767" s="948"/>
      <c r="I767" s="948"/>
      <c r="J767" s="948"/>
      <c r="K767" s="949"/>
      <c r="L767" s="949"/>
      <c r="M767" s="949"/>
      <c r="N767" s="950"/>
      <c r="O767" s="948"/>
      <c r="P767" s="948"/>
      <c r="Q767" s="948"/>
      <c r="R767" s="949"/>
      <c r="S767" s="949"/>
      <c r="T767" s="949"/>
      <c r="U767" s="949"/>
      <c r="V767" s="949"/>
      <c r="W767" s="949"/>
      <c r="X767" s="951"/>
      <c r="Y767" s="951"/>
      <c r="Z767" s="952"/>
      <c r="AA767" s="953"/>
      <c r="AB767" s="948"/>
      <c r="AC767" s="948"/>
      <c r="AD767" s="949"/>
      <c r="AE767" s="949"/>
      <c r="AF767" s="949"/>
      <c r="AG767" s="949"/>
      <c r="AH767" s="949"/>
      <c r="AI767" s="949"/>
      <c r="AJ767" s="949"/>
      <c r="AK767" s="949"/>
      <c r="AL767" s="949"/>
      <c r="AM767" s="949"/>
      <c r="AN767" s="949"/>
      <c r="AO767" s="949"/>
      <c r="AP767" s="949"/>
      <c r="AQ767" s="949"/>
      <c r="AR767" s="949"/>
      <c r="AS767" s="949"/>
      <c r="AT767" s="949"/>
      <c r="AU767" s="949"/>
      <c r="AV767" s="949"/>
      <c r="AW767" s="949"/>
      <c r="AX767" s="949"/>
      <c r="AY767" s="949"/>
      <c r="AZ767" s="949"/>
      <c r="BA767" s="949"/>
      <c r="BB767" s="949"/>
      <c r="BC767" s="949"/>
      <c r="BD767" s="949"/>
      <c r="BE767" s="949"/>
      <c r="BF767" s="949"/>
      <c r="BG767" s="948"/>
      <c r="BH767" s="948"/>
      <c r="BI767" s="948"/>
      <c r="BJ767" s="948"/>
      <c r="BK767" s="948"/>
      <c r="BL767" s="948"/>
      <c r="BM767" s="948"/>
      <c r="BN767" s="948"/>
      <c r="BO767" s="948"/>
      <c r="BP767" s="948"/>
      <c r="BQ767" s="948"/>
      <c r="BR767" s="948"/>
      <c r="BS767" s="948"/>
      <c r="BT767" s="948"/>
      <c r="BU767" s="954"/>
    </row>
    <row r="768" spans="1:73" ht="15.75" customHeight="1" x14ac:dyDescent="0.2">
      <c r="A768" s="947"/>
      <c r="B768" s="947"/>
      <c r="C768" s="947"/>
      <c r="D768" s="948"/>
      <c r="E768" s="948"/>
      <c r="F768" s="948"/>
      <c r="G768" s="948"/>
      <c r="H768" s="948"/>
      <c r="I768" s="948"/>
      <c r="J768" s="948"/>
      <c r="K768" s="949"/>
      <c r="L768" s="949"/>
      <c r="M768" s="949"/>
      <c r="N768" s="950"/>
      <c r="O768" s="948"/>
      <c r="P768" s="948"/>
      <c r="Q768" s="948"/>
      <c r="R768" s="949"/>
      <c r="S768" s="949"/>
      <c r="T768" s="949"/>
      <c r="U768" s="949"/>
      <c r="V768" s="949"/>
      <c r="W768" s="949"/>
      <c r="X768" s="951"/>
      <c r="Y768" s="951"/>
      <c r="Z768" s="952"/>
      <c r="AA768" s="953"/>
      <c r="AB768" s="948"/>
      <c r="AC768" s="948"/>
      <c r="AD768" s="949"/>
      <c r="AE768" s="949"/>
      <c r="AF768" s="949"/>
      <c r="AG768" s="949"/>
      <c r="AH768" s="949"/>
      <c r="AI768" s="949"/>
      <c r="AJ768" s="949"/>
      <c r="AK768" s="949"/>
      <c r="AL768" s="949"/>
      <c r="AM768" s="949"/>
      <c r="AN768" s="949"/>
      <c r="AO768" s="949"/>
      <c r="AP768" s="949"/>
      <c r="AQ768" s="949"/>
      <c r="AR768" s="949"/>
      <c r="AS768" s="949"/>
      <c r="AT768" s="949"/>
      <c r="AU768" s="949"/>
      <c r="AV768" s="949"/>
      <c r="AW768" s="949"/>
      <c r="AX768" s="949"/>
      <c r="AY768" s="949"/>
      <c r="AZ768" s="949"/>
      <c r="BA768" s="949"/>
      <c r="BB768" s="949"/>
      <c r="BC768" s="949"/>
      <c r="BD768" s="949"/>
      <c r="BE768" s="949"/>
      <c r="BF768" s="949"/>
      <c r="BG768" s="948"/>
      <c r="BH768" s="948"/>
      <c r="BI768" s="948"/>
      <c r="BJ768" s="948"/>
      <c r="BK768" s="948"/>
      <c r="BL768" s="948"/>
      <c r="BM768" s="948"/>
      <c r="BN768" s="948"/>
      <c r="BO768" s="948"/>
      <c r="BP768" s="948"/>
      <c r="BQ768" s="948"/>
      <c r="BR768" s="948"/>
      <c r="BS768" s="948"/>
      <c r="BT768" s="948"/>
      <c r="BU768" s="954"/>
    </row>
    <row r="769" spans="1:73" ht="15.75" customHeight="1" x14ac:dyDescent="0.2">
      <c r="A769" s="947"/>
      <c r="B769" s="947"/>
      <c r="C769" s="947"/>
      <c r="D769" s="948"/>
      <c r="E769" s="948"/>
      <c r="F769" s="948"/>
      <c r="G769" s="948"/>
      <c r="H769" s="948"/>
      <c r="I769" s="948"/>
      <c r="J769" s="948"/>
      <c r="K769" s="949"/>
      <c r="L769" s="949"/>
      <c r="M769" s="949"/>
      <c r="N769" s="950"/>
      <c r="O769" s="948"/>
      <c r="P769" s="948"/>
      <c r="Q769" s="948"/>
      <c r="R769" s="949"/>
      <c r="S769" s="949"/>
      <c r="T769" s="949"/>
      <c r="U769" s="949"/>
      <c r="V769" s="949"/>
      <c r="W769" s="949"/>
      <c r="X769" s="951"/>
      <c r="Y769" s="951"/>
      <c r="Z769" s="952"/>
      <c r="AA769" s="953"/>
      <c r="AB769" s="948"/>
      <c r="AC769" s="948"/>
      <c r="AD769" s="949"/>
      <c r="AE769" s="949"/>
      <c r="AF769" s="949"/>
      <c r="AG769" s="949"/>
      <c r="AH769" s="949"/>
      <c r="AI769" s="949"/>
      <c r="AJ769" s="949"/>
      <c r="AK769" s="949"/>
      <c r="AL769" s="949"/>
      <c r="AM769" s="949"/>
      <c r="AN769" s="949"/>
      <c r="AO769" s="949"/>
      <c r="AP769" s="949"/>
      <c r="AQ769" s="949"/>
      <c r="AR769" s="949"/>
      <c r="AS769" s="949"/>
      <c r="AT769" s="949"/>
      <c r="AU769" s="949"/>
      <c r="AV769" s="949"/>
      <c r="AW769" s="949"/>
      <c r="AX769" s="949"/>
      <c r="AY769" s="949"/>
      <c r="AZ769" s="949"/>
      <c r="BA769" s="949"/>
      <c r="BB769" s="949"/>
      <c r="BC769" s="949"/>
      <c r="BD769" s="949"/>
      <c r="BE769" s="949"/>
      <c r="BF769" s="949"/>
      <c r="BG769" s="948"/>
      <c r="BH769" s="948"/>
      <c r="BI769" s="948"/>
      <c r="BJ769" s="948"/>
      <c r="BK769" s="948"/>
      <c r="BL769" s="948"/>
      <c r="BM769" s="948"/>
      <c r="BN769" s="948"/>
      <c r="BO769" s="948"/>
      <c r="BP769" s="948"/>
      <c r="BQ769" s="948"/>
      <c r="BR769" s="948"/>
      <c r="BS769" s="948"/>
      <c r="BT769" s="948"/>
      <c r="BU769" s="954"/>
    </row>
    <row r="770" spans="1:73" ht="15.75" customHeight="1" x14ac:dyDescent="0.2">
      <c r="A770" s="947"/>
      <c r="B770" s="947"/>
      <c r="C770" s="947"/>
      <c r="D770" s="948"/>
      <c r="E770" s="948"/>
      <c r="F770" s="948"/>
      <c r="G770" s="948"/>
      <c r="H770" s="948"/>
      <c r="I770" s="948"/>
      <c r="J770" s="948"/>
      <c r="K770" s="949"/>
      <c r="L770" s="949"/>
      <c r="M770" s="949"/>
      <c r="N770" s="950"/>
      <c r="O770" s="948"/>
      <c r="P770" s="948"/>
      <c r="Q770" s="948"/>
      <c r="R770" s="949"/>
      <c r="S770" s="949"/>
      <c r="T770" s="949"/>
      <c r="U770" s="949"/>
      <c r="V770" s="949"/>
      <c r="W770" s="949"/>
      <c r="X770" s="951"/>
      <c r="Y770" s="951"/>
      <c r="Z770" s="952"/>
      <c r="AA770" s="953"/>
      <c r="AB770" s="948"/>
      <c r="AC770" s="948"/>
      <c r="AD770" s="949"/>
      <c r="AE770" s="949"/>
      <c r="AF770" s="949"/>
      <c r="AG770" s="949"/>
      <c r="AH770" s="949"/>
      <c r="AI770" s="949"/>
      <c r="AJ770" s="949"/>
      <c r="AK770" s="949"/>
      <c r="AL770" s="949"/>
      <c r="AM770" s="949"/>
      <c r="AN770" s="949"/>
      <c r="AO770" s="949"/>
      <c r="AP770" s="949"/>
      <c r="AQ770" s="949"/>
      <c r="AR770" s="949"/>
      <c r="AS770" s="949"/>
      <c r="AT770" s="949"/>
      <c r="AU770" s="949"/>
      <c r="AV770" s="949"/>
      <c r="AW770" s="949"/>
      <c r="AX770" s="949"/>
      <c r="AY770" s="949"/>
      <c r="AZ770" s="949"/>
      <c r="BA770" s="949"/>
      <c r="BB770" s="949"/>
      <c r="BC770" s="949"/>
      <c r="BD770" s="949"/>
      <c r="BE770" s="949"/>
      <c r="BF770" s="949"/>
      <c r="BG770" s="948"/>
      <c r="BH770" s="948"/>
      <c r="BI770" s="948"/>
      <c r="BJ770" s="948"/>
      <c r="BK770" s="948"/>
      <c r="BL770" s="948"/>
      <c r="BM770" s="948"/>
      <c r="BN770" s="948"/>
      <c r="BO770" s="948"/>
      <c r="BP770" s="948"/>
      <c r="BQ770" s="948"/>
      <c r="BR770" s="948"/>
      <c r="BS770" s="948"/>
      <c r="BT770" s="948"/>
      <c r="BU770" s="954"/>
    </row>
    <row r="771" spans="1:73" ht="15.75" customHeight="1" x14ac:dyDescent="0.2">
      <c r="A771" s="947"/>
      <c r="B771" s="947"/>
      <c r="C771" s="947"/>
      <c r="D771" s="948"/>
      <c r="E771" s="948"/>
      <c r="F771" s="948"/>
      <c r="G771" s="948"/>
      <c r="H771" s="948"/>
      <c r="I771" s="948"/>
      <c r="J771" s="948"/>
      <c r="K771" s="949"/>
      <c r="L771" s="949"/>
      <c r="M771" s="949"/>
      <c r="N771" s="950"/>
      <c r="O771" s="948"/>
      <c r="P771" s="948"/>
      <c r="Q771" s="948"/>
      <c r="R771" s="949"/>
      <c r="S771" s="949"/>
      <c r="T771" s="949"/>
      <c r="U771" s="949"/>
      <c r="V771" s="949"/>
      <c r="W771" s="949"/>
      <c r="X771" s="951"/>
      <c r="Y771" s="951"/>
      <c r="Z771" s="952"/>
      <c r="AA771" s="953"/>
      <c r="AB771" s="948"/>
      <c r="AC771" s="948"/>
      <c r="AD771" s="949"/>
      <c r="AE771" s="949"/>
      <c r="AF771" s="949"/>
      <c r="AG771" s="949"/>
      <c r="AH771" s="949"/>
      <c r="AI771" s="949"/>
      <c r="AJ771" s="949"/>
      <c r="AK771" s="949"/>
      <c r="AL771" s="949"/>
      <c r="AM771" s="949"/>
      <c r="AN771" s="949"/>
      <c r="AO771" s="949"/>
      <c r="AP771" s="949"/>
      <c r="AQ771" s="949"/>
      <c r="AR771" s="949"/>
      <c r="AS771" s="949"/>
      <c r="AT771" s="949"/>
      <c r="AU771" s="949"/>
      <c r="AV771" s="949"/>
      <c r="AW771" s="949"/>
      <c r="AX771" s="949"/>
      <c r="AY771" s="949"/>
      <c r="AZ771" s="949"/>
      <c r="BA771" s="949"/>
      <c r="BB771" s="949"/>
      <c r="BC771" s="949"/>
      <c r="BD771" s="949"/>
      <c r="BE771" s="949"/>
      <c r="BF771" s="949"/>
      <c r="BG771" s="948"/>
      <c r="BH771" s="948"/>
      <c r="BI771" s="948"/>
      <c r="BJ771" s="948"/>
      <c r="BK771" s="948"/>
      <c r="BL771" s="948"/>
      <c r="BM771" s="948"/>
      <c r="BN771" s="948"/>
      <c r="BO771" s="948"/>
      <c r="BP771" s="948"/>
      <c r="BQ771" s="948"/>
      <c r="BR771" s="948"/>
      <c r="BS771" s="948"/>
      <c r="BT771" s="948"/>
      <c r="BU771" s="954"/>
    </row>
    <row r="772" spans="1:73" ht="15.75" customHeight="1" x14ac:dyDescent="0.2">
      <c r="A772" s="947"/>
      <c r="B772" s="947"/>
      <c r="C772" s="947"/>
      <c r="D772" s="948"/>
      <c r="E772" s="948"/>
      <c r="F772" s="948"/>
      <c r="G772" s="948"/>
      <c r="H772" s="948"/>
      <c r="I772" s="948"/>
      <c r="J772" s="948"/>
      <c r="K772" s="949"/>
      <c r="L772" s="949"/>
      <c r="M772" s="949"/>
      <c r="N772" s="950"/>
      <c r="O772" s="948"/>
      <c r="P772" s="948"/>
      <c r="Q772" s="948"/>
      <c r="R772" s="949"/>
      <c r="S772" s="949"/>
      <c r="T772" s="949"/>
      <c r="U772" s="949"/>
      <c r="V772" s="949"/>
      <c r="W772" s="949"/>
      <c r="X772" s="951"/>
      <c r="Y772" s="951"/>
      <c r="Z772" s="952"/>
      <c r="AA772" s="953"/>
      <c r="AB772" s="948"/>
      <c r="AC772" s="948"/>
      <c r="AD772" s="949"/>
      <c r="AE772" s="949"/>
      <c r="AF772" s="949"/>
      <c r="AG772" s="949"/>
      <c r="AH772" s="949"/>
      <c r="AI772" s="949"/>
      <c r="AJ772" s="949"/>
      <c r="AK772" s="949"/>
      <c r="AL772" s="949"/>
      <c r="AM772" s="949"/>
      <c r="AN772" s="949"/>
      <c r="AO772" s="949"/>
      <c r="AP772" s="949"/>
      <c r="AQ772" s="949"/>
      <c r="AR772" s="949"/>
      <c r="AS772" s="949"/>
      <c r="AT772" s="949"/>
      <c r="AU772" s="949"/>
      <c r="AV772" s="949"/>
      <c r="AW772" s="949"/>
      <c r="AX772" s="949"/>
      <c r="AY772" s="949"/>
      <c r="AZ772" s="949"/>
      <c r="BA772" s="949"/>
      <c r="BB772" s="949"/>
      <c r="BC772" s="949"/>
      <c r="BD772" s="949"/>
      <c r="BE772" s="949"/>
      <c r="BF772" s="949"/>
      <c r="BG772" s="948"/>
      <c r="BH772" s="948"/>
      <c r="BI772" s="948"/>
      <c r="BJ772" s="948"/>
      <c r="BK772" s="948"/>
      <c r="BL772" s="948"/>
      <c r="BM772" s="948"/>
      <c r="BN772" s="948"/>
      <c r="BO772" s="948"/>
      <c r="BP772" s="948"/>
      <c r="BQ772" s="948"/>
      <c r="BR772" s="948"/>
      <c r="BS772" s="948"/>
      <c r="BT772" s="948"/>
      <c r="BU772" s="954"/>
    </row>
    <row r="773" spans="1:73" ht="15.75" customHeight="1" x14ac:dyDescent="0.2">
      <c r="A773" s="947"/>
      <c r="B773" s="947"/>
      <c r="C773" s="947"/>
      <c r="D773" s="948"/>
      <c r="E773" s="948"/>
      <c r="F773" s="948"/>
      <c r="G773" s="948"/>
      <c r="H773" s="948"/>
      <c r="I773" s="948"/>
      <c r="J773" s="948"/>
      <c r="K773" s="949"/>
      <c r="L773" s="949"/>
      <c r="M773" s="949"/>
      <c r="N773" s="950"/>
      <c r="O773" s="948"/>
      <c r="P773" s="948"/>
      <c r="Q773" s="948"/>
      <c r="R773" s="949"/>
      <c r="S773" s="949"/>
      <c r="T773" s="949"/>
      <c r="U773" s="949"/>
      <c r="V773" s="949"/>
      <c r="W773" s="949"/>
      <c r="X773" s="951"/>
      <c r="Y773" s="951"/>
      <c r="Z773" s="952"/>
      <c r="AA773" s="953"/>
      <c r="AB773" s="948"/>
      <c r="AC773" s="948"/>
      <c r="AD773" s="949"/>
      <c r="AE773" s="949"/>
      <c r="AF773" s="949"/>
      <c r="AG773" s="949"/>
      <c r="AH773" s="949"/>
      <c r="AI773" s="949"/>
      <c r="AJ773" s="949"/>
      <c r="AK773" s="949"/>
      <c r="AL773" s="949"/>
      <c r="AM773" s="949"/>
      <c r="AN773" s="949"/>
      <c r="AO773" s="949"/>
      <c r="AP773" s="949"/>
      <c r="AQ773" s="949"/>
      <c r="AR773" s="949"/>
      <c r="AS773" s="949"/>
      <c r="AT773" s="949"/>
      <c r="AU773" s="949"/>
      <c r="AV773" s="949"/>
      <c r="AW773" s="949"/>
      <c r="AX773" s="949"/>
      <c r="AY773" s="949"/>
      <c r="AZ773" s="949"/>
      <c r="BA773" s="949"/>
      <c r="BB773" s="949"/>
      <c r="BC773" s="949"/>
      <c r="BD773" s="949"/>
      <c r="BE773" s="949"/>
      <c r="BF773" s="949"/>
      <c r="BG773" s="948"/>
      <c r="BH773" s="948"/>
      <c r="BI773" s="948"/>
      <c r="BJ773" s="948"/>
      <c r="BK773" s="948"/>
      <c r="BL773" s="948"/>
      <c r="BM773" s="948"/>
      <c r="BN773" s="948"/>
      <c r="BO773" s="948"/>
      <c r="BP773" s="948"/>
      <c r="BQ773" s="948"/>
      <c r="BR773" s="948"/>
      <c r="BS773" s="948"/>
      <c r="BT773" s="948"/>
      <c r="BU773" s="954"/>
    </row>
    <row r="774" spans="1:73" ht="15.75" customHeight="1" x14ac:dyDescent="0.2">
      <c r="A774" s="947"/>
      <c r="B774" s="947"/>
      <c r="C774" s="947"/>
      <c r="D774" s="948"/>
      <c r="E774" s="948"/>
      <c r="F774" s="948"/>
      <c r="G774" s="948"/>
      <c r="H774" s="948"/>
      <c r="I774" s="948"/>
      <c r="J774" s="948"/>
      <c r="K774" s="949"/>
      <c r="L774" s="949"/>
      <c r="M774" s="949"/>
      <c r="N774" s="950"/>
      <c r="O774" s="948"/>
      <c r="P774" s="948"/>
      <c r="Q774" s="948"/>
      <c r="R774" s="949"/>
      <c r="S774" s="949"/>
      <c r="T774" s="949"/>
      <c r="U774" s="949"/>
      <c r="V774" s="949"/>
      <c r="W774" s="949"/>
      <c r="X774" s="951"/>
      <c r="Y774" s="951"/>
      <c r="Z774" s="952"/>
      <c r="AA774" s="953"/>
      <c r="AB774" s="948"/>
      <c r="AC774" s="948"/>
      <c r="AD774" s="949"/>
      <c r="AE774" s="949"/>
      <c r="AF774" s="949"/>
      <c r="AG774" s="949"/>
      <c r="AH774" s="949"/>
      <c r="AI774" s="949"/>
      <c r="AJ774" s="949"/>
      <c r="AK774" s="949"/>
      <c r="AL774" s="949"/>
      <c r="AM774" s="949"/>
      <c r="AN774" s="949"/>
      <c r="AO774" s="949"/>
      <c r="AP774" s="949"/>
      <c r="AQ774" s="949"/>
      <c r="AR774" s="949"/>
      <c r="AS774" s="949"/>
      <c r="AT774" s="949"/>
      <c r="AU774" s="949"/>
      <c r="AV774" s="949"/>
      <c r="AW774" s="949"/>
      <c r="AX774" s="949"/>
      <c r="AY774" s="949"/>
      <c r="AZ774" s="949"/>
      <c r="BA774" s="949"/>
      <c r="BB774" s="949"/>
      <c r="BC774" s="949"/>
      <c r="BD774" s="949"/>
      <c r="BE774" s="949"/>
      <c r="BF774" s="949"/>
      <c r="BG774" s="948"/>
      <c r="BH774" s="948"/>
      <c r="BI774" s="948"/>
      <c r="BJ774" s="948"/>
      <c r="BK774" s="948"/>
      <c r="BL774" s="948"/>
      <c r="BM774" s="948"/>
      <c r="BN774" s="948"/>
      <c r="BO774" s="948"/>
      <c r="BP774" s="948"/>
      <c r="BQ774" s="948"/>
      <c r="BR774" s="948"/>
      <c r="BS774" s="948"/>
      <c r="BT774" s="948"/>
      <c r="BU774" s="954"/>
    </row>
    <row r="775" spans="1:73" ht="15.75" customHeight="1" x14ac:dyDescent="0.2">
      <c r="A775" s="947"/>
      <c r="B775" s="947"/>
      <c r="C775" s="947"/>
      <c r="D775" s="948"/>
      <c r="E775" s="948"/>
      <c r="F775" s="948"/>
      <c r="G775" s="948"/>
      <c r="H775" s="948"/>
      <c r="I775" s="948"/>
      <c r="J775" s="948"/>
      <c r="K775" s="949"/>
      <c r="L775" s="949"/>
      <c r="M775" s="949"/>
      <c r="N775" s="950"/>
      <c r="O775" s="948"/>
      <c r="P775" s="948"/>
      <c r="Q775" s="948"/>
      <c r="R775" s="949"/>
      <c r="S775" s="949"/>
      <c r="T775" s="949"/>
      <c r="U775" s="949"/>
      <c r="V775" s="949"/>
      <c r="W775" s="949"/>
      <c r="X775" s="951"/>
      <c r="Y775" s="951"/>
      <c r="Z775" s="952"/>
      <c r="AA775" s="953"/>
      <c r="AB775" s="948"/>
      <c r="AC775" s="948"/>
      <c r="AD775" s="949"/>
      <c r="AE775" s="949"/>
      <c r="AF775" s="949"/>
      <c r="AG775" s="949"/>
      <c r="AH775" s="949"/>
      <c r="AI775" s="949"/>
      <c r="AJ775" s="949"/>
      <c r="AK775" s="949"/>
      <c r="AL775" s="949"/>
      <c r="AM775" s="949"/>
      <c r="AN775" s="949"/>
      <c r="AO775" s="949"/>
      <c r="AP775" s="949"/>
      <c r="AQ775" s="949"/>
      <c r="AR775" s="949"/>
      <c r="AS775" s="949"/>
      <c r="AT775" s="949"/>
      <c r="AU775" s="949"/>
      <c r="AV775" s="949"/>
      <c r="AW775" s="949"/>
      <c r="AX775" s="949"/>
      <c r="AY775" s="949"/>
      <c r="AZ775" s="949"/>
      <c r="BA775" s="949"/>
      <c r="BB775" s="949"/>
      <c r="BC775" s="949"/>
      <c r="BD775" s="949"/>
      <c r="BE775" s="949"/>
      <c r="BF775" s="949"/>
      <c r="BG775" s="948"/>
      <c r="BH775" s="948"/>
      <c r="BI775" s="948"/>
      <c r="BJ775" s="948"/>
      <c r="BK775" s="948"/>
      <c r="BL775" s="948"/>
      <c r="BM775" s="948"/>
      <c r="BN775" s="948"/>
      <c r="BO775" s="948"/>
      <c r="BP775" s="948"/>
      <c r="BQ775" s="948"/>
      <c r="BR775" s="948"/>
      <c r="BS775" s="948"/>
      <c r="BT775" s="948"/>
      <c r="BU775" s="954"/>
    </row>
    <row r="776" spans="1:73" ht="15.75" customHeight="1" x14ac:dyDescent="0.2">
      <c r="A776" s="947"/>
      <c r="B776" s="947"/>
      <c r="C776" s="947"/>
      <c r="D776" s="948"/>
      <c r="E776" s="948"/>
      <c r="F776" s="948"/>
      <c r="G776" s="948"/>
      <c r="H776" s="948"/>
      <c r="I776" s="948"/>
      <c r="J776" s="948"/>
      <c r="K776" s="949"/>
      <c r="L776" s="949"/>
      <c r="M776" s="949"/>
      <c r="N776" s="950"/>
      <c r="O776" s="948"/>
      <c r="P776" s="948"/>
      <c r="Q776" s="948"/>
      <c r="R776" s="949"/>
      <c r="S776" s="949"/>
      <c r="T776" s="949"/>
      <c r="U776" s="949"/>
      <c r="V776" s="949"/>
      <c r="W776" s="949"/>
      <c r="X776" s="951"/>
      <c r="Y776" s="951"/>
      <c r="Z776" s="952"/>
      <c r="AA776" s="953"/>
      <c r="AB776" s="948"/>
      <c r="AC776" s="948"/>
      <c r="AD776" s="949"/>
      <c r="AE776" s="949"/>
      <c r="AF776" s="949"/>
      <c r="AG776" s="949"/>
      <c r="AH776" s="949"/>
      <c r="AI776" s="949"/>
      <c r="AJ776" s="949"/>
      <c r="AK776" s="949"/>
      <c r="AL776" s="949"/>
      <c r="AM776" s="949"/>
      <c r="AN776" s="949"/>
      <c r="AO776" s="949"/>
      <c r="AP776" s="949"/>
      <c r="AQ776" s="949"/>
      <c r="AR776" s="949"/>
      <c r="AS776" s="949"/>
      <c r="AT776" s="949"/>
      <c r="AU776" s="949"/>
      <c r="AV776" s="949"/>
      <c r="AW776" s="949"/>
      <c r="AX776" s="949"/>
      <c r="AY776" s="949"/>
      <c r="AZ776" s="949"/>
      <c r="BA776" s="949"/>
      <c r="BB776" s="949"/>
      <c r="BC776" s="949"/>
      <c r="BD776" s="949"/>
      <c r="BE776" s="949"/>
      <c r="BF776" s="949"/>
      <c r="BG776" s="948"/>
      <c r="BH776" s="948"/>
      <c r="BI776" s="948"/>
      <c r="BJ776" s="948"/>
      <c r="BK776" s="948"/>
      <c r="BL776" s="948"/>
      <c r="BM776" s="948"/>
      <c r="BN776" s="948"/>
      <c r="BO776" s="948"/>
      <c r="BP776" s="948"/>
      <c r="BQ776" s="948"/>
      <c r="BR776" s="948"/>
      <c r="BS776" s="948"/>
      <c r="BT776" s="948"/>
      <c r="BU776" s="954"/>
    </row>
    <row r="777" spans="1:73" ht="15.75" customHeight="1" x14ac:dyDescent="0.2">
      <c r="A777" s="947"/>
      <c r="B777" s="947"/>
      <c r="C777" s="947"/>
      <c r="D777" s="948"/>
      <c r="E777" s="948"/>
      <c r="F777" s="948"/>
      <c r="G777" s="948"/>
      <c r="H777" s="948"/>
      <c r="I777" s="948"/>
      <c r="J777" s="948"/>
      <c r="K777" s="949"/>
      <c r="L777" s="949"/>
      <c r="M777" s="949"/>
      <c r="N777" s="950"/>
      <c r="O777" s="948"/>
      <c r="P777" s="948"/>
      <c r="Q777" s="948"/>
      <c r="R777" s="949"/>
      <c r="S777" s="949"/>
      <c r="T777" s="949"/>
      <c r="U777" s="949"/>
      <c r="V777" s="949"/>
      <c r="W777" s="949"/>
      <c r="X777" s="951"/>
      <c r="Y777" s="951"/>
      <c r="Z777" s="952"/>
      <c r="AA777" s="953"/>
      <c r="AB777" s="948"/>
      <c r="AC777" s="948"/>
      <c r="AD777" s="949"/>
      <c r="AE777" s="949"/>
      <c r="AF777" s="949"/>
      <c r="AG777" s="949"/>
      <c r="AH777" s="949"/>
      <c r="AI777" s="949"/>
      <c r="AJ777" s="949"/>
      <c r="AK777" s="949"/>
      <c r="AL777" s="949"/>
      <c r="AM777" s="949"/>
      <c r="AN777" s="949"/>
      <c r="AO777" s="949"/>
      <c r="AP777" s="949"/>
      <c r="AQ777" s="949"/>
      <c r="AR777" s="949"/>
      <c r="AS777" s="949"/>
      <c r="AT777" s="949"/>
      <c r="AU777" s="949"/>
      <c r="AV777" s="949"/>
      <c r="AW777" s="949"/>
      <c r="AX777" s="949"/>
      <c r="AY777" s="949"/>
      <c r="AZ777" s="949"/>
      <c r="BA777" s="949"/>
      <c r="BB777" s="949"/>
      <c r="BC777" s="949"/>
      <c r="BD777" s="949"/>
      <c r="BE777" s="949"/>
      <c r="BF777" s="949"/>
      <c r="BG777" s="948"/>
      <c r="BH777" s="948"/>
      <c r="BI777" s="948"/>
      <c r="BJ777" s="948"/>
      <c r="BK777" s="948"/>
      <c r="BL777" s="948"/>
      <c r="BM777" s="948"/>
      <c r="BN777" s="948"/>
      <c r="BO777" s="948"/>
      <c r="BP777" s="948"/>
      <c r="BQ777" s="948"/>
      <c r="BR777" s="948"/>
      <c r="BS777" s="948"/>
      <c r="BT777" s="948"/>
      <c r="BU777" s="954"/>
    </row>
    <row r="778" spans="1:73" ht="15.75" customHeight="1" x14ac:dyDescent="0.2">
      <c r="A778" s="947"/>
      <c r="B778" s="947"/>
      <c r="C778" s="947"/>
      <c r="D778" s="948"/>
      <c r="E778" s="948"/>
      <c r="F778" s="948"/>
      <c r="G778" s="948"/>
      <c r="H778" s="948"/>
      <c r="I778" s="948"/>
      <c r="J778" s="948"/>
      <c r="K778" s="949"/>
      <c r="L778" s="949"/>
      <c r="M778" s="949"/>
      <c r="N778" s="950"/>
      <c r="O778" s="948"/>
      <c r="P778" s="948"/>
      <c r="Q778" s="948"/>
      <c r="R778" s="949"/>
      <c r="S778" s="949"/>
      <c r="T778" s="949"/>
      <c r="U778" s="949"/>
      <c r="V778" s="949"/>
      <c r="W778" s="949"/>
      <c r="X778" s="951"/>
      <c r="Y778" s="951"/>
      <c r="Z778" s="952"/>
      <c r="AA778" s="953"/>
      <c r="AB778" s="948"/>
      <c r="AC778" s="948"/>
      <c r="AD778" s="949"/>
      <c r="AE778" s="949"/>
      <c r="AF778" s="949"/>
      <c r="AG778" s="949"/>
      <c r="AH778" s="949"/>
      <c r="AI778" s="949"/>
      <c r="AJ778" s="949"/>
      <c r="AK778" s="949"/>
      <c r="AL778" s="949"/>
      <c r="AM778" s="949"/>
      <c r="AN778" s="949"/>
      <c r="AO778" s="949"/>
      <c r="AP778" s="949"/>
      <c r="AQ778" s="949"/>
      <c r="AR778" s="949"/>
      <c r="AS778" s="949"/>
      <c r="AT778" s="949"/>
      <c r="AU778" s="949"/>
      <c r="AV778" s="949"/>
      <c r="AW778" s="949"/>
      <c r="AX778" s="949"/>
      <c r="AY778" s="949"/>
      <c r="AZ778" s="949"/>
      <c r="BA778" s="949"/>
      <c r="BB778" s="949"/>
      <c r="BC778" s="949"/>
      <c r="BD778" s="949"/>
      <c r="BE778" s="949"/>
      <c r="BF778" s="949"/>
      <c r="BG778" s="948"/>
      <c r="BH778" s="948"/>
      <c r="BI778" s="948"/>
      <c r="BJ778" s="948"/>
      <c r="BK778" s="948"/>
      <c r="BL778" s="948"/>
      <c r="BM778" s="948"/>
      <c r="BN778" s="948"/>
      <c r="BO778" s="948"/>
      <c r="BP778" s="948"/>
      <c r="BQ778" s="948"/>
      <c r="BR778" s="948"/>
      <c r="BS778" s="948"/>
      <c r="BT778" s="948"/>
      <c r="BU778" s="954"/>
    </row>
    <row r="779" spans="1:73" ht="15.75" customHeight="1" x14ac:dyDescent="0.2">
      <c r="A779" s="947"/>
      <c r="B779" s="947"/>
      <c r="C779" s="947"/>
      <c r="D779" s="948"/>
      <c r="E779" s="948"/>
      <c r="F779" s="948"/>
      <c r="G779" s="948"/>
      <c r="H779" s="948"/>
      <c r="I779" s="948"/>
      <c r="J779" s="948"/>
      <c r="K779" s="949"/>
      <c r="L779" s="949"/>
      <c r="M779" s="949"/>
      <c r="N779" s="950"/>
      <c r="O779" s="948"/>
      <c r="P779" s="948"/>
      <c r="Q779" s="948"/>
      <c r="R779" s="949"/>
      <c r="S779" s="949"/>
      <c r="T779" s="949"/>
      <c r="U779" s="949"/>
      <c r="V779" s="949"/>
      <c r="W779" s="949"/>
      <c r="X779" s="951"/>
      <c r="Y779" s="951"/>
      <c r="Z779" s="952"/>
      <c r="AA779" s="953"/>
      <c r="AB779" s="948"/>
      <c r="AC779" s="948"/>
      <c r="AD779" s="949"/>
      <c r="AE779" s="949"/>
      <c r="AF779" s="949"/>
      <c r="AG779" s="949"/>
      <c r="AH779" s="949"/>
      <c r="AI779" s="949"/>
      <c r="AJ779" s="949"/>
      <c r="AK779" s="949"/>
      <c r="AL779" s="949"/>
      <c r="AM779" s="949"/>
      <c r="AN779" s="949"/>
      <c r="AO779" s="949"/>
      <c r="AP779" s="949"/>
      <c r="AQ779" s="949"/>
      <c r="AR779" s="949"/>
      <c r="AS779" s="949"/>
      <c r="AT779" s="949"/>
      <c r="AU779" s="949"/>
      <c r="AV779" s="949"/>
      <c r="AW779" s="949"/>
      <c r="AX779" s="949"/>
      <c r="AY779" s="949"/>
      <c r="AZ779" s="949"/>
      <c r="BA779" s="949"/>
      <c r="BB779" s="949"/>
      <c r="BC779" s="949"/>
      <c r="BD779" s="949"/>
      <c r="BE779" s="949"/>
      <c r="BF779" s="949"/>
      <c r="BG779" s="948"/>
      <c r="BH779" s="948"/>
      <c r="BI779" s="948"/>
      <c r="BJ779" s="948"/>
      <c r="BK779" s="948"/>
      <c r="BL779" s="948"/>
      <c r="BM779" s="948"/>
      <c r="BN779" s="948"/>
      <c r="BO779" s="948"/>
      <c r="BP779" s="948"/>
      <c r="BQ779" s="948"/>
      <c r="BR779" s="948"/>
      <c r="BS779" s="948"/>
      <c r="BT779" s="948"/>
      <c r="BU779" s="954"/>
    </row>
    <row r="780" spans="1:73" ht="15.75" customHeight="1" x14ac:dyDescent="0.2">
      <c r="A780" s="947"/>
      <c r="B780" s="947"/>
      <c r="C780" s="947"/>
      <c r="D780" s="948"/>
      <c r="E780" s="948"/>
      <c r="F780" s="948"/>
      <c r="G780" s="948"/>
      <c r="H780" s="948"/>
      <c r="I780" s="948"/>
      <c r="J780" s="948"/>
      <c r="K780" s="949"/>
      <c r="L780" s="949"/>
      <c r="M780" s="949"/>
      <c r="N780" s="950"/>
      <c r="O780" s="948"/>
      <c r="P780" s="948"/>
      <c r="Q780" s="948"/>
      <c r="R780" s="949"/>
      <c r="S780" s="949"/>
      <c r="T780" s="949"/>
      <c r="U780" s="949"/>
      <c r="V780" s="949"/>
      <c r="W780" s="949"/>
      <c r="X780" s="951"/>
      <c r="Y780" s="951"/>
      <c r="Z780" s="952"/>
      <c r="AA780" s="953"/>
      <c r="AB780" s="948"/>
      <c r="AC780" s="948"/>
      <c r="AD780" s="949"/>
      <c r="AE780" s="949"/>
      <c r="AF780" s="949"/>
      <c r="AG780" s="949"/>
      <c r="AH780" s="949"/>
      <c r="AI780" s="949"/>
      <c r="AJ780" s="949"/>
      <c r="AK780" s="949"/>
      <c r="AL780" s="949"/>
      <c r="AM780" s="949"/>
      <c r="AN780" s="949"/>
      <c r="AO780" s="949"/>
      <c r="AP780" s="949"/>
      <c r="AQ780" s="949"/>
      <c r="AR780" s="949"/>
      <c r="AS780" s="949"/>
      <c r="AT780" s="949"/>
      <c r="AU780" s="949"/>
      <c r="AV780" s="949"/>
      <c r="AW780" s="949"/>
      <c r="AX780" s="949"/>
      <c r="AY780" s="949"/>
      <c r="AZ780" s="949"/>
      <c r="BA780" s="949"/>
      <c r="BB780" s="949"/>
      <c r="BC780" s="949"/>
      <c r="BD780" s="949"/>
      <c r="BE780" s="949"/>
      <c r="BF780" s="949"/>
      <c r="BG780" s="948"/>
      <c r="BH780" s="948"/>
      <c r="BI780" s="948"/>
      <c r="BJ780" s="948"/>
      <c r="BK780" s="948"/>
      <c r="BL780" s="948"/>
      <c r="BM780" s="948"/>
      <c r="BN780" s="948"/>
      <c r="BO780" s="948"/>
      <c r="BP780" s="948"/>
      <c r="BQ780" s="948"/>
      <c r="BR780" s="948"/>
      <c r="BS780" s="948"/>
      <c r="BT780" s="948"/>
      <c r="BU780" s="954"/>
    </row>
    <row r="781" spans="1:73" ht="15.75" customHeight="1" x14ac:dyDescent="0.2">
      <c r="A781" s="947"/>
      <c r="B781" s="947"/>
      <c r="C781" s="947"/>
      <c r="D781" s="948"/>
      <c r="E781" s="948"/>
      <c r="F781" s="948"/>
      <c r="G781" s="948"/>
      <c r="H781" s="948"/>
      <c r="I781" s="948"/>
      <c r="J781" s="948"/>
      <c r="K781" s="949"/>
      <c r="L781" s="949"/>
      <c r="M781" s="949"/>
      <c r="N781" s="950"/>
      <c r="O781" s="948"/>
      <c r="P781" s="948"/>
      <c r="Q781" s="948"/>
      <c r="R781" s="949"/>
      <c r="S781" s="949"/>
      <c r="T781" s="949"/>
      <c r="U781" s="949"/>
      <c r="V781" s="949"/>
      <c r="W781" s="949"/>
      <c r="X781" s="951"/>
      <c r="Y781" s="951"/>
      <c r="Z781" s="952"/>
      <c r="AA781" s="953"/>
      <c r="AB781" s="948"/>
      <c r="AC781" s="948"/>
      <c r="AD781" s="949"/>
      <c r="AE781" s="949"/>
      <c r="AF781" s="949"/>
      <c r="AG781" s="949"/>
      <c r="AH781" s="949"/>
      <c r="AI781" s="949"/>
      <c r="AJ781" s="949"/>
      <c r="AK781" s="949"/>
      <c r="AL781" s="949"/>
      <c r="AM781" s="949"/>
      <c r="AN781" s="949"/>
      <c r="AO781" s="949"/>
      <c r="AP781" s="949"/>
      <c r="AQ781" s="949"/>
      <c r="AR781" s="949"/>
      <c r="AS781" s="949"/>
      <c r="AT781" s="949"/>
      <c r="AU781" s="949"/>
      <c r="AV781" s="949"/>
      <c r="AW781" s="949"/>
      <c r="AX781" s="949"/>
      <c r="AY781" s="949"/>
      <c r="AZ781" s="949"/>
      <c r="BA781" s="949"/>
      <c r="BB781" s="949"/>
      <c r="BC781" s="949"/>
      <c r="BD781" s="949"/>
      <c r="BE781" s="949"/>
      <c r="BF781" s="949"/>
      <c r="BG781" s="948"/>
      <c r="BH781" s="948"/>
      <c r="BI781" s="948"/>
      <c r="BJ781" s="948"/>
      <c r="BK781" s="948"/>
      <c r="BL781" s="948"/>
      <c r="BM781" s="948"/>
      <c r="BN781" s="948"/>
      <c r="BO781" s="948"/>
      <c r="BP781" s="948"/>
      <c r="BQ781" s="948"/>
      <c r="BR781" s="948"/>
      <c r="BS781" s="948"/>
      <c r="BT781" s="948"/>
      <c r="BU781" s="954"/>
    </row>
    <row r="782" spans="1:73" ht="15.75" customHeight="1" x14ac:dyDescent="0.2">
      <c r="A782" s="947"/>
      <c r="B782" s="947"/>
      <c r="C782" s="947"/>
      <c r="D782" s="948"/>
      <c r="E782" s="948"/>
      <c r="F782" s="948"/>
      <c r="G782" s="948"/>
      <c r="H782" s="948"/>
      <c r="I782" s="948"/>
      <c r="J782" s="948"/>
      <c r="K782" s="949"/>
      <c r="L782" s="949"/>
      <c r="M782" s="949"/>
      <c r="N782" s="950"/>
      <c r="O782" s="948"/>
      <c r="P782" s="948"/>
      <c r="Q782" s="948"/>
      <c r="R782" s="949"/>
      <c r="S782" s="949"/>
      <c r="T782" s="949"/>
      <c r="U782" s="949"/>
      <c r="V782" s="949"/>
      <c r="W782" s="949"/>
      <c r="X782" s="951"/>
      <c r="Y782" s="951"/>
      <c r="Z782" s="952"/>
      <c r="AA782" s="953"/>
      <c r="AB782" s="948"/>
      <c r="AC782" s="948"/>
      <c r="AD782" s="949"/>
      <c r="AE782" s="949"/>
      <c r="AF782" s="949"/>
      <c r="AG782" s="949"/>
      <c r="AH782" s="949"/>
      <c r="AI782" s="949"/>
      <c r="AJ782" s="949"/>
      <c r="AK782" s="949"/>
      <c r="AL782" s="949"/>
      <c r="AM782" s="949"/>
      <c r="AN782" s="949"/>
      <c r="AO782" s="949"/>
      <c r="AP782" s="949"/>
      <c r="AQ782" s="949"/>
      <c r="AR782" s="949"/>
      <c r="AS782" s="949"/>
      <c r="AT782" s="949"/>
      <c r="AU782" s="949"/>
      <c r="AV782" s="949"/>
      <c r="AW782" s="949"/>
      <c r="AX782" s="949"/>
      <c r="AY782" s="949"/>
      <c r="AZ782" s="949"/>
      <c r="BA782" s="949"/>
      <c r="BB782" s="949"/>
      <c r="BC782" s="949"/>
      <c r="BD782" s="949"/>
      <c r="BE782" s="949"/>
      <c r="BF782" s="949"/>
      <c r="BG782" s="948"/>
      <c r="BH782" s="948"/>
      <c r="BI782" s="948"/>
      <c r="BJ782" s="948"/>
      <c r="BK782" s="948"/>
      <c r="BL782" s="948"/>
      <c r="BM782" s="948"/>
      <c r="BN782" s="948"/>
      <c r="BO782" s="948"/>
      <c r="BP782" s="948"/>
      <c r="BQ782" s="948"/>
      <c r="BR782" s="948"/>
      <c r="BS782" s="948"/>
      <c r="BT782" s="948"/>
      <c r="BU782" s="954"/>
    </row>
    <row r="783" spans="1:73" ht="15.75" customHeight="1" x14ac:dyDescent="0.2">
      <c r="A783" s="947"/>
      <c r="B783" s="947"/>
      <c r="C783" s="947"/>
      <c r="D783" s="948"/>
      <c r="E783" s="948"/>
      <c r="F783" s="948"/>
      <c r="G783" s="948"/>
      <c r="H783" s="948"/>
      <c r="I783" s="948"/>
      <c r="J783" s="948"/>
      <c r="K783" s="949"/>
      <c r="L783" s="949"/>
      <c r="M783" s="949"/>
      <c r="N783" s="950"/>
      <c r="O783" s="948"/>
      <c r="P783" s="948"/>
      <c r="Q783" s="948"/>
      <c r="R783" s="949"/>
      <c r="S783" s="949"/>
      <c r="T783" s="949"/>
      <c r="U783" s="949"/>
      <c r="V783" s="949"/>
      <c r="W783" s="949"/>
      <c r="X783" s="951"/>
      <c r="Y783" s="951"/>
      <c r="Z783" s="952"/>
      <c r="AA783" s="953"/>
      <c r="AB783" s="948"/>
      <c r="AC783" s="948"/>
      <c r="AD783" s="949"/>
      <c r="AE783" s="949"/>
      <c r="AF783" s="949"/>
      <c r="AG783" s="949"/>
      <c r="AH783" s="949"/>
      <c r="AI783" s="949"/>
      <c r="AJ783" s="949"/>
      <c r="AK783" s="949"/>
      <c r="AL783" s="949"/>
      <c r="AM783" s="949"/>
      <c r="AN783" s="949"/>
      <c r="AO783" s="949"/>
      <c r="AP783" s="949"/>
      <c r="AQ783" s="949"/>
      <c r="AR783" s="949"/>
      <c r="AS783" s="949"/>
      <c r="AT783" s="949"/>
      <c r="AU783" s="949"/>
      <c r="AV783" s="949"/>
      <c r="AW783" s="949"/>
      <c r="AX783" s="949"/>
      <c r="AY783" s="949"/>
      <c r="AZ783" s="949"/>
      <c r="BA783" s="949"/>
      <c r="BB783" s="949"/>
      <c r="BC783" s="949"/>
      <c r="BD783" s="949"/>
      <c r="BE783" s="949"/>
      <c r="BF783" s="949"/>
      <c r="BG783" s="948"/>
      <c r="BH783" s="948"/>
      <c r="BI783" s="948"/>
      <c r="BJ783" s="948"/>
      <c r="BK783" s="948"/>
      <c r="BL783" s="948"/>
      <c r="BM783" s="948"/>
      <c r="BN783" s="948"/>
      <c r="BO783" s="948"/>
      <c r="BP783" s="948"/>
      <c r="BQ783" s="948"/>
      <c r="BR783" s="948"/>
      <c r="BS783" s="948"/>
      <c r="BT783" s="948"/>
      <c r="BU783" s="954"/>
    </row>
    <row r="784" spans="1:73" ht="15.75" customHeight="1" x14ac:dyDescent="0.2">
      <c r="A784" s="947"/>
      <c r="B784" s="947"/>
      <c r="C784" s="947"/>
      <c r="D784" s="948"/>
      <c r="E784" s="948"/>
      <c r="F784" s="948"/>
      <c r="G784" s="948"/>
      <c r="H784" s="948"/>
      <c r="I784" s="948"/>
      <c r="J784" s="948"/>
      <c r="K784" s="949"/>
      <c r="L784" s="949"/>
      <c r="M784" s="949"/>
      <c r="N784" s="950"/>
      <c r="O784" s="948"/>
      <c r="P784" s="948"/>
      <c r="Q784" s="948"/>
      <c r="R784" s="949"/>
      <c r="S784" s="949"/>
      <c r="T784" s="949"/>
      <c r="U784" s="949"/>
      <c r="V784" s="949"/>
      <c r="W784" s="949"/>
      <c r="X784" s="951"/>
      <c r="Y784" s="951"/>
      <c r="Z784" s="952"/>
      <c r="AA784" s="953"/>
      <c r="AB784" s="948"/>
      <c r="AC784" s="948"/>
      <c r="AD784" s="949"/>
      <c r="AE784" s="949"/>
      <c r="AF784" s="949"/>
      <c r="AG784" s="949"/>
      <c r="AH784" s="949"/>
      <c r="AI784" s="949"/>
      <c r="AJ784" s="949"/>
      <c r="AK784" s="949"/>
      <c r="AL784" s="949"/>
      <c r="AM784" s="949"/>
      <c r="AN784" s="949"/>
      <c r="AO784" s="949"/>
      <c r="AP784" s="949"/>
      <c r="AQ784" s="949"/>
      <c r="AR784" s="949"/>
      <c r="AS784" s="949"/>
      <c r="AT784" s="949"/>
      <c r="AU784" s="949"/>
      <c r="AV784" s="949"/>
      <c r="AW784" s="949"/>
      <c r="AX784" s="949"/>
      <c r="AY784" s="949"/>
      <c r="AZ784" s="949"/>
      <c r="BA784" s="949"/>
      <c r="BB784" s="949"/>
      <c r="BC784" s="949"/>
      <c r="BD784" s="949"/>
      <c r="BE784" s="949"/>
      <c r="BF784" s="949"/>
      <c r="BG784" s="948"/>
      <c r="BH784" s="948"/>
      <c r="BI784" s="948"/>
      <c r="BJ784" s="948"/>
      <c r="BK784" s="948"/>
      <c r="BL784" s="948"/>
      <c r="BM784" s="948"/>
      <c r="BN784" s="948"/>
      <c r="BO784" s="948"/>
      <c r="BP784" s="948"/>
      <c r="BQ784" s="948"/>
      <c r="BR784" s="948"/>
      <c r="BS784" s="948"/>
      <c r="BT784" s="948"/>
      <c r="BU784" s="954"/>
    </row>
    <row r="785" spans="1:73" ht="15.75" customHeight="1" x14ac:dyDescent="0.2">
      <c r="A785" s="947"/>
      <c r="B785" s="947"/>
      <c r="C785" s="947"/>
      <c r="D785" s="948"/>
      <c r="E785" s="948"/>
      <c r="F785" s="948"/>
      <c r="G785" s="948"/>
      <c r="H785" s="948"/>
      <c r="I785" s="948"/>
      <c r="J785" s="948"/>
      <c r="K785" s="949"/>
      <c r="L785" s="949"/>
      <c r="M785" s="949"/>
      <c r="N785" s="950"/>
      <c r="O785" s="948"/>
      <c r="P785" s="948"/>
      <c r="Q785" s="948"/>
      <c r="R785" s="949"/>
      <c r="S785" s="949"/>
      <c r="T785" s="949"/>
      <c r="U785" s="949"/>
      <c r="V785" s="949"/>
      <c r="W785" s="949"/>
      <c r="X785" s="951"/>
      <c r="Y785" s="951"/>
      <c r="Z785" s="952"/>
      <c r="AA785" s="953"/>
      <c r="AB785" s="948"/>
      <c r="AC785" s="948"/>
      <c r="AD785" s="949"/>
      <c r="AE785" s="949"/>
      <c r="AF785" s="949"/>
      <c r="AG785" s="949"/>
      <c r="AH785" s="949"/>
      <c r="AI785" s="949"/>
      <c r="AJ785" s="949"/>
      <c r="AK785" s="949"/>
      <c r="AL785" s="949"/>
      <c r="AM785" s="949"/>
      <c r="AN785" s="949"/>
      <c r="AO785" s="949"/>
      <c r="AP785" s="949"/>
      <c r="AQ785" s="949"/>
      <c r="AR785" s="949"/>
      <c r="AS785" s="949"/>
      <c r="AT785" s="949"/>
      <c r="AU785" s="949"/>
      <c r="AV785" s="949"/>
      <c r="AW785" s="949"/>
      <c r="AX785" s="949"/>
      <c r="AY785" s="949"/>
      <c r="AZ785" s="949"/>
      <c r="BA785" s="949"/>
      <c r="BB785" s="949"/>
      <c r="BC785" s="949"/>
      <c r="BD785" s="949"/>
      <c r="BE785" s="949"/>
      <c r="BF785" s="949"/>
      <c r="BG785" s="948"/>
      <c r="BH785" s="948"/>
      <c r="BI785" s="948"/>
      <c r="BJ785" s="948"/>
      <c r="BK785" s="948"/>
      <c r="BL785" s="948"/>
      <c r="BM785" s="948"/>
      <c r="BN785" s="948"/>
      <c r="BO785" s="948"/>
      <c r="BP785" s="948"/>
      <c r="BQ785" s="948"/>
      <c r="BR785" s="948"/>
      <c r="BS785" s="948"/>
      <c r="BT785" s="948"/>
      <c r="BU785" s="954"/>
    </row>
    <row r="786" spans="1:73" ht="15.75" customHeight="1" x14ac:dyDescent="0.2">
      <c r="A786" s="947"/>
      <c r="B786" s="947"/>
      <c r="C786" s="947"/>
      <c r="D786" s="948"/>
      <c r="E786" s="948"/>
      <c r="F786" s="948"/>
      <c r="G786" s="948"/>
      <c r="H786" s="948"/>
      <c r="I786" s="948"/>
      <c r="J786" s="948"/>
      <c r="K786" s="949"/>
      <c r="L786" s="949"/>
      <c r="M786" s="949"/>
      <c r="N786" s="950"/>
      <c r="O786" s="948"/>
      <c r="P786" s="948"/>
      <c r="Q786" s="948"/>
      <c r="R786" s="949"/>
      <c r="S786" s="949"/>
      <c r="T786" s="949"/>
      <c r="U786" s="949"/>
      <c r="V786" s="949"/>
      <c r="W786" s="949"/>
      <c r="X786" s="951"/>
      <c r="Y786" s="951"/>
      <c r="Z786" s="952"/>
      <c r="AA786" s="953"/>
      <c r="AB786" s="948"/>
      <c r="AC786" s="948"/>
      <c r="AD786" s="949"/>
      <c r="AE786" s="949"/>
      <c r="AF786" s="949"/>
      <c r="AG786" s="949"/>
      <c r="AH786" s="949"/>
      <c r="AI786" s="949"/>
      <c r="AJ786" s="949"/>
      <c r="AK786" s="949"/>
      <c r="AL786" s="949"/>
      <c r="AM786" s="949"/>
      <c r="AN786" s="949"/>
      <c r="AO786" s="949"/>
      <c r="AP786" s="949"/>
      <c r="AQ786" s="949"/>
      <c r="AR786" s="949"/>
      <c r="AS786" s="949"/>
      <c r="AT786" s="949"/>
      <c r="AU786" s="949"/>
      <c r="AV786" s="949"/>
      <c r="AW786" s="949"/>
      <c r="AX786" s="949"/>
      <c r="AY786" s="949"/>
      <c r="AZ786" s="949"/>
      <c r="BA786" s="949"/>
      <c r="BB786" s="949"/>
      <c r="BC786" s="949"/>
      <c r="BD786" s="949"/>
      <c r="BE786" s="949"/>
      <c r="BF786" s="949"/>
      <c r="BG786" s="948"/>
      <c r="BH786" s="948"/>
      <c r="BI786" s="948"/>
      <c r="BJ786" s="948"/>
      <c r="BK786" s="948"/>
      <c r="BL786" s="948"/>
      <c r="BM786" s="948"/>
      <c r="BN786" s="948"/>
      <c r="BO786" s="948"/>
      <c r="BP786" s="948"/>
      <c r="BQ786" s="948"/>
      <c r="BR786" s="948"/>
      <c r="BS786" s="948"/>
      <c r="BT786" s="948"/>
      <c r="BU786" s="954"/>
    </row>
    <row r="787" spans="1:73" ht="15.75" customHeight="1" x14ac:dyDescent="0.2">
      <c r="A787" s="947"/>
      <c r="B787" s="947"/>
      <c r="C787" s="947"/>
      <c r="D787" s="948"/>
      <c r="E787" s="948"/>
      <c r="F787" s="948"/>
      <c r="G787" s="948"/>
      <c r="H787" s="948"/>
      <c r="I787" s="948"/>
      <c r="J787" s="948"/>
      <c r="K787" s="949"/>
      <c r="L787" s="949"/>
      <c r="M787" s="949"/>
      <c r="N787" s="950"/>
      <c r="O787" s="948"/>
      <c r="P787" s="948"/>
      <c r="Q787" s="948"/>
      <c r="R787" s="949"/>
      <c r="S787" s="949"/>
      <c r="T787" s="949"/>
      <c r="U787" s="949"/>
      <c r="V787" s="949"/>
      <c r="W787" s="949"/>
      <c r="X787" s="951"/>
      <c r="Y787" s="951"/>
      <c r="Z787" s="952"/>
      <c r="AA787" s="953"/>
      <c r="AB787" s="948"/>
      <c r="AC787" s="948"/>
      <c r="AD787" s="949"/>
      <c r="AE787" s="949"/>
      <c r="AF787" s="949"/>
      <c r="AG787" s="949"/>
      <c r="AH787" s="949"/>
      <c r="AI787" s="949"/>
      <c r="AJ787" s="949"/>
      <c r="AK787" s="949"/>
      <c r="AL787" s="949"/>
      <c r="AM787" s="949"/>
      <c r="AN787" s="949"/>
      <c r="AO787" s="949"/>
      <c r="AP787" s="949"/>
      <c r="AQ787" s="949"/>
      <c r="AR787" s="949"/>
      <c r="AS787" s="949"/>
      <c r="AT787" s="949"/>
      <c r="AU787" s="949"/>
      <c r="AV787" s="949"/>
      <c r="AW787" s="949"/>
      <c r="AX787" s="949"/>
      <c r="AY787" s="949"/>
      <c r="AZ787" s="949"/>
      <c r="BA787" s="949"/>
      <c r="BB787" s="949"/>
      <c r="BC787" s="949"/>
      <c r="BD787" s="949"/>
      <c r="BE787" s="949"/>
      <c r="BF787" s="949"/>
      <c r="BG787" s="948"/>
      <c r="BH787" s="948"/>
      <c r="BI787" s="948"/>
      <c r="BJ787" s="948"/>
      <c r="BK787" s="948"/>
      <c r="BL787" s="948"/>
      <c r="BM787" s="948"/>
      <c r="BN787" s="948"/>
      <c r="BO787" s="948"/>
      <c r="BP787" s="948"/>
      <c r="BQ787" s="948"/>
      <c r="BR787" s="948"/>
      <c r="BS787" s="948"/>
      <c r="BT787" s="948"/>
      <c r="BU787" s="954"/>
    </row>
    <row r="788" spans="1:73" ht="15.75" customHeight="1" x14ac:dyDescent="0.2">
      <c r="A788" s="947"/>
      <c r="B788" s="947"/>
      <c r="C788" s="947"/>
      <c r="D788" s="948"/>
      <c r="E788" s="948"/>
      <c r="F788" s="948"/>
      <c r="G788" s="948"/>
      <c r="H788" s="948"/>
      <c r="I788" s="948"/>
      <c r="J788" s="948"/>
      <c r="K788" s="949"/>
      <c r="L788" s="949"/>
      <c r="M788" s="949"/>
      <c r="N788" s="950"/>
      <c r="O788" s="948"/>
      <c r="P788" s="948"/>
      <c r="Q788" s="948"/>
      <c r="R788" s="949"/>
      <c r="S788" s="949"/>
      <c r="T788" s="949"/>
      <c r="U788" s="949"/>
      <c r="V788" s="949"/>
      <c r="W788" s="949"/>
      <c r="X788" s="951"/>
      <c r="Y788" s="951"/>
      <c r="Z788" s="952"/>
      <c r="AA788" s="953"/>
      <c r="AB788" s="948"/>
      <c r="AC788" s="948"/>
      <c r="AD788" s="949"/>
      <c r="AE788" s="949"/>
      <c r="AF788" s="949"/>
      <c r="AG788" s="949"/>
      <c r="AH788" s="949"/>
      <c r="AI788" s="949"/>
      <c r="AJ788" s="949"/>
      <c r="AK788" s="949"/>
      <c r="AL788" s="949"/>
      <c r="AM788" s="949"/>
      <c r="AN788" s="949"/>
      <c r="AO788" s="949"/>
      <c r="AP788" s="949"/>
      <c r="AQ788" s="949"/>
      <c r="AR788" s="949"/>
      <c r="AS788" s="949"/>
      <c r="AT788" s="949"/>
      <c r="AU788" s="949"/>
      <c r="AV788" s="949"/>
      <c r="AW788" s="949"/>
      <c r="AX788" s="949"/>
      <c r="AY788" s="949"/>
      <c r="AZ788" s="949"/>
      <c r="BA788" s="949"/>
      <c r="BB788" s="949"/>
      <c r="BC788" s="949"/>
      <c r="BD788" s="949"/>
      <c r="BE788" s="949"/>
      <c r="BF788" s="949"/>
      <c r="BG788" s="948"/>
      <c r="BH788" s="948"/>
      <c r="BI788" s="948"/>
      <c r="BJ788" s="948"/>
      <c r="BK788" s="948"/>
      <c r="BL788" s="948"/>
      <c r="BM788" s="948"/>
      <c r="BN788" s="948"/>
      <c r="BO788" s="948"/>
      <c r="BP788" s="948"/>
      <c r="BQ788" s="948"/>
      <c r="BR788" s="948"/>
      <c r="BS788" s="948"/>
      <c r="BT788" s="948"/>
      <c r="BU788" s="954"/>
    </row>
    <row r="789" spans="1:73" ht="15.75" customHeight="1" x14ac:dyDescent="0.2">
      <c r="A789" s="947"/>
      <c r="B789" s="947"/>
      <c r="C789" s="947"/>
      <c r="D789" s="948"/>
      <c r="E789" s="948"/>
      <c r="F789" s="948"/>
      <c r="G789" s="948"/>
      <c r="H789" s="948"/>
      <c r="I789" s="948"/>
      <c r="J789" s="948"/>
      <c r="K789" s="949"/>
      <c r="L789" s="949"/>
      <c r="M789" s="949"/>
      <c r="N789" s="950"/>
      <c r="O789" s="948"/>
      <c r="P789" s="948"/>
      <c r="Q789" s="948"/>
      <c r="R789" s="949"/>
      <c r="S789" s="949"/>
      <c r="T789" s="949"/>
      <c r="U789" s="949"/>
      <c r="V789" s="949"/>
      <c r="W789" s="949"/>
      <c r="X789" s="951"/>
      <c r="Y789" s="951"/>
      <c r="Z789" s="952"/>
      <c r="AA789" s="953"/>
      <c r="AB789" s="948"/>
      <c r="AC789" s="948"/>
      <c r="AD789" s="949"/>
      <c r="AE789" s="949"/>
      <c r="AF789" s="949"/>
      <c r="AG789" s="949"/>
      <c r="AH789" s="949"/>
      <c r="AI789" s="949"/>
      <c r="AJ789" s="949"/>
      <c r="AK789" s="949"/>
      <c r="AL789" s="949"/>
      <c r="AM789" s="949"/>
      <c r="AN789" s="949"/>
      <c r="AO789" s="949"/>
      <c r="AP789" s="949"/>
      <c r="AQ789" s="949"/>
      <c r="AR789" s="949"/>
      <c r="AS789" s="949"/>
      <c r="AT789" s="949"/>
      <c r="AU789" s="949"/>
      <c r="AV789" s="949"/>
      <c r="AW789" s="949"/>
      <c r="AX789" s="949"/>
      <c r="AY789" s="949"/>
      <c r="AZ789" s="949"/>
      <c r="BA789" s="949"/>
      <c r="BB789" s="949"/>
      <c r="BC789" s="949"/>
      <c r="BD789" s="949"/>
      <c r="BE789" s="949"/>
      <c r="BF789" s="949"/>
      <c r="BG789" s="948"/>
      <c r="BH789" s="948"/>
      <c r="BI789" s="948"/>
      <c r="BJ789" s="948"/>
      <c r="BK789" s="948"/>
      <c r="BL789" s="948"/>
      <c r="BM789" s="948"/>
      <c r="BN789" s="948"/>
      <c r="BO789" s="948"/>
      <c r="BP789" s="948"/>
      <c r="BQ789" s="948"/>
      <c r="BR789" s="948"/>
      <c r="BS789" s="948"/>
      <c r="BT789" s="948"/>
      <c r="BU789" s="954"/>
    </row>
    <row r="790" spans="1:73" ht="15.75" customHeight="1" x14ac:dyDescent="0.2">
      <c r="A790" s="947"/>
      <c r="B790" s="947"/>
      <c r="C790" s="947"/>
      <c r="D790" s="948"/>
      <c r="E790" s="948"/>
      <c r="F790" s="948"/>
      <c r="G790" s="948"/>
      <c r="H790" s="948"/>
      <c r="I790" s="948"/>
      <c r="J790" s="948"/>
      <c r="K790" s="949"/>
      <c r="L790" s="949"/>
      <c r="M790" s="949"/>
      <c r="N790" s="950"/>
      <c r="O790" s="948"/>
      <c r="P790" s="948"/>
      <c r="Q790" s="948"/>
      <c r="R790" s="949"/>
      <c r="S790" s="949"/>
      <c r="T790" s="949"/>
      <c r="U790" s="949"/>
      <c r="V790" s="949"/>
      <c r="W790" s="949"/>
      <c r="X790" s="951"/>
      <c r="Y790" s="951"/>
      <c r="Z790" s="952"/>
      <c r="AA790" s="953"/>
      <c r="AB790" s="948"/>
      <c r="AC790" s="948"/>
      <c r="AD790" s="949"/>
      <c r="AE790" s="949"/>
      <c r="AF790" s="949"/>
      <c r="AG790" s="949"/>
      <c r="AH790" s="949"/>
      <c r="AI790" s="949"/>
      <c r="AJ790" s="949"/>
      <c r="AK790" s="949"/>
      <c r="AL790" s="949"/>
      <c r="AM790" s="949"/>
      <c r="AN790" s="949"/>
      <c r="AO790" s="949"/>
      <c r="AP790" s="949"/>
      <c r="AQ790" s="949"/>
      <c r="AR790" s="949"/>
      <c r="AS790" s="949"/>
      <c r="AT790" s="949"/>
      <c r="AU790" s="949"/>
      <c r="AV790" s="949"/>
      <c r="AW790" s="949"/>
      <c r="AX790" s="949"/>
      <c r="AY790" s="949"/>
      <c r="AZ790" s="949"/>
      <c r="BA790" s="949"/>
      <c r="BB790" s="949"/>
      <c r="BC790" s="949"/>
      <c r="BD790" s="949"/>
      <c r="BE790" s="949"/>
      <c r="BF790" s="949"/>
      <c r="BG790" s="948"/>
      <c r="BH790" s="948"/>
      <c r="BI790" s="948"/>
      <c r="BJ790" s="948"/>
      <c r="BK790" s="948"/>
      <c r="BL790" s="948"/>
      <c r="BM790" s="948"/>
      <c r="BN790" s="948"/>
      <c r="BO790" s="948"/>
      <c r="BP790" s="948"/>
      <c r="BQ790" s="948"/>
      <c r="BR790" s="948"/>
      <c r="BS790" s="948"/>
      <c r="BT790" s="948"/>
      <c r="BU790" s="954"/>
    </row>
    <row r="791" spans="1:73" ht="15.75" customHeight="1" x14ac:dyDescent="0.2">
      <c r="A791" s="947"/>
      <c r="B791" s="947"/>
      <c r="C791" s="947"/>
      <c r="D791" s="948"/>
      <c r="E791" s="948"/>
      <c r="F791" s="948"/>
      <c r="G791" s="948"/>
      <c r="H791" s="948"/>
      <c r="I791" s="948"/>
      <c r="J791" s="948"/>
      <c r="K791" s="949"/>
      <c r="L791" s="949"/>
      <c r="M791" s="949"/>
      <c r="N791" s="950"/>
      <c r="O791" s="948"/>
      <c r="P791" s="948"/>
      <c r="Q791" s="948"/>
      <c r="R791" s="949"/>
      <c r="S791" s="949"/>
      <c r="T791" s="949"/>
      <c r="U791" s="949"/>
      <c r="V791" s="949"/>
      <c r="W791" s="949"/>
      <c r="X791" s="951"/>
      <c r="Y791" s="951"/>
      <c r="Z791" s="952"/>
      <c r="AA791" s="953"/>
      <c r="AB791" s="948"/>
      <c r="AC791" s="948"/>
      <c r="AD791" s="949"/>
      <c r="AE791" s="949"/>
      <c r="AF791" s="949"/>
      <c r="AG791" s="949"/>
      <c r="AH791" s="949"/>
      <c r="AI791" s="949"/>
      <c r="AJ791" s="949"/>
      <c r="AK791" s="949"/>
      <c r="AL791" s="949"/>
      <c r="AM791" s="949"/>
      <c r="AN791" s="949"/>
      <c r="AO791" s="949"/>
      <c r="AP791" s="949"/>
      <c r="AQ791" s="949"/>
      <c r="AR791" s="949"/>
      <c r="AS791" s="949"/>
      <c r="AT791" s="949"/>
      <c r="AU791" s="949"/>
      <c r="AV791" s="949"/>
      <c r="AW791" s="949"/>
      <c r="AX791" s="949"/>
      <c r="AY791" s="949"/>
      <c r="AZ791" s="949"/>
      <c r="BA791" s="949"/>
      <c r="BB791" s="949"/>
      <c r="BC791" s="949"/>
      <c r="BD791" s="949"/>
      <c r="BE791" s="949"/>
      <c r="BF791" s="949"/>
      <c r="BG791" s="948"/>
      <c r="BH791" s="948"/>
      <c r="BI791" s="948"/>
      <c r="BJ791" s="948"/>
      <c r="BK791" s="948"/>
      <c r="BL791" s="948"/>
      <c r="BM791" s="948"/>
      <c r="BN791" s="948"/>
      <c r="BO791" s="948"/>
      <c r="BP791" s="948"/>
      <c r="BQ791" s="948"/>
      <c r="BR791" s="948"/>
      <c r="BS791" s="948"/>
      <c r="BT791" s="948"/>
      <c r="BU791" s="954"/>
    </row>
    <row r="792" spans="1:73" ht="15.75" customHeight="1" x14ac:dyDescent="0.2">
      <c r="A792" s="947"/>
      <c r="B792" s="947"/>
      <c r="C792" s="947"/>
      <c r="D792" s="948"/>
      <c r="E792" s="948"/>
      <c r="F792" s="948"/>
      <c r="G792" s="948"/>
      <c r="H792" s="948"/>
      <c r="I792" s="948"/>
      <c r="J792" s="948"/>
      <c r="K792" s="949"/>
      <c r="L792" s="949"/>
      <c r="M792" s="949"/>
      <c r="N792" s="950"/>
      <c r="O792" s="948"/>
      <c r="P792" s="948"/>
      <c r="Q792" s="948"/>
      <c r="R792" s="949"/>
      <c r="S792" s="949"/>
      <c r="T792" s="949"/>
      <c r="U792" s="949"/>
      <c r="V792" s="949"/>
      <c r="W792" s="949"/>
      <c r="X792" s="951"/>
      <c r="Y792" s="951"/>
      <c r="Z792" s="952"/>
      <c r="AA792" s="953"/>
      <c r="AB792" s="948"/>
      <c r="AC792" s="948"/>
      <c r="AD792" s="949"/>
      <c r="AE792" s="949"/>
      <c r="AF792" s="949"/>
      <c r="AG792" s="949"/>
      <c r="AH792" s="949"/>
      <c r="AI792" s="949"/>
      <c r="AJ792" s="949"/>
      <c r="AK792" s="949"/>
      <c r="AL792" s="949"/>
      <c r="AM792" s="949"/>
      <c r="AN792" s="949"/>
      <c r="AO792" s="949"/>
      <c r="AP792" s="949"/>
      <c r="AQ792" s="949"/>
      <c r="AR792" s="949"/>
      <c r="AS792" s="949"/>
      <c r="AT792" s="949"/>
      <c r="AU792" s="949"/>
      <c r="AV792" s="949"/>
      <c r="AW792" s="949"/>
      <c r="AX792" s="949"/>
      <c r="AY792" s="949"/>
      <c r="AZ792" s="949"/>
      <c r="BA792" s="949"/>
      <c r="BB792" s="949"/>
      <c r="BC792" s="949"/>
      <c r="BD792" s="949"/>
      <c r="BE792" s="949"/>
      <c r="BF792" s="949"/>
      <c r="BG792" s="948"/>
      <c r="BH792" s="948"/>
      <c r="BI792" s="948"/>
      <c r="BJ792" s="948"/>
      <c r="BK792" s="948"/>
      <c r="BL792" s="948"/>
      <c r="BM792" s="948"/>
      <c r="BN792" s="948"/>
      <c r="BO792" s="948"/>
      <c r="BP792" s="948"/>
      <c r="BQ792" s="948"/>
      <c r="BR792" s="948"/>
      <c r="BS792" s="948"/>
      <c r="BT792" s="948"/>
      <c r="BU792" s="954"/>
    </row>
    <row r="793" spans="1:73" ht="15.75" customHeight="1" x14ac:dyDescent="0.2">
      <c r="A793" s="947"/>
      <c r="B793" s="947"/>
      <c r="C793" s="947"/>
      <c r="D793" s="948"/>
      <c r="E793" s="948"/>
      <c r="F793" s="948"/>
      <c r="G793" s="948"/>
      <c r="H793" s="948"/>
      <c r="I793" s="948"/>
      <c r="J793" s="948"/>
      <c r="K793" s="949"/>
      <c r="L793" s="949"/>
      <c r="M793" s="949"/>
      <c r="N793" s="950"/>
      <c r="O793" s="948"/>
      <c r="P793" s="948"/>
      <c r="Q793" s="948"/>
      <c r="R793" s="949"/>
      <c r="S793" s="949"/>
      <c r="T793" s="949"/>
      <c r="U793" s="949"/>
      <c r="V793" s="949"/>
      <c r="W793" s="949"/>
      <c r="X793" s="951"/>
      <c r="Y793" s="951"/>
      <c r="Z793" s="952"/>
      <c r="AA793" s="953"/>
      <c r="AB793" s="948"/>
      <c r="AC793" s="948"/>
      <c r="AD793" s="949"/>
      <c r="AE793" s="949"/>
      <c r="AF793" s="949"/>
      <c r="AG793" s="949"/>
      <c r="AH793" s="949"/>
      <c r="AI793" s="949"/>
      <c r="AJ793" s="949"/>
      <c r="AK793" s="949"/>
      <c r="AL793" s="949"/>
      <c r="AM793" s="949"/>
      <c r="AN793" s="949"/>
      <c r="AO793" s="949"/>
      <c r="AP793" s="949"/>
      <c r="AQ793" s="949"/>
      <c r="AR793" s="949"/>
      <c r="AS793" s="949"/>
      <c r="AT793" s="949"/>
      <c r="AU793" s="949"/>
      <c r="AV793" s="949"/>
      <c r="AW793" s="949"/>
      <c r="AX793" s="949"/>
      <c r="AY793" s="949"/>
      <c r="AZ793" s="949"/>
      <c r="BA793" s="949"/>
      <c r="BB793" s="949"/>
      <c r="BC793" s="949"/>
      <c r="BD793" s="949"/>
      <c r="BE793" s="949"/>
      <c r="BF793" s="949"/>
      <c r="BG793" s="948"/>
      <c r="BH793" s="948"/>
      <c r="BI793" s="948"/>
      <c r="BJ793" s="948"/>
      <c r="BK793" s="948"/>
      <c r="BL793" s="948"/>
      <c r="BM793" s="948"/>
      <c r="BN793" s="948"/>
      <c r="BO793" s="948"/>
      <c r="BP793" s="948"/>
      <c r="BQ793" s="948"/>
      <c r="BR793" s="948"/>
      <c r="BS793" s="948"/>
      <c r="BT793" s="948"/>
      <c r="BU793" s="954"/>
    </row>
    <row r="794" spans="1:73" ht="15.75" customHeight="1" x14ac:dyDescent="0.2">
      <c r="A794" s="947"/>
      <c r="B794" s="947"/>
      <c r="C794" s="947"/>
      <c r="D794" s="948"/>
      <c r="E794" s="948"/>
      <c r="F794" s="948"/>
      <c r="G794" s="948"/>
      <c r="H794" s="948"/>
      <c r="I794" s="948"/>
      <c r="J794" s="948"/>
      <c r="K794" s="949"/>
      <c r="L794" s="949"/>
      <c r="M794" s="949"/>
      <c r="N794" s="950"/>
      <c r="O794" s="948"/>
      <c r="P794" s="948"/>
      <c r="Q794" s="948"/>
      <c r="R794" s="949"/>
      <c r="S794" s="949"/>
      <c r="T794" s="949"/>
      <c r="U794" s="949"/>
      <c r="V794" s="949"/>
      <c r="W794" s="949"/>
      <c r="X794" s="951"/>
      <c r="Y794" s="951"/>
      <c r="Z794" s="952"/>
      <c r="AA794" s="953"/>
      <c r="AB794" s="948"/>
      <c r="AC794" s="948"/>
      <c r="AD794" s="949"/>
      <c r="AE794" s="949"/>
      <c r="AF794" s="949"/>
      <c r="AG794" s="949"/>
      <c r="AH794" s="949"/>
      <c r="AI794" s="949"/>
      <c r="AJ794" s="949"/>
      <c r="AK794" s="949"/>
      <c r="AL794" s="949"/>
      <c r="AM794" s="949"/>
      <c r="AN794" s="949"/>
      <c r="AO794" s="949"/>
      <c r="AP794" s="949"/>
      <c r="AQ794" s="949"/>
      <c r="AR794" s="949"/>
      <c r="AS794" s="949"/>
      <c r="AT794" s="949"/>
      <c r="AU794" s="949"/>
      <c r="AV794" s="949"/>
      <c r="AW794" s="949"/>
      <c r="AX794" s="949"/>
      <c r="AY794" s="949"/>
      <c r="AZ794" s="949"/>
      <c r="BA794" s="949"/>
      <c r="BB794" s="949"/>
      <c r="BC794" s="949"/>
      <c r="BD794" s="949"/>
      <c r="BE794" s="949"/>
      <c r="BF794" s="949"/>
      <c r="BG794" s="948"/>
      <c r="BH794" s="948"/>
      <c r="BI794" s="948"/>
      <c r="BJ794" s="948"/>
      <c r="BK794" s="948"/>
      <c r="BL794" s="948"/>
      <c r="BM794" s="948"/>
      <c r="BN794" s="948"/>
      <c r="BO794" s="948"/>
      <c r="BP794" s="948"/>
      <c r="BQ794" s="948"/>
      <c r="BR794" s="948"/>
      <c r="BS794" s="948"/>
      <c r="BT794" s="948"/>
      <c r="BU794" s="954"/>
    </row>
    <row r="795" spans="1:73" ht="15.75" customHeight="1" x14ac:dyDescent="0.2">
      <c r="A795" s="947"/>
      <c r="B795" s="947"/>
      <c r="C795" s="947"/>
      <c r="D795" s="948"/>
      <c r="E795" s="948"/>
      <c r="F795" s="948"/>
      <c r="G795" s="948"/>
      <c r="H795" s="948"/>
      <c r="I795" s="948"/>
      <c r="J795" s="948"/>
      <c r="K795" s="949"/>
      <c r="L795" s="949"/>
      <c r="M795" s="949"/>
      <c r="N795" s="950"/>
      <c r="O795" s="948"/>
      <c r="P795" s="948"/>
      <c r="Q795" s="948"/>
      <c r="R795" s="949"/>
      <c r="S795" s="949"/>
      <c r="T795" s="949"/>
      <c r="U795" s="949"/>
      <c r="V795" s="949"/>
      <c r="W795" s="949"/>
      <c r="X795" s="951"/>
      <c r="Y795" s="951"/>
      <c r="Z795" s="952"/>
      <c r="AA795" s="953"/>
      <c r="AB795" s="948"/>
      <c r="AC795" s="948"/>
      <c r="AD795" s="949"/>
      <c r="AE795" s="949"/>
      <c r="AF795" s="949"/>
      <c r="AG795" s="949"/>
      <c r="AH795" s="949"/>
      <c r="AI795" s="949"/>
      <c r="AJ795" s="949"/>
      <c r="AK795" s="949"/>
      <c r="AL795" s="949"/>
      <c r="AM795" s="949"/>
      <c r="AN795" s="949"/>
      <c r="AO795" s="949"/>
      <c r="AP795" s="949"/>
      <c r="AQ795" s="949"/>
      <c r="AR795" s="949"/>
      <c r="AS795" s="949"/>
      <c r="AT795" s="949"/>
      <c r="AU795" s="949"/>
      <c r="AV795" s="949"/>
      <c r="AW795" s="949"/>
      <c r="AX795" s="949"/>
      <c r="AY795" s="949"/>
      <c r="AZ795" s="949"/>
      <c r="BA795" s="949"/>
      <c r="BB795" s="949"/>
      <c r="BC795" s="949"/>
      <c r="BD795" s="949"/>
      <c r="BE795" s="949"/>
      <c r="BF795" s="949"/>
      <c r="BG795" s="948"/>
      <c r="BH795" s="948"/>
      <c r="BI795" s="948"/>
      <c r="BJ795" s="948"/>
      <c r="BK795" s="948"/>
      <c r="BL795" s="948"/>
      <c r="BM795" s="948"/>
      <c r="BN795" s="948"/>
      <c r="BO795" s="948"/>
      <c r="BP795" s="948"/>
      <c r="BQ795" s="948"/>
      <c r="BR795" s="948"/>
      <c r="BS795" s="948"/>
      <c r="BT795" s="948"/>
      <c r="BU795" s="954"/>
    </row>
    <row r="796" spans="1:73" ht="15.75" customHeight="1" x14ac:dyDescent="0.2">
      <c r="A796" s="947"/>
      <c r="B796" s="947"/>
      <c r="C796" s="947"/>
      <c r="D796" s="948"/>
      <c r="E796" s="948"/>
      <c r="F796" s="948"/>
      <c r="G796" s="948"/>
      <c r="H796" s="948"/>
      <c r="I796" s="948"/>
      <c r="J796" s="948"/>
      <c r="K796" s="949"/>
      <c r="L796" s="949"/>
      <c r="M796" s="949"/>
      <c r="N796" s="950"/>
      <c r="O796" s="948"/>
      <c r="P796" s="948"/>
      <c r="Q796" s="948"/>
      <c r="R796" s="949"/>
      <c r="S796" s="949"/>
      <c r="T796" s="949"/>
      <c r="U796" s="949"/>
      <c r="V796" s="949"/>
      <c r="W796" s="949"/>
      <c r="X796" s="951"/>
      <c r="Y796" s="951"/>
      <c r="Z796" s="952"/>
      <c r="AA796" s="953"/>
      <c r="AB796" s="948"/>
      <c r="AC796" s="948"/>
      <c r="AD796" s="949"/>
      <c r="AE796" s="949"/>
      <c r="AF796" s="949"/>
      <c r="AG796" s="949"/>
      <c r="AH796" s="949"/>
      <c r="AI796" s="949"/>
      <c r="AJ796" s="949"/>
      <c r="AK796" s="949"/>
      <c r="AL796" s="949"/>
      <c r="AM796" s="949"/>
      <c r="AN796" s="949"/>
      <c r="AO796" s="949"/>
      <c r="AP796" s="949"/>
      <c r="AQ796" s="949"/>
      <c r="AR796" s="949"/>
      <c r="AS796" s="949"/>
      <c r="AT796" s="949"/>
      <c r="AU796" s="949"/>
      <c r="AV796" s="949"/>
      <c r="AW796" s="949"/>
      <c r="AX796" s="949"/>
      <c r="AY796" s="949"/>
      <c r="AZ796" s="949"/>
      <c r="BA796" s="949"/>
      <c r="BB796" s="949"/>
      <c r="BC796" s="949"/>
      <c r="BD796" s="949"/>
      <c r="BE796" s="949"/>
      <c r="BF796" s="949"/>
      <c r="BG796" s="948"/>
      <c r="BH796" s="948"/>
      <c r="BI796" s="948"/>
      <c r="BJ796" s="948"/>
      <c r="BK796" s="948"/>
      <c r="BL796" s="948"/>
      <c r="BM796" s="948"/>
      <c r="BN796" s="948"/>
      <c r="BO796" s="948"/>
      <c r="BP796" s="948"/>
      <c r="BQ796" s="948"/>
      <c r="BR796" s="948"/>
      <c r="BS796" s="948"/>
      <c r="BT796" s="948"/>
      <c r="BU796" s="954"/>
    </row>
    <row r="797" spans="1:73" ht="15.75" customHeight="1" x14ac:dyDescent="0.2">
      <c r="A797" s="947"/>
      <c r="B797" s="947"/>
      <c r="C797" s="947"/>
      <c r="D797" s="948"/>
      <c r="E797" s="948"/>
      <c r="F797" s="948"/>
      <c r="G797" s="948"/>
      <c r="H797" s="948"/>
      <c r="I797" s="948"/>
      <c r="J797" s="948"/>
      <c r="K797" s="949"/>
      <c r="L797" s="949"/>
      <c r="M797" s="949"/>
      <c r="N797" s="950"/>
      <c r="O797" s="948"/>
      <c r="P797" s="948"/>
      <c r="Q797" s="948"/>
      <c r="R797" s="949"/>
      <c r="S797" s="949"/>
      <c r="T797" s="949"/>
      <c r="U797" s="949"/>
      <c r="V797" s="949"/>
      <c r="W797" s="949"/>
      <c r="X797" s="951"/>
      <c r="Y797" s="951"/>
      <c r="Z797" s="952"/>
      <c r="AA797" s="953"/>
      <c r="AB797" s="948"/>
      <c r="AC797" s="948"/>
      <c r="AD797" s="949"/>
      <c r="AE797" s="949"/>
      <c r="AF797" s="949"/>
      <c r="AG797" s="949"/>
      <c r="AH797" s="949"/>
      <c r="AI797" s="949"/>
      <c r="AJ797" s="949"/>
      <c r="AK797" s="949"/>
      <c r="AL797" s="949"/>
      <c r="AM797" s="949"/>
      <c r="AN797" s="949"/>
      <c r="AO797" s="949"/>
      <c r="AP797" s="949"/>
      <c r="AQ797" s="949"/>
      <c r="AR797" s="949"/>
      <c r="AS797" s="949"/>
      <c r="AT797" s="949"/>
      <c r="AU797" s="949"/>
      <c r="AV797" s="949"/>
      <c r="AW797" s="949"/>
      <c r="AX797" s="949"/>
      <c r="AY797" s="949"/>
      <c r="AZ797" s="949"/>
      <c r="BA797" s="949"/>
      <c r="BB797" s="949"/>
      <c r="BC797" s="949"/>
      <c r="BD797" s="949"/>
      <c r="BE797" s="949"/>
      <c r="BF797" s="949"/>
      <c r="BG797" s="948"/>
      <c r="BH797" s="948"/>
      <c r="BI797" s="948"/>
      <c r="BJ797" s="948"/>
      <c r="BK797" s="948"/>
      <c r="BL797" s="948"/>
      <c r="BM797" s="948"/>
      <c r="BN797" s="948"/>
      <c r="BO797" s="948"/>
      <c r="BP797" s="948"/>
      <c r="BQ797" s="948"/>
      <c r="BR797" s="948"/>
      <c r="BS797" s="948"/>
      <c r="BT797" s="948"/>
      <c r="BU797" s="954"/>
    </row>
    <row r="798" spans="1:73" ht="15.75" customHeight="1" x14ac:dyDescent="0.2">
      <c r="A798" s="947"/>
      <c r="B798" s="947"/>
      <c r="C798" s="947"/>
      <c r="D798" s="948"/>
      <c r="E798" s="948"/>
      <c r="F798" s="948"/>
      <c r="G798" s="948"/>
      <c r="H798" s="948"/>
      <c r="I798" s="948"/>
      <c r="J798" s="948"/>
      <c r="K798" s="949"/>
      <c r="L798" s="949"/>
      <c r="M798" s="949"/>
      <c r="N798" s="950"/>
      <c r="O798" s="948"/>
      <c r="P798" s="948"/>
      <c r="Q798" s="948"/>
      <c r="R798" s="949"/>
      <c r="S798" s="949"/>
      <c r="T798" s="949"/>
      <c r="U798" s="949"/>
      <c r="V798" s="949"/>
      <c r="W798" s="949"/>
      <c r="X798" s="951"/>
      <c r="Y798" s="951"/>
      <c r="Z798" s="952"/>
      <c r="AA798" s="953"/>
      <c r="AB798" s="948"/>
      <c r="AC798" s="948"/>
      <c r="AD798" s="949"/>
      <c r="AE798" s="949"/>
      <c r="AF798" s="949"/>
      <c r="AG798" s="949"/>
      <c r="AH798" s="949"/>
      <c r="AI798" s="949"/>
      <c r="AJ798" s="949"/>
      <c r="AK798" s="949"/>
      <c r="AL798" s="949"/>
      <c r="AM798" s="949"/>
      <c r="AN798" s="949"/>
      <c r="AO798" s="949"/>
      <c r="AP798" s="949"/>
      <c r="AQ798" s="949"/>
      <c r="AR798" s="949"/>
      <c r="AS798" s="949"/>
      <c r="AT798" s="949"/>
      <c r="AU798" s="949"/>
      <c r="AV798" s="949"/>
      <c r="AW798" s="949"/>
      <c r="AX798" s="949"/>
      <c r="AY798" s="949"/>
      <c r="AZ798" s="949"/>
      <c r="BA798" s="949"/>
      <c r="BB798" s="949"/>
      <c r="BC798" s="949"/>
      <c r="BD798" s="949"/>
      <c r="BE798" s="949"/>
      <c r="BF798" s="949"/>
      <c r="BG798" s="948"/>
      <c r="BH798" s="948"/>
      <c r="BI798" s="948"/>
      <c r="BJ798" s="948"/>
      <c r="BK798" s="948"/>
      <c r="BL798" s="948"/>
      <c r="BM798" s="948"/>
      <c r="BN798" s="948"/>
      <c r="BO798" s="948"/>
      <c r="BP798" s="948"/>
      <c r="BQ798" s="948"/>
      <c r="BR798" s="948"/>
      <c r="BS798" s="948"/>
      <c r="BT798" s="948"/>
      <c r="BU798" s="954"/>
    </row>
    <row r="799" spans="1:73" ht="15.75" customHeight="1" x14ac:dyDescent="0.2">
      <c r="A799" s="947"/>
      <c r="B799" s="947"/>
      <c r="C799" s="947"/>
      <c r="D799" s="948"/>
      <c r="E799" s="948"/>
      <c r="F799" s="948"/>
      <c r="G799" s="948"/>
      <c r="H799" s="948"/>
      <c r="I799" s="948"/>
      <c r="J799" s="948"/>
      <c r="K799" s="949"/>
      <c r="L799" s="949"/>
      <c r="M799" s="949"/>
      <c r="N799" s="950"/>
      <c r="O799" s="948"/>
      <c r="P799" s="948"/>
      <c r="Q799" s="948"/>
      <c r="R799" s="949"/>
      <c r="S799" s="949"/>
      <c r="T799" s="949"/>
      <c r="U799" s="949"/>
      <c r="V799" s="949"/>
      <c r="W799" s="949"/>
      <c r="X799" s="951"/>
      <c r="Y799" s="951"/>
      <c r="Z799" s="952"/>
      <c r="AA799" s="953"/>
      <c r="AB799" s="948"/>
      <c r="AC799" s="948"/>
      <c r="AD799" s="949"/>
      <c r="AE799" s="949"/>
      <c r="AF799" s="949"/>
      <c r="AG799" s="949"/>
      <c r="AH799" s="949"/>
      <c r="AI799" s="949"/>
      <c r="AJ799" s="949"/>
      <c r="AK799" s="949"/>
      <c r="AL799" s="949"/>
      <c r="AM799" s="949"/>
      <c r="AN799" s="949"/>
      <c r="AO799" s="949"/>
      <c r="AP799" s="949"/>
      <c r="AQ799" s="949"/>
      <c r="AR799" s="949"/>
      <c r="AS799" s="949"/>
      <c r="AT799" s="949"/>
      <c r="AU799" s="949"/>
      <c r="AV799" s="949"/>
      <c r="AW799" s="949"/>
      <c r="AX799" s="949"/>
      <c r="AY799" s="949"/>
      <c r="AZ799" s="949"/>
      <c r="BA799" s="949"/>
      <c r="BB799" s="949"/>
      <c r="BC799" s="949"/>
      <c r="BD799" s="949"/>
      <c r="BE799" s="949"/>
      <c r="BF799" s="949"/>
      <c r="BG799" s="948"/>
      <c r="BH799" s="948"/>
      <c r="BI799" s="948"/>
      <c r="BJ799" s="948"/>
      <c r="BK799" s="948"/>
      <c r="BL799" s="948"/>
      <c r="BM799" s="948"/>
      <c r="BN799" s="948"/>
      <c r="BO799" s="948"/>
      <c r="BP799" s="948"/>
      <c r="BQ799" s="948"/>
      <c r="BR799" s="948"/>
      <c r="BS799" s="948"/>
      <c r="BT799" s="948"/>
      <c r="BU799" s="954"/>
    </row>
    <row r="800" spans="1:73" ht="15.75" customHeight="1" x14ac:dyDescent="0.2">
      <c r="A800" s="947"/>
      <c r="B800" s="947"/>
      <c r="C800" s="947"/>
      <c r="D800" s="948"/>
      <c r="E800" s="948"/>
      <c r="F800" s="948"/>
      <c r="G800" s="948"/>
      <c r="H800" s="948"/>
      <c r="I800" s="948"/>
      <c r="J800" s="948"/>
      <c r="K800" s="949"/>
      <c r="L800" s="949"/>
      <c r="M800" s="949"/>
      <c r="N800" s="950"/>
      <c r="O800" s="948"/>
      <c r="P800" s="948"/>
      <c r="Q800" s="948"/>
      <c r="R800" s="949"/>
      <c r="S800" s="949"/>
      <c r="T800" s="949"/>
      <c r="U800" s="949"/>
      <c r="V800" s="949"/>
      <c r="W800" s="949"/>
      <c r="X800" s="951"/>
      <c r="Y800" s="951"/>
      <c r="Z800" s="952"/>
      <c r="AA800" s="953"/>
      <c r="AB800" s="948"/>
      <c r="AC800" s="948"/>
      <c r="AD800" s="949"/>
      <c r="AE800" s="949"/>
      <c r="AF800" s="949"/>
      <c r="AG800" s="949"/>
      <c r="AH800" s="949"/>
      <c r="AI800" s="949"/>
      <c r="AJ800" s="949"/>
      <c r="AK800" s="949"/>
      <c r="AL800" s="949"/>
      <c r="AM800" s="949"/>
      <c r="AN800" s="949"/>
      <c r="AO800" s="949"/>
      <c r="AP800" s="949"/>
      <c r="AQ800" s="949"/>
      <c r="AR800" s="949"/>
      <c r="AS800" s="949"/>
      <c r="AT800" s="949"/>
      <c r="AU800" s="949"/>
      <c r="AV800" s="949"/>
      <c r="AW800" s="949"/>
      <c r="AX800" s="949"/>
      <c r="AY800" s="949"/>
      <c r="AZ800" s="949"/>
      <c r="BA800" s="949"/>
      <c r="BB800" s="949"/>
      <c r="BC800" s="949"/>
      <c r="BD800" s="949"/>
      <c r="BE800" s="949"/>
      <c r="BF800" s="949"/>
      <c r="BG800" s="948"/>
      <c r="BH800" s="948"/>
      <c r="BI800" s="948"/>
      <c r="BJ800" s="948"/>
      <c r="BK800" s="948"/>
      <c r="BL800" s="948"/>
      <c r="BM800" s="948"/>
      <c r="BN800" s="948"/>
      <c r="BO800" s="948"/>
      <c r="BP800" s="948"/>
      <c r="BQ800" s="948"/>
      <c r="BR800" s="948"/>
      <c r="BS800" s="948"/>
      <c r="BT800" s="948"/>
      <c r="BU800" s="954"/>
    </row>
    <row r="801" spans="1:73" ht="15.75" customHeight="1" x14ac:dyDescent="0.2">
      <c r="A801" s="947"/>
      <c r="B801" s="947"/>
      <c r="C801" s="947"/>
      <c r="D801" s="948"/>
      <c r="E801" s="948"/>
      <c r="F801" s="948"/>
      <c r="G801" s="948"/>
      <c r="H801" s="948"/>
      <c r="I801" s="948"/>
      <c r="J801" s="948"/>
      <c r="K801" s="949"/>
      <c r="L801" s="949"/>
      <c r="M801" s="949"/>
      <c r="N801" s="950"/>
      <c r="O801" s="948"/>
      <c r="P801" s="948"/>
      <c r="Q801" s="948"/>
      <c r="R801" s="949"/>
      <c r="S801" s="949"/>
      <c r="T801" s="949"/>
      <c r="U801" s="949"/>
      <c r="V801" s="949"/>
      <c r="W801" s="949"/>
      <c r="X801" s="951"/>
      <c r="Y801" s="951"/>
      <c r="Z801" s="952"/>
      <c r="AA801" s="953"/>
      <c r="AB801" s="948"/>
      <c r="AC801" s="948"/>
      <c r="AD801" s="949"/>
      <c r="AE801" s="949"/>
      <c r="AF801" s="949"/>
      <c r="AG801" s="949"/>
      <c r="AH801" s="949"/>
      <c r="AI801" s="949"/>
      <c r="AJ801" s="949"/>
      <c r="AK801" s="949"/>
      <c r="AL801" s="949"/>
      <c r="AM801" s="949"/>
      <c r="AN801" s="949"/>
      <c r="AO801" s="949"/>
      <c r="AP801" s="949"/>
      <c r="AQ801" s="949"/>
      <c r="AR801" s="949"/>
      <c r="AS801" s="949"/>
      <c r="AT801" s="949"/>
      <c r="AU801" s="949"/>
      <c r="AV801" s="949"/>
      <c r="AW801" s="949"/>
      <c r="AX801" s="949"/>
      <c r="AY801" s="949"/>
      <c r="AZ801" s="949"/>
      <c r="BA801" s="949"/>
      <c r="BB801" s="949"/>
      <c r="BC801" s="949"/>
      <c r="BD801" s="949"/>
      <c r="BE801" s="949"/>
      <c r="BF801" s="949"/>
      <c r="BG801" s="948"/>
      <c r="BH801" s="948"/>
      <c r="BI801" s="948"/>
      <c r="BJ801" s="948"/>
      <c r="BK801" s="948"/>
      <c r="BL801" s="948"/>
      <c r="BM801" s="948"/>
      <c r="BN801" s="948"/>
      <c r="BO801" s="948"/>
      <c r="BP801" s="948"/>
      <c r="BQ801" s="948"/>
      <c r="BR801" s="948"/>
      <c r="BS801" s="948"/>
      <c r="BT801" s="948"/>
      <c r="BU801" s="954"/>
    </row>
    <row r="802" spans="1:73" ht="15.75" customHeight="1" x14ac:dyDescent="0.2">
      <c r="A802" s="947"/>
      <c r="B802" s="947"/>
      <c r="C802" s="947"/>
      <c r="D802" s="948"/>
      <c r="E802" s="948"/>
      <c r="F802" s="948"/>
      <c r="G802" s="948"/>
      <c r="H802" s="948"/>
      <c r="I802" s="948"/>
      <c r="J802" s="948"/>
      <c r="K802" s="949"/>
      <c r="L802" s="949"/>
      <c r="M802" s="949"/>
      <c r="N802" s="950"/>
      <c r="O802" s="948"/>
      <c r="P802" s="948"/>
      <c r="Q802" s="948"/>
      <c r="R802" s="949"/>
      <c r="S802" s="949"/>
      <c r="T802" s="949"/>
      <c r="U802" s="949"/>
      <c r="V802" s="949"/>
      <c r="W802" s="949"/>
      <c r="X802" s="951"/>
      <c r="Y802" s="951"/>
      <c r="Z802" s="952"/>
      <c r="AA802" s="953"/>
      <c r="AB802" s="948"/>
      <c r="AC802" s="948"/>
      <c r="AD802" s="949"/>
      <c r="AE802" s="949"/>
      <c r="AF802" s="949"/>
      <c r="AG802" s="949"/>
      <c r="AH802" s="949"/>
      <c r="AI802" s="949"/>
      <c r="AJ802" s="949"/>
      <c r="AK802" s="949"/>
      <c r="AL802" s="949"/>
      <c r="AM802" s="949"/>
      <c r="AN802" s="949"/>
      <c r="AO802" s="949"/>
      <c r="AP802" s="949"/>
      <c r="AQ802" s="949"/>
      <c r="AR802" s="949"/>
      <c r="AS802" s="949"/>
      <c r="AT802" s="949"/>
      <c r="AU802" s="949"/>
      <c r="AV802" s="949"/>
      <c r="AW802" s="949"/>
      <c r="AX802" s="949"/>
      <c r="AY802" s="949"/>
      <c r="AZ802" s="949"/>
      <c r="BA802" s="949"/>
      <c r="BB802" s="949"/>
      <c r="BC802" s="949"/>
      <c r="BD802" s="949"/>
      <c r="BE802" s="949"/>
      <c r="BF802" s="949"/>
      <c r="BG802" s="948"/>
      <c r="BH802" s="948"/>
      <c r="BI802" s="948"/>
      <c r="BJ802" s="948"/>
      <c r="BK802" s="948"/>
      <c r="BL802" s="948"/>
      <c r="BM802" s="948"/>
      <c r="BN802" s="948"/>
      <c r="BO802" s="948"/>
      <c r="BP802" s="948"/>
      <c r="BQ802" s="948"/>
      <c r="BR802" s="948"/>
      <c r="BS802" s="948"/>
      <c r="BT802" s="948"/>
      <c r="BU802" s="954"/>
    </row>
    <row r="803" spans="1:73" ht="15.75" customHeight="1" x14ac:dyDescent="0.2">
      <c r="A803" s="947"/>
      <c r="B803" s="947"/>
      <c r="C803" s="947"/>
      <c r="D803" s="948"/>
      <c r="E803" s="948"/>
      <c r="F803" s="948"/>
      <c r="G803" s="948"/>
      <c r="H803" s="948"/>
      <c r="I803" s="948"/>
      <c r="J803" s="948"/>
      <c r="K803" s="949"/>
      <c r="L803" s="949"/>
      <c r="M803" s="949"/>
      <c r="N803" s="950"/>
      <c r="O803" s="948"/>
      <c r="P803" s="948"/>
      <c r="Q803" s="948"/>
      <c r="R803" s="949"/>
      <c r="S803" s="949"/>
      <c r="T803" s="949"/>
      <c r="U803" s="949"/>
      <c r="V803" s="949"/>
      <c r="W803" s="949"/>
      <c r="X803" s="951"/>
      <c r="Y803" s="951"/>
      <c r="Z803" s="952"/>
      <c r="AA803" s="953"/>
      <c r="AB803" s="948"/>
      <c r="AC803" s="948"/>
      <c r="AD803" s="949"/>
      <c r="AE803" s="949"/>
      <c r="AF803" s="949"/>
      <c r="AG803" s="949"/>
      <c r="AH803" s="949"/>
      <c r="AI803" s="949"/>
      <c r="AJ803" s="949"/>
      <c r="AK803" s="949"/>
      <c r="AL803" s="949"/>
      <c r="AM803" s="949"/>
      <c r="AN803" s="949"/>
      <c r="AO803" s="949"/>
      <c r="AP803" s="949"/>
      <c r="AQ803" s="949"/>
      <c r="AR803" s="949"/>
      <c r="AS803" s="949"/>
      <c r="AT803" s="949"/>
      <c r="AU803" s="949"/>
      <c r="AV803" s="949"/>
      <c r="AW803" s="949"/>
      <c r="AX803" s="949"/>
      <c r="AY803" s="949"/>
      <c r="AZ803" s="949"/>
      <c r="BA803" s="949"/>
      <c r="BB803" s="949"/>
      <c r="BC803" s="949"/>
      <c r="BD803" s="949"/>
      <c r="BE803" s="949"/>
      <c r="BF803" s="949"/>
      <c r="BG803" s="948"/>
      <c r="BH803" s="948"/>
      <c r="BI803" s="948"/>
      <c r="BJ803" s="948"/>
      <c r="BK803" s="948"/>
      <c r="BL803" s="948"/>
      <c r="BM803" s="948"/>
      <c r="BN803" s="948"/>
      <c r="BO803" s="948"/>
      <c r="BP803" s="948"/>
      <c r="BQ803" s="948"/>
      <c r="BR803" s="948"/>
      <c r="BS803" s="948"/>
      <c r="BT803" s="948"/>
      <c r="BU803" s="954"/>
    </row>
    <row r="804" spans="1:73" ht="15.75" customHeight="1" x14ac:dyDescent="0.2">
      <c r="A804" s="947"/>
      <c r="B804" s="947"/>
      <c r="C804" s="947"/>
      <c r="D804" s="948"/>
      <c r="E804" s="948"/>
      <c r="F804" s="948"/>
      <c r="G804" s="948"/>
      <c r="H804" s="948"/>
      <c r="I804" s="948"/>
      <c r="J804" s="948"/>
      <c r="K804" s="949"/>
      <c r="L804" s="949"/>
      <c r="M804" s="949"/>
      <c r="N804" s="950"/>
      <c r="O804" s="948"/>
      <c r="P804" s="948"/>
      <c r="Q804" s="948"/>
      <c r="R804" s="949"/>
      <c r="S804" s="949"/>
      <c r="T804" s="949"/>
      <c r="U804" s="949"/>
      <c r="V804" s="949"/>
      <c r="W804" s="949"/>
      <c r="X804" s="951"/>
      <c r="Y804" s="951"/>
      <c r="Z804" s="952"/>
      <c r="AA804" s="953"/>
      <c r="AB804" s="948"/>
      <c r="AC804" s="948"/>
      <c r="AD804" s="949"/>
      <c r="AE804" s="949"/>
      <c r="AF804" s="949"/>
      <c r="AG804" s="949"/>
      <c r="AH804" s="949"/>
      <c r="AI804" s="949"/>
      <c r="AJ804" s="949"/>
      <c r="AK804" s="949"/>
      <c r="AL804" s="949"/>
      <c r="AM804" s="949"/>
      <c r="AN804" s="949"/>
      <c r="AO804" s="949"/>
      <c r="AP804" s="949"/>
      <c r="AQ804" s="949"/>
      <c r="AR804" s="949"/>
      <c r="AS804" s="949"/>
      <c r="AT804" s="949"/>
      <c r="AU804" s="949"/>
      <c r="AV804" s="949"/>
      <c r="AW804" s="949"/>
      <c r="AX804" s="949"/>
      <c r="AY804" s="949"/>
      <c r="AZ804" s="949"/>
      <c r="BA804" s="949"/>
      <c r="BB804" s="949"/>
      <c r="BC804" s="949"/>
      <c r="BD804" s="949"/>
      <c r="BE804" s="949"/>
      <c r="BF804" s="949"/>
      <c r="BG804" s="948"/>
      <c r="BH804" s="948"/>
      <c r="BI804" s="948"/>
      <c r="BJ804" s="948"/>
      <c r="BK804" s="948"/>
      <c r="BL804" s="948"/>
      <c r="BM804" s="948"/>
      <c r="BN804" s="948"/>
      <c r="BO804" s="948"/>
      <c r="BP804" s="948"/>
      <c r="BQ804" s="948"/>
      <c r="BR804" s="948"/>
      <c r="BS804" s="948"/>
      <c r="BT804" s="948"/>
      <c r="BU804" s="954"/>
    </row>
    <row r="805" spans="1:73" ht="15.75" customHeight="1" x14ac:dyDescent="0.2">
      <c r="A805" s="947"/>
      <c r="B805" s="947"/>
      <c r="C805" s="947"/>
      <c r="D805" s="948"/>
      <c r="E805" s="948"/>
      <c r="F805" s="948"/>
      <c r="G805" s="948"/>
      <c r="H805" s="948"/>
      <c r="I805" s="948"/>
      <c r="J805" s="948"/>
      <c r="K805" s="949"/>
      <c r="L805" s="949"/>
      <c r="M805" s="949"/>
      <c r="N805" s="950"/>
      <c r="O805" s="948"/>
      <c r="P805" s="948"/>
      <c r="Q805" s="948"/>
      <c r="R805" s="949"/>
      <c r="S805" s="949"/>
      <c r="T805" s="949"/>
      <c r="U805" s="949"/>
      <c r="V805" s="949"/>
      <c r="W805" s="949"/>
      <c r="X805" s="951"/>
      <c r="Y805" s="951"/>
      <c r="Z805" s="952"/>
      <c r="AA805" s="953"/>
      <c r="AB805" s="948"/>
      <c r="AC805" s="948"/>
      <c r="AD805" s="949"/>
      <c r="AE805" s="949"/>
      <c r="AF805" s="949"/>
      <c r="AG805" s="949"/>
      <c r="AH805" s="949"/>
      <c r="AI805" s="949"/>
      <c r="AJ805" s="949"/>
      <c r="AK805" s="949"/>
      <c r="AL805" s="949"/>
      <c r="AM805" s="949"/>
      <c r="AN805" s="949"/>
      <c r="AO805" s="949"/>
      <c r="AP805" s="949"/>
      <c r="AQ805" s="949"/>
      <c r="AR805" s="949"/>
      <c r="AS805" s="949"/>
      <c r="AT805" s="949"/>
      <c r="AU805" s="949"/>
      <c r="AV805" s="949"/>
      <c r="AW805" s="949"/>
      <c r="AX805" s="949"/>
      <c r="AY805" s="949"/>
      <c r="AZ805" s="949"/>
      <c r="BA805" s="949"/>
      <c r="BB805" s="949"/>
      <c r="BC805" s="949"/>
      <c r="BD805" s="949"/>
      <c r="BE805" s="949"/>
      <c r="BF805" s="949"/>
      <c r="BG805" s="948"/>
      <c r="BH805" s="948"/>
      <c r="BI805" s="948"/>
      <c r="BJ805" s="948"/>
      <c r="BK805" s="948"/>
      <c r="BL805" s="948"/>
      <c r="BM805" s="948"/>
      <c r="BN805" s="948"/>
      <c r="BO805" s="948"/>
      <c r="BP805" s="948"/>
      <c r="BQ805" s="948"/>
      <c r="BR805" s="948"/>
      <c r="BS805" s="948"/>
      <c r="BT805" s="948"/>
      <c r="BU805" s="954"/>
    </row>
    <row r="806" spans="1:73" ht="15.75" customHeight="1" x14ac:dyDescent="0.2">
      <c r="A806" s="947"/>
      <c r="B806" s="947"/>
      <c r="C806" s="947"/>
      <c r="D806" s="948"/>
      <c r="E806" s="948"/>
      <c r="F806" s="948"/>
      <c r="G806" s="948"/>
      <c r="H806" s="948"/>
      <c r="I806" s="948"/>
      <c r="J806" s="948"/>
      <c r="K806" s="949"/>
      <c r="L806" s="949"/>
      <c r="M806" s="949"/>
      <c r="N806" s="950"/>
      <c r="O806" s="948"/>
      <c r="P806" s="948"/>
      <c r="Q806" s="948"/>
      <c r="R806" s="949"/>
      <c r="S806" s="949"/>
      <c r="T806" s="949"/>
      <c r="U806" s="949"/>
      <c r="V806" s="949"/>
      <c r="W806" s="949"/>
      <c r="X806" s="951"/>
      <c r="Y806" s="951"/>
      <c r="Z806" s="952"/>
      <c r="AA806" s="953"/>
      <c r="AB806" s="948"/>
      <c r="AC806" s="948"/>
      <c r="AD806" s="949"/>
      <c r="AE806" s="949"/>
      <c r="AF806" s="949"/>
      <c r="AG806" s="949"/>
      <c r="AH806" s="949"/>
      <c r="AI806" s="949"/>
      <c r="AJ806" s="949"/>
      <c r="AK806" s="949"/>
      <c r="AL806" s="949"/>
      <c r="AM806" s="949"/>
      <c r="AN806" s="949"/>
      <c r="AO806" s="949"/>
      <c r="AP806" s="949"/>
      <c r="AQ806" s="949"/>
      <c r="AR806" s="949"/>
      <c r="AS806" s="949"/>
      <c r="AT806" s="949"/>
      <c r="AU806" s="949"/>
      <c r="AV806" s="949"/>
      <c r="AW806" s="949"/>
      <c r="AX806" s="949"/>
      <c r="AY806" s="949"/>
      <c r="AZ806" s="949"/>
      <c r="BA806" s="949"/>
      <c r="BB806" s="949"/>
      <c r="BC806" s="949"/>
      <c r="BD806" s="949"/>
      <c r="BE806" s="949"/>
      <c r="BF806" s="949"/>
      <c r="BG806" s="948"/>
      <c r="BH806" s="948"/>
      <c r="BI806" s="948"/>
      <c r="BJ806" s="948"/>
      <c r="BK806" s="948"/>
      <c r="BL806" s="948"/>
      <c r="BM806" s="948"/>
      <c r="BN806" s="948"/>
      <c r="BO806" s="948"/>
      <c r="BP806" s="948"/>
      <c r="BQ806" s="948"/>
      <c r="BR806" s="948"/>
      <c r="BS806" s="948"/>
      <c r="BT806" s="948"/>
      <c r="BU806" s="954"/>
    </row>
    <row r="807" spans="1:73" ht="15.75" customHeight="1" x14ac:dyDescent="0.2">
      <c r="A807" s="947"/>
      <c r="B807" s="947"/>
      <c r="C807" s="947"/>
      <c r="D807" s="948"/>
      <c r="E807" s="948"/>
      <c r="F807" s="948"/>
      <c r="G807" s="948"/>
      <c r="H807" s="948"/>
      <c r="I807" s="948"/>
      <c r="J807" s="948"/>
      <c r="K807" s="949"/>
      <c r="L807" s="949"/>
      <c r="M807" s="949"/>
      <c r="N807" s="950"/>
      <c r="O807" s="948"/>
      <c r="P807" s="948"/>
      <c r="Q807" s="948"/>
      <c r="R807" s="949"/>
      <c r="S807" s="949"/>
      <c r="T807" s="949"/>
      <c r="U807" s="949"/>
      <c r="V807" s="949"/>
      <c r="W807" s="949"/>
      <c r="X807" s="951"/>
      <c r="Y807" s="951"/>
      <c r="Z807" s="952"/>
      <c r="AA807" s="953"/>
      <c r="AB807" s="948"/>
      <c r="AC807" s="948"/>
      <c r="AD807" s="949"/>
      <c r="AE807" s="949"/>
      <c r="AF807" s="949"/>
      <c r="AG807" s="949"/>
      <c r="AH807" s="949"/>
      <c r="AI807" s="949"/>
      <c r="AJ807" s="949"/>
      <c r="AK807" s="949"/>
      <c r="AL807" s="949"/>
      <c r="AM807" s="949"/>
      <c r="AN807" s="949"/>
      <c r="AO807" s="949"/>
      <c r="AP807" s="949"/>
      <c r="AQ807" s="949"/>
      <c r="AR807" s="949"/>
      <c r="AS807" s="949"/>
      <c r="AT807" s="949"/>
      <c r="AU807" s="949"/>
      <c r="AV807" s="949"/>
      <c r="AW807" s="949"/>
      <c r="AX807" s="949"/>
      <c r="AY807" s="949"/>
      <c r="AZ807" s="949"/>
      <c r="BA807" s="949"/>
      <c r="BB807" s="949"/>
      <c r="BC807" s="949"/>
      <c r="BD807" s="949"/>
      <c r="BE807" s="949"/>
      <c r="BF807" s="949"/>
      <c r="BG807" s="948"/>
      <c r="BH807" s="948"/>
      <c r="BI807" s="948"/>
      <c r="BJ807" s="948"/>
      <c r="BK807" s="948"/>
      <c r="BL807" s="948"/>
      <c r="BM807" s="948"/>
      <c r="BN807" s="948"/>
      <c r="BO807" s="948"/>
      <c r="BP807" s="948"/>
      <c r="BQ807" s="948"/>
      <c r="BR807" s="948"/>
      <c r="BS807" s="948"/>
      <c r="BT807" s="948"/>
      <c r="BU807" s="954"/>
    </row>
    <row r="808" spans="1:73" ht="15.75" customHeight="1" x14ac:dyDescent="0.2">
      <c r="A808" s="947"/>
      <c r="B808" s="947"/>
      <c r="C808" s="947"/>
      <c r="D808" s="948"/>
      <c r="E808" s="948"/>
      <c r="F808" s="948"/>
      <c r="G808" s="948"/>
      <c r="H808" s="948"/>
      <c r="I808" s="948"/>
      <c r="J808" s="948"/>
      <c r="K808" s="949"/>
      <c r="L808" s="949"/>
      <c r="M808" s="949"/>
      <c r="N808" s="950"/>
      <c r="O808" s="948"/>
      <c r="P808" s="948"/>
      <c r="Q808" s="948"/>
      <c r="R808" s="949"/>
      <c r="S808" s="949"/>
      <c r="T808" s="949"/>
      <c r="U808" s="949"/>
      <c r="V808" s="949"/>
      <c r="W808" s="949"/>
      <c r="X808" s="951"/>
      <c r="Y808" s="951"/>
      <c r="Z808" s="952"/>
      <c r="AA808" s="953"/>
      <c r="AB808" s="948"/>
      <c r="AC808" s="948"/>
      <c r="AD808" s="949"/>
      <c r="AE808" s="949"/>
      <c r="AF808" s="949"/>
      <c r="AG808" s="949"/>
      <c r="AH808" s="949"/>
      <c r="AI808" s="949"/>
      <c r="AJ808" s="949"/>
      <c r="AK808" s="949"/>
      <c r="AL808" s="949"/>
      <c r="AM808" s="949"/>
      <c r="AN808" s="949"/>
      <c r="AO808" s="949"/>
      <c r="AP808" s="949"/>
      <c r="AQ808" s="949"/>
      <c r="AR808" s="949"/>
      <c r="AS808" s="949"/>
      <c r="AT808" s="949"/>
      <c r="AU808" s="949"/>
      <c r="AV808" s="949"/>
      <c r="AW808" s="949"/>
      <c r="AX808" s="949"/>
      <c r="AY808" s="949"/>
      <c r="AZ808" s="949"/>
      <c r="BA808" s="949"/>
      <c r="BB808" s="949"/>
      <c r="BC808" s="949"/>
      <c r="BD808" s="949"/>
      <c r="BE808" s="949"/>
      <c r="BF808" s="949"/>
      <c r="BG808" s="948"/>
      <c r="BH808" s="948"/>
      <c r="BI808" s="948"/>
      <c r="BJ808" s="948"/>
      <c r="BK808" s="948"/>
      <c r="BL808" s="948"/>
      <c r="BM808" s="948"/>
      <c r="BN808" s="948"/>
      <c r="BO808" s="948"/>
      <c r="BP808" s="948"/>
      <c r="BQ808" s="948"/>
      <c r="BR808" s="948"/>
      <c r="BS808" s="948"/>
      <c r="BT808" s="948"/>
      <c r="BU808" s="954"/>
    </row>
    <row r="809" spans="1:73" ht="15.75" customHeight="1" x14ac:dyDescent="0.2">
      <c r="A809" s="947"/>
      <c r="B809" s="947"/>
      <c r="C809" s="947"/>
      <c r="D809" s="948"/>
      <c r="E809" s="948"/>
      <c r="F809" s="948"/>
      <c r="G809" s="948"/>
      <c r="H809" s="948"/>
      <c r="I809" s="948"/>
      <c r="J809" s="948"/>
      <c r="K809" s="949"/>
      <c r="L809" s="949"/>
      <c r="M809" s="949"/>
      <c r="N809" s="950"/>
      <c r="O809" s="948"/>
      <c r="P809" s="948"/>
      <c r="Q809" s="948"/>
      <c r="R809" s="949"/>
      <c r="S809" s="949"/>
      <c r="T809" s="949"/>
      <c r="U809" s="949"/>
      <c r="V809" s="949"/>
      <c r="W809" s="949"/>
      <c r="X809" s="951"/>
      <c r="Y809" s="951"/>
      <c r="Z809" s="952"/>
      <c r="AA809" s="953"/>
      <c r="AB809" s="948"/>
      <c r="AC809" s="948"/>
      <c r="AD809" s="949"/>
      <c r="AE809" s="949"/>
      <c r="AF809" s="949"/>
      <c r="AG809" s="949"/>
      <c r="AH809" s="949"/>
      <c r="AI809" s="949"/>
      <c r="AJ809" s="949"/>
      <c r="AK809" s="949"/>
      <c r="AL809" s="949"/>
      <c r="AM809" s="949"/>
      <c r="AN809" s="949"/>
      <c r="AO809" s="949"/>
      <c r="AP809" s="949"/>
      <c r="AQ809" s="949"/>
      <c r="AR809" s="949"/>
      <c r="AS809" s="949"/>
      <c r="AT809" s="949"/>
      <c r="AU809" s="949"/>
      <c r="AV809" s="949"/>
      <c r="AW809" s="949"/>
      <c r="AX809" s="949"/>
      <c r="AY809" s="949"/>
      <c r="AZ809" s="949"/>
      <c r="BA809" s="949"/>
      <c r="BB809" s="949"/>
      <c r="BC809" s="949"/>
      <c r="BD809" s="949"/>
      <c r="BE809" s="949"/>
      <c r="BF809" s="949"/>
      <c r="BG809" s="948"/>
      <c r="BH809" s="948"/>
      <c r="BI809" s="948"/>
      <c r="BJ809" s="948"/>
      <c r="BK809" s="948"/>
      <c r="BL809" s="948"/>
      <c r="BM809" s="948"/>
      <c r="BN809" s="948"/>
      <c r="BO809" s="948"/>
      <c r="BP809" s="948"/>
      <c r="BQ809" s="948"/>
      <c r="BR809" s="948"/>
      <c r="BS809" s="948"/>
      <c r="BT809" s="948"/>
      <c r="BU809" s="954"/>
    </row>
    <row r="810" spans="1:73" ht="15.75" customHeight="1" x14ac:dyDescent="0.2">
      <c r="A810" s="947"/>
      <c r="B810" s="947"/>
      <c r="C810" s="947"/>
      <c r="D810" s="948"/>
      <c r="E810" s="948"/>
      <c r="F810" s="948"/>
      <c r="G810" s="948"/>
      <c r="H810" s="948"/>
      <c r="I810" s="948"/>
      <c r="J810" s="948"/>
      <c r="K810" s="949"/>
      <c r="L810" s="949"/>
      <c r="M810" s="949"/>
      <c r="N810" s="950"/>
      <c r="O810" s="948"/>
      <c r="P810" s="948"/>
      <c r="Q810" s="948"/>
      <c r="R810" s="949"/>
      <c r="S810" s="949"/>
      <c r="T810" s="949"/>
      <c r="U810" s="949"/>
      <c r="V810" s="949"/>
      <c r="W810" s="949"/>
      <c r="X810" s="951"/>
      <c r="Y810" s="951"/>
      <c r="Z810" s="952"/>
      <c r="AA810" s="953"/>
      <c r="AB810" s="948"/>
      <c r="AC810" s="948"/>
      <c r="AD810" s="949"/>
      <c r="AE810" s="949"/>
      <c r="AF810" s="949"/>
      <c r="AG810" s="949"/>
      <c r="AH810" s="949"/>
      <c r="AI810" s="949"/>
      <c r="AJ810" s="949"/>
      <c r="AK810" s="949"/>
      <c r="AL810" s="949"/>
      <c r="AM810" s="949"/>
      <c r="AN810" s="949"/>
      <c r="AO810" s="949"/>
      <c r="AP810" s="949"/>
      <c r="AQ810" s="949"/>
      <c r="AR810" s="949"/>
      <c r="AS810" s="949"/>
      <c r="AT810" s="949"/>
      <c r="AU810" s="949"/>
      <c r="AV810" s="949"/>
      <c r="AW810" s="949"/>
      <c r="AX810" s="949"/>
      <c r="AY810" s="949"/>
      <c r="AZ810" s="949"/>
      <c r="BA810" s="949"/>
      <c r="BB810" s="949"/>
      <c r="BC810" s="949"/>
      <c r="BD810" s="949"/>
      <c r="BE810" s="949"/>
      <c r="BF810" s="949"/>
      <c r="BG810" s="948"/>
      <c r="BH810" s="948"/>
      <c r="BI810" s="948"/>
      <c r="BJ810" s="948"/>
      <c r="BK810" s="948"/>
      <c r="BL810" s="948"/>
      <c r="BM810" s="948"/>
      <c r="BN810" s="948"/>
      <c r="BO810" s="948"/>
      <c r="BP810" s="948"/>
      <c r="BQ810" s="948"/>
      <c r="BR810" s="948"/>
      <c r="BS810" s="948"/>
      <c r="BT810" s="948"/>
      <c r="BU810" s="954"/>
    </row>
    <row r="811" spans="1:73" ht="15.75" customHeight="1" x14ac:dyDescent="0.2">
      <c r="A811" s="947"/>
      <c r="B811" s="947"/>
      <c r="C811" s="947"/>
      <c r="D811" s="948"/>
      <c r="E811" s="948"/>
      <c r="F811" s="948"/>
      <c r="G811" s="948"/>
      <c r="H811" s="948"/>
      <c r="I811" s="948"/>
      <c r="J811" s="948"/>
      <c r="K811" s="949"/>
      <c r="L811" s="949"/>
      <c r="M811" s="949"/>
      <c r="N811" s="950"/>
      <c r="O811" s="948"/>
      <c r="P811" s="948"/>
      <c r="Q811" s="948"/>
      <c r="R811" s="949"/>
      <c r="S811" s="949"/>
      <c r="T811" s="949"/>
      <c r="U811" s="949"/>
      <c r="V811" s="949"/>
      <c r="W811" s="949"/>
      <c r="X811" s="951"/>
      <c r="Y811" s="951"/>
      <c r="Z811" s="952"/>
      <c r="AA811" s="953"/>
      <c r="AB811" s="948"/>
      <c r="AC811" s="948"/>
      <c r="AD811" s="949"/>
      <c r="AE811" s="949"/>
      <c r="AF811" s="949"/>
      <c r="AG811" s="949"/>
      <c r="AH811" s="949"/>
      <c r="AI811" s="949"/>
      <c r="AJ811" s="949"/>
      <c r="AK811" s="949"/>
      <c r="AL811" s="949"/>
      <c r="AM811" s="949"/>
      <c r="AN811" s="949"/>
      <c r="AO811" s="949"/>
      <c r="AP811" s="949"/>
      <c r="AQ811" s="949"/>
      <c r="AR811" s="949"/>
      <c r="AS811" s="949"/>
      <c r="AT811" s="949"/>
      <c r="AU811" s="949"/>
      <c r="AV811" s="949"/>
      <c r="AW811" s="949"/>
      <c r="AX811" s="949"/>
      <c r="AY811" s="949"/>
      <c r="AZ811" s="949"/>
      <c r="BA811" s="949"/>
      <c r="BB811" s="949"/>
      <c r="BC811" s="949"/>
      <c r="BD811" s="949"/>
      <c r="BE811" s="949"/>
      <c r="BF811" s="949"/>
      <c r="BG811" s="948"/>
      <c r="BH811" s="948"/>
      <c r="BI811" s="948"/>
      <c r="BJ811" s="948"/>
      <c r="BK811" s="948"/>
      <c r="BL811" s="948"/>
      <c r="BM811" s="948"/>
      <c r="BN811" s="948"/>
      <c r="BO811" s="948"/>
      <c r="BP811" s="948"/>
      <c r="BQ811" s="948"/>
      <c r="BR811" s="948"/>
      <c r="BS811" s="948"/>
      <c r="BT811" s="948"/>
      <c r="BU811" s="954"/>
    </row>
    <row r="812" spans="1:73" ht="15.75" customHeight="1" x14ac:dyDescent="0.2">
      <c r="A812" s="947"/>
      <c r="B812" s="947"/>
      <c r="C812" s="947"/>
      <c r="D812" s="948"/>
      <c r="E812" s="948"/>
      <c r="F812" s="948"/>
      <c r="G812" s="948"/>
      <c r="H812" s="948"/>
      <c r="I812" s="948"/>
      <c r="J812" s="948"/>
      <c r="K812" s="949"/>
      <c r="L812" s="949"/>
      <c r="M812" s="949"/>
      <c r="N812" s="950"/>
      <c r="O812" s="948"/>
      <c r="P812" s="948"/>
      <c r="Q812" s="948"/>
      <c r="R812" s="949"/>
      <c r="S812" s="949"/>
      <c r="T812" s="949"/>
      <c r="U812" s="949"/>
      <c r="V812" s="949"/>
      <c r="W812" s="949"/>
      <c r="X812" s="951"/>
      <c r="Y812" s="951"/>
      <c r="Z812" s="952"/>
      <c r="AA812" s="953"/>
      <c r="AB812" s="948"/>
      <c r="AC812" s="948"/>
      <c r="AD812" s="949"/>
      <c r="AE812" s="949"/>
      <c r="AF812" s="949"/>
      <c r="AG812" s="949"/>
      <c r="AH812" s="949"/>
      <c r="AI812" s="949"/>
      <c r="AJ812" s="949"/>
      <c r="AK812" s="949"/>
      <c r="AL812" s="949"/>
      <c r="AM812" s="949"/>
      <c r="AN812" s="949"/>
      <c r="AO812" s="949"/>
      <c r="AP812" s="949"/>
      <c r="AQ812" s="949"/>
      <c r="AR812" s="949"/>
      <c r="AS812" s="949"/>
      <c r="AT812" s="949"/>
      <c r="AU812" s="949"/>
      <c r="AV812" s="949"/>
      <c r="AW812" s="949"/>
      <c r="AX812" s="949"/>
      <c r="AY812" s="949"/>
      <c r="AZ812" s="949"/>
      <c r="BA812" s="949"/>
      <c r="BB812" s="949"/>
      <c r="BC812" s="949"/>
      <c r="BD812" s="949"/>
      <c r="BE812" s="949"/>
      <c r="BF812" s="949"/>
      <c r="BG812" s="948"/>
      <c r="BH812" s="948"/>
      <c r="BI812" s="948"/>
      <c r="BJ812" s="948"/>
      <c r="BK812" s="948"/>
      <c r="BL812" s="948"/>
      <c r="BM812" s="948"/>
      <c r="BN812" s="948"/>
      <c r="BO812" s="948"/>
      <c r="BP812" s="948"/>
      <c r="BQ812" s="948"/>
      <c r="BR812" s="948"/>
      <c r="BS812" s="948"/>
      <c r="BT812" s="948"/>
      <c r="BU812" s="954"/>
    </row>
    <row r="813" spans="1:73" ht="15.75" customHeight="1" x14ac:dyDescent="0.2">
      <c r="A813" s="947"/>
      <c r="B813" s="947"/>
      <c r="C813" s="947"/>
      <c r="D813" s="948"/>
      <c r="E813" s="948"/>
      <c r="F813" s="948"/>
      <c r="G813" s="948"/>
      <c r="H813" s="948"/>
      <c r="I813" s="948"/>
      <c r="J813" s="948"/>
      <c r="K813" s="949"/>
      <c r="L813" s="949"/>
      <c r="M813" s="949"/>
      <c r="N813" s="950"/>
      <c r="O813" s="948"/>
      <c r="P813" s="948"/>
      <c r="Q813" s="948"/>
      <c r="R813" s="949"/>
      <c r="S813" s="949"/>
      <c r="T813" s="949"/>
      <c r="U813" s="949"/>
      <c r="V813" s="949"/>
      <c r="W813" s="949"/>
      <c r="X813" s="951"/>
      <c r="Y813" s="951"/>
      <c r="Z813" s="952"/>
      <c r="AA813" s="953"/>
      <c r="AB813" s="948"/>
      <c r="AC813" s="948"/>
      <c r="AD813" s="949"/>
      <c r="AE813" s="949"/>
      <c r="AF813" s="949"/>
      <c r="AG813" s="949"/>
      <c r="AH813" s="949"/>
      <c r="AI813" s="949"/>
      <c r="AJ813" s="949"/>
      <c r="AK813" s="949"/>
      <c r="AL813" s="949"/>
      <c r="AM813" s="949"/>
      <c r="AN813" s="949"/>
      <c r="AO813" s="949"/>
      <c r="AP813" s="949"/>
      <c r="AQ813" s="949"/>
      <c r="AR813" s="949"/>
      <c r="AS813" s="949"/>
      <c r="AT813" s="949"/>
      <c r="AU813" s="949"/>
      <c r="AV813" s="949"/>
      <c r="AW813" s="949"/>
      <c r="AX813" s="949"/>
      <c r="AY813" s="949"/>
      <c r="AZ813" s="949"/>
      <c r="BA813" s="949"/>
      <c r="BB813" s="949"/>
      <c r="BC813" s="949"/>
      <c r="BD813" s="949"/>
      <c r="BE813" s="949"/>
      <c r="BF813" s="949"/>
      <c r="BG813" s="948"/>
      <c r="BH813" s="948"/>
      <c r="BI813" s="948"/>
      <c r="BJ813" s="948"/>
      <c r="BK813" s="948"/>
      <c r="BL813" s="948"/>
      <c r="BM813" s="948"/>
      <c r="BN813" s="948"/>
      <c r="BO813" s="948"/>
      <c r="BP813" s="948"/>
      <c r="BQ813" s="948"/>
      <c r="BR813" s="948"/>
      <c r="BS813" s="948"/>
      <c r="BT813" s="948"/>
      <c r="BU813" s="954"/>
    </row>
    <row r="814" spans="1:73" ht="15.75" customHeight="1" x14ac:dyDescent="0.2">
      <c r="A814" s="947"/>
      <c r="B814" s="947"/>
      <c r="C814" s="947"/>
      <c r="D814" s="948"/>
      <c r="E814" s="948"/>
      <c r="F814" s="948"/>
      <c r="G814" s="948"/>
      <c r="H814" s="948"/>
      <c r="I814" s="948"/>
      <c r="J814" s="948"/>
      <c r="K814" s="949"/>
      <c r="L814" s="949"/>
      <c r="M814" s="949"/>
      <c r="N814" s="950"/>
      <c r="O814" s="948"/>
      <c r="P814" s="948"/>
      <c r="Q814" s="948"/>
      <c r="R814" s="949"/>
      <c r="S814" s="949"/>
      <c r="T814" s="949"/>
      <c r="U814" s="949"/>
      <c r="V814" s="949"/>
      <c r="W814" s="949"/>
      <c r="X814" s="951"/>
      <c r="Y814" s="951"/>
      <c r="Z814" s="952"/>
      <c r="AA814" s="953"/>
      <c r="AB814" s="948"/>
      <c r="AC814" s="948"/>
      <c r="AD814" s="949"/>
      <c r="AE814" s="949"/>
      <c r="AF814" s="949"/>
      <c r="AG814" s="949"/>
      <c r="AH814" s="949"/>
      <c r="AI814" s="949"/>
      <c r="AJ814" s="949"/>
      <c r="AK814" s="949"/>
      <c r="AL814" s="949"/>
      <c r="AM814" s="949"/>
      <c r="AN814" s="949"/>
      <c r="AO814" s="949"/>
      <c r="AP814" s="949"/>
      <c r="AQ814" s="949"/>
      <c r="AR814" s="949"/>
      <c r="AS814" s="949"/>
      <c r="AT814" s="949"/>
      <c r="AU814" s="949"/>
      <c r="AV814" s="949"/>
      <c r="AW814" s="949"/>
      <c r="AX814" s="949"/>
      <c r="AY814" s="949"/>
      <c r="AZ814" s="949"/>
      <c r="BA814" s="949"/>
      <c r="BB814" s="949"/>
      <c r="BC814" s="949"/>
      <c r="BD814" s="949"/>
      <c r="BE814" s="949"/>
      <c r="BF814" s="949"/>
      <c r="BG814" s="948"/>
      <c r="BH814" s="948"/>
      <c r="BI814" s="948"/>
      <c r="BJ814" s="948"/>
      <c r="BK814" s="948"/>
      <c r="BL814" s="948"/>
      <c r="BM814" s="948"/>
      <c r="BN814" s="948"/>
      <c r="BO814" s="948"/>
      <c r="BP814" s="948"/>
      <c r="BQ814" s="948"/>
      <c r="BR814" s="948"/>
      <c r="BS814" s="948"/>
      <c r="BT814" s="948"/>
      <c r="BU814" s="954"/>
    </row>
    <row r="815" spans="1:73" ht="15.75" customHeight="1" x14ac:dyDescent="0.2">
      <c r="A815" s="947"/>
      <c r="B815" s="947"/>
      <c r="C815" s="947"/>
      <c r="D815" s="948"/>
      <c r="E815" s="948"/>
      <c r="F815" s="948"/>
      <c r="G815" s="948"/>
      <c r="H815" s="948"/>
      <c r="I815" s="948"/>
      <c r="J815" s="948"/>
      <c r="K815" s="949"/>
      <c r="L815" s="949"/>
      <c r="M815" s="949"/>
      <c r="N815" s="950"/>
      <c r="O815" s="948"/>
      <c r="P815" s="948"/>
      <c r="Q815" s="948"/>
      <c r="R815" s="949"/>
      <c r="S815" s="949"/>
      <c r="T815" s="949"/>
      <c r="U815" s="949"/>
      <c r="V815" s="949"/>
      <c r="W815" s="949"/>
      <c r="X815" s="951"/>
      <c r="Y815" s="951"/>
      <c r="Z815" s="952"/>
      <c r="AA815" s="953"/>
      <c r="AB815" s="948"/>
      <c r="AC815" s="948"/>
      <c r="AD815" s="949"/>
      <c r="AE815" s="949"/>
      <c r="AF815" s="949"/>
      <c r="AG815" s="949"/>
      <c r="AH815" s="949"/>
      <c r="AI815" s="949"/>
      <c r="AJ815" s="949"/>
      <c r="AK815" s="949"/>
      <c r="AL815" s="949"/>
      <c r="AM815" s="949"/>
      <c r="AN815" s="949"/>
      <c r="AO815" s="949"/>
      <c r="AP815" s="949"/>
      <c r="AQ815" s="949"/>
      <c r="AR815" s="949"/>
      <c r="AS815" s="949"/>
      <c r="AT815" s="949"/>
      <c r="AU815" s="949"/>
      <c r="AV815" s="949"/>
      <c r="AW815" s="949"/>
      <c r="AX815" s="949"/>
      <c r="AY815" s="949"/>
      <c r="AZ815" s="949"/>
      <c r="BA815" s="949"/>
      <c r="BB815" s="949"/>
      <c r="BC815" s="949"/>
      <c r="BD815" s="949"/>
      <c r="BE815" s="949"/>
      <c r="BF815" s="949"/>
      <c r="BG815" s="948"/>
      <c r="BH815" s="948"/>
      <c r="BI815" s="948"/>
      <c r="BJ815" s="948"/>
      <c r="BK815" s="948"/>
      <c r="BL815" s="948"/>
      <c r="BM815" s="948"/>
      <c r="BN815" s="948"/>
      <c r="BO815" s="948"/>
      <c r="BP815" s="948"/>
      <c r="BQ815" s="948"/>
      <c r="BR815" s="948"/>
      <c r="BS815" s="948"/>
      <c r="BT815" s="948"/>
      <c r="BU815" s="954"/>
    </row>
    <row r="816" spans="1:73" ht="15.75" customHeight="1" x14ac:dyDescent="0.2">
      <c r="A816" s="947"/>
      <c r="B816" s="947"/>
      <c r="C816" s="947"/>
      <c r="D816" s="948"/>
      <c r="E816" s="948"/>
      <c r="F816" s="948"/>
      <c r="G816" s="948"/>
      <c r="H816" s="948"/>
      <c r="I816" s="948"/>
      <c r="J816" s="948"/>
      <c r="K816" s="949"/>
      <c r="L816" s="949"/>
      <c r="M816" s="949"/>
      <c r="N816" s="950"/>
      <c r="O816" s="948"/>
      <c r="P816" s="948"/>
      <c r="Q816" s="948"/>
      <c r="R816" s="949"/>
      <c r="S816" s="949"/>
      <c r="T816" s="949"/>
      <c r="U816" s="949"/>
      <c r="V816" s="949"/>
      <c r="W816" s="949"/>
      <c r="X816" s="951"/>
      <c r="Y816" s="951"/>
      <c r="Z816" s="952"/>
      <c r="AA816" s="953"/>
      <c r="AB816" s="948"/>
      <c r="AC816" s="948"/>
      <c r="AD816" s="949"/>
      <c r="AE816" s="949"/>
      <c r="AF816" s="949"/>
      <c r="AG816" s="949"/>
      <c r="AH816" s="949"/>
      <c r="AI816" s="949"/>
      <c r="AJ816" s="949"/>
      <c r="AK816" s="949"/>
      <c r="AL816" s="949"/>
      <c r="AM816" s="949"/>
      <c r="AN816" s="949"/>
      <c r="AO816" s="949"/>
      <c r="AP816" s="949"/>
      <c r="AQ816" s="949"/>
      <c r="AR816" s="949"/>
      <c r="AS816" s="949"/>
      <c r="AT816" s="949"/>
      <c r="AU816" s="949"/>
      <c r="AV816" s="949"/>
      <c r="AW816" s="949"/>
      <c r="AX816" s="949"/>
      <c r="AY816" s="949"/>
      <c r="AZ816" s="949"/>
      <c r="BA816" s="949"/>
      <c r="BB816" s="949"/>
      <c r="BC816" s="949"/>
      <c r="BD816" s="949"/>
      <c r="BE816" s="949"/>
      <c r="BF816" s="949"/>
      <c r="BG816" s="948"/>
      <c r="BH816" s="948"/>
      <c r="BI816" s="948"/>
      <c r="BJ816" s="948"/>
      <c r="BK816" s="948"/>
      <c r="BL816" s="948"/>
      <c r="BM816" s="948"/>
      <c r="BN816" s="948"/>
      <c r="BO816" s="948"/>
      <c r="BP816" s="948"/>
      <c r="BQ816" s="948"/>
      <c r="BR816" s="948"/>
      <c r="BS816" s="948"/>
      <c r="BT816" s="948"/>
      <c r="BU816" s="954"/>
    </row>
    <row r="817" spans="1:73" ht="15.75" customHeight="1" x14ac:dyDescent="0.2">
      <c r="A817" s="947"/>
      <c r="B817" s="947"/>
      <c r="C817" s="947"/>
      <c r="D817" s="948"/>
      <c r="E817" s="948"/>
      <c r="F817" s="948"/>
      <c r="G817" s="948"/>
      <c r="H817" s="948"/>
      <c r="I817" s="948"/>
      <c r="J817" s="948"/>
      <c r="K817" s="949"/>
      <c r="L817" s="949"/>
      <c r="M817" s="949"/>
      <c r="N817" s="950"/>
      <c r="O817" s="948"/>
      <c r="P817" s="948"/>
      <c r="Q817" s="948"/>
      <c r="R817" s="949"/>
      <c r="S817" s="949"/>
      <c r="T817" s="949"/>
      <c r="U817" s="949"/>
      <c r="V817" s="949"/>
      <c r="W817" s="949"/>
      <c r="X817" s="951"/>
      <c r="Y817" s="951"/>
      <c r="Z817" s="952"/>
      <c r="AA817" s="953"/>
      <c r="AB817" s="948"/>
      <c r="AC817" s="948"/>
      <c r="AD817" s="949"/>
      <c r="AE817" s="949"/>
      <c r="AF817" s="949"/>
      <c r="AG817" s="949"/>
      <c r="AH817" s="949"/>
      <c r="AI817" s="949"/>
      <c r="AJ817" s="949"/>
      <c r="AK817" s="949"/>
      <c r="AL817" s="949"/>
      <c r="AM817" s="949"/>
      <c r="AN817" s="949"/>
      <c r="AO817" s="949"/>
      <c r="AP817" s="949"/>
      <c r="AQ817" s="949"/>
      <c r="AR817" s="949"/>
      <c r="AS817" s="949"/>
      <c r="AT817" s="949"/>
      <c r="AU817" s="949"/>
      <c r="AV817" s="949"/>
      <c r="AW817" s="949"/>
      <c r="AX817" s="949"/>
      <c r="AY817" s="949"/>
      <c r="AZ817" s="949"/>
      <c r="BA817" s="949"/>
      <c r="BB817" s="949"/>
      <c r="BC817" s="949"/>
      <c r="BD817" s="949"/>
      <c r="BE817" s="949"/>
      <c r="BF817" s="949"/>
      <c r="BG817" s="948"/>
      <c r="BH817" s="948"/>
      <c r="BI817" s="948"/>
      <c r="BJ817" s="948"/>
      <c r="BK817" s="948"/>
      <c r="BL817" s="948"/>
      <c r="BM817" s="948"/>
      <c r="BN817" s="948"/>
      <c r="BO817" s="948"/>
      <c r="BP817" s="948"/>
      <c r="BQ817" s="948"/>
      <c r="BR817" s="948"/>
      <c r="BS817" s="948"/>
      <c r="BT817" s="948"/>
      <c r="BU817" s="954"/>
    </row>
    <row r="818" spans="1:73" ht="15.75" customHeight="1" x14ac:dyDescent="0.2">
      <c r="A818" s="947"/>
      <c r="B818" s="947"/>
      <c r="C818" s="947"/>
      <c r="D818" s="948"/>
      <c r="E818" s="948"/>
      <c r="F818" s="948"/>
      <c r="G818" s="948"/>
      <c r="H818" s="948"/>
      <c r="I818" s="948"/>
      <c r="J818" s="948"/>
      <c r="K818" s="949"/>
      <c r="L818" s="949"/>
      <c r="M818" s="949"/>
      <c r="N818" s="950"/>
      <c r="O818" s="948"/>
      <c r="P818" s="948"/>
      <c r="Q818" s="948"/>
      <c r="R818" s="949"/>
      <c r="S818" s="949"/>
      <c r="T818" s="949"/>
      <c r="U818" s="949"/>
      <c r="V818" s="949"/>
      <c r="W818" s="949"/>
      <c r="X818" s="951"/>
      <c r="Y818" s="951"/>
      <c r="Z818" s="952"/>
      <c r="AA818" s="953"/>
      <c r="AB818" s="948"/>
      <c r="AC818" s="948"/>
      <c r="AD818" s="949"/>
      <c r="AE818" s="949"/>
      <c r="AF818" s="949"/>
      <c r="AG818" s="949"/>
      <c r="AH818" s="949"/>
      <c r="AI818" s="949"/>
      <c r="AJ818" s="949"/>
      <c r="AK818" s="949"/>
      <c r="AL818" s="949"/>
      <c r="AM818" s="949"/>
      <c r="AN818" s="949"/>
      <c r="AO818" s="949"/>
      <c r="AP818" s="949"/>
      <c r="AQ818" s="949"/>
      <c r="AR818" s="949"/>
      <c r="AS818" s="949"/>
      <c r="AT818" s="949"/>
      <c r="AU818" s="949"/>
      <c r="AV818" s="949"/>
      <c r="AW818" s="949"/>
      <c r="AX818" s="949"/>
      <c r="AY818" s="949"/>
      <c r="AZ818" s="949"/>
      <c r="BA818" s="949"/>
      <c r="BB818" s="949"/>
      <c r="BC818" s="949"/>
      <c r="BD818" s="949"/>
      <c r="BE818" s="949"/>
      <c r="BF818" s="949"/>
      <c r="BG818" s="948"/>
      <c r="BH818" s="948"/>
      <c r="BI818" s="948"/>
      <c r="BJ818" s="948"/>
      <c r="BK818" s="948"/>
      <c r="BL818" s="948"/>
      <c r="BM818" s="948"/>
      <c r="BN818" s="948"/>
      <c r="BO818" s="948"/>
      <c r="BP818" s="948"/>
      <c r="BQ818" s="948"/>
      <c r="BR818" s="948"/>
      <c r="BS818" s="948"/>
      <c r="BT818" s="948"/>
      <c r="BU818" s="954"/>
    </row>
    <row r="819" spans="1:73" ht="15.75" customHeight="1" x14ac:dyDescent="0.2">
      <c r="A819" s="947"/>
      <c r="B819" s="947"/>
      <c r="C819" s="947"/>
      <c r="D819" s="948"/>
      <c r="E819" s="948"/>
      <c r="F819" s="948"/>
      <c r="G819" s="948"/>
      <c r="H819" s="948"/>
      <c r="I819" s="948"/>
      <c r="J819" s="948"/>
      <c r="K819" s="949"/>
      <c r="L819" s="949"/>
      <c r="M819" s="949"/>
      <c r="N819" s="950"/>
      <c r="O819" s="948"/>
      <c r="P819" s="948"/>
      <c r="Q819" s="948"/>
      <c r="R819" s="949"/>
      <c r="S819" s="949"/>
      <c r="T819" s="949"/>
      <c r="U819" s="949"/>
      <c r="V819" s="949"/>
      <c r="W819" s="949"/>
      <c r="X819" s="951"/>
      <c r="Y819" s="951"/>
      <c r="Z819" s="952"/>
      <c r="AA819" s="953"/>
      <c r="AB819" s="948"/>
      <c r="AC819" s="948"/>
      <c r="AD819" s="949"/>
      <c r="AE819" s="949"/>
      <c r="AF819" s="949"/>
      <c r="AG819" s="949"/>
      <c r="AH819" s="949"/>
      <c r="AI819" s="949"/>
      <c r="AJ819" s="949"/>
      <c r="AK819" s="949"/>
      <c r="AL819" s="949"/>
      <c r="AM819" s="949"/>
      <c r="AN819" s="949"/>
      <c r="AO819" s="949"/>
      <c r="AP819" s="949"/>
      <c r="AQ819" s="949"/>
      <c r="AR819" s="949"/>
      <c r="AS819" s="949"/>
      <c r="AT819" s="949"/>
      <c r="AU819" s="949"/>
      <c r="AV819" s="949"/>
      <c r="AW819" s="949"/>
      <c r="AX819" s="949"/>
      <c r="AY819" s="949"/>
      <c r="AZ819" s="949"/>
      <c r="BA819" s="949"/>
      <c r="BB819" s="949"/>
      <c r="BC819" s="949"/>
      <c r="BD819" s="949"/>
      <c r="BE819" s="949"/>
      <c r="BF819" s="949"/>
      <c r="BG819" s="948"/>
      <c r="BH819" s="948"/>
      <c r="BI819" s="948"/>
      <c r="BJ819" s="948"/>
      <c r="BK819" s="948"/>
      <c r="BL819" s="948"/>
      <c r="BM819" s="948"/>
      <c r="BN819" s="948"/>
      <c r="BO819" s="948"/>
      <c r="BP819" s="948"/>
      <c r="BQ819" s="948"/>
      <c r="BR819" s="948"/>
      <c r="BS819" s="948"/>
      <c r="BT819" s="948"/>
      <c r="BU819" s="954"/>
    </row>
    <row r="820" spans="1:73" ht="15.75" customHeight="1" x14ac:dyDescent="0.2">
      <c r="A820" s="947"/>
      <c r="B820" s="947"/>
      <c r="C820" s="947"/>
      <c r="D820" s="948"/>
      <c r="E820" s="948"/>
      <c r="F820" s="948"/>
      <c r="G820" s="948"/>
      <c r="H820" s="948"/>
      <c r="I820" s="948"/>
      <c r="J820" s="948"/>
      <c r="K820" s="949"/>
      <c r="L820" s="949"/>
      <c r="M820" s="949"/>
      <c r="N820" s="950"/>
      <c r="O820" s="948"/>
      <c r="P820" s="948"/>
      <c r="Q820" s="948"/>
      <c r="R820" s="949"/>
      <c r="S820" s="949"/>
      <c r="T820" s="949"/>
      <c r="U820" s="949"/>
      <c r="V820" s="949"/>
      <c r="W820" s="949"/>
      <c r="X820" s="951"/>
      <c r="Y820" s="951"/>
      <c r="Z820" s="952"/>
      <c r="AA820" s="953"/>
      <c r="AB820" s="948"/>
      <c r="AC820" s="948"/>
      <c r="AD820" s="949"/>
      <c r="AE820" s="949"/>
      <c r="AF820" s="949"/>
      <c r="AG820" s="949"/>
      <c r="AH820" s="949"/>
      <c r="AI820" s="949"/>
      <c r="AJ820" s="949"/>
      <c r="AK820" s="949"/>
      <c r="AL820" s="949"/>
      <c r="AM820" s="949"/>
      <c r="AN820" s="949"/>
      <c r="AO820" s="949"/>
      <c r="AP820" s="949"/>
      <c r="AQ820" s="949"/>
      <c r="AR820" s="949"/>
      <c r="AS820" s="949"/>
      <c r="AT820" s="949"/>
      <c r="AU820" s="949"/>
      <c r="AV820" s="949"/>
      <c r="AW820" s="949"/>
      <c r="AX820" s="949"/>
      <c r="AY820" s="949"/>
      <c r="AZ820" s="949"/>
      <c r="BA820" s="949"/>
      <c r="BB820" s="949"/>
      <c r="BC820" s="949"/>
      <c r="BD820" s="949"/>
      <c r="BE820" s="949"/>
      <c r="BF820" s="949"/>
      <c r="BG820" s="948"/>
      <c r="BH820" s="948"/>
      <c r="BI820" s="948"/>
      <c r="BJ820" s="948"/>
      <c r="BK820" s="948"/>
      <c r="BL820" s="948"/>
      <c r="BM820" s="948"/>
      <c r="BN820" s="948"/>
      <c r="BO820" s="948"/>
      <c r="BP820" s="948"/>
      <c r="BQ820" s="948"/>
      <c r="BR820" s="948"/>
      <c r="BS820" s="948"/>
      <c r="BT820" s="948"/>
      <c r="BU820" s="954"/>
    </row>
    <row r="821" spans="1:73" ht="15.75" customHeight="1" x14ac:dyDescent="0.2">
      <c r="A821" s="947"/>
      <c r="B821" s="947"/>
      <c r="C821" s="947"/>
      <c r="D821" s="948"/>
      <c r="E821" s="948"/>
      <c r="F821" s="948"/>
      <c r="G821" s="948"/>
      <c r="H821" s="948"/>
      <c r="I821" s="948"/>
      <c r="J821" s="948"/>
      <c r="K821" s="949"/>
      <c r="L821" s="949"/>
      <c r="M821" s="949"/>
      <c r="N821" s="950"/>
      <c r="O821" s="948"/>
      <c r="P821" s="948"/>
      <c r="Q821" s="948"/>
      <c r="R821" s="949"/>
      <c r="S821" s="949"/>
      <c r="T821" s="949"/>
      <c r="U821" s="949"/>
      <c r="V821" s="949"/>
      <c r="W821" s="949"/>
      <c r="X821" s="951"/>
      <c r="Y821" s="951"/>
      <c r="Z821" s="952"/>
      <c r="AA821" s="953"/>
      <c r="AB821" s="948"/>
      <c r="AC821" s="948"/>
      <c r="AD821" s="949"/>
      <c r="AE821" s="949"/>
      <c r="AF821" s="949"/>
      <c r="AG821" s="949"/>
      <c r="AH821" s="949"/>
      <c r="AI821" s="949"/>
      <c r="AJ821" s="949"/>
      <c r="AK821" s="949"/>
      <c r="AL821" s="949"/>
      <c r="AM821" s="949"/>
      <c r="AN821" s="949"/>
      <c r="AO821" s="949"/>
      <c r="AP821" s="949"/>
      <c r="AQ821" s="949"/>
      <c r="AR821" s="949"/>
      <c r="AS821" s="949"/>
      <c r="AT821" s="949"/>
      <c r="AU821" s="949"/>
      <c r="AV821" s="949"/>
      <c r="AW821" s="949"/>
      <c r="AX821" s="949"/>
      <c r="AY821" s="949"/>
      <c r="AZ821" s="949"/>
      <c r="BA821" s="949"/>
      <c r="BB821" s="949"/>
      <c r="BC821" s="949"/>
      <c r="BD821" s="949"/>
      <c r="BE821" s="949"/>
      <c r="BF821" s="949"/>
      <c r="BG821" s="948"/>
      <c r="BH821" s="948"/>
      <c r="BI821" s="948"/>
      <c r="BJ821" s="948"/>
      <c r="BK821" s="948"/>
      <c r="BL821" s="948"/>
      <c r="BM821" s="948"/>
      <c r="BN821" s="948"/>
      <c r="BO821" s="948"/>
      <c r="BP821" s="948"/>
      <c r="BQ821" s="948"/>
      <c r="BR821" s="948"/>
      <c r="BS821" s="948"/>
      <c r="BT821" s="948"/>
      <c r="BU821" s="954"/>
    </row>
    <row r="822" spans="1:73" ht="15.75" customHeight="1" x14ac:dyDescent="0.2">
      <c r="A822" s="947"/>
      <c r="B822" s="947"/>
      <c r="C822" s="947"/>
      <c r="D822" s="948"/>
      <c r="E822" s="948"/>
      <c r="F822" s="948"/>
      <c r="G822" s="948"/>
      <c r="H822" s="948"/>
      <c r="I822" s="948"/>
      <c r="J822" s="948"/>
      <c r="K822" s="949"/>
      <c r="L822" s="949"/>
      <c r="M822" s="949"/>
      <c r="N822" s="950"/>
      <c r="O822" s="948"/>
      <c r="P822" s="948"/>
      <c r="Q822" s="948"/>
      <c r="R822" s="949"/>
      <c r="S822" s="949"/>
      <c r="T822" s="949"/>
      <c r="U822" s="949"/>
      <c r="V822" s="949"/>
      <c r="W822" s="949"/>
      <c r="X822" s="951"/>
      <c r="Y822" s="951"/>
      <c r="Z822" s="952"/>
      <c r="AA822" s="953"/>
      <c r="AB822" s="948"/>
      <c r="AC822" s="948"/>
      <c r="AD822" s="949"/>
      <c r="AE822" s="949"/>
      <c r="AF822" s="949"/>
      <c r="AG822" s="949"/>
      <c r="AH822" s="949"/>
      <c r="AI822" s="949"/>
      <c r="AJ822" s="949"/>
      <c r="AK822" s="949"/>
      <c r="AL822" s="949"/>
      <c r="AM822" s="949"/>
      <c r="AN822" s="949"/>
      <c r="AO822" s="949"/>
      <c r="AP822" s="949"/>
      <c r="AQ822" s="949"/>
      <c r="AR822" s="949"/>
      <c r="AS822" s="949"/>
      <c r="AT822" s="949"/>
      <c r="AU822" s="949"/>
      <c r="AV822" s="949"/>
      <c r="AW822" s="949"/>
      <c r="AX822" s="949"/>
      <c r="AY822" s="949"/>
      <c r="AZ822" s="949"/>
      <c r="BA822" s="949"/>
      <c r="BB822" s="949"/>
      <c r="BC822" s="949"/>
      <c r="BD822" s="949"/>
      <c r="BE822" s="949"/>
      <c r="BF822" s="949"/>
      <c r="BG822" s="948"/>
      <c r="BH822" s="948"/>
      <c r="BI822" s="948"/>
      <c r="BJ822" s="948"/>
      <c r="BK822" s="948"/>
      <c r="BL822" s="948"/>
      <c r="BM822" s="948"/>
      <c r="BN822" s="948"/>
      <c r="BO822" s="948"/>
      <c r="BP822" s="948"/>
      <c r="BQ822" s="948"/>
      <c r="BR822" s="948"/>
      <c r="BS822" s="948"/>
      <c r="BT822" s="948"/>
      <c r="BU822" s="954"/>
    </row>
    <row r="823" spans="1:73" ht="15.75" customHeight="1" x14ac:dyDescent="0.2">
      <c r="A823" s="947"/>
      <c r="B823" s="947"/>
      <c r="C823" s="947"/>
      <c r="D823" s="948"/>
      <c r="E823" s="948"/>
      <c r="F823" s="948"/>
      <c r="G823" s="948"/>
      <c r="H823" s="948"/>
      <c r="I823" s="948"/>
      <c r="J823" s="948"/>
      <c r="K823" s="949"/>
      <c r="L823" s="949"/>
      <c r="M823" s="949"/>
      <c r="N823" s="950"/>
      <c r="O823" s="948"/>
      <c r="P823" s="948"/>
      <c r="Q823" s="948"/>
      <c r="R823" s="949"/>
      <c r="S823" s="949"/>
      <c r="T823" s="949"/>
      <c r="U823" s="949"/>
      <c r="V823" s="949"/>
      <c r="W823" s="949"/>
      <c r="X823" s="951"/>
      <c r="Y823" s="951"/>
      <c r="Z823" s="952"/>
      <c r="AA823" s="953"/>
      <c r="AB823" s="948"/>
      <c r="AC823" s="948"/>
      <c r="AD823" s="949"/>
      <c r="AE823" s="949"/>
      <c r="AF823" s="949"/>
      <c r="AG823" s="949"/>
      <c r="AH823" s="949"/>
      <c r="AI823" s="949"/>
      <c r="AJ823" s="949"/>
      <c r="AK823" s="949"/>
      <c r="AL823" s="949"/>
      <c r="AM823" s="949"/>
      <c r="AN823" s="949"/>
      <c r="AO823" s="949"/>
      <c r="AP823" s="949"/>
      <c r="AQ823" s="949"/>
      <c r="AR823" s="949"/>
      <c r="AS823" s="949"/>
      <c r="AT823" s="949"/>
      <c r="AU823" s="949"/>
      <c r="AV823" s="949"/>
      <c r="AW823" s="949"/>
      <c r="AX823" s="949"/>
      <c r="AY823" s="949"/>
      <c r="AZ823" s="949"/>
      <c r="BA823" s="949"/>
      <c r="BB823" s="949"/>
      <c r="BC823" s="949"/>
      <c r="BD823" s="949"/>
      <c r="BE823" s="949"/>
      <c r="BF823" s="949"/>
      <c r="BG823" s="948"/>
      <c r="BH823" s="948"/>
      <c r="BI823" s="948"/>
      <c r="BJ823" s="948"/>
      <c r="BK823" s="948"/>
      <c r="BL823" s="948"/>
      <c r="BM823" s="948"/>
      <c r="BN823" s="948"/>
      <c r="BO823" s="948"/>
      <c r="BP823" s="948"/>
      <c r="BQ823" s="948"/>
      <c r="BR823" s="948"/>
      <c r="BS823" s="948"/>
      <c r="BT823" s="948"/>
      <c r="BU823" s="954"/>
    </row>
    <row r="824" spans="1:73" ht="15.75" customHeight="1" x14ac:dyDescent="0.2">
      <c r="A824" s="947"/>
      <c r="B824" s="947"/>
      <c r="C824" s="947"/>
      <c r="D824" s="948"/>
      <c r="E824" s="948"/>
      <c r="F824" s="948"/>
      <c r="G824" s="948"/>
      <c r="H824" s="948"/>
      <c r="I824" s="948"/>
      <c r="J824" s="948"/>
      <c r="K824" s="949"/>
      <c r="L824" s="949"/>
      <c r="M824" s="949"/>
      <c r="N824" s="950"/>
      <c r="O824" s="948"/>
      <c r="P824" s="948"/>
      <c r="Q824" s="948"/>
      <c r="R824" s="949"/>
      <c r="S824" s="949"/>
      <c r="T824" s="949"/>
      <c r="U824" s="949"/>
      <c r="V824" s="949"/>
      <c r="W824" s="949"/>
      <c r="X824" s="951"/>
      <c r="Y824" s="951"/>
      <c r="Z824" s="952"/>
      <c r="AA824" s="953"/>
      <c r="AB824" s="948"/>
      <c r="AC824" s="948"/>
      <c r="AD824" s="949"/>
      <c r="AE824" s="949"/>
      <c r="AF824" s="949"/>
      <c r="AG824" s="949"/>
      <c r="AH824" s="949"/>
      <c r="AI824" s="949"/>
      <c r="AJ824" s="949"/>
      <c r="AK824" s="949"/>
      <c r="AL824" s="949"/>
      <c r="AM824" s="949"/>
      <c r="AN824" s="949"/>
      <c r="AO824" s="949"/>
      <c r="AP824" s="949"/>
      <c r="AQ824" s="949"/>
      <c r="AR824" s="949"/>
      <c r="AS824" s="949"/>
      <c r="AT824" s="949"/>
      <c r="AU824" s="949"/>
      <c r="AV824" s="949"/>
      <c r="AW824" s="949"/>
      <c r="AX824" s="949"/>
      <c r="AY824" s="949"/>
      <c r="AZ824" s="949"/>
      <c r="BA824" s="949"/>
      <c r="BB824" s="949"/>
      <c r="BC824" s="949"/>
      <c r="BD824" s="949"/>
      <c r="BE824" s="949"/>
      <c r="BF824" s="949"/>
      <c r="BG824" s="948"/>
      <c r="BH824" s="948"/>
      <c r="BI824" s="948"/>
      <c r="BJ824" s="948"/>
      <c r="BK824" s="948"/>
      <c r="BL824" s="948"/>
      <c r="BM824" s="948"/>
      <c r="BN824" s="948"/>
      <c r="BO824" s="948"/>
      <c r="BP824" s="948"/>
      <c r="BQ824" s="948"/>
      <c r="BR824" s="948"/>
      <c r="BS824" s="948"/>
      <c r="BT824" s="948"/>
      <c r="BU824" s="954"/>
    </row>
    <row r="825" spans="1:73" ht="15.75" customHeight="1" x14ac:dyDescent="0.2">
      <c r="A825" s="947"/>
      <c r="B825" s="947"/>
      <c r="C825" s="947"/>
      <c r="D825" s="948"/>
      <c r="E825" s="948"/>
      <c r="F825" s="948"/>
      <c r="G825" s="948"/>
      <c r="H825" s="948"/>
      <c r="I825" s="948"/>
      <c r="J825" s="948"/>
      <c r="K825" s="949"/>
      <c r="L825" s="949"/>
      <c r="M825" s="949"/>
      <c r="N825" s="950"/>
      <c r="O825" s="948"/>
      <c r="P825" s="948"/>
      <c r="Q825" s="948"/>
      <c r="R825" s="949"/>
      <c r="S825" s="949"/>
      <c r="T825" s="949"/>
      <c r="U825" s="949"/>
      <c r="V825" s="949"/>
      <c r="W825" s="949"/>
      <c r="X825" s="951"/>
      <c r="Y825" s="951"/>
      <c r="Z825" s="952"/>
      <c r="AA825" s="953"/>
      <c r="AB825" s="948"/>
      <c r="AC825" s="948"/>
      <c r="AD825" s="949"/>
      <c r="AE825" s="949"/>
      <c r="AF825" s="949"/>
      <c r="AG825" s="949"/>
      <c r="AH825" s="949"/>
      <c r="AI825" s="949"/>
      <c r="AJ825" s="949"/>
      <c r="AK825" s="949"/>
      <c r="AL825" s="949"/>
      <c r="AM825" s="949"/>
      <c r="AN825" s="949"/>
      <c r="AO825" s="949"/>
      <c r="AP825" s="949"/>
      <c r="AQ825" s="949"/>
      <c r="AR825" s="949"/>
      <c r="AS825" s="949"/>
      <c r="AT825" s="949"/>
      <c r="AU825" s="949"/>
      <c r="AV825" s="949"/>
      <c r="AW825" s="949"/>
      <c r="AX825" s="949"/>
      <c r="AY825" s="949"/>
      <c r="AZ825" s="949"/>
      <c r="BA825" s="949"/>
      <c r="BB825" s="949"/>
      <c r="BC825" s="949"/>
      <c r="BD825" s="949"/>
      <c r="BE825" s="949"/>
      <c r="BF825" s="949"/>
      <c r="BG825" s="948"/>
      <c r="BH825" s="948"/>
      <c r="BI825" s="948"/>
      <c r="BJ825" s="948"/>
      <c r="BK825" s="948"/>
      <c r="BL825" s="948"/>
      <c r="BM825" s="948"/>
      <c r="BN825" s="948"/>
      <c r="BO825" s="948"/>
      <c r="BP825" s="948"/>
      <c r="BQ825" s="948"/>
      <c r="BR825" s="948"/>
      <c r="BS825" s="948"/>
      <c r="BT825" s="948"/>
      <c r="BU825" s="954"/>
    </row>
    <row r="826" spans="1:73" ht="15.75" customHeight="1" x14ac:dyDescent="0.2">
      <c r="A826" s="947"/>
      <c r="B826" s="947"/>
      <c r="C826" s="947"/>
      <c r="D826" s="948"/>
      <c r="E826" s="948"/>
      <c r="F826" s="948"/>
      <c r="G826" s="948"/>
      <c r="H826" s="948"/>
      <c r="I826" s="948"/>
      <c r="J826" s="948"/>
      <c r="K826" s="949"/>
      <c r="L826" s="949"/>
      <c r="M826" s="949"/>
      <c r="N826" s="950"/>
      <c r="O826" s="948"/>
      <c r="P826" s="948"/>
      <c r="Q826" s="948"/>
      <c r="R826" s="949"/>
      <c r="S826" s="949"/>
      <c r="T826" s="949"/>
      <c r="U826" s="949"/>
      <c r="V826" s="949"/>
      <c r="W826" s="949"/>
      <c r="X826" s="951"/>
      <c r="Y826" s="951"/>
      <c r="Z826" s="952"/>
      <c r="AA826" s="953"/>
      <c r="AB826" s="948"/>
      <c r="AC826" s="948"/>
      <c r="AD826" s="949"/>
      <c r="AE826" s="949"/>
      <c r="AF826" s="949"/>
      <c r="AG826" s="949"/>
      <c r="AH826" s="949"/>
      <c r="AI826" s="949"/>
      <c r="AJ826" s="949"/>
      <c r="AK826" s="949"/>
      <c r="AL826" s="949"/>
      <c r="AM826" s="949"/>
      <c r="AN826" s="949"/>
      <c r="AO826" s="949"/>
      <c r="AP826" s="949"/>
      <c r="AQ826" s="949"/>
      <c r="AR826" s="949"/>
      <c r="AS826" s="949"/>
      <c r="AT826" s="949"/>
      <c r="AU826" s="949"/>
      <c r="AV826" s="949"/>
      <c r="AW826" s="949"/>
      <c r="AX826" s="949"/>
      <c r="AY826" s="949"/>
      <c r="AZ826" s="949"/>
      <c r="BA826" s="949"/>
      <c r="BB826" s="949"/>
      <c r="BC826" s="949"/>
      <c r="BD826" s="949"/>
      <c r="BE826" s="949"/>
      <c r="BF826" s="949"/>
      <c r="BG826" s="948"/>
      <c r="BH826" s="948"/>
      <c r="BI826" s="948"/>
      <c r="BJ826" s="948"/>
      <c r="BK826" s="948"/>
      <c r="BL826" s="948"/>
      <c r="BM826" s="948"/>
      <c r="BN826" s="948"/>
      <c r="BO826" s="948"/>
      <c r="BP826" s="948"/>
      <c r="BQ826" s="948"/>
      <c r="BR826" s="948"/>
      <c r="BS826" s="948"/>
      <c r="BT826" s="948"/>
      <c r="BU826" s="954"/>
    </row>
    <row r="827" spans="1:73" ht="15.75" customHeight="1" x14ac:dyDescent="0.2">
      <c r="A827" s="947"/>
      <c r="B827" s="947"/>
      <c r="C827" s="947"/>
      <c r="D827" s="948"/>
      <c r="E827" s="948"/>
      <c r="F827" s="948"/>
      <c r="G827" s="948"/>
      <c r="H827" s="948"/>
      <c r="I827" s="948"/>
      <c r="J827" s="948"/>
      <c r="K827" s="949"/>
      <c r="L827" s="949"/>
      <c r="M827" s="949"/>
      <c r="N827" s="950"/>
      <c r="O827" s="948"/>
      <c r="P827" s="948"/>
      <c r="Q827" s="948"/>
      <c r="R827" s="949"/>
      <c r="S827" s="949"/>
      <c r="T827" s="949"/>
      <c r="U827" s="949"/>
      <c r="V827" s="949"/>
      <c r="W827" s="949"/>
      <c r="X827" s="951"/>
      <c r="Y827" s="951"/>
      <c r="Z827" s="952"/>
      <c r="AA827" s="953"/>
      <c r="AB827" s="948"/>
      <c r="AC827" s="948"/>
      <c r="AD827" s="949"/>
      <c r="AE827" s="949"/>
      <c r="AF827" s="949"/>
      <c r="AG827" s="949"/>
      <c r="AH827" s="949"/>
      <c r="AI827" s="949"/>
      <c r="AJ827" s="949"/>
      <c r="AK827" s="949"/>
      <c r="AL827" s="949"/>
      <c r="AM827" s="949"/>
      <c r="AN827" s="949"/>
      <c r="AO827" s="949"/>
      <c r="AP827" s="949"/>
      <c r="AQ827" s="949"/>
      <c r="AR827" s="949"/>
      <c r="AS827" s="949"/>
      <c r="AT827" s="949"/>
      <c r="AU827" s="949"/>
      <c r="AV827" s="949"/>
      <c r="AW827" s="949"/>
      <c r="AX827" s="949"/>
      <c r="AY827" s="949"/>
      <c r="AZ827" s="949"/>
      <c r="BA827" s="949"/>
      <c r="BB827" s="949"/>
      <c r="BC827" s="949"/>
      <c r="BD827" s="949"/>
      <c r="BE827" s="949"/>
      <c r="BF827" s="949"/>
      <c r="BG827" s="948"/>
      <c r="BH827" s="948"/>
      <c r="BI827" s="948"/>
      <c r="BJ827" s="948"/>
      <c r="BK827" s="948"/>
      <c r="BL827" s="948"/>
      <c r="BM827" s="948"/>
      <c r="BN827" s="948"/>
      <c r="BO827" s="948"/>
      <c r="BP827" s="948"/>
      <c r="BQ827" s="948"/>
      <c r="BR827" s="948"/>
      <c r="BS827" s="948"/>
      <c r="BT827" s="948"/>
      <c r="BU827" s="954"/>
    </row>
    <row r="828" spans="1:73" ht="15.75" customHeight="1" x14ac:dyDescent="0.2">
      <c r="A828" s="947"/>
      <c r="B828" s="947"/>
      <c r="C828" s="947"/>
      <c r="D828" s="948"/>
      <c r="E828" s="948"/>
      <c r="F828" s="948"/>
      <c r="G828" s="948"/>
      <c r="H828" s="948"/>
      <c r="I828" s="948"/>
      <c r="J828" s="948"/>
      <c r="K828" s="949"/>
      <c r="L828" s="949"/>
      <c r="M828" s="949"/>
      <c r="N828" s="950"/>
      <c r="O828" s="948"/>
      <c r="P828" s="948"/>
      <c r="Q828" s="948"/>
      <c r="R828" s="949"/>
      <c r="S828" s="949"/>
      <c r="T828" s="949"/>
      <c r="U828" s="949"/>
      <c r="V828" s="949"/>
      <c r="W828" s="949"/>
      <c r="X828" s="951"/>
      <c r="Y828" s="951"/>
      <c r="Z828" s="952"/>
      <c r="AA828" s="953"/>
      <c r="AB828" s="948"/>
      <c r="AC828" s="948"/>
      <c r="AD828" s="949"/>
      <c r="AE828" s="949"/>
      <c r="AF828" s="949"/>
      <c r="AG828" s="949"/>
      <c r="AH828" s="949"/>
      <c r="AI828" s="949"/>
      <c r="AJ828" s="949"/>
      <c r="AK828" s="949"/>
      <c r="AL828" s="949"/>
      <c r="AM828" s="949"/>
      <c r="AN828" s="949"/>
      <c r="AO828" s="949"/>
      <c r="AP828" s="949"/>
      <c r="AQ828" s="949"/>
      <c r="AR828" s="949"/>
      <c r="AS828" s="949"/>
      <c r="AT828" s="949"/>
      <c r="AU828" s="949"/>
      <c r="AV828" s="949"/>
      <c r="AW828" s="949"/>
      <c r="AX828" s="949"/>
      <c r="AY828" s="949"/>
      <c r="AZ828" s="949"/>
      <c r="BA828" s="949"/>
      <c r="BB828" s="949"/>
      <c r="BC828" s="949"/>
      <c r="BD828" s="949"/>
      <c r="BE828" s="949"/>
      <c r="BF828" s="949"/>
      <c r="BG828" s="948"/>
      <c r="BH828" s="948"/>
      <c r="BI828" s="948"/>
      <c r="BJ828" s="948"/>
      <c r="BK828" s="948"/>
      <c r="BL828" s="948"/>
      <c r="BM828" s="948"/>
      <c r="BN828" s="948"/>
      <c r="BO828" s="948"/>
      <c r="BP828" s="948"/>
      <c r="BQ828" s="948"/>
      <c r="BR828" s="948"/>
      <c r="BS828" s="948"/>
      <c r="BT828" s="948"/>
      <c r="BU828" s="954"/>
    </row>
    <row r="829" spans="1:73" ht="15.75" customHeight="1" x14ac:dyDescent="0.2">
      <c r="A829" s="947"/>
      <c r="B829" s="947"/>
      <c r="C829" s="947"/>
      <c r="D829" s="948"/>
      <c r="E829" s="948"/>
      <c r="F829" s="948"/>
      <c r="G829" s="948"/>
      <c r="H829" s="948"/>
      <c r="I829" s="948"/>
      <c r="J829" s="948"/>
      <c r="K829" s="949"/>
      <c r="L829" s="949"/>
      <c r="M829" s="949"/>
      <c r="N829" s="950"/>
      <c r="O829" s="948"/>
      <c r="P829" s="948"/>
      <c r="Q829" s="948"/>
      <c r="R829" s="949"/>
      <c r="S829" s="949"/>
      <c r="T829" s="949"/>
      <c r="U829" s="949"/>
      <c r="V829" s="949"/>
      <c r="W829" s="949"/>
      <c r="X829" s="951"/>
      <c r="Y829" s="951"/>
      <c r="Z829" s="952"/>
      <c r="AA829" s="953"/>
      <c r="AB829" s="948"/>
      <c r="AC829" s="948"/>
      <c r="AD829" s="949"/>
      <c r="AE829" s="949"/>
      <c r="AF829" s="949"/>
      <c r="AG829" s="949"/>
      <c r="AH829" s="949"/>
      <c r="AI829" s="949"/>
      <c r="AJ829" s="949"/>
      <c r="AK829" s="949"/>
      <c r="AL829" s="949"/>
      <c r="AM829" s="949"/>
      <c r="AN829" s="949"/>
      <c r="AO829" s="949"/>
      <c r="AP829" s="949"/>
      <c r="AQ829" s="949"/>
      <c r="AR829" s="949"/>
      <c r="AS829" s="949"/>
      <c r="AT829" s="949"/>
      <c r="AU829" s="949"/>
      <c r="AV829" s="949"/>
      <c r="AW829" s="949"/>
      <c r="AX829" s="949"/>
      <c r="AY829" s="949"/>
      <c r="AZ829" s="949"/>
      <c r="BA829" s="949"/>
      <c r="BB829" s="949"/>
      <c r="BC829" s="949"/>
      <c r="BD829" s="949"/>
      <c r="BE829" s="949"/>
      <c r="BF829" s="949"/>
      <c r="BG829" s="948"/>
      <c r="BH829" s="948"/>
      <c r="BI829" s="948"/>
      <c r="BJ829" s="948"/>
      <c r="BK829" s="948"/>
      <c r="BL829" s="948"/>
      <c r="BM829" s="948"/>
      <c r="BN829" s="948"/>
      <c r="BO829" s="948"/>
      <c r="BP829" s="948"/>
      <c r="BQ829" s="948"/>
      <c r="BR829" s="948"/>
      <c r="BS829" s="948"/>
      <c r="BT829" s="948"/>
      <c r="BU829" s="954"/>
    </row>
    <row r="830" spans="1:73" ht="15.75" customHeight="1" x14ac:dyDescent="0.2">
      <c r="A830" s="947"/>
      <c r="B830" s="947"/>
      <c r="C830" s="947"/>
      <c r="D830" s="948"/>
      <c r="E830" s="948"/>
      <c r="F830" s="948"/>
      <c r="G830" s="948"/>
      <c r="H830" s="948"/>
      <c r="I830" s="948"/>
      <c r="J830" s="948"/>
      <c r="K830" s="949"/>
      <c r="L830" s="949"/>
      <c r="M830" s="949"/>
      <c r="N830" s="950"/>
      <c r="O830" s="948"/>
      <c r="P830" s="948"/>
      <c r="Q830" s="948"/>
      <c r="R830" s="949"/>
      <c r="S830" s="949"/>
      <c r="T830" s="949"/>
      <c r="U830" s="949"/>
      <c r="V830" s="949"/>
      <c r="W830" s="949"/>
      <c r="X830" s="951"/>
      <c r="Y830" s="951"/>
      <c r="Z830" s="952"/>
      <c r="AA830" s="953"/>
      <c r="AB830" s="948"/>
      <c r="AC830" s="948"/>
      <c r="AD830" s="949"/>
      <c r="AE830" s="949"/>
      <c r="AF830" s="949"/>
      <c r="AG830" s="949"/>
      <c r="AH830" s="949"/>
      <c r="AI830" s="949"/>
      <c r="AJ830" s="949"/>
      <c r="AK830" s="949"/>
      <c r="AL830" s="949"/>
      <c r="AM830" s="949"/>
      <c r="AN830" s="949"/>
      <c r="AO830" s="949"/>
      <c r="AP830" s="949"/>
      <c r="AQ830" s="949"/>
      <c r="AR830" s="949"/>
      <c r="AS830" s="949"/>
      <c r="AT830" s="949"/>
      <c r="AU830" s="949"/>
      <c r="AV830" s="949"/>
      <c r="AW830" s="949"/>
      <c r="AX830" s="949"/>
      <c r="AY830" s="949"/>
      <c r="AZ830" s="949"/>
      <c r="BA830" s="949"/>
      <c r="BB830" s="949"/>
      <c r="BC830" s="949"/>
      <c r="BD830" s="949"/>
      <c r="BE830" s="949"/>
      <c r="BF830" s="949"/>
      <c r="BG830" s="948"/>
      <c r="BH830" s="948"/>
      <c r="BI830" s="948"/>
      <c r="BJ830" s="948"/>
      <c r="BK830" s="948"/>
      <c r="BL830" s="948"/>
      <c r="BM830" s="948"/>
      <c r="BN830" s="948"/>
      <c r="BO830" s="948"/>
      <c r="BP830" s="948"/>
      <c r="BQ830" s="948"/>
      <c r="BR830" s="948"/>
      <c r="BS830" s="948"/>
      <c r="BT830" s="948"/>
      <c r="BU830" s="954"/>
    </row>
    <row r="831" spans="1:73" ht="15.75" customHeight="1" x14ac:dyDescent="0.2">
      <c r="A831" s="947"/>
      <c r="B831" s="947"/>
      <c r="C831" s="947"/>
      <c r="D831" s="948"/>
      <c r="E831" s="948"/>
      <c r="F831" s="948"/>
      <c r="G831" s="948"/>
      <c r="H831" s="948"/>
      <c r="I831" s="948"/>
      <c r="J831" s="948"/>
      <c r="K831" s="949"/>
      <c r="L831" s="949"/>
      <c r="M831" s="949"/>
      <c r="N831" s="950"/>
      <c r="O831" s="948"/>
      <c r="P831" s="948"/>
      <c r="Q831" s="948"/>
      <c r="R831" s="949"/>
      <c r="S831" s="949"/>
      <c r="T831" s="949"/>
      <c r="U831" s="949"/>
      <c r="V831" s="949"/>
      <c r="W831" s="949"/>
      <c r="X831" s="951"/>
      <c r="Y831" s="951"/>
      <c r="Z831" s="952"/>
      <c r="AA831" s="953"/>
      <c r="AB831" s="948"/>
      <c r="AC831" s="948"/>
      <c r="AD831" s="949"/>
      <c r="AE831" s="949"/>
      <c r="AF831" s="949"/>
      <c r="AG831" s="949"/>
      <c r="AH831" s="949"/>
      <c r="AI831" s="949"/>
      <c r="AJ831" s="949"/>
      <c r="AK831" s="949"/>
      <c r="AL831" s="949"/>
      <c r="AM831" s="949"/>
      <c r="AN831" s="949"/>
      <c r="AO831" s="949"/>
      <c r="AP831" s="949"/>
      <c r="AQ831" s="949"/>
      <c r="AR831" s="949"/>
      <c r="AS831" s="949"/>
      <c r="AT831" s="949"/>
      <c r="AU831" s="949"/>
      <c r="AV831" s="949"/>
      <c r="AW831" s="949"/>
      <c r="AX831" s="949"/>
      <c r="AY831" s="949"/>
      <c r="AZ831" s="949"/>
      <c r="BA831" s="949"/>
      <c r="BB831" s="949"/>
      <c r="BC831" s="949"/>
      <c r="BD831" s="949"/>
      <c r="BE831" s="949"/>
      <c r="BF831" s="949"/>
      <c r="BG831" s="948"/>
      <c r="BH831" s="948"/>
      <c r="BI831" s="948"/>
      <c r="BJ831" s="948"/>
      <c r="BK831" s="948"/>
      <c r="BL831" s="948"/>
      <c r="BM831" s="948"/>
      <c r="BN831" s="948"/>
      <c r="BO831" s="948"/>
      <c r="BP831" s="948"/>
      <c r="BQ831" s="948"/>
      <c r="BR831" s="948"/>
      <c r="BS831" s="948"/>
      <c r="BT831" s="948"/>
      <c r="BU831" s="954"/>
    </row>
    <row r="832" spans="1:73" ht="15.75" customHeight="1" x14ac:dyDescent="0.2">
      <c r="A832" s="947"/>
      <c r="B832" s="947"/>
      <c r="C832" s="947"/>
      <c r="D832" s="948"/>
      <c r="E832" s="948"/>
      <c r="F832" s="948"/>
      <c r="G832" s="948"/>
      <c r="H832" s="948"/>
      <c r="I832" s="948"/>
      <c r="J832" s="948"/>
      <c r="K832" s="949"/>
      <c r="L832" s="949"/>
      <c r="M832" s="949"/>
      <c r="N832" s="950"/>
      <c r="O832" s="948"/>
      <c r="P832" s="948"/>
      <c r="Q832" s="948"/>
      <c r="R832" s="949"/>
      <c r="S832" s="949"/>
      <c r="T832" s="949"/>
      <c r="U832" s="949"/>
      <c r="V832" s="949"/>
      <c r="W832" s="949"/>
      <c r="X832" s="951"/>
      <c r="Y832" s="951"/>
      <c r="Z832" s="952"/>
      <c r="AA832" s="953"/>
      <c r="AB832" s="948"/>
      <c r="AC832" s="948"/>
      <c r="AD832" s="949"/>
      <c r="AE832" s="949"/>
      <c r="AF832" s="949"/>
      <c r="AG832" s="949"/>
      <c r="AH832" s="949"/>
      <c r="AI832" s="949"/>
      <c r="AJ832" s="949"/>
      <c r="AK832" s="949"/>
      <c r="AL832" s="949"/>
      <c r="AM832" s="949"/>
      <c r="AN832" s="949"/>
      <c r="AO832" s="949"/>
      <c r="AP832" s="949"/>
      <c r="AQ832" s="949"/>
      <c r="AR832" s="949"/>
      <c r="AS832" s="949"/>
      <c r="AT832" s="949"/>
      <c r="AU832" s="949"/>
      <c r="AV832" s="949"/>
      <c r="AW832" s="949"/>
      <c r="AX832" s="949"/>
      <c r="AY832" s="949"/>
      <c r="AZ832" s="949"/>
      <c r="BA832" s="949"/>
      <c r="BB832" s="949"/>
      <c r="BC832" s="949"/>
      <c r="BD832" s="949"/>
      <c r="BE832" s="949"/>
      <c r="BF832" s="949"/>
      <c r="BG832" s="948"/>
      <c r="BH832" s="948"/>
      <c r="BI832" s="948"/>
      <c r="BJ832" s="948"/>
      <c r="BK832" s="948"/>
      <c r="BL832" s="948"/>
      <c r="BM832" s="948"/>
      <c r="BN832" s="948"/>
      <c r="BO832" s="948"/>
      <c r="BP832" s="948"/>
      <c r="BQ832" s="948"/>
      <c r="BR832" s="948"/>
      <c r="BS832" s="948"/>
      <c r="BT832" s="948"/>
      <c r="BU832" s="954"/>
    </row>
    <row r="833" spans="1:73" ht="15.75" customHeight="1" x14ac:dyDescent="0.2">
      <c r="A833" s="947"/>
      <c r="B833" s="947"/>
      <c r="C833" s="947"/>
      <c r="D833" s="948"/>
      <c r="E833" s="948"/>
      <c r="F833" s="948"/>
      <c r="G833" s="948"/>
      <c r="H833" s="948"/>
      <c r="I833" s="948"/>
      <c r="J833" s="948"/>
      <c r="K833" s="949"/>
      <c r="L833" s="949"/>
      <c r="M833" s="949"/>
      <c r="N833" s="950"/>
      <c r="O833" s="948"/>
      <c r="P833" s="948"/>
      <c r="Q833" s="948"/>
      <c r="R833" s="949"/>
      <c r="S833" s="949"/>
      <c r="T833" s="949"/>
      <c r="U833" s="949"/>
      <c r="V833" s="949"/>
      <c r="W833" s="949"/>
      <c r="X833" s="951"/>
      <c r="Y833" s="951"/>
      <c r="Z833" s="952"/>
      <c r="AA833" s="953"/>
      <c r="AB833" s="948"/>
      <c r="AC833" s="948"/>
      <c r="AD833" s="949"/>
      <c r="AE833" s="949"/>
      <c r="AF833" s="949"/>
      <c r="AG833" s="949"/>
      <c r="AH833" s="949"/>
      <c r="AI833" s="949"/>
      <c r="AJ833" s="949"/>
      <c r="AK833" s="949"/>
      <c r="AL833" s="949"/>
      <c r="AM833" s="949"/>
      <c r="AN833" s="949"/>
      <c r="AO833" s="949"/>
      <c r="AP833" s="949"/>
      <c r="AQ833" s="949"/>
      <c r="AR833" s="949"/>
      <c r="AS833" s="949"/>
      <c r="AT833" s="949"/>
      <c r="AU833" s="949"/>
      <c r="AV833" s="949"/>
      <c r="AW833" s="949"/>
      <c r="AX833" s="949"/>
      <c r="AY833" s="949"/>
      <c r="AZ833" s="949"/>
      <c r="BA833" s="949"/>
      <c r="BB833" s="949"/>
      <c r="BC833" s="949"/>
      <c r="BD833" s="949"/>
      <c r="BE833" s="949"/>
      <c r="BF833" s="949"/>
      <c r="BG833" s="948"/>
      <c r="BH833" s="948"/>
      <c r="BI833" s="948"/>
      <c r="BJ833" s="948"/>
      <c r="BK833" s="948"/>
      <c r="BL833" s="948"/>
      <c r="BM833" s="948"/>
      <c r="BN833" s="948"/>
      <c r="BO833" s="948"/>
      <c r="BP833" s="948"/>
      <c r="BQ833" s="948"/>
      <c r="BR833" s="948"/>
      <c r="BS833" s="948"/>
      <c r="BT833" s="948"/>
      <c r="BU833" s="954"/>
    </row>
    <row r="834" spans="1:73" ht="15.75" customHeight="1" x14ac:dyDescent="0.2">
      <c r="A834" s="947"/>
      <c r="B834" s="947"/>
      <c r="C834" s="947"/>
      <c r="D834" s="948"/>
      <c r="E834" s="948"/>
      <c r="F834" s="948"/>
      <c r="G834" s="948"/>
      <c r="H834" s="948"/>
      <c r="I834" s="948"/>
      <c r="J834" s="948"/>
      <c r="K834" s="949"/>
      <c r="L834" s="949"/>
      <c r="M834" s="949"/>
      <c r="N834" s="950"/>
      <c r="O834" s="948"/>
      <c r="P834" s="948"/>
      <c r="Q834" s="948"/>
      <c r="R834" s="949"/>
      <c r="S834" s="949"/>
      <c r="T834" s="949"/>
      <c r="U834" s="949"/>
      <c r="V834" s="949"/>
      <c r="W834" s="949"/>
      <c r="X834" s="951"/>
      <c r="Y834" s="951"/>
      <c r="Z834" s="952"/>
      <c r="AA834" s="953"/>
      <c r="AB834" s="948"/>
      <c r="AC834" s="948"/>
      <c r="AD834" s="949"/>
      <c r="AE834" s="949"/>
      <c r="AF834" s="949"/>
      <c r="AG834" s="949"/>
      <c r="AH834" s="949"/>
      <c r="AI834" s="949"/>
      <c r="AJ834" s="949"/>
      <c r="AK834" s="949"/>
      <c r="AL834" s="949"/>
      <c r="AM834" s="949"/>
      <c r="AN834" s="949"/>
      <c r="AO834" s="949"/>
      <c r="AP834" s="949"/>
      <c r="AQ834" s="949"/>
      <c r="AR834" s="949"/>
      <c r="AS834" s="949"/>
      <c r="AT834" s="949"/>
      <c r="AU834" s="949"/>
      <c r="AV834" s="949"/>
      <c r="AW834" s="949"/>
      <c r="AX834" s="949"/>
      <c r="AY834" s="949"/>
      <c r="AZ834" s="949"/>
      <c r="BA834" s="949"/>
      <c r="BB834" s="949"/>
      <c r="BC834" s="949"/>
      <c r="BD834" s="949"/>
      <c r="BE834" s="949"/>
      <c r="BF834" s="949"/>
      <c r="BG834" s="948"/>
      <c r="BH834" s="948"/>
      <c r="BI834" s="948"/>
      <c r="BJ834" s="948"/>
      <c r="BK834" s="948"/>
      <c r="BL834" s="948"/>
      <c r="BM834" s="948"/>
      <c r="BN834" s="948"/>
      <c r="BO834" s="948"/>
      <c r="BP834" s="948"/>
      <c r="BQ834" s="948"/>
      <c r="BR834" s="948"/>
      <c r="BS834" s="948"/>
      <c r="BT834" s="948"/>
      <c r="BU834" s="954"/>
    </row>
    <row r="835" spans="1:73" ht="15.75" customHeight="1" x14ac:dyDescent="0.2">
      <c r="A835" s="947"/>
      <c r="B835" s="947"/>
      <c r="C835" s="947"/>
      <c r="D835" s="948"/>
      <c r="E835" s="948"/>
      <c r="F835" s="948"/>
      <c r="G835" s="948"/>
      <c r="H835" s="948"/>
      <c r="I835" s="948"/>
      <c r="J835" s="948"/>
      <c r="K835" s="949"/>
      <c r="L835" s="949"/>
      <c r="M835" s="949"/>
      <c r="N835" s="950"/>
      <c r="O835" s="948"/>
      <c r="P835" s="948"/>
      <c r="Q835" s="948"/>
      <c r="R835" s="949"/>
      <c r="S835" s="949"/>
      <c r="T835" s="949"/>
      <c r="U835" s="949"/>
      <c r="V835" s="949"/>
      <c r="W835" s="949"/>
      <c r="X835" s="951"/>
      <c r="Y835" s="951"/>
      <c r="Z835" s="952"/>
      <c r="AA835" s="953"/>
      <c r="AB835" s="948"/>
      <c r="AC835" s="948"/>
      <c r="AD835" s="949"/>
      <c r="AE835" s="949"/>
      <c r="AF835" s="949"/>
      <c r="AG835" s="949"/>
      <c r="AH835" s="949"/>
      <c r="AI835" s="949"/>
      <c r="AJ835" s="949"/>
      <c r="AK835" s="949"/>
      <c r="AL835" s="949"/>
      <c r="AM835" s="949"/>
      <c r="AN835" s="949"/>
      <c r="AO835" s="949"/>
      <c r="AP835" s="949"/>
      <c r="AQ835" s="949"/>
      <c r="AR835" s="949"/>
      <c r="AS835" s="949"/>
      <c r="AT835" s="949"/>
      <c r="AU835" s="949"/>
      <c r="AV835" s="949"/>
      <c r="AW835" s="949"/>
      <c r="AX835" s="949"/>
      <c r="AY835" s="949"/>
      <c r="AZ835" s="949"/>
      <c r="BA835" s="949"/>
      <c r="BB835" s="949"/>
      <c r="BC835" s="949"/>
      <c r="BD835" s="949"/>
      <c r="BE835" s="949"/>
      <c r="BF835" s="949"/>
      <c r="BG835" s="948"/>
      <c r="BH835" s="948"/>
      <c r="BI835" s="948"/>
      <c r="BJ835" s="948"/>
      <c r="BK835" s="948"/>
      <c r="BL835" s="948"/>
      <c r="BM835" s="948"/>
      <c r="BN835" s="948"/>
      <c r="BO835" s="948"/>
      <c r="BP835" s="948"/>
      <c r="BQ835" s="948"/>
      <c r="BR835" s="948"/>
      <c r="BS835" s="948"/>
      <c r="BT835" s="948"/>
      <c r="BU835" s="954"/>
    </row>
    <row r="836" spans="1:73" ht="15.75" customHeight="1" x14ac:dyDescent="0.2">
      <c r="A836" s="947"/>
      <c r="B836" s="947"/>
      <c r="C836" s="947"/>
      <c r="D836" s="948"/>
      <c r="E836" s="948"/>
      <c r="F836" s="948"/>
      <c r="G836" s="948"/>
      <c r="H836" s="948"/>
      <c r="I836" s="948"/>
      <c r="J836" s="948"/>
      <c r="K836" s="949"/>
      <c r="L836" s="949"/>
      <c r="M836" s="949"/>
      <c r="N836" s="950"/>
      <c r="O836" s="948"/>
      <c r="P836" s="948"/>
      <c r="Q836" s="948"/>
      <c r="R836" s="949"/>
      <c r="S836" s="949"/>
      <c r="T836" s="949"/>
      <c r="U836" s="949"/>
      <c r="V836" s="949"/>
      <c r="W836" s="949"/>
      <c r="X836" s="951"/>
      <c r="Y836" s="951"/>
      <c r="Z836" s="952"/>
      <c r="AA836" s="953"/>
      <c r="AB836" s="948"/>
      <c r="AC836" s="948"/>
      <c r="AD836" s="949"/>
      <c r="AE836" s="949"/>
      <c r="AF836" s="949"/>
      <c r="AG836" s="949"/>
      <c r="AH836" s="949"/>
      <c r="AI836" s="949"/>
      <c r="AJ836" s="949"/>
      <c r="AK836" s="949"/>
      <c r="AL836" s="949"/>
      <c r="AM836" s="949"/>
      <c r="AN836" s="949"/>
      <c r="AO836" s="949"/>
      <c r="AP836" s="949"/>
      <c r="AQ836" s="949"/>
      <c r="AR836" s="949"/>
      <c r="AS836" s="949"/>
      <c r="AT836" s="949"/>
      <c r="AU836" s="949"/>
      <c r="AV836" s="949"/>
      <c r="AW836" s="949"/>
      <c r="AX836" s="949"/>
      <c r="AY836" s="949"/>
      <c r="AZ836" s="949"/>
      <c r="BA836" s="949"/>
      <c r="BB836" s="949"/>
      <c r="BC836" s="949"/>
      <c r="BD836" s="949"/>
      <c r="BE836" s="949"/>
      <c r="BF836" s="949"/>
      <c r="BG836" s="948"/>
      <c r="BH836" s="948"/>
      <c r="BI836" s="948"/>
      <c r="BJ836" s="948"/>
      <c r="BK836" s="948"/>
      <c r="BL836" s="948"/>
      <c r="BM836" s="948"/>
      <c r="BN836" s="948"/>
      <c r="BO836" s="948"/>
      <c r="BP836" s="948"/>
      <c r="BQ836" s="948"/>
      <c r="BR836" s="948"/>
      <c r="BS836" s="948"/>
      <c r="BT836" s="948"/>
      <c r="BU836" s="954"/>
    </row>
    <row r="837" spans="1:73" ht="15.75" customHeight="1" x14ac:dyDescent="0.2">
      <c r="A837" s="947"/>
      <c r="B837" s="947"/>
      <c r="C837" s="947"/>
      <c r="D837" s="948"/>
      <c r="E837" s="948"/>
      <c r="F837" s="948"/>
      <c r="G837" s="948"/>
      <c r="H837" s="948"/>
      <c r="I837" s="948"/>
      <c r="J837" s="948"/>
      <c r="K837" s="949"/>
      <c r="L837" s="949"/>
      <c r="M837" s="949"/>
      <c r="N837" s="950"/>
      <c r="O837" s="948"/>
      <c r="P837" s="948"/>
      <c r="Q837" s="948"/>
      <c r="R837" s="949"/>
      <c r="S837" s="949"/>
      <c r="T837" s="949"/>
      <c r="U837" s="949"/>
      <c r="V837" s="949"/>
      <c r="W837" s="949"/>
      <c r="X837" s="951"/>
      <c r="Y837" s="951"/>
      <c r="Z837" s="952"/>
      <c r="AA837" s="953"/>
      <c r="AB837" s="948"/>
      <c r="AC837" s="948"/>
      <c r="AD837" s="949"/>
      <c r="AE837" s="949"/>
      <c r="AF837" s="949"/>
      <c r="AG837" s="949"/>
      <c r="AH837" s="949"/>
      <c r="AI837" s="949"/>
      <c r="AJ837" s="949"/>
      <c r="AK837" s="949"/>
      <c r="AL837" s="949"/>
      <c r="AM837" s="949"/>
      <c r="AN837" s="949"/>
      <c r="AO837" s="949"/>
      <c r="AP837" s="949"/>
      <c r="AQ837" s="949"/>
      <c r="AR837" s="949"/>
      <c r="AS837" s="949"/>
      <c r="AT837" s="949"/>
      <c r="AU837" s="949"/>
      <c r="AV837" s="949"/>
      <c r="AW837" s="949"/>
      <c r="AX837" s="949"/>
      <c r="AY837" s="949"/>
      <c r="AZ837" s="949"/>
      <c r="BA837" s="949"/>
      <c r="BB837" s="949"/>
      <c r="BC837" s="949"/>
      <c r="BD837" s="949"/>
      <c r="BE837" s="949"/>
      <c r="BF837" s="949"/>
      <c r="BG837" s="948"/>
      <c r="BH837" s="948"/>
      <c r="BI837" s="948"/>
      <c r="BJ837" s="948"/>
      <c r="BK837" s="948"/>
      <c r="BL837" s="948"/>
      <c r="BM837" s="948"/>
      <c r="BN837" s="948"/>
      <c r="BO837" s="948"/>
      <c r="BP837" s="948"/>
      <c r="BQ837" s="948"/>
      <c r="BR837" s="948"/>
      <c r="BS837" s="948"/>
      <c r="BT837" s="948"/>
      <c r="BU837" s="954"/>
    </row>
    <row r="838" spans="1:73" ht="15.75" customHeight="1" x14ac:dyDescent="0.2">
      <c r="A838" s="947"/>
      <c r="B838" s="947"/>
      <c r="C838" s="947"/>
      <c r="D838" s="948"/>
      <c r="E838" s="948"/>
      <c r="F838" s="948"/>
      <c r="G838" s="948"/>
      <c r="H838" s="948"/>
      <c r="I838" s="948"/>
      <c r="J838" s="948"/>
      <c r="K838" s="949"/>
      <c r="L838" s="949"/>
      <c r="M838" s="949"/>
      <c r="N838" s="950"/>
      <c r="O838" s="948"/>
      <c r="P838" s="948"/>
      <c r="Q838" s="948"/>
      <c r="R838" s="949"/>
      <c r="S838" s="949"/>
      <c r="T838" s="949"/>
      <c r="U838" s="949"/>
      <c r="V838" s="949"/>
      <c r="W838" s="949"/>
      <c r="X838" s="951"/>
      <c r="Y838" s="951"/>
      <c r="Z838" s="952"/>
      <c r="AA838" s="953"/>
      <c r="AB838" s="948"/>
      <c r="AC838" s="948"/>
      <c r="AD838" s="949"/>
      <c r="AE838" s="949"/>
      <c r="AF838" s="949"/>
      <c r="AG838" s="949"/>
      <c r="AH838" s="949"/>
      <c r="AI838" s="949"/>
      <c r="AJ838" s="949"/>
      <c r="AK838" s="949"/>
      <c r="AL838" s="949"/>
      <c r="AM838" s="949"/>
      <c r="AN838" s="949"/>
      <c r="AO838" s="949"/>
      <c r="AP838" s="949"/>
      <c r="AQ838" s="949"/>
      <c r="AR838" s="949"/>
      <c r="AS838" s="949"/>
      <c r="AT838" s="949"/>
      <c r="AU838" s="949"/>
      <c r="AV838" s="949"/>
      <c r="AW838" s="949"/>
      <c r="AX838" s="949"/>
      <c r="AY838" s="949"/>
      <c r="AZ838" s="949"/>
      <c r="BA838" s="949"/>
      <c r="BB838" s="949"/>
      <c r="BC838" s="949"/>
      <c r="BD838" s="949"/>
      <c r="BE838" s="949"/>
      <c r="BF838" s="949"/>
      <c r="BG838" s="948"/>
      <c r="BH838" s="948"/>
      <c r="BI838" s="948"/>
      <c r="BJ838" s="948"/>
      <c r="BK838" s="948"/>
      <c r="BL838" s="948"/>
      <c r="BM838" s="948"/>
      <c r="BN838" s="948"/>
      <c r="BO838" s="948"/>
      <c r="BP838" s="948"/>
      <c r="BQ838" s="948"/>
      <c r="BR838" s="948"/>
      <c r="BS838" s="948"/>
      <c r="BT838" s="948"/>
      <c r="BU838" s="954"/>
    </row>
    <row r="839" spans="1:73" ht="15.75" customHeight="1" x14ac:dyDescent="0.2">
      <c r="A839" s="947"/>
      <c r="B839" s="947"/>
      <c r="C839" s="947"/>
      <c r="D839" s="948"/>
      <c r="E839" s="948"/>
      <c r="F839" s="948"/>
      <c r="G839" s="948"/>
      <c r="H839" s="948"/>
      <c r="I839" s="948"/>
      <c r="J839" s="948"/>
      <c r="K839" s="949"/>
      <c r="L839" s="949"/>
      <c r="M839" s="949"/>
      <c r="N839" s="950"/>
      <c r="O839" s="948"/>
      <c r="P839" s="948"/>
      <c r="Q839" s="948"/>
      <c r="R839" s="949"/>
      <c r="S839" s="949"/>
      <c r="T839" s="949"/>
      <c r="U839" s="949"/>
      <c r="V839" s="949"/>
      <c r="W839" s="949"/>
      <c r="X839" s="951"/>
      <c r="Y839" s="951"/>
      <c r="Z839" s="952"/>
      <c r="AA839" s="953"/>
      <c r="AB839" s="948"/>
      <c r="AC839" s="948"/>
      <c r="AD839" s="949"/>
      <c r="AE839" s="949"/>
      <c r="AF839" s="949"/>
      <c r="AG839" s="949"/>
      <c r="AH839" s="949"/>
      <c r="AI839" s="949"/>
      <c r="AJ839" s="949"/>
      <c r="AK839" s="949"/>
      <c r="AL839" s="949"/>
      <c r="AM839" s="949"/>
      <c r="AN839" s="949"/>
      <c r="AO839" s="949"/>
      <c r="AP839" s="949"/>
      <c r="AQ839" s="949"/>
      <c r="AR839" s="949"/>
      <c r="AS839" s="949"/>
      <c r="AT839" s="949"/>
      <c r="AU839" s="949"/>
      <c r="AV839" s="949"/>
      <c r="AW839" s="949"/>
      <c r="AX839" s="949"/>
      <c r="AY839" s="949"/>
      <c r="AZ839" s="949"/>
      <c r="BA839" s="949"/>
      <c r="BB839" s="949"/>
      <c r="BC839" s="949"/>
      <c r="BD839" s="949"/>
      <c r="BE839" s="949"/>
      <c r="BF839" s="949"/>
      <c r="BG839" s="948"/>
      <c r="BH839" s="948"/>
      <c r="BI839" s="948"/>
      <c r="BJ839" s="948"/>
      <c r="BK839" s="948"/>
      <c r="BL839" s="948"/>
      <c r="BM839" s="948"/>
      <c r="BN839" s="948"/>
      <c r="BO839" s="948"/>
      <c r="BP839" s="948"/>
      <c r="BQ839" s="948"/>
      <c r="BR839" s="948"/>
      <c r="BS839" s="948"/>
      <c r="BT839" s="948"/>
      <c r="BU839" s="954"/>
    </row>
    <row r="840" spans="1:73" ht="15.75" customHeight="1" x14ac:dyDescent="0.2">
      <c r="A840" s="947"/>
      <c r="B840" s="947"/>
      <c r="C840" s="947"/>
      <c r="D840" s="948"/>
      <c r="E840" s="948"/>
      <c r="F840" s="948"/>
      <c r="G840" s="948"/>
      <c r="H840" s="948"/>
      <c r="I840" s="948"/>
      <c r="J840" s="948"/>
      <c r="K840" s="949"/>
      <c r="L840" s="949"/>
      <c r="M840" s="949"/>
      <c r="N840" s="950"/>
      <c r="O840" s="948"/>
      <c r="P840" s="948"/>
      <c r="Q840" s="948"/>
      <c r="R840" s="949"/>
      <c r="S840" s="949"/>
      <c r="T840" s="949"/>
      <c r="U840" s="949"/>
      <c r="V840" s="949"/>
      <c r="W840" s="949"/>
      <c r="X840" s="951"/>
      <c r="Y840" s="951"/>
      <c r="Z840" s="952"/>
      <c r="AA840" s="953"/>
      <c r="AB840" s="948"/>
      <c r="AC840" s="948"/>
      <c r="AD840" s="949"/>
      <c r="AE840" s="949"/>
      <c r="AF840" s="949"/>
      <c r="AG840" s="949"/>
      <c r="AH840" s="949"/>
      <c r="AI840" s="949"/>
      <c r="AJ840" s="949"/>
      <c r="AK840" s="949"/>
      <c r="AL840" s="949"/>
      <c r="AM840" s="949"/>
      <c r="AN840" s="949"/>
      <c r="AO840" s="949"/>
      <c r="AP840" s="949"/>
      <c r="AQ840" s="949"/>
      <c r="AR840" s="949"/>
      <c r="AS840" s="949"/>
      <c r="AT840" s="949"/>
      <c r="AU840" s="949"/>
      <c r="AV840" s="949"/>
      <c r="AW840" s="949"/>
      <c r="AX840" s="949"/>
      <c r="AY840" s="949"/>
      <c r="AZ840" s="949"/>
      <c r="BA840" s="949"/>
      <c r="BB840" s="949"/>
      <c r="BC840" s="949"/>
      <c r="BD840" s="949"/>
      <c r="BE840" s="949"/>
      <c r="BF840" s="949"/>
      <c r="BG840" s="948"/>
      <c r="BH840" s="948"/>
      <c r="BI840" s="948"/>
      <c r="BJ840" s="948"/>
      <c r="BK840" s="948"/>
      <c r="BL840" s="948"/>
      <c r="BM840" s="948"/>
      <c r="BN840" s="948"/>
      <c r="BO840" s="948"/>
      <c r="BP840" s="948"/>
      <c r="BQ840" s="948"/>
      <c r="BR840" s="948"/>
      <c r="BS840" s="948"/>
      <c r="BT840" s="948"/>
      <c r="BU840" s="954"/>
    </row>
    <row r="841" spans="1:73" ht="15.75" customHeight="1" x14ac:dyDescent="0.2">
      <c r="A841" s="947"/>
      <c r="B841" s="947"/>
      <c r="C841" s="947"/>
      <c r="D841" s="948"/>
      <c r="E841" s="948"/>
      <c r="F841" s="948"/>
      <c r="G841" s="948"/>
      <c r="H841" s="948"/>
      <c r="I841" s="948"/>
      <c r="J841" s="948"/>
      <c r="K841" s="949"/>
      <c r="L841" s="949"/>
      <c r="M841" s="949"/>
      <c r="N841" s="950"/>
      <c r="O841" s="948"/>
      <c r="P841" s="948"/>
      <c r="Q841" s="948"/>
      <c r="R841" s="949"/>
      <c r="S841" s="949"/>
      <c r="T841" s="949"/>
      <c r="U841" s="949"/>
      <c r="V841" s="949"/>
      <c r="W841" s="949"/>
      <c r="X841" s="951"/>
      <c r="Y841" s="951"/>
      <c r="Z841" s="952"/>
      <c r="AA841" s="953"/>
      <c r="AB841" s="948"/>
      <c r="AC841" s="948"/>
      <c r="AD841" s="949"/>
      <c r="AE841" s="949"/>
      <c r="AF841" s="949"/>
      <c r="AG841" s="949"/>
      <c r="AH841" s="949"/>
      <c r="AI841" s="949"/>
      <c r="AJ841" s="949"/>
      <c r="AK841" s="949"/>
      <c r="AL841" s="949"/>
      <c r="AM841" s="949"/>
      <c r="AN841" s="949"/>
      <c r="AO841" s="949"/>
      <c r="AP841" s="949"/>
      <c r="AQ841" s="949"/>
      <c r="AR841" s="949"/>
      <c r="AS841" s="949"/>
      <c r="AT841" s="949"/>
      <c r="AU841" s="949"/>
      <c r="AV841" s="949"/>
      <c r="AW841" s="949"/>
      <c r="AX841" s="949"/>
      <c r="AY841" s="949"/>
      <c r="AZ841" s="949"/>
      <c r="BA841" s="949"/>
      <c r="BB841" s="949"/>
      <c r="BC841" s="949"/>
      <c r="BD841" s="949"/>
      <c r="BE841" s="949"/>
      <c r="BF841" s="949"/>
      <c r="BG841" s="948"/>
      <c r="BH841" s="948"/>
      <c r="BI841" s="948"/>
      <c r="BJ841" s="948"/>
      <c r="BK841" s="948"/>
      <c r="BL841" s="948"/>
      <c r="BM841" s="948"/>
      <c r="BN841" s="948"/>
      <c r="BO841" s="948"/>
      <c r="BP841" s="948"/>
      <c r="BQ841" s="948"/>
      <c r="BR841" s="948"/>
      <c r="BS841" s="948"/>
      <c r="BT841" s="948"/>
      <c r="BU841" s="954"/>
    </row>
    <row r="842" spans="1:73" ht="15.75" customHeight="1" x14ac:dyDescent="0.2">
      <c r="A842" s="947"/>
      <c r="B842" s="947"/>
      <c r="C842" s="947"/>
      <c r="D842" s="948"/>
      <c r="E842" s="948"/>
      <c r="F842" s="948"/>
      <c r="G842" s="948"/>
      <c r="H842" s="948"/>
      <c r="I842" s="948"/>
      <c r="J842" s="948"/>
      <c r="K842" s="949"/>
      <c r="L842" s="949"/>
      <c r="M842" s="949"/>
      <c r="N842" s="950"/>
      <c r="O842" s="948"/>
      <c r="P842" s="948"/>
      <c r="Q842" s="948"/>
      <c r="R842" s="949"/>
      <c r="S842" s="949"/>
      <c r="T842" s="949"/>
      <c r="U842" s="949"/>
      <c r="V842" s="949"/>
      <c r="W842" s="949"/>
      <c r="X842" s="951"/>
      <c r="Y842" s="951"/>
      <c r="Z842" s="952"/>
      <c r="AA842" s="953"/>
      <c r="AB842" s="948"/>
      <c r="AC842" s="948"/>
      <c r="AD842" s="949"/>
      <c r="AE842" s="949"/>
      <c r="AF842" s="949"/>
      <c r="AG842" s="949"/>
      <c r="AH842" s="949"/>
      <c r="AI842" s="949"/>
      <c r="AJ842" s="949"/>
      <c r="AK842" s="949"/>
      <c r="AL842" s="949"/>
      <c r="AM842" s="949"/>
      <c r="AN842" s="949"/>
      <c r="AO842" s="949"/>
      <c r="AP842" s="949"/>
      <c r="AQ842" s="949"/>
      <c r="AR842" s="949"/>
      <c r="AS842" s="949"/>
      <c r="AT842" s="949"/>
      <c r="AU842" s="949"/>
      <c r="AV842" s="949"/>
      <c r="AW842" s="949"/>
      <c r="AX842" s="949"/>
      <c r="AY842" s="949"/>
      <c r="AZ842" s="949"/>
      <c r="BA842" s="949"/>
      <c r="BB842" s="949"/>
      <c r="BC842" s="949"/>
      <c r="BD842" s="949"/>
      <c r="BE842" s="949"/>
      <c r="BF842" s="949"/>
      <c r="BG842" s="948"/>
      <c r="BH842" s="948"/>
      <c r="BI842" s="948"/>
      <c r="BJ842" s="948"/>
      <c r="BK842" s="948"/>
      <c r="BL842" s="948"/>
      <c r="BM842" s="948"/>
      <c r="BN842" s="948"/>
      <c r="BO842" s="948"/>
      <c r="BP842" s="948"/>
      <c r="BQ842" s="948"/>
      <c r="BR842" s="948"/>
      <c r="BS842" s="948"/>
      <c r="BT842" s="948"/>
      <c r="BU842" s="954"/>
    </row>
    <row r="843" spans="1:73" ht="15.75" customHeight="1" x14ac:dyDescent="0.2">
      <c r="A843" s="947"/>
      <c r="B843" s="947"/>
      <c r="C843" s="947"/>
      <c r="D843" s="948"/>
      <c r="E843" s="948"/>
      <c r="F843" s="948"/>
      <c r="G843" s="948"/>
      <c r="H843" s="948"/>
      <c r="I843" s="948"/>
      <c r="J843" s="948"/>
      <c r="K843" s="949"/>
      <c r="L843" s="949"/>
      <c r="M843" s="949"/>
      <c r="N843" s="950"/>
      <c r="O843" s="948"/>
      <c r="P843" s="948"/>
      <c r="Q843" s="948"/>
      <c r="R843" s="949"/>
      <c r="S843" s="949"/>
      <c r="T843" s="949"/>
      <c r="U843" s="949"/>
      <c r="V843" s="949"/>
      <c r="W843" s="949"/>
      <c r="X843" s="951"/>
      <c r="Y843" s="951"/>
      <c r="Z843" s="952"/>
      <c r="AA843" s="953"/>
      <c r="AB843" s="948"/>
      <c r="AC843" s="948"/>
      <c r="AD843" s="949"/>
      <c r="AE843" s="949"/>
      <c r="AF843" s="949"/>
      <c r="AG843" s="949"/>
      <c r="AH843" s="949"/>
      <c r="AI843" s="949"/>
      <c r="AJ843" s="949"/>
      <c r="AK843" s="949"/>
      <c r="AL843" s="949"/>
      <c r="AM843" s="949"/>
      <c r="AN843" s="949"/>
      <c r="AO843" s="949"/>
      <c r="AP843" s="949"/>
      <c r="AQ843" s="949"/>
      <c r="AR843" s="949"/>
      <c r="AS843" s="949"/>
      <c r="AT843" s="949"/>
      <c r="AU843" s="949"/>
      <c r="AV843" s="949"/>
      <c r="AW843" s="949"/>
      <c r="AX843" s="949"/>
      <c r="AY843" s="949"/>
      <c r="AZ843" s="949"/>
      <c r="BA843" s="949"/>
      <c r="BB843" s="949"/>
      <c r="BC843" s="949"/>
      <c r="BD843" s="949"/>
      <c r="BE843" s="949"/>
      <c r="BF843" s="949"/>
      <c r="BG843" s="948"/>
      <c r="BH843" s="948"/>
      <c r="BI843" s="948"/>
      <c r="BJ843" s="948"/>
      <c r="BK843" s="948"/>
      <c r="BL843" s="948"/>
      <c r="BM843" s="948"/>
      <c r="BN843" s="948"/>
      <c r="BO843" s="948"/>
      <c r="BP843" s="948"/>
      <c r="BQ843" s="948"/>
      <c r="BR843" s="948"/>
      <c r="BS843" s="948"/>
      <c r="BT843" s="948"/>
      <c r="BU843" s="954"/>
    </row>
    <row r="844" spans="1:73" ht="15.75" customHeight="1" x14ac:dyDescent="0.2">
      <c r="A844" s="947"/>
      <c r="B844" s="947"/>
      <c r="C844" s="947"/>
      <c r="D844" s="948"/>
      <c r="E844" s="948"/>
      <c r="F844" s="948"/>
      <c r="G844" s="948"/>
      <c r="H844" s="948"/>
      <c r="I844" s="948"/>
      <c r="J844" s="948"/>
      <c r="K844" s="949"/>
      <c r="L844" s="949"/>
      <c r="M844" s="949"/>
      <c r="N844" s="950"/>
      <c r="O844" s="948"/>
      <c r="P844" s="948"/>
      <c r="Q844" s="948"/>
      <c r="R844" s="949"/>
      <c r="S844" s="949"/>
      <c r="T844" s="949"/>
      <c r="U844" s="949"/>
      <c r="V844" s="949"/>
      <c r="W844" s="949"/>
      <c r="X844" s="951"/>
      <c r="Y844" s="951"/>
      <c r="Z844" s="952"/>
      <c r="AA844" s="953"/>
      <c r="AB844" s="948"/>
      <c r="AC844" s="948"/>
      <c r="AD844" s="949"/>
      <c r="AE844" s="949"/>
      <c r="AF844" s="949"/>
      <c r="AG844" s="949"/>
      <c r="AH844" s="949"/>
      <c r="AI844" s="949"/>
      <c r="AJ844" s="949"/>
      <c r="AK844" s="949"/>
      <c r="AL844" s="949"/>
      <c r="AM844" s="949"/>
      <c r="AN844" s="949"/>
      <c r="AO844" s="949"/>
      <c r="AP844" s="949"/>
      <c r="AQ844" s="949"/>
      <c r="AR844" s="949"/>
      <c r="AS844" s="949"/>
      <c r="AT844" s="949"/>
      <c r="AU844" s="949"/>
      <c r="AV844" s="949"/>
      <c r="AW844" s="949"/>
      <c r="AX844" s="949"/>
      <c r="AY844" s="949"/>
      <c r="AZ844" s="949"/>
      <c r="BA844" s="949"/>
      <c r="BB844" s="949"/>
      <c r="BC844" s="949"/>
      <c r="BD844" s="949"/>
      <c r="BE844" s="949"/>
      <c r="BF844" s="949"/>
      <c r="BG844" s="948"/>
      <c r="BH844" s="948"/>
      <c r="BI844" s="948"/>
      <c r="BJ844" s="948"/>
      <c r="BK844" s="948"/>
      <c r="BL844" s="948"/>
      <c r="BM844" s="948"/>
      <c r="BN844" s="948"/>
      <c r="BO844" s="948"/>
      <c r="BP844" s="948"/>
      <c r="BQ844" s="948"/>
      <c r="BR844" s="948"/>
      <c r="BS844" s="948"/>
      <c r="BT844" s="948"/>
      <c r="BU844" s="954"/>
    </row>
    <row r="845" spans="1:73" ht="15.75" customHeight="1" x14ac:dyDescent="0.2">
      <c r="A845" s="947"/>
      <c r="B845" s="947"/>
      <c r="C845" s="947"/>
      <c r="D845" s="948"/>
      <c r="E845" s="948"/>
      <c r="F845" s="948"/>
      <c r="G845" s="948"/>
      <c r="H845" s="948"/>
      <c r="I845" s="948"/>
      <c r="J845" s="948"/>
      <c r="K845" s="949"/>
      <c r="L845" s="949"/>
      <c r="M845" s="949"/>
      <c r="N845" s="950"/>
      <c r="O845" s="948"/>
      <c r="P845" s="948"/>
      <c r="Q845" s="948"/>
      <c r="R845" s="949"/>
      <c r="S845" s="949"/>
      <c r="T845" s="949"/>
      <c r="U845" s="949"/>
      <c r="V845" s="949"/>
      <c r="W845" s="949"/>
      <c r="X845" s="951"/>
      <c r="Y845" s="951"/>
      <c r="Z845" s="952"/>
      <c r="AA845" s="953"/>
      <c r="AB845" s="948"/>
      <c r="AC845" s="948"/>
      <c r="AD845" s="949"/>
      <c r="AE845" s="949"/>
      <c r="AF845" s="949"/>
      <c r="AG845" s="949"/>
      <c r="AH845" s="949"/>
      <c r="AI845" s="949"/>
      <c r="AJ845" s="949"/>
      <c r="AK845" s="949"/>
      <c r="AL845" s="949"/>
      <c r="AM845" s="949"/>
      <c r="AN845" s="949"/>
      <c r="AO845" s="949"/>
      <c r="AP845" s="949"/>
      <c r="AQ845" s="949"/>
      <c r="AR845" s="949"/>
      <c r="AS845" s="949"/>
      <c r="AT845" s="949"/>
      <c r="AU845" s="949"/>
      <c r="AV845" s="949"/>
      <c r="AW845" s="949"/>
      <c r="AX845" s="949"/>
      <c r="AY845" s="949"/>
      <c r="AZ845" s="949"/>
      <c r="BA845" s="949"/>
      <c r="BB845" s="949"/>
      <c r="BC845" s="949"/>
      <c r="BD845" s="949"/>
      <c r="BE845" s="949"/>
      <c r="BF845" s="949"/>
      <c r="BG845" s="948"/>
      <c r="BH845" s="948"/>
      <c r="BI845" s="948"/>
      <c r="BJ845" s="948"/>
      <c r="BK845" s="948"/>
      <c r="BL845" s="948"/>
      <c r="BM845" s="948"/>
      <c r="BN845" s="948"/>
      <c r="BO845" s="948"/>
      <c r="BP845" s="948"/>
      <c r="BQ845" s="948"/>
      <c r="BR845" s="948"/>
      <c r="BS845" s="948"/>
      <c r="BT845" s="948"/>
      <c r="BU845" s="954"/>
    </row>
    <row r="846" spans="1:73" ht="15.75" customHeight="1" x14ac:dyDescent="0.2">
      <c r="A846" s="947"/>
      <c r="B846" s="947"/>
      <c r="C846" s="947"/>
      <c r="D846" s="948"/>
      <c r="E846" s="948"/>
      <c r="F846" s="948"/>
      <c r="G846" s="948"/>
      <c r="H846" s="948"/>
      <c r="I846" s="948"/>
      <c r="J846" s="948"/>
      <c r="K846" s="949"/>
      <c r="L846" s="949"/>
      <c r="M846" s="949"/>
      <c r="N846" s="950"/>
      <c r="O846" s="948"/>
      <c r="P846" s="948"/>
      <c r="Q846" s="948"/>
      <c r="R846" s="949"/>
      <c r="S846" s="949"/>
      <c r="T846" s="949"/>
      <c r="U846" s="949"/>
      <c r="V846" s="949"/>
      <c r="W846" s="949"/>
      <c r="X846" s="951"/>
      <c r="Y846" s="951"/>
      <c r="Z846" s="952"/>
      <c r="AA846" s="953"/>
      <c r="AB846" s="948"/>
      <c r="AC846" s="948"/>
      <c r="AD846" s="949"/>
      <c r="AE846" s="949"/>
      <c r="AF846" s="949"/>
      <c r="AG846" s="949"/>
      <c r="AH846" s="949"/>
      <c r="AI846" s="949"/>
      <c r="AJ846" s="949"/>
      <c r="AK846" s="949"/>
      <c r="AL846" s="949"/>
      <c r="AM846" s="949"/>
      <c r="AN846" s="949"/>
      <c r="AO846" s="949"/>
      <c r="AP846" s="949"/>
      <c r="AQ846" s="949"/>
      <c r="AR846" s="949"/>
      <c r="AS846" s="949"/>
      <c r="AT846" s="949"/>
      <c r="AU846" s="949"/>
      <c r="AV846" s="949"/>
      <c r="AW846" s="949"/>
      <c r="AX846" s="949"/>
      <c r="AY846" s="949"/>
      <c r="AZ846" s="949"/>
      <c r="BA846" s="949"/>
      <c r="BB846" s="949"/>
      <c r="BC846" s="949"/>
      <c r="BD846" s="949"/>
      <c r="BE846" s="949"/>
      <c r="BF846" s="949"/>
      <c r="BG846" s="948"/>
      <c r="BH846" s="948"/>
      <c r="BI846" s="948"/>
      <c r="BJ846" s="948"/>
      <c r="BK846" s="948"/>
      <c r="BL846" s="948"/>
      <c r="BM846" s="948"/>
      <c r="BN846" s="948"/>
      <c r="BO846" s="948"/>
      <c r="BP846" s="948"/>
      <c r="BQ846" s="948"/>
      <c r="BR846" s="948"/>
      <c r="BS846" s="948"/>
      <c r="BT846" s="948"/>
      <c r="BU846" s="954"/>
    </row>
    <row r="847" spans="1:73" ht="15.75" customHeight="1" x14ac:dyDescent="0.2">
      <c r="A847" s="947"/>
      <c r="B847" s="947"/>
      <c r="C847" s="947"/>
      <c r="D847" s="948"/>
      <c r="E847" s="948"/>
      <c r="F847" s="948"/>
      <c r="G847" s="948"/>
      <c r="H847" s="948"/>
      <c r="I847" s="948"/>
      <c r="J847" s="948"/>
      <c r="K847" s="949"/>
      <c r="L847" s="949"/>
      <c r="M847" s="949"/>
      <c r="N847" s="950"/>
      <c r="O847" s="948"/>
      <c r="P847" s="948"/>
      <c r="Q847" s="948"/>
      <c r="R847" s="949"/>
      <c r="S847" s="949"/>
      <c r="T847" s="949"/>
      <c r="U847" s="949"/>
      <c r="V847" s="949"/>
      <c r="W847" s="949"/>
      <c r="X847" s="951"/>
      <c r="Y847" s="951"/>
      <c r="Z847" s="952"/>
      <c r="AA847" s="953"/>
      <c r="AB847" s="948"/>
      <c r="AC847" s="948"/>
      <c r="AD847" s="949"/>
      <c r="AE847" s="949"/>
      <c r="AF847" s="949"/>
      <c r="AG847" s="949"/>
      <c r="AH847" s="949"/>
      <c r="AI847" s="949"/>
      <c r="AJ847" s="949"/>
      <c r="AK847" s="949"/>
      <c r="AL847" s="949"/>
      <c r="AM847" s="949"/>
      <c r="AN847" s="949"/>
      <c r="AO847" s="949"/>
      <c r="AP847" s="949"/>
      <c r="AQ847" s="949"/>
      <c r="AR847" s="949"/>
      <c r="AS847" s="949"/>
      <c r="AT847" s="949"/>
      <c r="AU847" s="949"/>
      <c r="AV847" s="949"/>
      <c r="AW847" s="949"/>
      <c r="AX847" s="949"/>
      <c r="AY847" s="949"/>
      <c r="AZ847" s="949"/>
      <c r="BA847" s="949"/>
      <c r="BB847" s="949"/>
      <c r="BC847" s="949"/>
      <c r="BD847" s="949"/>
      <c r="BE847" s="949"/>
      <c r="BF847" s="949"/>
      <c r="BG847" s="948"/>
      <c r="BH847" s="948"/>
      <c r="BI847" s="948"/>
      <c r="BJ847" s="948"/>
      <c r="BK847" s="948"/>
      <c r="BL847" s="948"/>
      <c r="BM847" s="948"/>
      <c r="BN847" s="948"/>
      <c r="BO847" s="948"/>
      <c r="BP847" s="948"/>
      <c r="BQ847" s="948"/>
      <c r="BR847" s="948"/>
      <c r="BS847" s="948"/>
      <c r="BT847" s="948"/>
      <c r="BU847" s="954"/>
    </row>
    <row r="848" spans="1:73" ht="15.75" customHeight="1" x14ac:dyDescent="0.2">
      <c r="A848" s="947"/>
      <c r="B848" s="947"/>
      <c r="C848" s="947"/>
      <c r="D848" s="948"/>
      <c r="E848" s="948"/>
      <c r="F848" s="948"/>
      <c r="G848" s="948"/>
      <c r="H848" s="948"/>
      <c r="I848" s="948"/>
      <c r="J848" s="948"/>
      <c r="K848" s="949"/>
      <c r="L848" s="949"/>
      <c r="M848" s="949"/>
      <c r="N848" s="950"/>
      <c r="O848" s="948"/>
      <c r="P848" s="948"/>
      <c r="Q848" s="948"/>
      <c r="R848" s="949"/>
      <c r="S848" s="949"/>
      <c r="T848" s="949"/>
      <c r="U848" s="949"/>
      <c r="V848" s="949"/>
      <c r="W848" s="949"/>
      <c r="X848" s="951"/>
      <c r="Y848" s="951"/>
      <c r="Z848" s="952"/>
      <c r="AA848" s="953"/>
      <c r="AB848" s="948"/>
      <c r="AC848" s="948"/>
      <c r="AD848" s="949"/>
      <c r="AE848" s="949"/>
      <c r="AF848" s="949"/>
      <c r="AG848" s="949"/>
      <c r="AH848" s="949"/>
      <c r="AI848" s="949"/>
      <c r="AJ848" s="949"/>
      <c r="AK848" s="949"/>
      <c r="AL848" s="949"/>
      <c r="AM848" s="949"/>
      <c r="AN848" s="949"/>
      <c r="AO848" s="949"/>
      <c r="AP848" s="949"/>
      <c r="AQ848" s="949"/>
      <c r="AR848" s="949"/>
      <c r="AS848" s="949"/>
      <c r="AT848" s="949"/>
      <c r="AU848" s="949"/>
      <c r="AV848" s="949"/>
      <c r="AW848" s="949"/>
      <c r="AX848" s="949"/>
      <c r="AY848" s="949"/>
      <c r="AZ848" s="949"/>
      <c r="BA848" s="949"/>
      <c r="BB848" s="949"/>
      <c r="BC848" s="949"/>
      <c r="BD848" s="949"/>
      <c r="BE848" s="949"/>
      <c r="BF848" s="949"/>
      <c r="BG848" s="948"/>
      <c r="BH848" s="948"/>
      <c r="BI848" s="948"/>
      <c r="BJ848" s="948"/>
      <c r="BK848" s="948"/>
      <c r="BL848" s="948"/>
      <c r="BM848" s="948"/>
      <c r="BN848" s="948"/>
      <c r="BO848" s="948"/>
      <c r="BP848" s="948"/>
      <c r="BQ848" s="948"/>
      <c r="BR848" s="948"/>
      <c r="BS848" s="948"/>
      <c r="BT848" s="948"/>
      <c r="BU848" s="954"/>
    </row>
    <row r="849" spans="1:73" ht="15.75" customHeight="1" x14ac:dyDescent="0.2">
      <c r="A849" s="947"/>
      <c r="B849" s="947"/>
      <c r="C849" s="947"/>
      <c r="D849" s="948"/>
      <c r="E849" s="948"/>
      <c r="F849" s="948"/>
      <c r="G849" s="948"/>
      <c r="H849" s="948"/>
      <c r="I849" s="948"/>
      <c r="J849" s="948"/>
      <c r="K849" s="949"/>
      <c r="L849" s="949"/>
      <c r="M849" s="949"/>
      <c r="N849" s="950"/>
      <c r="O849" s="948"/>
      <c r="P849" s="948"/>
      <c r="Q849" s="948"/>
      <c r="R849" s="949"/>
      <c r="S849" s="949"/>
      <c r="T849" s="949"/>
      <c r="U849" s="949"/>
      <c r="V849" s="949"/>
      <c r="W849" s="949"/>
      <c r="X849" s="951"/>
      <c r="Y849" s="951"/>
      <c r="Z849" s="952"/>
      <c r="AA849" s="953"/>
      <c r="AB849" s="948"/>
      <c r="AC849" s="948"/>
      <c r="AD849" s="949"/>
      <c r="AE849" s="949"/>
      <c r="AF849" s="949"/>
      <c r="AG849" s="949"/>
      <c r="AH849" s="949"/>
      <c r="AI849" s="949"/>
      <c r="AJ849" s="949"/>
      <c r="AK849" s="949"/>
      <c r="AL849" s="949"/>
      <c r="AM849" s="949"/>
      <c r="AN849" s="949"/>
      <c r="AO849" s="949"/>
      <c r="AP849" s="949"/>
      <c r="AQ849" s="949"/>
      <c r="AR849" s="949"/>
      <c r="AS849" s="949"/>
      <c r="AT849" s="949"/>
      <c r="AU849" s="949"/>
      <c r="AV849" s="949"/>
      <c r="AW849" s="949"/>
      <c r="AX849" s="949"/>
      <c r="AY849" s="949"/>
      <c r="AZ849" s="949"/>
      <c r="BA849" s="949"/>
      <c r="BB849" s="949"/>
      <c r="BC849" s="949"/>
      <c r="BD849" s="949"/>
      <c r="BE849" s="949"/>
      <c r="BF849" s="949"/>
      <c r="BG849" s="948"/>
      <c r="BH849" s="948"/>
      <c r="BI849" s="948"/>
      <c r="BJ849" s="948"/>
      <c r="BK849" s="948"/>
      <c r="BL849" s="948"/>
      <c r="BM849" s="948"/>
      <c r="BN849" s="948"/>
      <c r="BO849" s="948"/>
      <c r="BP849" s="948"/>
      <c r="BQ849" s="948"/>
      <c r="BR849" s="948"/>
      <c r="BS849" s="948"/>
      <c r="BT849" s="948"/>
      <c r="BU849" s="954"/>
    </row>
    <row r="850" spans="1:73" ht="15.75" customHeight="1" x14ac:dyDescent="0.2">
      <c r="A850" s="947"/>
      <c r="B850" s="947"/>
      <c r="C850" s="947"/>
      <c r="D850" s="948"/>
      <c r="E850" s="948"/>
      <c r="F850" s="948"/>
      <c r="G850" s="948"/>
      <c r="H850" s="948"/>
      <c r="I850" s="948"/>
      <c r="J850" s="948"/>
      <c r="K850" s="949"/>
      <c r="L850" s="949"/>
      <c r="M850" s="949"/>
      <c r="N850" s="950"/>
      <c r="O850" s="948"/>
      <c r="P850" s="948"/>
      <c r="Q850" s="948"/>
      <c r="R850" s="949"/>
      <c r="S850" s="949"/>
      <c r="T850" s="949"/>
      <c r="U850" s="949"/>
      <c r="V850" s="949"/>
      <c r="W850" s="949"/>
      <c r="X850" s="951"/>
      <c r="Y850" s="951"/>
      <c r="Z850" s="952"/>
      <c r="AA850" s="953"/>
      <c r="AB850" s="948"/>
      <c r="AC850" s="948"/>
      <c r="AD850" s="949"/>
      <c r="AE850" s="949"/>
      <c r="AF850" s="949"/>
      <c r="AG850" s="949"/>
      <c r="AH850" s="949"/>
      <c r="AI850" s="949"/>
      <c r="AJ850" s="949"/>
      <c r="AK850" s="949"/>
      <c r="AL850" s="949"/>
      <c r="AM850" s="949"/>
      <c r="AN850" s="949"/>
      <c r="AO850" s="949"/>
      <c r="AP850" s="949"/>
      <c r="AQ850" s="949"/>
      <c r="AR850" s="949"/>
      <c r="AS850" s="949"/>
      <c r="AT850" s="949"/>
      <c r="AU850" s="949"/>
      <c r="AV850" s="949"/>
      <c r="AW850" s="949"/>
      <c r="AX850" s="949"/>
      <c r="AY850" s="949"/>
      <c r="AZ850" s="949"/>
      <c r="BA850" s="949"/>
      <c r="BB850" s="949"/>
      <c r="BC850" s="949"/>
      <c r="BD850" s="949"/>
      <c r="BE850" s="949"/>
      <c r="BF850" s="949"/>
      <c r="BG850" s="948"/>
      <c r="BH850" s="948"/>
      <c r="BI850" s="948"/>
      <c r="BJ850" s="948"/>
      <c r="BK850" s="948"/>
      <c r="BL850" s="948"/>
      <c r="BM850" s="948"/>
      <c r="BN850" s="948"/>
      <c r="BO850" s="948"/>
      <c r="BP850" s="948"/>
      <c r="BQ850" s="948"/>
      <c r="BR850" s="948"/>
      <c r="BS850" s="948"/>
      <c r="BT850" s="948"/>
      <c r="BU850" s="954"/>
    </row>
    <row r="851" spans="1:73" ht="15.75" customHeight="1" x14ac:dyDescent="0.2">
      <c r="A851" s="947"/>
      <c r="B851" s="947"/>
      <c r="C851" s="947"/>
      <c r="D851" s="948"/>
      <c r="E851" s="948"/>
      <c r="F851" s="948"/>
      <c r="G851" s="948"/>
      <c r="H851" s="948"/>
      <c r="I851" s="948"/>
      <c r="J851" s="948"/>
      <c r="K851" s="949"/>
      <c r="L851" s="949"/>
      <c r="M851" s="949"/>
      <c r="N851" s="950"/>
      <c r="O851" s="948"/>
      <c r="P851" s="948"/>
      <c r="Q851" s="948"/>
      <c r="R851" s="949"/>
      <c r="S851" s="949"/>
      <c r="T851" s="949"/>
      <c r="U851" s="949"/>
      <c r="V851" s="949"/>
      <c r="W851" s="949"/>
      <c r="X851" s="951"/>
      <c r="Y851" s="951"/>
      <c r="Z851" s="952"/>
      <c r="AA851" s="953"/>
      <c r="AB851" s="948"/>
      <c r="AC851" s="948"/>
      <c r="AD851" s="949"/>
      <c r="AE851" s="949"/>
      <c r="AF851" s="949"/>
      <c r="AG851" s="949"/>
      <c r="AH851" s="949"/>
      <c r="AI851" s="949"/>
      <c r="AJ851" s="949"/>
      <c r="AK851" s="949"/>
      <c r="AL851" s="949"/>
      <c r="AM851" s="949"/>
      <c r="AN851" s="949"/>
      <c r="AO851" s="949"/>
      <c r="AP851" s="949"/>
      <c r="AQ851" s="949"/>
      <c r="AR851" s="949"/>
      <c r="AS851" s="949"/>
      <c r="AT851" s="949"/>
      <c r="AU851" s="949"/>
      <c r="AV851" s="949"/>
      <c r="AW851" s="949"/>
      <c r="AX851" s="949"/>
      <c r="AY851" s="949"/>
      <c r="AZ851" s="949"/>
      <c r="BA851" s="949"/>
      <c r="BB851" s="949"/>
      <c r="BC851" s="949"/>
      <c r="BD851" s="949"/>
      <c r="BE851" s="949"/>
      <c r="BF851" s="949"/>
      <c r="BG851" s="948"/>
      <c r="BH851" s="948"/>
      <c r="BI851" s="948"/>
      <c r="BJ851" s="948"/>
      <c r="BK851" s="948"/>
      <c r="BL851" s="948"/>
      <c r="BM851" s="948"/>
      <c r="BN851" s="948"/>
      <c r="BO851" s="948"/>
      <c r="BP851" s="948"/>
      <c r="BQ851" s="948"/>
      <c r="BR851" s="948"/>
      <c r="BS851" s="948"/>
      <c r="BT851" s="948"/>
      <c r="BU851" s="954"/>
    </row>
    <row r="852" spans="1:73" ht="15.75" customHeight="1" x14ac:dyDescent="0.2">
      <c r="A852" s="947"/>
      <c r="B852" s="947"/>
      <c r="C852" s="947"/>
      <c r="D852" s="948"/>
      <c r="E852" s="948"/>
      <c r="F852" s="948"/>
      <c r="G852" s="948"/>
      <c r="H852" s="948"/>
      <c r="I852" s="948"/>
      <c r="J852" s="948"/>
      <c r="K852" s="949"/>
      <c r="L852" s="949"/>
      <c r="M852" s="949"/>
      <c r="N852" s="950"/>
      <c r="O852" s="948"/>
      <c r="P852" s="948"/>
      <c r="Q852" s="948"/>
      <c r="R852" s="949"/>
      <c r="S852" s="949"/>
      <c r="T852" s="949"/>
      <c r="U852" s="949"/>
      <c r="V852" s="949"/>
      <c r="W852" s="949"/>
      <c r="X852" s="951"/>
      <c r="Y852" s="951"/>
      <c r="Z852" s="952"/>
      <c r="AA852" s="953"/>
      <c r="AB852" s="948"/>
      <c r="AC852" s="948"/>
      <c r="AD852" s="949"/>
      <c r="AE852" s="949"/>
      <c r="AF852" s="949"/>
      <c r="AG852" s="949"/>
      <c r="AH852" s="949"/>
      <c r="AI852" s="949"/>
      <c r="AJ852" s="949"/>
      <c r="AK852" s="949"/>
      <c r="AL852" s="949"/>
      <c r="AM852" s="949"/>
      <c r="AN852" s="949"/>
      <c r="AO852" s="949"/>
      <c r="AP852" s="949"/>
      <c r="AQ852" s="949"/>
      <c r="AR852" s="949"/>
      <c r="AS852" s="949"/>
      <c r="AT852" s="949"/>
      <c r="AU852" s="949"/>
      <c r="AV852" s="949"/>
      <c r="AW852" s="949"/>
      <c r="AX852" s="949"/>
      <c r="AY852" s="949"/>
      <c r="AZ852" s="949"/>
      <c r="BA852" s="949"/>
      <c r="BB852" s="949"/>
      <c r="BC852" s="949"/>
      <c r="BD852" s="949"/>
      <c r="BE852" s="949"/>
      <c r="BF852" s="949"/>
      <c r="BG852" s="948"/>
      <c r="BH852" s="948"/>
      <c r="BI852" s="948"/>
      <c r="BJ852" s="948"/>
      <c r="BK852" s="948"/>
      <c r="BL852" s="948"/>
      <c r="BM852" s="948"/>
      <c r="BN852" s="948"/>
      <c r="BO852" s="948"/>
      <c r="BP852" s="948"/>
      <c r="BQ852" s="948"/>
      <c r="BR852" s="948"/>
      <c r="BS852" s="948"/>
      <c r="BT852" s="948"/>
      <c r="BU852" s="954"/>
    </row>
    <row r="853" spans="1:73" ht="15.75" customHeight="1" x14ac:dyDescent="0.2">
      <c r="A853" s="947"/>
      <c r="B853" s="947"/>
      <c r="C853" s="947"/>
      <c r="D853" s="948"/>
      <c r="E853" s="948"/>
      <c r="F853" s="948"/>
      <c r="G853" s="948"/>
      <c r="H853" s="948"/>
      <c r="I853" s="948"/>
      <c r="J853" s="948"/>
      <c r="K853" s="949"/>
      <c r="L853" s="949"/>
      <c r="M853" s="949"/>
      <c r="N853" s="950"/>
      <c r="O853" s="948"/>
      <c r="P853" s="948"/>
      <c r="Q853" s="948"/>
      <c r="R853" s="949"/>
      <c r="S853" s="949"/>
      <c r="T853" s="949"/>
      <c r="U853" s="949"/>
      <c r="V853" s="949"/>
      <c r="W853" s="949"/>
      <c r="X853" s="951"/>
      <c r="Y853" s="951"/>
      <c r="Z853" s="952"/>
      <c r="AA853" s="953"/>
      <c r="AB853" s="948"/>
      <c r="AC853" s="948"/>
      <c r="AD853" s="949"/>
      <c r="AE853" s="949"/>
      <c r="AF853" s="949"/>
      <c r="AG853" s="949"/>
      <c r="AH853" s="949"/>
      <c r="AI853" s="949"/>
      <c r="AJ853" s="949"/>
      <c r="AK853" s="949"/>
      <c r="AL853" s="949"/>
      <c r="AM853" s="949"/>
      <c r="AN853" s="949"/>
      <c r="AO853" s="949"/>
      <c r="AP853" s="949"/>
      <c r="AQ853" s="949"/>
      <c r="AR853" s="949"/>
      <c r="AS853" s="949"/>
      <c r="AT853" s="949"/>
      <c r="AU853" s="949"/>
      <c r="AV853" s="949"/>
      <c r="AW853" s="949"/>
      <c r="AX853" s="949"/>
      <c r="AY853" s="949"/>
      <c r="AZ853" s="949"/>
      <c r="BA853" s="949"/>
      <c r="BB853" s="949"/>
      <c r="BC853" s="949"/>
      <c r="BD853" s="949"/>
      <c r="BE853" s="949"/>
      <c r="BF853" s="949"/>
      <c r="BG853" s="948"/>
      <c r="BH853" s="948"/>
      <c r="BI853" s="948"/>
      <c r="BJ853" s="948"/>
      <c r="BK853" s="948"/>
      <c r="BL853" s="948"/>
      <c r="BM853" s="948"/>
      <c r="BN853" s="948"/>
      <c r="BO853" s="948"/>
      <c r="BP853" s="948"/>
      <c r="BQ853" s="948"/>
      <c r="BR853" s="948"/>
      <c r="BS853" s="948"/>
      <c r="BT853" s="948"/>
      <c r="BU853" s="954"/>
    </row>
    <row r="854" spans="1:73" ht="15.75" customHeight="1" x14ac:dyDescent="0.2">
      <c r="A854" s="947"/>
      <c r="B854" s="947"/>
      <c r="C854" s="947"/>
      <c r="D854" s="948"/>
      <c r="E854" s="948"/>
      <c r="F854" s="948"/>
      <c r="G854" s="948"/>
      <c r="H854" s="948"/>
      <c r="I854" s="948"/>
      <c r="J854" s="948"/>
      <c r="K854" s="949"/>
      <c r="L854" s="949"/>
      <c r="M854" s="949"/>
      <c r="N854" s="950"/>
      <c r="O854" s="948"/>
      <c r="P854" s="948"/>
      <c r="Q854" s="948"/>
      <c r="R854" s="949"/>
      <c r="S854" s="949"/>
      <c r="T854" s="949"/>
      <c r="U854" s="949"/>
      <c r="V854" s="949"/>
      <c r="W854" s="949"/>
      <c r="X854" s="951"/>
      <c r="Y854" s="951"/>
      <c r="Z854" s="952"/>
      <c r="AA854" s="953"/>
      <c r="AB854" s="948"/>
      <c r="AC854" s="948"/>
      <c r="AD854" s="949"/>
      <c r="AE854" s="949"/>
      <c r="AF854" s="949"/>
      <c r="AG854" s="949"/>
      <c r="AH854" s="949"/>
      <c r="AI854" s="949"/>
      <c r="AJ854" s="949"/>
      <c r="AK854" s="949"/>
      <c r="AL854" s="949"/>
      <c r="AM854" s="949"/>
      <c r="AN854" s="949"/>
      <c r="AO854" s="949"/>
      <c r="AP854" s="949"/>
      <c r="AQ854" s="949"/>
      <c r="AR854" s="949"/>
      <c r="AS854" s="949"/>
      <c r="AT854" s="949"/>
      <c r="AU854" s="949"/>
      <c r="AV854" s="949"/>
      <c r="AW854" s="949"/>
      <c r="AX854" s="949"/>
      <c r="AY854" s="949"/>
      <c r="AZ854" s="949"/>
      <c r="BA854" s="949"/>
      <c r="BB854" s="949"/>
      <c r="BC854" s="949"/>
      <c r="BD854" s="949"/>
      <c r="BE854" s="949"/>
      <c r="BF854" s="949"/>
      <c r="BG854" s="948"/>
      <c r="BH854" s="948"/>
      <c r="BI854" s="948"/>
      <c r="BJ854" s="948"/>
      <c r="BK854" s="948"/>
      <c r="BL854" s="948"/>
      <c r="BM854" s="948"/>
      <c r="BN854" s="948"/>
      <c r="BO854" s="948"/>
      <c r="BP854" s="948"/>
      <c r="BQ854" s="948"/>
      <c r="BR854" s="948"/>
      <c r="BS854" s="948"/>
      <c r="BT854" s="948"/>
      <c r="BU854" s="954"/>
    </row>
    <row r="855" spans="1:73" ht="15.75" customHeight="1" x14ac:dyDescent="0.2">
      <c r="A855" s="947"/>
      <c r="B855" s="947"/>
      <c r="C855" s="947"/>
      <c r="D855" s="948"/>
      <c r="E855" s="948"/>
      <c r="F855" s="948"/>
      <c r="G855" s="948"/>
      <c r="H855" s="948"/>
      <c r="I855" s="948"/>
      <c r="J855" s="948"/>
      <c r="K855" s="949"/>
      <c r="L855" s="949"/>
      <c r="M855" s="949"/>
      <c r="N855" s="950"/>
      <c r="O855" s="948"/>
      <c r="P855" s="948"/>
      <c r="Q855" s="948"/>
      <c r="R855" s="949"/>
      <c r="S855" s="949"/>
      <c r="T855" s="949"/>
      <c r="U855" s="949"/>
      <c r="V855" s="949"/>
      <c r="W855" s="949"/>
      <c r="X855" s="951"/>
      <c r="Y855" s="951"/>
      <c r="Z855" s="952"/>
      <c r="AA855" s="953"/>
      <c r="AB855" s="948"/>
      <c r="AC855" s="948"/>
      <c r="AD855" s="949"/>
      <c r="AE855" s="949"/>
      <c r="AF855" s="949"/>
      <c r="AG855" s="949"/>
      <c r="AH855" s="949"/>
      <c r="AI855" s="949"/>
      <c r="AJ855" s="949"/>
      <c r="AK855" s="949"/>
      <c r="AL855" s="949"/>
      <c r="AM855" s="949"/>
      <c r="AN855" s="949"/>
      <c r="AO855" s="949"/>
      <c r="AP855" s="949"/>
      <c r="AQ855" s="949"/>
      <c r="AR855" s="949"/>
      <c r="AS855" s="949"/>
      <c r="AT855" s="949"/>
      <c r="AU855" s="949"/>
      <c r="AV855" s="949"/>
      <c r="AW855" s="949"/>
      <c r="AX855" s="949"/>
      <c r="AY855" s="949"/>
      <c r="AZ855" s="949"/>
      <c r="BA855" s="949"/>
      <c r="BB855" s="949"/>
      <c r="BC855" s="949"/>
      <c r="BD855" s="949"/>
      <c r="BE855" s="949"/>
      <c r="BF855" s="949"/>
      <c r="BG855" s="948"/>
      <c r="BH855" s="948"/>
      <c r="BI855" s="948"/>
      <c r="BJ855" s="948"/>
      <c r="BK855" s="948"/>
      <c r="BL855" s="948"/>
      <c r="BM855" s="948"/>
      <c r="BN855" s="948"/>
      <c r="BO855" s="948"/>
      <c r="BP855" s="948"/>
      <c r="BQ855" s="948"/>
      <c r="BR855" s="948"/>
      <c r="BS855" s="948"/>
      <c r="BT855" s="948"/>
      <c r="BU855" s="954"/>
    </row>
    <row r="856" spans="1:73" ht="15.75" customHeight="1" x14ac:dyDescent="0.2">
      <c r="A856" s="947"/>
      <c r="B856" s="947"/>
      <c r="C856" s="947"/>
      <c r="D856" s="948"/>
      <c r="E856" s="948"/>
      <c r="F856" s="948"/>
      <c r="G856" s="948"/>
      <c r="H856" s="948"/>
      <c r="I856" s="948"/>
      <c r="J856" s="948"/>
      <c r="K856" s="949"/>
      <c r="L856" s="949"/>
      <c r="M856" s="949"/>
      <c r="N856" s="950"/>
      <c r="O856" s="948"/>
      <c r="P856" s="948"/>
      <c r="Q856" s="948"/>
      <c r="R856" s="949"/>
      <c r="S856" s="949"/>
      <c r="T856" s="949"/>
      <c r="U856" s="949"/>
      <c r="V856" s="949"/>
      <c r="W856" s="949"/>
      <c r="X856" s="951"/>
      <c r="Y856" s="951"/>
      <c r="Z856" s="952"/>
      <c r="AA856" s="953"/>
      <c r="AB856" s="948"/>
      <c r="AC856" s="948"/>
      <c r="AD856" s="949"/>
      <c r="AE856" s="949"/>
      <c r="AF856" s="949"/>
      <c r="AG856" s="949"/>
      <c r="AH856" s="949"/>
      <c r="AI856" s="949"/>
      <c r="AJ856" s="949"/>
      <c r="AK856" s="949"/>
      <c r="AL856" s="949"/>
      <c r="AM856" s="949"/>
      <c r="AN856" s="949"/>
      <c r="AO856" s="949"/>
      <c r="AP856" s="949"/>
      <c r="AQ856" s="949"/>
      <c r="AR856" s="949"/>
      <c r="AS856" s="949"/>
      <c r="AT856" s="949"/>
      <c r="AU856" s="949"/>
      <c r="AV856" s="949"/>
      <c r="AW856" s="949"/>
      <c r="AX856" s="949"/>
      <c r="AY856" s="949"/>
      <c r="AZ856" s="949"/>
      <c r="BA856" s="949"/>
      <c r="BB856" s="949"/>
      <c r="BC856" s="949"/>
      <c r="BD856" s="949"/>
      <c r="BE856" s="949"/>
      <c r="BF856" s="949"/>
      <c r="BG856" s="948"/>
      <c r="BH856" s="948"/>
      <c r="BI856" s="948"/>
      <c r="BJ856" s="948"/>
      <c r="BK856" s="948"/>
      <c r="BL856" s="948"/>
      <c r="BM856" s="948"/>
      <c r="BN856" s="948"/>
      <c r="BO856" s="948"/>
      <c r="BP856" s="948"/>
      <c r="BQ856" s="948"/>
      <c r="BR856" s="948"/>
      <c r="BS856" s="948"/>
      <c r="BT856" s="948"/>
      <c r="BU856" s="954"/>
    </row>
    <row r="857" spans="1:73" ht="15.75" customHeight="1" x14ac:dyDescent="0.2">
      <c r="A857" s="947"/>
      <c r="B857" s="947"/>
      <c r="C857" s="947"/>
      <c r="D857" s="948"/>
      <c r="E857" s="948"/>
      <c r="F857" s="948"/>
      <c r="G857" s="948"/>
      <c r="H857" s="948"/>
      <c r="I857" s="948"/>
      <c r="J857" s="948"/>
      <c r="K857" s="949"/>
      <c r="L857" s="949"/>
      <c r="M857" s="949"/>
      <c r="N857" s="950"/>
      <c r="O857" s="948"/>
      <c r="P857" s="948"/>
      <c r="Q857" s="948"/>
      <c r="R857" s="949"/>
      <c r="S857" s="949"/>
      <c r="T857" s="949"/>
      <c r="U857" s="949"/>
      <c r="V857" s="949"/>
      <c r="W857" s="949"/>
      <c r="X857" s="951"/>
      <c r="Y857" s="951"/>
      <c r="Z857" s="952"/>
      <c r="AA857" s="953"/>
      <c r="AB857" s="948"/>
      <c r="AC857" s="948"/>
      <c r="AD857" s="949"/>
      <c r="AE857" s="949"/>
      <c r="AF857" s="949"/>
      <c r="AG857" s="949"/>
      <c r="AH857" s="949"/>
      <c r="AI857" s="949"/>
      <c r="AJ857" s="949"/>
      <c r="AK857" s="949"/>
      <c r="AL857" s="949"/>
      <c r="AM857" s="949"/>
      <c r="AN857" s="949"/>
      <c r="AO857" s="949"/>
      <c r="AP857" s="949"/>
      <c r="AQ857" s="949"/>
      <c r="AR857" s="949"/>
      <c r="AS857" s="949"/>
      <c r="AT857" s="949"/>
      <c r="AU857" s="949"/>
      <c r="AV857" s="949"/>
      <c r="AW857" s="949"/>
      <c r="AX857" s="949"/>
      <c r="AY857" s="949"/>
      <c r="AZ857" s="949"/>
      <c r="BA857" s="949"/>
      <c r="BB857" s="949"/>
      <c r="BC857" s="949"/>
      <c r="BD857" s="949"/>
      <c r="BE857" s="949"/>
      <c r="BF857" s="949"/>
      <c r="BG857" s="948"/>
      <c r="BH857" s="948"/>
      <c r="BI857" s="948"/>
      <c r="BJ857" s="948"/>
      <c r="BK857" s="948"/>
      <c r="BL857" s="948"/>
      <c r="BM857" s="948"/>
      <c r="BN857" s="948"/>
      <c r="BO857" s="948"/>
      <c r="BP857" s="948"/>
      <c r="BQ857" s="948"/>
      <c r="BR857" s="948"/>
      <c r="BS857" s="948"/>
      <c r="BT857" s="948"/>
      <c r="BU857" s="954"/>
    </row>
    <row r="858" spans="1:73" ht="15.75" customHeight="1" x14ac:dyDescent="0.2">
      <c r="A858" s="947"/>
      <c r="B858" s="947"/>
      <c r="C858" s="947"/>
      <c r="D858" s="948"/>
      <c r="E858" s="948"/>
      <c r="F858" s="948"/>
      <c r="G858" s="948"/>
      <c r="H858" s="948"/>
      <c r="I858" s="948"/>
      <c r="J858" s="948"/>
      <c r="K858" s="949"/>
      <c r="L858" s="949"/>
      <c r="M858" s="949"/>
      <c r="N858" s="950"/>
      <c r="O858" s="948"/>
      <c r="P858" s="948"/>
      <c r="Q858" s="948"/>
      <c r="R858" s="949"/>
      <c r="S858" s="949"/>
      <c r="T858" s="949"/>
      <c r="U858" s="949"/>
      <c r="V858" s="949"/>
      <c r="W858" s="949"/>
      <c r="X858" s="951"/>
      <c r="Y858" s="951"/>
      <c r="Z858" s="952"/>
      <c r="AA858" s="953"/>
      <c r="AB858" s="948"/>
      <c r="AC858" s="948"/>
      <c r="AD858" s="949"/>
      <c r="AE858" s="949"/>
      <c r="AF858" s="949"/>
      <c r="AG858" s="949"/>
      <c r="AH858" s="949"/>
      <c r="AI858" s="949"/>
      <c r="AJ858" s="949"/>
      <c r="AK858" s="949"/>
      <c r="AL858" s="949"/>
      <c r="AM858" s="949"/>
      <c r="AN858" s="949"/>
      <c r="AO858" s="949"/>
      <c r="AP858" s="949"/>
      <c r="AQ858" s="949"/>
      <c r="AR858" s="949"/>
      <c r="AS858" s="949"/>
      <c r="AT858" s="949"/>
      <c r="AU858" s="949"/>
      <c r="AV858" s="949"/>
      <c r="AW858" s="949"/>
      <c r="AX858" s="949"/>
      <c r="AY858" s="949"/>
      <c r="AZ858" s="949"/>
      <c r="BA858" s="949"/>
      <c r="BB858" s="949"/>
      <c r="BC858" s="949"/>
      <c r="BD858" s="949"/>
      <c r="BE858" s="949"/>
      <c r="BF858" s="949"/>
      <c r="BG858" s="948"/>
      <c r="BH858" s="948"/>
      <c r="BI858" s="948"/>
      <c r="BJ858" s="948"/>
      <c r="BK858" s="948"/>
      <c r="BL858" s="948"/>
      <c r="BM858" s="948"/>
      <c r="BN858" s="948"/>
      <c r="BO858" s="948"/>
      <c r="BP858" s="948"/>
      <c r="BQ858" s="948"/>
      <c r="BR858" s="948"/>
      <c r="BS858" s="948"/>
      <c r="BT858" s="948"/>
      <c r="BU858" s="954"/>
    </row>
    <row r="859" spans="1:73" ht="15.75" customHeight="1" x14ac:dyDescent="0.2">
      <c r="A859" s="947"/>
      <c r="B859" s="947"/>
      <c r="C859" s="947"/>
      <c r="D859" s="948"/>
      <c r="E859" s="948"/>
      <c r="F859" s="948"/>
      <c r="G859" s="948"/>
      <c r="H859" s="948"/>
      <c r="I859" s="948"/>
      <c r="J859" s="948"/>
      <c r="K859" s="949"/>
      <c r="L859" s="949"/>
      <c r="M859" s="949"/>
      <c r="N859" s="950"/>
      <c r="O859" s="948"/>
      <c r="P859" s="948"/>
      <c r="Q859" s="948"/>
      <c r="R859" s="949"/>
      <c r="S859" s="949"/>
      <c r="T859" s="949"/>
      <c r="U859" s="949"/>
      <c r="V859" s="949"/>
      <c r="W859" s="949"/>
      <c r="X859" s="951"/>
      <c r="Y859" s="951"/>
      <c r="Z859" s="952"/>
      <c r="AA859" s="953"/>
      <c r="AB859" s="948"/>
      <c r="AC859" s="948"/>
      <c r="AD859" s="949"/>
      <c r="AE859" s="949"/>
      <c r="AF859" s="949"/>
      <c r="AG859" s="949"/>
      <c r="AH859" s="949"/>
      <c r="AI859" s="949"/>
      <c r="AJ859" s="949"/>
      <c r="AK859" s="949"/>
      <c r="AL859" s="949"/>
      <c r="AM859" s="949"/>
      <c r="AN859" s="949"/>
      <c r="AO859" s="949"/>
      <c r="AP859" s="949"/>
      <c r="AQ859" s="949"/>
      <c r="AR859" s="949"/>
      <c r="AS859" s="949"/>
      <c r="AT859" s="949"/>
      <c r="AU859" s="949"/>
      <c r="AV859" s="949"/>
      <c r="AW859" s="949"/>
      <c r="AX859" s="949"/>
      <c r="AY859" s="949"/>
      <c r="AZ859" s="949"/>
      <c r="BA859" s="949"/>
      <c r="BB859" s="949"/>
      <c r="BC859" s="949"/>
      <c r="BD859" s="949"/>
      <c r="BE859" s="949"/>
      <c r="BF859" s="949"/>
      <c r="BG859" s="948"/>
      <c r="BH859" s="948"/>
      <c r="BI859" s="948"/>
      <c r="BJ859" s="948"/>
      <c r="BK859" s="948"/>
      <c r="BL859" s="948"/>
      <c r="BM859" s="948"/>
      <c r="BN859" s="948"/>
      <c r="BO859" s="948"/>
      <c r="BP859" s="948"/>
      <c r="BQ859" s="948"/>
      <c r="BR859" s="948"/>
      <c r="BS859" s="948"/>
      <c r="BT859" s="948"/>
      <c r="BU859" s="954"/>
    </row>
    <row r="860" spans="1:73" ht="15.75" customHeight="1" x14ac:dyDescent="0.2">
      <c r="A860" s="947"/>
      <c r="B860" s="947"/>
      <c r="C860" s="947"/>
      <c r="D860" s="948"/>
      <c r="E860" s="948"/>
      <c r="F860" s="948"/>
      <c r="G860" s="948"/>
      <c r="H860" s="948"/>
      <c r="I860" s="948"/>
      <c r="J860" s="948"/>
      <c r="K860" s="949"/>
      <c r="L860" s="949"/>
      <c r="M860" s="949"/>
      <c r="N860" s="950"/>
      <c r="O860" s="948"/>
      <c r="P860" s="948"/>
      <c r="Q860" s="948"/>
      <c r="R860" s="949"/>
      <c r="S860" s="949"/>
      <c r="T860" s="949"/>
      <c r="U860" s="949"/>
      <c r="V860" s="949"/>
      <c r="W860" s="949"/>
      <c r="X860" s="951"/>
      <c r="Y860" s="951"/>
      <c r="Z860" s="952"/>
      <c r="AA860" s="953"/>
      <c r="AB860" s="948"/>
      <c r="AC860" s="948"/>
      <c r="AD860" s="949"/>
      <c r="AE860" s="949"/>
      <c r="AF860" s="949"/>
      <c r="AG860" s="949"/>
      <c r="AH860" s="949"/>
      <c r="AI860" s="949"/>
      <c r="AJ860" s="949"/>
      <c r="AK860" s="949"/>
      <c r="AL860" s="949"/>
      <c r="AM860" s="949"/>
      <c r="AN860" s="949"/>
      <c r="AO860" s="949"/>
      <c r="AP860" s="949"/>
      <c r="AQ860" s="949"/>
      <c r="AR860" s="949"/>
      <c r="AS860" s="949"/>
      <c r="AT860" s="949"/>
      <c r="AU860" s="949"/>
      <c r="AV860" s="949"/>
      <c r="AW860" s="949"/>
      <c r="AX860" s="949"/>
      <c r="AY860" s="949"/>
      <c r="AZ860" s="949"/>
      <c r="BA860" s="949"/>
      <c r="BB860" s="949"/>
      <c r="BC860" s="949"/>
      <c r="BD860" s="949"/>
      <c r="BE860" s="949"/>
      <c r="BF860" s="949"/>
      <c r="BG860" s="948"/>
      <c r="BH860" s="948"/>
      <c r="BI860" s="948"/>
      <c r="BJ860" s="948"/>
      <c r="BK860" s="948"/>
      <c r="BL860" s="948"/>
      <c r="BM860" s="948"/>
      <c r="BN860" s="948"/>
      <c r="BO860" s="948"/>
      <c r="BP860" s="948"/>
      <c r="BQ860" s="948"/>
      <c r="BR860" s="948"/>
      <c r="BS860" s="948"/>
      <c r="BT860" s="948"/>
      <c r="BU860" s="954"/>
    </row>
    <row r="861" spans="1:73" ht="15.75" customHeight="1" x14ac:dyDescent="0.2">
      <c r="A861" s="947"/>
      <c r="B861" s="947"/>
      <c r="C861" s="947"/>
      <c r="D861" s="948"/>
      <c r="E861" s="948"/>
      <c r="F861" s="948"/>
      <c r="G861" s="948"/>
      <c r="H861" s="948"/>
      <c r="I861" s="948"/>
      <c r="J861" s="948"/>
      <c r="K861" s="949"/>
      <c r="L861" s="949"/>
      <c r="M861" s="949"/>
      <c r="N861" s="950"/>
      <c r="O861" s="948"/>
      <c r="P861" s="948"/>
      <c r="Q861" s="948"/>
      <c r="R861" s="949"/>
      <c r="S861" s="949"/>
      <c r="T861" s="949"/>
      <c r="U861" s="949"/>
      <c r="V861" s="949"/>
      <c r="W861" s="949"/>
      <c r="X861" s="951"/>
      <c r="Y861" s="951"/>
      <c r="Z861" s="952"/>
      <c r="AA861" s="953"/>
      <c r="AB861" s="948"/>
      <c r="AC861" s="948"/>
      <c r="AD861" s="949"/>
      <c r="AE861" s="949"/>
      <c r="AF861" s="949"/>
      <c r="AG861" s="949"/>
      <c r="AH861" s="949"/>
      <c r="AI861" s="949"/>
      <c r="AJ861" s="949"/>
      <c r="AK861" s="949"/>
      <c r="AL861" s="949"/>
      <c r="AM861" s="949"/>
      <c r="AN861" s="949"/>
      <c r="AO861" s="949"/>
      <c r="AP861" s="949"/>
      <c r="AQ861" s="949"/>
      <c r="AR861" s="949"/>
      <c r="AS861" s="949"/>
      <c r="AT861" s="949"/>
      <c r="AU861" s="949"/>
      <c r="AV861" s="949"/>
      <c r="AW861" s="949"/>
      <c r="AX861" s="949"/>
      <c r="AY861" s="949"/>
      <c r="AZ861" s="949"/>
      <c r="BA861" s="949"/>
      <c r="BB861" s="949"/>
      <c r="BC861" s="949"/>
      <c r="BD861" s="949"/>
      <c r="BE861" s="949"/>
      <c r="BF861" s="949"/>
      <c r="BG861" s="948"/>
      <c r="BH861" s="948"/>
      <c r="BI861" s="948"/>
      <c r="BJ861" s="948"/>
      <c r="BK861" s="948"/>
      <c r="BL861" s="948"/>
      <c r="BM861" s="948"/>
      <c r="BN861" s="948"/>
      <c r="BO861" s="948"/>
      <c r="BP861" s="948"/>
      <c r="BQ861" s="948"/>
      <c r="BR861" s="948"/>
      <c r="BS861" s="948"/>
      <c r="BT861" s="948"/>
      <c r="BU861" s="954"/>
    </row>
    <row r="862" spans="1:73" ht="15.75" customHeight="1" x14ac:dyDescent="0.2">
      <c r="A862" s="947"/>
      <c r="B862" s="947"/>
      <c r="C862" s="947"/>
      <c r="D862" s="948"/>
      <c r="E862" s="948"/>
      <c r="F862" s="948"/>
      <c r="G862" s="948"/>
      <c r="H862" s="948"/>
      <c r="I862" s="948"/>
      <c r="J862" s="948"/>
      <c r="K862" s="949"/>
      <c r="L862" s="949"/>
      <c r="M862" s="949"/>
      <c r="N862" s="950"/>
      <c r="O862" s="948"/>
      <c r="P862" s="948"/>
      <c r="Q862" s="948"/>
      <c r="R862" s="949"/>
      <c r="S862" s="949"/>
      <c r="T862" s="949"/>
      <c r="U862" s="949"/>
      <c r="V862" s="949"/>
      <c r="W862" s="949"/>
      <c r="X862" s="951"/>
      <c r="Y862" s="951"/>
      <c r="Z862" s="952"/>
      <c r="AA862" s="953"/>
      <c r="AB862" s="948"/>
      <c r="AC862" s="948"/>
      <c r="AD862" s="949"/>
      <c r="AE862" s="949"/>
      <c r="AF862" s="949"/>
      <c r="AG862" s="949"/>
      <c r="AH862" s="949"/>
      <c r="AI862" s="949"/>
      <c r="AJ862" s="949"/>
      <c r="AK862" s="949"/>
      <c r="AL862" s="949"/>
      <c r="AM862" s="949"/>
      <c r="AN862" s="949"/>
      <c r="AO862" s="949"/>
      <c r="AP862" s="949"/>
      <c r="AQ862" s="949"/>
      <c r="AR862" s="949"/>
      <c r="AS862" s="949"/>
      <c r="AT862" s="949"/>
      <c r="AU862" s="949"/>
      <c r="AV862" s="949"/>
      <c r="AW862" s="949"/>
      <c r="AX862" s="949"/>
      <c r="AY862" s="949"/>
      <c r="AZ862" s="949"/>
      <c r="BA862" s="949"/>
      <c r="BB862" s="949"/>
      <c r="BC862" s="949"/>
      <c r="BD862" s="949"/>
      <c r="BE862" s="949"/>
      <c r="BF862" s="949"/>
      <c r="BG862" s="948"/>
      <c r="BH862" s="948"/>
      <c r="BI862" s="948"/>
      <c r="BJ862" s="948"/>
      <c r="BK862" s="948"/>
      <c r="BL862" s="948"/>
      <c r="BM862" s="948"/>
      <c r="BN862" s="948"/>
      <c r="BO862" s="948"/>
      <c r="BP862" s="948"/>
      <c r="BQ862" s="948"/>
      <c r="BR862" s="948"/>
      <c r="BS862" s="948"/>
      <c r="BT862" s="948"/>
      <c r="BU862" s="954"/>
    </row>
    <row r="863" spans="1:73" ht="15.75" customHeight="1" x14ac:dyDescent="0.2">
      <c r="A863" s="947"/>
      <c r="B863" s="947"/>
      <c r="C863" s="947"/>
      <c r="D863" s="948"/>
      <c r="E863" s="948"/>
      <c r="F863" s="948"/>
      <c r="G863" s="948"/>
      <c r="H863" s="948"/>
      <c r="I863" s="948"/>
      <c r="J863" s="948"/>
      <c r="K863" s="949"/>
      <c r="L863" s="949"/>
      <c r="M863" s="949"/>
      <c r="N863" s="950"/>
      <c r="O863" s="948"/>
      <c r="P863" s="948"/>
      <c r="Q863" s="948"/>
      <c r="R863" s="949"/>
      <c r="S863" s="949"/>
      <c r="T863" s="949"/>
      <c r="U863" s="949"/>
      <c r="V863" s="949"/>
      <c r="W863" s="949"/>
      <c r="X863" s="951"/>
      <c r="Y863" s="951"/>
      <c r="Z863" s="952"/>
      <c r="AA863" s="953"/>
      <c r="AB863" s="948"/>
      <c r="AC863" s="948"/>
      <c r="AD863" s="949"/>
      <c r="AE863" s="949"/>
      <c r="AF863" s="949"/>
      <c r="AG863" s="949"/>
      <c r="AH863" s="949"/>
      <c r="AI863" s="949"/>
      <c r="AJ863" s="949"/>
      <c r="AK863" s="949"/>
      <c r="AL863" s="949"/>
      <c r="AM863" s="949"/>
      <c r="AN863" s="949"/>
      <c r="AO863" s="949"/>
      <c r="AP863" s="949"/>
      <c r="AQ863" s="949"/>
      <c r="AR863" s="949"/>
      <c r="AS863" s="949"/>
      <c r="AT863" s="949"/>
      <c r="AU863" s="949"/>
      <c r="AV863" s="949"/>
      <c r="AW863" s="949"/>
      <c r="AX863" s="949"/>
      <c r="AY863" s="949"/>
      <c r="AZ863" s="949"/>
      <c r="BA863" s="949"/>
      <c r="BB863" s="949"/>
      <c r="BC863" s="949"/>
      <c r="BD863" s="949"/>
      <c r="BE863" s="949"/>
      <c r="BF863" s="949"/>
      <c r="BG863" s="948"/>
      <c r="BH863" s="948"/>
      <c r="BI863" s="948"/>
      <c r="BJ863" s="948"/>
      <c r="BK863" s="948"/>
      <c r="BL863" s="948"/>
      <c r="BM863" s="948"/>
      <c r="BN863" s="948"/>
      <c r="BO863" s="948"/>
      <c r="BP863" s="948"/>
      <c r="BQ863" s="948"/>
      <c r="BR863" s="948"/>
      <c r="BS863" s="948"/>
      <c r="BT863" s="948"/>
      <c r="BU863" s="954"/>
    </row>
    <row r="864" spans="1:73" ht="15.75" customHeight="1" x14ac:dyDescent="0.2">
      <c r="A864" s="947"/>
      <c r="B864" s="947"/>
      <c r="C864" s="947"/>
      <c r="D864" s="948"/>
      <c r="E864" s="948"/>
      <c r="F864" s="948"/>
      <c r="G864" s="948"/>
      <c r="H864" s="948"/>
      <c r="I864" s="948"/>
      <c r="J864" s="948"/>
      <c r="K864" s="949"/>
      <c r="L864" s="949"/>
      <c r="M864" s="949"/>
      <c r="N864" s="950"/>
      <c r="O864" s="948"/>
      <c r="P864" s="948"/>
      <c r="Q864" s="948"/>
      <c r="R864" s="949"/>
      <c r="S864" s="949"/>
      <c r="T864" s="949"/>
      <c r="U864" s="949"/>
      <c r="V864" s="949"/>
      <c r="W864" s="949"/>
      <c r="X864" s="951"/>
      <c r="Y864" s="951"/>
      <c r="Z864" s="952"/>
      <c r="AA864" s="953"/>
      <c r="AB864" s="948"/>
      <c r="AC864" s="948"/>
      <c r="AD864" s="949"/>
      <c r="AE864" s="949"/>
      <c r="AF864" s="949"/>
      <c r="AG864" s="949"/>
      <c r="AH864" s="949"/>
      <c r="AI864" s="949"/>
      <c r="AJ864" s="949"/>
      <c r="AK864" s="949"/>
      <c r="AL864" s="949"/>
      <c r="AM864" s="949"/>
      <c r="AN864" s="949"/>
      <c r="AO864" s="949"/>
      <c r="AP864" s="949"/>
      <c r="AQ864" s="949"/>
      <c r="AR864" s="949"/>
      <c r="AS864" s="949"/>
      <c r="AT864" s="949"/>
      <c r="AU864" s="949"/>
      <c r="AV864" s="949"/>
      <c r="AW864" s="949"/>
      <c r="AX864" s="949"/>
      <c r="AY864" s="949"/>
      <c r="AZ864" s="949"/>
      <c r="BA864" s="949"/>
      <c r="BB864" s="949"/>
      <c r="BC864" s="949"/>
      <c r="BD864" s="949"/>
      <c r="BE864" s="949"/>
      <c r="BF864" s="949"/>
      <c r="BG864" s="948"/>
      <c r="BH864" s="948"/>
      <c r="BI864" s="948"/>
      <c r="BJ864" s="948"/>
      <c r="BK864" s="948"/>
      <c r="BL864" s="948"/>
      <c r="BM864" s="948"/>
      <c r="BN864" s="948"/>
      <c r="BO864" s="948"/>
      <c r="BP864" s="948"/>
      <c r="BQ864" s="948"/>
      <c r="BR864" s="948"/>
      <c r="BS864" s="948"/>
      <c r="BT864" s="948"/>
      <c r="BU864" s="954"/>
    </row>
    <row r="865" spans="1:73" ht="15.75" customHeight="1" x14ac:dyDescent="0.2">
      <c r="A865" s="947"/>
      <c r="B865" s="947"/>
      <c r="C865" s="947"/>
      <c r="D865" s="948"/>
      <c r="E865" s="948"/>
      <c r="F865" s="948"/>
      <c r="G865" s="948"/>
      <c r="H865" s="948"/>
      <c r="I865" s="948"/>
      <c r="J865" s="948"/>
      <c r="K865" s="949"/>
      <c r="L865" s="949"/>
      <c r="M865" s="949"/>
      <c r="N865" s="950"/>
      <c r="O865" s="948"/>
      <c r="P865" s="948"/>
      <c r="Q865" s="948"/>
      <c r="R865" s="949"/>
      <c r="S865" s="949"/>
      <c r="T865" s="949"/>
      <c r="U865" s="949"/>
      <c r="V865" s="949"/>
      <c r="W865" s="949"/>
      <c r="X865" s="951"/>
      <c r="Y865" s="951"/>
      <c r="Z865" s="952"/>
      <c r="AA865" s="953"/>
      <c r="AB865" s="948"/>
      <c r="AC865" s="948"/>
      <c r="AD865" s="949"/>
      <c r="AE865" s="949"/>
      <c r="AF865" s="949"/>
      <c r="AG865" s="949"/>
      <c r="AH865" s="949"/>
      <c r="AI865" s="949"/>
      <c r="AJ865" s="949"/>
      <c r="AK865" s="949"/>
      <c r="AL865" s="949"/>
      <c r="AM865" s="949"/>
      <c r="AN865" s="949"/>
      <c r="AO865" s="949"/>
      <c r="AP865" s="949"/>
      <c r="AQ865" s="949"/>
      <c r="AR865" s="949"/>
      <c r="AS865" s="949"/>
      <c r="AT865" s="949"/>
      <c r="AU865" s="949"/>
      <c r="AV865" s="949"/>
      <c r="AW865" s="949"/>
      <c r="AX865" s="949"/>
      <c r="AY865" s="949"/>
      <c r="AZ865" s="949"/>
      <c r="BA865" s="949"/>
      <c r="BB865" s="949"/>
      <c r="BC865" s="949"/>
      <c r="BD865" s="949"/>
      <c r="BE865" s="949"/>
      <c r="BF865" s="949"/>
      <c r="BG865" s="948"/>
      <c r="BH865" s="948"/>
      <c r="BI865" s="948"/>
      <c r="BJ865" s="948"/>
      <c r="BK865" s="948"/>
      <c r="BL865" s="948"/>
      <c r="BM865" s="948"/>
      <c r="BN865" s="948"/>
      <c r="BO865" s="948"/>
      <c r="BP865" s="948"/>
      <c r="BQ865" s="948"/>
      <c r="BR865" s="948"/>
      <c r="BS865" s="948"/>
      <c r="BT865" s="948"/>
      <c r="BU865" s="954"/>
    </row>
    <row r="866" spans="1:73" ht="15.75" customHeight="1" x14ac:dyDescent="0.2">
      <c r="A866" s="947"/>
      <c r="B866" s="947"/>
      <c r="C866" s="947"/>
      <c r="D866" s="948"/>
      <c r="E866" s="948"/>
      <c r="F866" s="948"/>
      <c r="G866" s="948"/>
      <c r="H866" s="948"/>
      <c r="I866" s="948"/>
      <c r="J866" s="948"/>
      <c r="K866" s="949"/>
      <c r="L866" s="949"/>
      <c r="M866" s="949"/>
      <c r="N866" s="950"/>
      <c r="O866" s="948"/>
      <c r="P866" s="948"/>
      <c r="Q866" s="948"/>
      <c r="R866" s="949"/>
      <c r="S866" s="949"/>
      <c r="T866" s="949"/>
      <c r="U866" s="949"/>
      <c r="V866" s="949"/>
      <c r="W866" s="949"/>
      <c r="X866" s="951"/>
      <c r="Y866" s="951"/>
      <c r="Z866" s="952"/>
      <c r="AA866" s="953"/>
      <c r="AB866" s="948"/>
      <c r="AC866" s="948"/>
      <c r="AD866" s="949"/>
      <c r="AE866" s="949"/>
      <c r="AF866" s="949"/>
      <c r="AG866" s="949"/>
      <c r="AH866" s="949"/>
      <c r="AI866" s="949"/>
      <c r="AJ866" s="949"/>
      <c r="AK866" s="949"/>
      <c r="AL866" s="949"/>
      <c r="AM866" s="949"/>
      <c r="AN866" s="949"/>
      <c r="AO866" s="949"/>
      <c r="AP866" s="949"/>
      <c r="AQ866" s="949"/>
      <c r="AR866" s="949"/>
      <c r="AS866" s="949"/>
      <c r="AT866" s="949"/>
      <c r="AU866" s="949"/>
      <c r="AV866" s="949"/>
      <c r="AW866" s="949"/>
      <c r="AX866" s="949"/>
      <c r="AY866" s="949"/>
      <c r="AZ866" s="949"/>
      <c r="BA866" s="949"/>
      <c r="BB866" s="949"/>
      <c r="BC866" s="949"/>
      <c r="BD866" s="949"/>
      <c r="BE866" s="949"/>
      <c r="BF866" s="949"/>
      <c r="BG866" s="948"/>
      <c r="BH866" s="948"/>
      <c r="BI866" s="948"/>
      <c r="BJ866" s="948"/>
      <c r="BK866" s="948"/>
      <c r="BL866" s="948"/>
      <c r="BM866" s="948"/>
      <c r="BN866" s="948"/>
      <c r="BO866" s="948"/>
      <c r="BP866" s="948"/>
      <c r="BQ866" s="948"/>
      <c r="BR866" s="948"/>
      <c r="BS866" s="948"/>
      <c r="BT866" s="948"/>
      <c r="BU866" s="954"/>
    </row>
    <row r="867" spans="1:73" ht="15.75" customHeight="1" x14ac:dyDescent="0.2">
      <c r="A867" s="947"/>
      <c r="B867" s="947"/>
      <c r="C867" s="947"/>
      <c r="D867" s="948"/>
      <c r="E867" s="948"/>
      <c r="F867" s="948"/>
      <c r="G867" s="948"/>
      <c r="H867" s="948"/>
      <c r="I867" s="948"/>
      <c r="J867" s="948"/>
      <c r="K867" s="949"/>
      <c r="L867" s="949"/>
      <c r="M867" s="949"/>
      <c r="N867" s="950"/>
      <c r="O867" s="948"/>
      <c r="P867" s="948"/>
      <c r="Q867" s="948"/>
      <c r="R867" s="949"/>
      <c r="S867" s="949"/>
      <c r="T867" s="949"/>
      <c r="U867" s="949"/>
      <c r="V867" s="949"/>
      <c r="W867" s="949"/>
      <c r="X867" s="951"/>
      <c r="Y867" s="951"/>
      <c r="Z867" s="952"/>
      <c r="AA867" s="953"/>
      <c r="AB867" s="948"/>
      <c r="AC867" s="948"/>
      <c r="AD867" s="949"/>
      <c r="AE867" s="949"/>
      <c r="AF867" s="949"/>
      <c r="AG867" s="949"/>
      <c r="AH867" s="949"/>
      <c r="AI867" s="949"/>
      <c r="AJ867" s="949"/>
      <c r="AK867" s="949"/>
      <c r="AL867" s="949"/>
      <c r="AM867" s="949"/>
      <c r="AN867" s="949"/>
      <c r="AO867" s="949"/>
      <c r="AP867" s="949"/>
      <c r="AQ867" s="949"/>
      <c r="AR867" s="949"/>
      <c r="AS867" s="949"/>
      <c r="AT867" s="949"/>
      <c r="AU867" s="949"/>
      <c r="AV867" s="949"/>
      <c r="AW867" s="949"/>
      <c r="AX867" s="949"/>
      <c r="AY867" s="949"/>
      <c r="AZ867" s="949"/>
      <c r="BA867" s="949"/>
      <c r="BB867" s="949"/>
      <c r="BC867" s="949"/>
      <c r="BD867" s="949"/>
      <c r="BE867" s="949"/>
      <c r="BF867" s="949"/>
      <c r="BG867" s="948"/>
      <c r="BH867" s="948"/>
      <c r="BI867" s="948"/>
      <c r="BJ867" s="948"/>
      <c r="BK867" s="948"/>
      <c r="BL867" s="948"/>
      <c r="BM867" s="948"/>
      <c r="BN867" s="948"/>
      <c r="BO867" s="948"/>
      <c r="BP867" s="948"/>
      <c r="BQ867" s="948"/>
      <c r="BR867" s="948"/>
      <c r="BS867" s="948"/>
      <c r="BT867" s="948"/>
      <c r="BU867" s="954"/>
    </row>
    <row r="868" spans="1:73" ht="15.75" customHeight="1" x14ac:dyDescent="0.2">
      <c r="A868" s="947"/>
      <c r="B868" s="947"/>
      <c r="C868" s="947"/>
      <c r="D868" s="948"/>
      <c r="E868" s="948"/>
      <c r="F868" s="948"/>
      <c r="G868" s="948"/>
      <c r="H868" s="948"/>
      <c r="I868" s="948"/>
      <c r="J868" s="948"/>
      <c r="K868" s="949"/>
      <c r="L868" s="949"/>
      <c r="M868" s="949"/>
      <c r="N868" s="950"/>
      <c r="O868" s="948"/>
      <c r="P868" s="948"/>
      <c r="Q868" s="948"/>
      <c r="R868" s="949"/>
      <c r="S868" s="949"/>
      <c r="T868" s="949"/>
      <c r="U868" s="949"/>
      <c r="V868" s="949"/>
      <c r="W868" s="949"/>
      <c r="X868" s="951"/>
      <c r="Y868" s="951"/>
      <c r="Z868" s="952"/>
      <c r="AA868" s="953"/>
      <c r="AB868" s="948"/>
      <c r="AC868" s="948"/>
      <c r="AD868" s="949"/>
      <c r="AE868" s="949"/>
      <c r="AF868" s="949"/>
      <c r="AG868" s="949"/>
      <c r="AH868" s="949"/>
      <c r="AI868" s="949"/>
      <c r="AJ868" s="949"/>
      <c r="AK868" s="949"/>
      <c r="AL868" s="949"/>
      <c r="AM868" s="949"/>
      <c r="AN868" s="949"/>
      <c r="AO868" s="949"/>
      <c r="AP868" s="949"/>
      <c r="AQ868" s="949"/>
      <c r="AR868" s="949"/>
      <c r="AS868" s="949"/>
      <c r="AT868" s="949"/>
      <c r="AU868" s="949"/>
      <c r="AV868" s="949"/>
      <c r="AW868" s="949"/>
      <c r="AX868" s="949"/>
      <c r="AY868" s="949"/>
      <c r="AZ868" s="949"/>
      <c r="BA868" s="949"/>
      <c r="BB868" s="949"/>
      <c r="BC868" s="949"/>
      <c r="BD868" s="949"/>
      <c r="BE868" s="949"/>
      <c r="BF868" s="949"/>
      <c r="BG868" s="948"/>
      <c r="BH868" s="948"/>
      <c r="BI868" s="948"/>
      <c r="BJ868" s="948"/>
      <c r="BK868" s="948"/>
      <c r="BL868" s="948"/>
      <c r="BM868" s="948"/>
      <c r="BN868" s="948"/>
      <c r="BO868" s="948"/>
      <c r="BP868" s="948"/>
      <c r="BQ868" s="948"/>
      <c r="BR868" s="948"/>
      <c r="BS868" s="948"/>
      <c r="BT868" s="948"/>
      <c r="BU868" s="954"/>
    </row>
    <row r="869" spans="1:73" ht="15.75" customHeight="1" x14ac:dyDescent="0.2">
      <c r="A869" s="947"/>
      <c r="B869" s="947"/>
      <c r="C869" s="947"/>
      <c r="D869" s="948"/>
      <c r="E869" s="948"/>
      <c r="F869" s="948"/>
      <c r="G869" s="948"/>
      <c r="H869" s="948"/>
      <c r="I869" s="948"/>
      <c r="J869" s="948"/>
      <c r="K869" s="949"/>
      <c r="L869" s="949"/>
      <c r="M869" s="949"/>
      <c r="N869" s="950"/>
      <c r="O869" s="948"/>
      <c r="P869" s="948"/>
      <c r="Q869" s="948"/>
      <c r="R869" s="949"/>
      <c r="S869" s="949"/>
      <c r="T869" s="949"/>
      <c r="U869" s="949"/>
      <c r="V869" s="949"/>
      <c r="W869" s="949"/>
      <c r="X869" s="951"/>
      <c r="Y869" s="951"/>
      <c r="Z869" s="952"/>
      <c r="AA869" s="953"/>
      <c r="AB869" s="948"/>
      <c r="AC869" s="948"/>
      <c r="AD869" s="949"/>
      <c r="AE869" s="949"/>
      <c r="AF869" s="949"/>
      <c r="AG869" s="949"/>
      <c r="AH869" s="949"/>
      <c r="AI869" s="949"/>
      <c r="AJ869" s="949"/>
      <c r="AK869" s="949"/>
      <c r="AL869" s="949"/>
      <c r="AM869" s="949"/>
      <c r="AN869" s="949"/>
      <c r="AO869" s="949"/>
      <c r="AP869" s="949"/>
      <c r="AQ869" s="949"/>
      <c r="AR869" s="949"/>
      <c r="AS869" s="949"/>
      <c r="AT869" s="949"/>
      <c r="AU869" s="949"/>
      <c r="AV869" s="949"/>
      <c r="AW869" s="949"/>
      <c r="AX869" s="949"/>
      <c r="AY869" s="949"/>
      <c r="AZ869" s="949"/>
      <c r="BA869" s="949"/>
      <c r="BB869" s="949"/>
      <c r="BC869" s="949"/>
      <c r="BD869" s="949"/>
      <c r="BE869" s="949"/>
      <c r="BF869" s="949"/>
      <c r="BG869" s="948"/>
      <c r="BH869" s="948"/>
      <c r="BI869" s="948"/>
      <c r="BJ869" s="948"/>
      <c r="BK869" s="948"/>
      <c r="BL869" s="948"/>
      <c r="BM869" s="948"/>
      <c r="BN869" s="948"/>
      <c r="BO869" s="948"/>
      <c r="BP869" s="948"/>
      <c r="BQ869" s="948"/>
      <c r="BR869" s="948"/>
      <c r="BS869" s="948"/>
      <c r="BT869" s="948"/>
      <c r="BU869" s="954"/>
    </row>
    <row r="870" spans="1:73" ht="15.75" customHeight="1" x14ac:dyDescent="0.2">
      <c r="A870" s="947"/>
      <c r="B870" s="947"/>
      <c r="C870" s="947"/>
      <c r="D870" s="948"/>
      <c r="E870" s="948"/>
      <c r="F870" s="948"/>
      <c r="G870" s="948"/>
      <c r="H870" s="948"/>
      <c r="I870" s="948"/>
      <c r="J870" s="948"/>
      <c r="K870" s="949"/>
      <c r="L870" s="949"/>
      <c r="M870" s="949"/>
      <c r="N870" s="950"/>
      <c r="O870" s="948"/>
      <c r="P870" s="948"/>
      <c r="Q870" s="948"/>
      <c r="R870" s="949"/>
      <c r="S870" s="949"/>
      <c r="T870" s="949"/>
      <c r="U870" s="949"/>
      <c r="V870" s="949"/>
      <c r="W870" s="949"/>
      <c r="X870" s="951"/>
      <c r="Y870" s="951"/>
      <c r="Z870" s="952"/>
      <c r="AA870" s="953"/>
      <c r="AB870" s="948"/>
      <c r="AC870" s="948"/>
      <c r="AD870" s="949"/>
      <c r="AE870" s="949"/>
      <c r="AF870" s="949"/>
      <c r="AG870" s="949"/>
      <c r="AH870" s="949"/>
      <c r="AI870" s="949"/>
      <c r="AJ870" s="949"/>
      <c r="AK870" s="949"/>
      <c r="AL870" s="949"/>
      <c r="AM870" s="949"/>
      <c r="AN870" s="949"/>
      <c r="AO870" s="949"/>
      <c r="AP870" s="949"/>
      <c r="AQ870" s="949"/>
      <c r="AR870" s="949"/>
      <c r="AS870" s="949"/>
      <c r="AT870" s="949"/>
      <c r="AU870" s="949"/>
      <c r="AV870" s="949"/>
      <c r="AW870" s="949"/>
      <c r="AX870" s="949"/>
      <c r="AY870" s="949"/>
      <c r="AZ870" s="949"/>
      <c r="BA870" s="949"/>
      <c r="BB870" s="949"/>
      <c r="BC870" s="949"/>
      <c r="BD870" s="949"/>
      <c r="BE870" s="949"/>
      <c r="BF870" s="949"/>
      <c r="BG870" s="948"/>
      <c r="BH870" s="948"/>
      <c r="BI870" s="948"/>
      <c r="BJ870" s="948"/>
      <c r="BK870" s="948"/>
      <c r="BL870" s="948"/>
      <c r="BM870" s="948"/>
      <c r="BN870" s="948"/>
      <c r="BO870" s="948"/>
      <c r="BP870" s="948"/>
      <c r="BQ870" s="948"/>
      <c r="BR870" s="948"/>
      <c r="BS870" s="948"/>
      <c r="BT870" s="948"/>
      <c r="BU870" s="954"/>
    </row>
    <row r="871" spans="1:73" ht="15.75" customHeight="1" x14ac:dyDescent="0.2">
      <c r="A871" s="947"/>
      <c r="B871" s="947"/>
      <c r="C871" s="947"/>
      <c r="D871" s="948"/>
      <c r="E871" s="948"/>
      <c r="F871" s="948"/>
      <c r="G871" s="948"/>
      <c r="H871" s="948"/>
      <c r="I871" s="948"/>
      <c r="J871" s="948"/>
      <c r="K871" s="949"/>
      <c r="L871" s="949"/>
      <c r="M871" s="949"/>
      <c r="N871" s="950"/>
      <c r="O871" s="948"/>
      <c r="P871" s="948"/>
      <c r="Q871" s="948"/>
      <c r="R871" s="949"/>
      <c r="S871" s="949"/>
      <c r="T871" s="949"/>
      <c r="U871" s="949"/>
      <c r="V871" s="949"/>
      <c r="W871" s="949"/>
      <c r="X871" s="951"/>
      <c r="Y871" s="951"/>
      <c r="Z871" s="952"/>
      <c r="AA871" s="953"/>
      <c r="AB871" s="948"/>
      <c r="AC871" s="948"/>
      <c r="AD871" s="949"/>
      <c r="AE871" s="949"/>
      <c r="AF871" s="949"/>
      <c r="AG871" s="949"/>
      <c r="AH871" s="949"/>
      <c r="AI871" s="949"/>
      <c r="AJ871" s="949"/>
      <c r="AK871" s="949"/>
      <c r="AL871" s="949"/>
      <c r="AM871" s="949"/>
      <c r="AN871" s="949"/>
      <c r="AO871" s="949"/>
      <c r="AP871" s="949"/>
      <c r="AQ871" s="949"/>
      <c r="AR871" s="949"/>
      <c r="AS871" s="949"/>
      <c r="AT871" s="949"/>
      <c r="AU871" s="949"/>
      <c r="AV871" s="949"/>
      <c r="AW871" s="949"/>
      <c r="AX871" s="949"/>
      <c r="AY871" s="949"/>
      <c r="AZ871" s="949"/>
      <c r="BA871" s="949"/>
      <c r="BB871" s="949"/>
      <c r="BC871" s="949"/>
      <c r="BD871" s="949"/>
      <c r="BE871" s="949"/>
      <c r="BF871" s="949"/>
      <c r="BG871" s="948"/>
      <c r="BH871" s="948"/>
      <c r="BI871" s="948"/>
      <c r="BJ871" s="948"/>
      <c r="BK871" s="948"/>
      <c r="BL871" s="948"/>
      <c r="BM871" s="948"/>
      <c r="BN871" s="948"/>
      <c r="BO871" s="948"/>
      <c r="BP871" s="948"/>
      <c r="BQ871" s="948"/>
      <c r="BR871" s="948"/>
      <c r="BS871" s="948"/>
      <c r="BT871" s="948"/>
      <c r="BU871" s="954"/>
    </row>
    <row r="872" spans="1:73" ht="15.75" customHeight="1" x14ac:dyDescent="0.2">
      <c r="A872" s="947"/>
      <c r="B872" s="947"/>
      <c r="C872" s="947"/>
      <c r="D872" s="948"/>
      <c r="E872" s="948"/>
      <c r="F872" s="948"/>
      <c r="G872" s="948"/>
      <c r="H872" s="948"/>
      <c r="I872" s="948"/>
      <c r="J872" s="948"/>
      <c r="K872" s="949"/>
      <c r="L872" s="949"/>
      <c r="M872" s="949"/>
      <c r="N872" s="950"/>
      <c r="O872" s="948"/>
      <c r="P872" s="948"/>
      <c r="Q872" s="948"/>
      <c r="R872" s="949"/>
      <c r="S872" s="949"/>
      <c r="T872" s="949"/>
      <c r="U872" s="949"/>
      <c r="V872" s="949"/>
      <c r="W872" s="949"/>
      <c r="X872" s="951"/>
      <c r="Y872" s="951"/>
      <c r="Z872" s="952"/>
      <c r="AA872" s="953"/>
      <c r="AB872" s="948"/>
      <c r="AC872" s="948"/>
      <c r="AD872" s="949"/>
      <c r="AE872" s="949"/>
      <c r="AF872" s="949"/>
      <c r="AG872" s="949"/>
      <c r="AH872" s="949"/>
      <c r="AI872" s="949"/>
      <c r="AJ872" s="949"/>
      <c r="AK872" s="949"/>
      <c r="AL872" s="949"/>
      <c r="AM872" s="949"/>
      <c r="AN872" s="949"/>
      <c r="AO872" s="949"/>
      <c r="AP872" s="949"/>
      <c r="AQ872" s="949"/>
      <c r="AR872" s="949"/>
      <c r="AS872" s="949"/>
      <c r="AT872" s="949"/>
      <c r="AU872" s="949"/>
      <c r="AV872" s="949"/>
      <c r="AW872" s="949"/>
      <c r="AX872" s="949"/>
      <c r="AY872" s="949"/>
      <c r="AZ872" s="949"/>
      <c r="BA872" s="949"/>
      <c r="BB872" s="949"/>
      <c r="BC872" s="949"/>
      <c r="BD872" s="949"/>
      <c r="BE872" s="949"/>
      <c r="BF872" s="949"/>
      <c r="BG872" s="948"/>
      <c r="BH872" s="948"/>
      <c r="BI872" s="948"/>
      <c r="BJ872" s="948"/>
      <c r="BK872" s="948"/>
      <c r="BL872" s="948"/>
      <c r="BM872" s="948"/>
      <c r="BN872" s="948"/>
      <c r="BO872" s="948"/>
      <c r="BP872" s="948"/>
      <c r="BQ872" s="948"/>
      <c r="BR872" s="948"/>
      <c r="BS872" s="948"/>
      <c r="BT872" s="948"/>
      <c r="BU872" s="954"/>
    </row>
    <row r="873" spans="1:73" ht="15.75" customHeight="1" x14ac:dyDescent="0.2">
      <c r="A873" s="947"/>
      <c r="B873" s="947"/>
      <c r="C873" s="947"/>
      <c r="D873" s="948"/>
      <c r="E873" s="948"/>
      <c r="F873" s="948"/>
      <c r="G873" s="948"/>
      <c r="H873" s="948"/>
      <c r="I873" s="948"/>
      <c r="J873" s="948"/>
      <c r="K873" s="949"/>
      <c r="L873" s="949"/>
      <c r="M873" s="949"/>
      <c r="N873" s="950"/>
      <c r="O873" s="948"/>
      <c r="P873" s="948"/>
      <c r="Q873" s="948"/>
      <c r="R873" s="949"/>
      <c r="S873" s="949"/>
      <c r="T873" s="949"/>
      <c r="U873" s="949"/>
      <c r="V873" s="949"/>
      <c r="W873" s="949"/>
      <c r="X873" s="951"/>
      <c r="Y873" s="951"/>
      <c r="Z873" s="952"/>
      <c r="AA873" s="953"/>
      <c r="AB873" s="948"/>
      <c r="AC873" s="948"/>
      <c r="AD873" s="949"/>
      <c r="AE873" s="949"/>
      <c r="AF873" s="949"/>
      <c r="AG873" s="949"/>
      <c r="AH873" s="949"/>
      <c r="AI873" s="949"/>
      <c r="AJ873" s="949"/>
      <c r="AK873" s="949"/>
      <c r="AL873" s="949"/>
      <c r="AM873" s="949"/>
      <c r="AN873" s="949"/>
      <c r="AO873" s="949"/>
      <c r="AP873" s="949"/>
      <c r="AQ873" s="949"/>
      <c r="AR873" s="949"/>
      <c r="AS873" s="949"/>
      <c r="AT873" s="949"/>
      <c r="AU873" s="949"/>
      <c r="AV873" s="949"/>
      <c r="AW873" s="949"/>
      <c r="AX873" s="949"/>
      <c r="AY873" s="949"/>
      <c r="AZ873" s="949"/>
      <c r="BA873" s="949"/>
      <c r="BB873" s="949"/>
      <c r="BC873" s="949"/>
      <c r="BD873" s="949"/>
      <c r="BE873" s="949"/>
      <c r="BF873" s="949"/>
      <c r="BG873" s="948"/>
      <c r="BH873" s="948"/>
      <c r="BI873" s="948"/>
      <c r="BJ873" s="948"/>
      <c r="BK873" s="948"/>
      <c r="BL873" s="948"/>
      <c r="BM873" s="948"/>
      <c r="BN873" s="948"/>
      <c r="BO873" s="948"/>
      <c r="BP873" s="948"/>
      <c r="BQ873" s="948"/>
      <c r="BR873" s="948"/>
      <c r="BS873" s="948"/>
      <c r="BT873" s="948"/>
      <c r="BU873" s="954"/>
    </row>
    <row r="874" spans="1:73" ht="15.75" customHeight="1" x14ac:dyDescent="0.2">
      <c r="A874" s="947"/>
      <c r="B874" s="947"/>
      <c r="C874" s="947"/>
      <c r="D874" s="948"/>
      <c r="E874" s="948"/>
      <c r="F874" s="948"/>
      <c r="G874" s="948"/>
      <c r="H874" s="948"/>
      <c r="I874" s="948"/>
      <c r="J874" s="948"/>
      <c r="K874" s="949"/>
      <c r="L874" s="949"/>
      <c r="M874" s="949"/>
      <c r="N874" s="950"/>
      <c r="O874" s="948"/>
      <c r="P874" s="948"/>
      <c r="Q874" s="948"/>
      <c r="R874" s="949"/>
      <c r="S874" s="949"/>
      <c r="T874" s="949"/>
      <c r="U874" s="949"/>
      <c r="V874" s="949"/>
      <c r="W874" s="949"/>
      <c r="X874" s="951"/>
      <c r="Y874" s="951"/>
      <c r="Z874" s="952"/>
      <c r="AA874" s="953"/>
      <c r="AB874" s="948"/>
      <c r="AC874" s="948"/>
      <c r="AD874" s="949"/>
      <c r="AE874" s="949"/>
      <c r="AF874" s="949"/>
      <c r="AG874" s="949"/>
      <c r="AH874" s="949"/>
      <c r="AI874" s="949"/>
      <c r="AJ874" s="949"/>
      <c r="AK874" s="949"/>
      <c r="AL874" s="949"/>
      <c r="AM874" s="949"/>
      <c r="AN874" s="949"/>
      <c r="AO874" s="949"/>
      <c r="AP874" s="949"/>
      <c r="AQ874" s="949"/>
      <c r="AR874" s="949"/>
      <c r="AS874" s="949"/>
      <c r="AT874" s="949"/>
      <c r="AU874" s="949"/>
      <c r="AV874" s="949"/>
      <c r="AW874" s="949"/>
      <c r="AX874" s="949"/>
      <c r="AY874" s="949"/>
      <c r="AZ874" s="949"/>
      <c r="BA874" s="949"/>
      <c r="BB874" s="949"/>
      <c r="BC874" s="949"/>
      <c r="BD874" s="949"/>
      <c r="BE874" s="949"/>
      <c r="BF874" s="949"/>
      <c r="BG874" s="948"/>
      <c r="BH874" s="948"/>
      <c r="BI874" s="948"/>
      <c r="BJ874" s="948"/>
      <c r="BK874" s="948"/>
      <c r="BL874" s="948"/>
      <c r="BM874" s="948"/>
      <c r="BN874" s="948"/>
      <c r="BO874" s="948"/>
      <c r="BP874" s="948"/>
      <c r="BQ874" s="948"/>
      <c r="BR874" s="948"/>
      <c r="BS874" s="948"/>
      <c r="BT874" s="948"/>
      <c r="BU874" s="954"/>
    </row>
    <row r="875" spans="1:73" ht="15.75" customHeight="1" x14ac:dyDescent="0.2">
      <c r="A875" s="947"/>
      <c r="B875" s="947"/>
      <c r="C875" s="947"/>
      <c r="D875" s="948"/>
      <c r="E875" s="948"/>
      <c r="F875" s="948"/>
      <c r="G875" s="948"/>
      <c r="H875" s="948"/>
      <c r="I875" s="948"/>
      <c r="J875" s="948"/>
      <c r="K875" s="949"/>
      <c r="L875" s="949"/>
      <c r="M875" s="949"/>
      <c r="N875" s="950"/>
      <c r="O875" s="948"/>
      <c r="P875" s="948"/>
      <c r="Q875" s="948"/>
      <c r="R875" s="949"/>
      <c r="S875" s="949"/>
      <c r="T875" s="949"/>
      <c r="U875" s="949"/>
      <c r="V875" s="949"/>
      <c r="W875" s="949"/>
      <c r="X875" s="951"/>
      <c r="Y875" s="951"/>
      <c r="Z875" s="952"/>
      <c r="AA875" s="953"/>
      <c r="AB875" s="948"/>
      <c r="AC875" s="948"/>
      <c r="AD875" s="949"/>
      <c r="AE875" s="949"/>
      <c r="AF875" s="949"/>
      <c r="AG875" s="949"/>
      <c r="AH875" s="949"/>
      <c r="AI875" s="949"/>
      <c r="AJ875" s="949"/>
      <c r="AK875" s="949"/>
      <c r="AL875" s="949"/>
      <c r="AM875" s="949"/>
      <c r="AN875" s="949"/>
      <c r="AO875" s="949"/>
      <c r="AP875" s="949"/>
      <c r="AQ875" s="949"/>
      <c r="AR875" s="949"/>
      <c r="AS875" s="949"/>
      <c r="AT875" s="949"/>
      <c r="AU875" s="949"/>
      <c r="AV875" s="949"/>
      <c r="AW875" s="949"/>
      <c r="AX875" s="949"/>
      <c r="AY875" s="949"/>
      <c r="AZ875" s="949"/>
      <c r="BA875" s="949"/>
      <c r="BB875" s="949"/>
      <c r="BC875" s="949"/>
      <c r="BD875" s="949"/>
      <c r="BE875" s="949"/>
      <c r="BF875" s="949"/>
      <c r="BG875" s="948"/>
      <c r="BH875" s="948"/>
      <c r="BI875" s="948"/>
      <c r="BJ875" s="948"/>
      <c r="BK875" s="948"/>
      <c r="BL875" s="948"/>
      <c r="BM875" s="948"/>
      <c r="BN875" s="948"/>
      <c r="BO875" s="948"/>
      <c r="BP875" s="948"/>
      <c r="BQ875" s="948"/>
      <c r="BR875" s="948"/>
      <c r="BS875" s="948"/>
      <c r="BT875" s="948"/>
      <c r="BU875" s="954"/>
    </row>
    <row r="876" spans="1:73" ht="15.75" customHeight="1" x14ac:dyDescent="0.2">
      <c r="A876" s="947"/>
      <c r="B876" s="947"/>
      <c r="C876" s="947"/>
      <c r="D876" s="948"/>
      <c r="E876" s="948"/>
      <c r="F876" s="948"/>
      <c r="G876" s="948"/>
      <c r="H876" s="948"/>
      <c r="I876" s="948"/>
      <c r="J876" s="948"/>
      <c r="K876" s="949"/>
      <c r="L876" s="949"/>
      <c r="M876" s="949"/>
      <c r="N876" s="950"/>
      <c r="O876" s="948"/>
      <c r="P876" s="948"/>
      <c r="Q876" s="948"/>
      <c r="R876" s="949"/>
      <c r="S876" s="949"/>
      <c r="T876" s="949"/>
      <c r="U876" s="949"/>
      <c r="V876" s="949"/>
      <c r="W876" s="949"/>
      <c r="X876" s="951"/>
      <c r="Y876" s="951"/>
      <c r="Z876" s="952"/>
      <c r="AA876" s="953"/>
      <c r="AB876" s="948"/>
      <c r="AC876" s="948"/>
      <c r="AD876" s="949"/>
      <c r="AE876" s="949"/>
      <c r="AF876" s="949"/>
      <c r="AG876" s="949"/>
      <c r="AH876" s="949"/>
      <c r="AI876" s="949"/>
      <c r="AJ876" s="949"/>
      <c r="AK876" s="949"/>
      <c r="AL876" s="949"/>
      <c r="AM876" s="949"/>
      <c r="AN876" s="949"/>
      <c r="AO876" s="949"/>
      <c r="AP876" s="949"/>
      <c r="AQ876" s="949"/>
      <c r="AR876" s="949"/>
      <c r="AS876" s="949"/>
      <c r="AT876" s="949"/>
      <c r="AU876" s="949"/>
      <c r="AV876" s="949"/>
      <c r="AW876" s="949"/>
      <c r="AX876" s="949"/>
      <c r="AY876" s="949"/>
      <c r="AZ876" s="949"/>
      <c r="BA876" s="949"/>
      <c r="BB876" s="949"/>
      <c r="BC876" s="949"/>
      <c r="BD876" s="949"/>
      <c r="BE876" s="949"/>
      <c r="BF876" s="949"/>
      <c r="BG876" s="948"/>
      <c r="BH876" s="948"/>
      <c r="BI876" s="948"/>
      <c r="BJ876" s="948"/>
      <c r="BK876" s="948"/>
      <c r="BL876" s="948"/>
      <c r="BM876" s="948"/>
      <c r="BN876" s="948"/>
      <c r="BO876" s="948"/>
      <c r="BP876" s="948"/>
      <c r="BQ876" s="948"/>
      <c r="BR876" s="948"/>
      <c r="BS876" s="948"/>
      <c r="BT876" s="948"/>
      <c r="BU876" s="954"/>
    </row>
    <row r="877" spans="1:73" ht="15.75" customHeight="1" x14ac:dyDescent="0.2">
      <c r="A877" s="947"/>
      <c r="B877" s="947"/>
      <c r="C877" s="947"/>
      <c r="D877" s="948"/>
      <c r="E877" s="948"/>
      <c r="F877" s="948"/>
      <c r="G877" s="948"/>
      <c r="H877" s="948"/>
      <c r="I877" s="948"/>
      <c r="J877" s="948"/>
      <c r="K877" s="949"/>
      <c r="L877" s="949"/>
      <c r="M877" s="949"/>
      <c r="N877" s="950"/>
      <c r="O877" s="948"/>
      <c r="P877" s="948"/>
      <c r="Q877" s="948"/>
      <c r="R877" s="949"/>
      <c r="S877" s="949"/>
      <c r="T877" s="949"/>
      <c r="U877" s="949"/>
      <c r="V877" s="949"/>
      <c r="W877" s="949"/>
      <c r="X877" s="951"/>
      <c r="Y877" s="951"/>
      <c r="Z877" s="952"/>
      <c r="AA877" s="953"/>
      <c r="AB877" s="948"/>
      <c r="AC877" s="948"/>
      <c r="AD877" s="949"/>
      <c r="AE877" s="949"/>
      <c r="AF877" s="949"/>
      <c r="AG877" s="949"/>
      <c r="AH877" s="949"/>
      <c r="AI877" s="949"/>
      <c r="AJ877" s="949"/>
      <c r="AK877" s="949"/>
      <c r="AL877" s="949"/>
      <c r="AM877" s="949"/>
      <c r="AN877" s="949"/>
      <c r="AO877" s="949"/>
      <c r="AP877" s="949"/>
      <c r="AQ877" s="949"/>
      <c r="AR877" s="949"/>
      <c r="AS877" s="949"/>
      <c r="AT877" s="949"/>
      <c r="AU877" s="949"/>
      <c r="AV877" s="949"/>
      <c r="AW877" s="949"/>
      <c r="AX877" s="949"/>
      <c r="AY877" s="949"/>
      <c r="AZ877" s="949"/>
      <c r="BA877" s="949"/>
      <c r="BB877" s="949"/>
      <c r="BC877" s="949"/>
      <c r="BD877" s="949"/>
      <c r="BE877" s="949"/>
      <c r="BF877" s="949"/>
      <c r="BG877" s="948"/>
      <c r="BH877" s="948"/>
      <c r="BI877" s="948"/>
      <c r="BJ877" s="948"/>
      <c r="BK877" s="948"/>
      <c r="BL877" s="948"/>
      <c r="BM877" s="948"/>
      <c r="BN877" s="948"/>
      <c r="BO877" s="948"/>
      <c r="BP877" s="948"/>
      <c r="BQ877" s="948"/>
      <c r="BR877" s="948"/>
      <c r="BS877" s="948"/>
      <c r="BT877" s="948"/>
      <c r="BU877" s="954"/>
    </row>
    <row r="878" spans="1:73" ht="15.75" customHeight="1" x14ac:dyDescent="0.2">
      <c r="A878" s="947"/>
      <c r="B878" s="947"/>
      <c r="C878" s="947"/>
      <c r="D878" s="948"/>
      <c r="E878" s="948"/>
      <c r="F878" s="948"/>
      <c r="G878" s="948"/>
      <c r="H878" s="948"/>
      <c r="I878" s="948"/>
      <c r="J878" s="948"/>
      <c r="K878" s="949"/>
      <c r="L878" s="949"/>
      <c r="M878" s="949"/>
      <c r="N878" s="950"/>
      <c r="O878" s="948"/>
      <c r="P878" s="948"/>
      <c r="Q878" s="948"/>
      <c r="R878" s="949"/>
      <c r="S878" s="949"/>
      <c r="T878" s="949"/>
      <c r="U878" s="949"/>
      <c r="V878" s="949"/>
      <c r="W878" s="949"/>
      <c r="X878" s="951"/>
      <c r="Y878" s="951"/>
      <c r="Z878" s="952"/>
      <c r="AA878" s="953"/>
      <c r="AB878" s="948"/>
      <c r="AC878" s="948"/>
      <c r="AD878" s="949"/>
      <c r="AE878" s="949"/>
      <c r="AF878" s="949"/>
      <c r="AG878" s="949"/>
      <c r="AH878" s="949"/>
      <c r="AI878" s="949"/>
      <c r="AJ878" s="949"/>
      <c r="AK878" s="949"/>
      <c r="AL878" s="949"/>
      <c r="AM878" s="949"/>
      <c r="AN878" s="949"/>
      <c r="AO878" s="949"/>
      <c r="AP878" s="949"/>
      <c r="AQ878" s="949"/>
      <c r="AR878" s="949"/>
      <c r="AS878" s="949"/>
      <c r="AT878" s="949"/>
      <c r="AU878" s="949"/>
      <c r="AV878" s="949"/>
      <c r="AW878" s="949"/>
      <c r="AX878" s="949"/>
      <c r="AY878" s="949"/>
      <c r="AZ878" s="949"/>
      <c r="BA878" s="949"/>
      <c r="BB878" s="949"/>
      <c r="BC878" s="949"/>
      <c r="BD878" s="949"/>
      <c r="BE878" s="949"/>
      <c r="BF878" s="949"/>
      <c r="BG878" s="948"/>
      <c r="BH878" s="948"/>
      <c r="BI878" s="948"/>
      <c r="BJ878" s="948"/>
      <c r="BK878" s="948"/>
      <c r="BL878" s="948"/>
      <c r="BM878" s="948"/>
      <c r="BN878" s="948"/>
      <c r="BO878" s="948"/>
      <c r="BP878" s="948"/>
      <c r="BQ878" s="948"/>
      <c r="BR878" s="948"/>
      <c r="BS878" s="948"/>
      <c r="BT878" s="948"/>
      <c r="BU878" s="954"/>
    </row>
    <row r="879" spans="1:73" ht="15.75" customHeight="1" x14ac:dyDescent="0.2">
      <c r="A879" s="947"/>
      <c r="B879" s="947"/>
      <c r="C879" s="947"/>
      <c r="D879" s="948"/>
      <c r="E879" s="948"/>
      <c r="F879" s="948"/>
      <c r="G879" s="948"/>
      <c r="H879" s="948"/>
      <c r="I879" s="948"/>
      <c r="J879" s="948"/>
      <c r="K879" s="949"/>
      <c r="L879" s="949"/>
      <c r="M879" s="949"/>
      <c r="N879" s="950"/>
      <c r="O879" s="948"/>
      <c r="P879" s="948"/>
      <c r="Q879" s="948"/>
      <c r="R879" s="949"/>
      <c r="S879" s="949"/>
      <c r="T879" s="949"/>
      <c r="U879" s="949"/>
      <c r="V879" s="949"/>
      <c r="W879" s="949"/>
      <c r="X879" s="951"/>
      <c r="Y879" s="951"/>
      <c r="Z879" s="952"/>
      <c r="AA879" s="953"/>
      <c r="AB879" s="948"/>
      <c r="AC879" s="948"/>
      <c r="AD879" s="949"/>
      <c r="AE879" s="949"/>
      <c r="AF879" s="949"/>
      <c r="AG879" s="949"/>
      <c r="AH879" s="949"/>
      <c r="AI879" s="949"/>
      <c r="AJ879" s="949"/>
      <c r="AK879" s="949"/>
      <c r="AL879" s="949"/>
      <c r="AM879" s="949"/>
      <c r="AN879" s="949"/>
      <c r="AO879" s="949"/>
      <c r="AP879" s="949"/>
      <c r="AQ879" s="949"/>
      <c r="AR879" s="949"/>
      <c r="AS879" s="949"/>
      <c r="AT879" s="949"/>
      <c r="AU879" s="949"/>
      <c r="AV879" s="949"/>
      <c r="AW879" s="949"/>
      <c r="AX879" s="949"/>
      <c r="AY879" s="949"/>
      <c r="AZ879" s="949"/>
      <c r="BA879" s="949"/>
      <c r="BB879" s="949"/>
      <c r="BC879" s="949"/>
      <c r="BD879" s="949"/>
      <c r="BE879" s="949"/>
      <c r="BF879" s="949"/>
      <c r="BG879" s="948"/>
      <c r="BH879" s="948"/>
      <c r="BI879" s="948"/>
      <c r="BJ879" s="948"/>
      <c r="BK879" s="948"/>
      <c r="BL879" s="948"/>
      <c r="BM879" s="948"/>
      <c r="BN879" s="948"/>
      <c r="BO879" s="948"/>
      <c r="BP879" s="948"/>
      <c r="BQ879" s="948"/>
      <c r="BR879" s="948"/>
      <c r="BS879" s="948"/>
      <c r="BT879" s="948"/>
      <c r="BU879" s="954"/>
    </row>
    <row r="880" spans="1:73" ht="15.75" customHeight="1" x14ac:dyDescent="0.2">
      <c r="A880" s="947"/>
      <c r="B880" s="947"/>
      <c r="C880" s="947"/>
      <c r="D880" s="948"/>
      <c r="E880" s="948"/>
      <c r="F880" s="948"/>
      <c r="G880" s="948"/>
      <c r="H880" s="948"/>
      <c r="I880" s="948"/>
      <c r="J880" s="948"/>
      <c r="K880" s="949"/>
      <c r="L880" s="949"/>
      <c r="M880" s="949"/>
      <c r="N880" s="950"/>
      <c r="O880" s="948"/>
      <c r="P880" s="948"/>
      <c r="Q880" s="948"/>
      <c r="R880" s="949"/>
      <c r="S880" s="949"/>
      <c r="T880" s="949"/>
      <c r="U880" s="949"/>
      <c r="V880" s="949"/>
      <c r="W880" s="949"/>
      <c r="X880" s="951"/>
      <c r="Y880" s="951"/>
      <c r="Z880" s="952"/>
      <c r="AA880" s="953"/>
      <c r="AB880" s="948"/>
      <c r="AC880" s="948"/>
      <c r="AD880" s="949"/>
      <c r="AE880" s="949"/>
      <c r="AF880" s="949"/>
      <c r="AG880" s="949"/>
      <c r="AH880" s="949"/>
      <c r="AI880" s="949"/>
      <c r="AJ880" s="949"/>
      <c r="AK880" s="949"/>
      <c r="AL880" s="949"/>
      <c r="AM880" s="949"/>
      <c r="AN880" s="949"/>
      <c r="AO880" s="949"/>
      <c r="AP880" s="949"/>
      <c r="AQ880" s="949"/>
      <c r="AR880" s="949"/>
      <c r="AS880" s="949"/>
      <c r="AT880" s="949"/>
      <c r="AU880" s="949"/>
      <c r="AV880" s="949"/>
      <c r="AW880" s="949"/>
      <c r="AX880" s="949"/>
      <c r="AY880" s="949"/>
      <c r="AZ880" s="949"/>
      <c r="BA880" s="949"/>
      <c r="BB880" s="949"/>
      <c r="BC880" s="949"/>
      <c r="BD880" s="949"/>
      <c r="BE880" s="949"/>
      <c r="BF880" s="949"/>
      <c r="BG880" s="948"/>
      <c r="BH880" s="948"/>
      <c r="BI880" s="948"/>
      <c r="BJ880" s="948"/>
      <c r="BK880" s="948"/>
      <c r="BL880" s="948"/>
      <c r="BM880" s="948"/>
      <c r="BN880" s="948"/>
      <c r="BO880" s="948"/>
      <c r="BP880" s="948"/>
      <c r="BQ880" s="948"/>
      <c r="BR880" s="948"/>
      <c r="BS880" s="948"/>
      <c r="BT880" s="948"/>
      <c r="BU880" s="954"/>
    </row>
    <row r="881" spans="1:73" ht="15.75" customHeight="1" x14ac:dyDescent="0.2">
      <c r="A881" s="947"/>
      <c r="B881" s="947"/>
      <c r="C881" s="947"/>
      <c r="D881" s="948"/>
      <c r="E881" s="948"/>
      <c r="F881" s="948"/>
      <c r="G881" s="948"/>
      <c r="H881" s="948"/>
      <c r="I881" s="948"/>
      <c r="J881" s="948"/>
      <c r="K881" s="949"/>
      <c r="L881" s="949"/>
      <c r="M881" s="949"/>
      <c r="N881" s="950"/>
      <c r="O881" s="948"/>
      <c r="P881" s="948"/>
      <c r="Q881" s="948"/>
      <c r="R881" s="949"/>
      <c r="S881" s="949"/>
      <c r="T881" s="949"/>
      <c r="U881" s="949"/>
      <c r="V881" s="949"/>
      <c r="W881" s="949"/>
      <c r="X881" s="951"/>
      <c r="Y881" s="951"/>
      <c r="Z881" s="952"/>
      <c r="AA881" s="953"/>
      <c r="AB881" s="948"/>
      <c r="AC881" s="948"/>
      <c r="AD881" s="949"/>
      <c r="AE881" s="949"/>
      <c r="AF881" s="949"/>
      <c r="AG881" s="949"/>
      <c r="AH881" s="949"/>
      <c r="AI881" s="949"/>
      <c r="AJ881" s="949"/>
      <c r="AK881" s="949"/>
      <c r="AL881" s="949"/>
      <c r="AM881" s="949"/>
      <c r="AN881" s="949"/>
      <c r="AO881" s="949"/>
      <c r="AP881" s="949"/>
      <c r="AQ881" s="949"/>
      <c r="AR881" s="949"/>
      <c r="AS881" s="949"/>
      <c r="AT881" s="949"/>
      <c r="AU881" s="949"/>
      <c r="AV881" s="949"/>
      <c r="AW881" s="949"/>
      <c r="AX881" s="949"/>
      <c r="AY881" s="949"/>
      <c r="AZ881" s="949"/>
      <c r="BA881" s="949"/>
      <c r="BB881" s="949"/>
      <c r="BC881" s="949"/>
      <c r="BD881" s="949"/>
      <c r="BE881" s="949"/>
      <c r="BF881" s="949"/>
      <c r="BG881" s="948"/>
      <c r="BH881" s="948"/>
      <c r="BI881" s="948"/>
      <c r="BJ881" s="948"/>
      <c r="BK881" s="948"/>
      <c r="BL881" s="948"/>
      <c r="BM881" s="948"/>
      <c r="BN881" s="948"/>
      <c r="BO881" s="948"/>
      <c r="BP881" s="948"/>
      <c r="BQ881" s="948"/>
      <c r="BR881" s="948"/>
      <c r="BS881" s="948"/>
      <c r="BT881" s="948"/>
      <c r="BU881" s="954"/>
    </row>
    <row r="882" spans="1:73" ht="15.75" customHeight="1" x14ac:dyDescent="0.2">
      <c r="A882" s="947"/>
      <c r="B882" s="947"/>
      <c r="C882" s="947"/>
      <c r="D882" s="948"/>
      <c r="E882" s="948"/>
      <c r="F882" s="948"/>
      <c r="G882" s="948"/>
      <c r="H882" s="948"/>
      <c r="I882" s="948"/>
      <c r="J882" s="948"/>
      <c r="K882" s="949"/>
      <c r="L882" s="949"/>
      <c r="M882" s="949"/>
      <c r="N882" s="950"/>
      <c r="O882" s="948"/>
      <c r="P882" s="948"/>
      <c r="Q882" s="948"/>
      <c r="R882" s="949"/>
      <c r="S882" s="949"/>
      <c r="T882" s="949"/>
      <c r="U882" s="949"/>
      <c r="V882" s="949"/>
      <c r="W882" s="949"/>
      <c r="X882" s="951"/>
      <c r="Y882" s="951"/>
      <c r="Z882" s="952"/>
      <c r="AA882" s="953"/>
      <c r="AB882" s="948"/>
      <c r="AC882" s="948"/>
      <c r="AD882" s="949"/>
      <c r="AE882" s="949"/>
      <c r="AF882" s="949"/>
      <c r="AG882" s="949"/>
      <c r="AH882" s="949"/>
      <c r="AI882" s="949"/>
      <c r="AJ882" s="949"/>
      <c r="AK882" s="949"/>
      <c r="AL882" s="949"/>
      <c r="AM882" s="949"/>
      <c r="AN882" s="949"/>
      <c r="AO882" s="949"/>
      <c r="AP882" s="949"/>
      <c r="AQ882" s="949"/>
      <c r="AR882" s="949"/>
      <c r="AS882" s="949"/>
      <c r="AT882" s="949"/>
      <c r="AU882" s="949"/>
      <c r="AV882" s="949"/>
      <c r="AW882" s="949"/>
      <c r="AX882" s="949"/>
      <c r="AY882" s="949"/>
      <c r="AZ882" s="949"/>
      <c r="BA882" s="949"/>
      <c r="BB882" s="949"/>
      <c r="BC882" s="949"/>
      <c r="BD882" s="949"/>
      <c r="BE882" s="949"/>
      <c r="BF882" s="949"/>
      <c r="BG882" s="948"/>
      <c r="BH882" s="948"/>
      <c r="BI882" s="948"/>
      <c r="BJ882" s="948"/>
      <c r="BK882" s="948"/>
      <c r="BL882" s="948"/>
      <c r="BM882" s="948"/>
      <c r="BN882" s="948"/>
      <c r="BO882" s="948"/>
      <c r="BP882" s="948"/>
      <c r="BQ882" s="948"/>
      <c r="BR882" s="948"/>
      <c r="BS882" s="948"/>
      <c r="BT882" s="948"/>
      <c r="BU882" s="954"/>
    </row>
    <row r="883" spans="1:73" ht="15.75" customHeight="1" x14ac:dyDescent="0.2">
      <c r="A883" s="947"/>
      <c r="B883" s="947"/>
      <c r="C883" s="947"/>
      <c r="D883" s="948"/>
      <c r="E883" s="948"/>
      <c r="F883" s="948"/>
      <c r="G883" s="948"/>
      <c r="H883" s="948"/>
      <c r="I883" s="948"/>
      <c r="J883" s="948"/>
      <c r="K883" s="949"/>
      <c r="L883" s="949"/>
      <c r="M883" s="949"/>
      <c r="N883" s="950"/>
      <c r="O883" s="948"/>
      <c r="P883" s="948"/>
      <c r="Q883" s="948"/>
      <c r="R883" s="949"/>
      <c r="S883" s="949"/>
      <c r="T883" s="949"/>
      <c r="U883" s="949"/>
      <c r="V883" s="949"/>
      <c r="W883" s="949"/>
      <c r="X883" s="951"/>
      <c r="Y883" s="951"/>
      <c r="Z883" s="952"/>
      <c r="AA883" s="953"/>
      <c r="AB883" s="948"/>
      <c r="AC883" s="948"/>
      <c r="AD883" s="949"/>
      <c r="AE883" s="949"/>
      <c r="AF883" s="949"/>
      <c r="AG883" s="949"/>
      <c r="AH883" s="949"/>
      <c r="AI883" s="949"/>
      <c r="AJ883" s="949"/>
      <c r="AK883" s="949"/>
      <c r="AL883" s="949"/>
      <c r="AM883" s="949"/>
      <c r="AN883" s="949"/>
      <c r="AO883" s="949"/>
      <c r="AP883" s="949"/>
      <c r="AQ883" s="949"/>
      <c r="AR883" s="949"/>
      <c r="AS883" s="949"/>
      <c r="AT883" s="949"/>
      <c r="AU883" s="949"/>
      <c r="AV883" s="949"/>
      <c r="AW883" s="949"/>
      <c r="AX883" s="949"/>
      <c r="AY883" s="949"/>
      <c r="AZ883" s="949"/>
      <c r="BA883" s="949"/>
      <c r="BB883" s="949"/>
      <c r="BC883" s="949"/>
      <c r="BD883" s="949"/>
      <c r="BE883" s="949"/>
      <c r="BF883" s="949"/>
      <c r="BG883" s="948"/>
      <c r="BH883" s="948"/>
      <c r="BI883" s="948"/>
      <c r="BJ883" s="948"/>
      <c r="BK883" s="948"/>
      <c r="BL883" s="948"/>
      <c r="BM883" s="948"/>
      <c r="BN883" s="948"/>
      <c r="BO883" s="948"/>
      <c r="BP883" s="948"/>
      <c r="BQ883" s="948"/>
      <c r="BR883" s="948"/>
      <c r="BS883" s="948"/>
      <c r="BT883" s="948"/>
      <c r="BU883" s="954"/>
    </row>
    <row r="884" spans="1:73" ht="15.75" customHeight="1" x14ac:dyDescent="0.2">
      <c r="A884" s="947"/>
      <c r="B884" s="947"/>
      <c r="C884" s="947"/>
      <c r="D884" s="948"/>
      <c r="E884" s="948"/>
      <c r="F884" s="948"/>
      <c r="G884" s="948"/>
      <c r="H884" s="948"/>
      <c r="I884" s="948"/>
      <c r="J884" s="948"/>
      <c r="K884" s="949"/>
      <c r="L884" s="949"/>
      <c r="M884" s="949"/>
      <c r="N884" s="950"/>
      <c r="O884" s="948"/>
      <c r="P884" s="948"/>
      <c r="Q884" s="948"/>
      <c r="R884" s="949"/>
      <c r="S884" s="949"/>
      <c r="T884" s="949"/>
      <c r="U884" s="949"/>
      <c r="V884" s="949"/>
      <c r="W884" s="949"/>
      <c r="X884" s="951"/>
      <c r="Y884" s="951"/>
      <c r="Z884" s="952"/>
      <c r="AA884" s="953"/>
      <c r="AB884" s="948"/>
      <c r="AC884" s="948"/>
      <c r="AD884" s="949"/>
      <c r="AE884" s="949"/>
      <c r="AF884" s="949"/>
      <c r="AG884" s="949"/>
      <c r="AH884" s="949"/>
      <c r="AI884" s="949"/>
      <c r="AJ884" s="949"/>
      <c r="AK884" s="949"/>
      <c r="AL884" s="949"/>
      <c r="AM884" s="949"/>
      <c r="AN884" s="949"/>
      <c r="AO884" s="949"/>
      <c r="AP884" s="949"/>
      <c r="AQ884" s="949"/>
      <c r="AR884" s="949"/>
      <c r="AS884" s="949"/>
      <c r="AT884" s="949"/>
      <c r="AU884" s="949"/>
      <c r="AV884" s="949"/>
      <c r="AW884" s="949"/>
      <c r="AX884" s="949"/>
      <c r="AY884" s="949"/>
      <c r="AZ884" s="949"/>
      <c r="BA884" s="949"/>
      <c r="BB884" s="949"/>
      <c r="BC884" s="949"/>
      <c r="BD884" s="949"/>
      <c r="BE884" s="949"/>
      <c r="BF884" s="949"/>
      <c r="BG884" s="948"/>
      <c r="BH884" s="948"/>
      <c r="BI884" s="948"/>
      <c r="BJ884" s="948"/>
      <c r="BK884" s="948"/>
      <c r="BL884" s="948"/>
      <c r="BM884" s="948"/>
      <c r="BN884" s="948"/>
      <c r="BO884" s="948"/>
      <c r="BP884" s="948"/>
      <c r="BQ884" s="948"/>
      <c r="BR884" s="948"/>
      <c r="BS884" s="948"/>
      <c r="BT884" s="948"/>
      <c r="BU884" s="954"/>
    </row>
    <row r="885" spans="1:73" ht="15.75" customHeight="1" x14ac:dyDescent="0.2">
      <c r="A885" s="947"/>
      <c r="B885" s="947"/>
      <c r="C885" s="947"/>
      <c r="D885" s="948"/>
      <c r="E885" s="948"/>
      <c r="F885" s="948"/>
      <c r="G885" s="948"/>
      <c r="H885" s="948"/>
      <c r="I885" s="948"/>
      <c r="J885" s="948"/>
      <c r="K885" s="949"/>
      <c r="L885" s="949"/>
      <c r="M885" s="949"/>
      <c r="N885" s="950"/>
      <c r="O885" s="948"/>
      <c r="P885" s="948"/>
      <c r="Q885" s="948"/>
      <c r="R885" s="949"/>
      <c r="S885" s="949"/>
      <c r="T885" s="949"/>
      <c r="U885" s="949"/>
      <c r="V885" s="949"/>
      <c r="W885" s="949"/>
      <c r="X885" s="951"/>
      <c r="Y885" s="951"/>
      <c r="Z885" s="952"/>
      <c r="AA885" s="953"/>
      <c r="AB885" s="948"/>
      <c r="AC885" s="948"/>
      <c r="AD885" s="949"/>
      <c r="AE885" s="949"/>
      <c r="AF885" s="949"/>
      <c r="AG885" s="949"/>
      <c r="AH885" s="949"/>
      <c r="AI885" s="949"/>
      <c r="AJ885" s="949"/>
      <c r="AK885" s="949"/>
      <c r="AL885" s="949"/>
      <c r="AM885" s="949"/>
      <c r="AN885" s="949"/>
      <c r="AO885" s="949"/>
      <c r="AP885" s="949"/>
      <c r="AQ885" s="949"/>
      <c r="AR885" s="949"/>
      <c r="AS885" s="949"/>
      <c r="AT885" s="949"/>
      <c r="AU885" s="949"/>
      <c r="AV885" s="949"/>
      <c r="AW885" s="949"/>
      <c r="AX885" s="949"/>
      <c r="AY885" s="949"/>
      <c r="AZ885" s="949"/>
      <c r="BA885" s="949"/>
      <c r="BB885" s="949"/>
      <c r="BC885" s="949"/>
      <c r="BD885" s="949"/>
      <c r="BE885" s="949"/>
      <c r="BF885" s="949"/>
      <c r="BG885" s="948"/>
      <c r="BH885" s="948"/>
      <c r="BI885" s="948"/>
      <c r="BJ885" s="948"/>
      <c r="BK885" s="948"/>
      <c r="BL885" s="948"/>
      <c r="BM885" s="948"/>
      <c r="BN885" s="948"/>
      <c r="BO885" s="948"/>
      <c r="BP885" s="948"/>
      <c r="BQ885" s="948"/>
      <c r="BR885" s="948"/>
      <c r="BS885" s="948"/>
      <c r="BT885" s="948"/>
      <c r="BU885" s="954"/>
    </row>
    <row r="886" spans="1:73" ht="15.75" customHeight="1" x14ac:dyDescent="0.2">
      <c r="A886" s="947"/>
      <c r="B886" s="947"/>
      <c r="C886" s="947"/>
      <c r="D886" s="948"/>
      <c r="E886" s="948"/>
      <c r="F886" s="948"/>
      <c r="G886" s="948"/>
      <c r="H886" s="948"/>
      <c r="I886" s="948"/>
      <c r="J886" s="948"/>
      <c r="K886" s="949"/>
      <c r="L886" s="949"/>
      <c r="M886" s="949"/>
      <c r="N886" s="950"/>
      <c r="O886" s="948"/>
      <c r="P886" s="948"/>
      <c r="Q886" s="948"/>
      <c r="R886" s="949"/>
      <c r="S886" s="949"/>
      <c r="T886" s="949"/>
      <c r="U886" s="949"/>
      <c r="V886" s="949"/>
      <c r="W886" s="949"/>
      <c r="X886" s="951"/>
      <c r="Y886" s="951"/>
      <c r="Z886" s="952"/>
      <c r="AA886" s="953"/>
      <c r="AB886" s="948"/>
      <c r="AC886" s="948"/>
      <c r="AD886" s="949"/>
      <c r="AE886" s="949"/>
      <c r="AF886" s="949"/>
      <c r="AG886" s="949"/>
      <c r="AH886" s="949"/>
      <c r="AI886" s="949"/>
      <c r="AJ886" s="949"/>
      <c r="AK886" s="949"/>
      <c r="AL886" s="949"/>
      <c r="AM886" s="949"/>
      <c r="AN886" s="949"/>
      <c r="AO886" s="949"/>
      <c r="AP886" s="949"/>
      <c r="AQ886" s="949"/>
      <c r="AR886" s="949"/>
      <c r="AS886" s="949"/>
      <c r="AT886" s="949"/>
      <c r="AU886" s="949"/>
      <c r="AV886" s="949"/>
      <c r="AW886" s="949"/>
      <c r="AX886" s="949"/>
      <c r="AY886" s="949"/>
      <c r="AZ886" s="949"/>
      <c r="BA886" s="949"/>
      <c r="BB886" s="949"/>
      <c r="BC886" s="949"/>
      <c r="BD886" s="949"/>
      <c r="BE886" s="949"/>
      <c r="BF886" s="949"/>
      <c r="BG886" s="948"/>
      <c r="BH886" s="948"/>
      <c r="BI886" s="948"/>
      <c r="BJ886" s="948"/>
      <c r="BK886" s="948"/>
      <c r="BL886" s="948"/>
      <c r="BM886" s="948"/>
      <c r="BN886" s="948"/>
      <c r="BO886" s="948"/>
      <c r="BP886" s="948"/>
      <c r="BQ886" s="948"/>
      <c r="BR886" s="948"/>
      <c r="BS886" s="948"/>
      <c r="BT886" s="948"/>
      <c r="BU886" s="954"/>
    </row>
    <row r="887" spans="1:73" ht="15.75" customHeight="1" x14ac:dyDescent="0.2">
      <c r="A887" s="947"/>
      <c r="B887" s="947"/>
      <c r="C887" s="947"/>
      <c r="D887" s="948"/>
      <c r="E887" s="948"/>
      <c r="F887" s="948"/>
      <c r="G887" s="948"/>
      <c r="H887" s="948"/>
      <c r="I887" s="948"/>
      <c r="J887" s="948"/>
      <c r="K887" s="949"/>
      <c r="L887" s="949"/>
      <c r="M887" s="949"/>
      <c r="N887" s="950"/>
      <c r="O887" s="948"/>
      <c r="P887" s="948"/>
      <c r="Q887" s="948"/>
      <c r="R887" s="949"/>
      <c r="S887" s="949"/>
      <c r="T887" s="949"/>
      <c r="U887" s="949"/>
      <c r="V887" s="949"/>
      <c r="W887" s="949"/>
      <c r="X887" s="951"/>
      <c r="Y887" s="951"/>
      <c r="Z887" s="952"/>
      <c r="AA887" s="953"/>
      <c r="AB887" s="948"/>
      <c r="AC887" s="948"/>
      <c r="AD887" s="949"/>
      <c r="AE887" s="949"/>
      <c r="AF887" s="949"/>
      <c r="AG887" s="949"/>
      <c r="AH887" s="949"/>
      <c r="AI887" s="949"/>
      <c r="AJ887" s="949"/>
      <c r="AK887" s="949"/>
      <c r="AL887" s="949"/>
      <c r="AM887" s="949"/>
      <c r="AN887" s="949"/>
      <c r="AO887" s="949"/>
      <c r="AP887" s="949"/>
      <c r="AQ887" s="949"/>
      <c r="AR887" s="949"/>
      <c r="AS887" s="949"/>
      <c r="AT887" s="949"/>
      <c r="AU887" s="949"/>
      <c r="AV887" s="949"/>
      <c r="AW887" s="949"/>
      <c r="AX887" s="949"/>
      <c r="AY887" s="949"/>
      <c r="AZ887" s="949"/>
      <c r="BA887" s="949"/>
      <c r="BB887" s="949"/>
      <c r="BC887" s="949"/>
      <c r="BD887" s="949"/>
      <c r="BE887" s="949"/>
      <c r="BF887" s="949"/>
      <c r="BG887" s="948"/>
      <c r="BH887" s="948"/>
      <c r="BI887" s="948"/>
      <c r="BJ887" s="948"/>
      <c r="BK887" s="948"/>
      <c r="BL887" s="948"/>
      <c r="BM887" s="948"/>
      <c r="BN887" s="948"/>
      <c r="BO887" s="948"/>
      <c r="BP887" s="948"/>
      <c r="BQ887" s="948"/>
      <c r="BR887" s="948"/>
      <c r="BS887" s="948"/>
      <c r="BT887" s="948"/>
      <c r="BU887" s="954"/>
    </row>
    <row r="888" spans="1:73" ht="15.75" customHeight="1" x14ac:dyDescent="0.2">
      <c r="A888" s="947"/>
      <c r="B888" s="947"/>
      <c r="C888" s="947"/>
      <c r="D888" s="948"/>
      <c r="E888" s="948"/>
      <c r="F888" s="948"/>
      <c r="G888" s="948"/>
      <c r="H888" s="948"/>
      <c r="I888" s="948"/>
      <c r="J888" s="948"/>
      <c r="K888" s="949"/>
      <c r="L888" s="949"/>
      <c r="M888" s="949"/>
      <c r="N888" s="950"/>
      <c r="O888" s="948"/>
      <c r="P888" s="948"/>
      <c r="Q888" s="948"/>
      <c r="R888" s="949"/>
      <c r="S888" s="949"/>
      <c r="T888" s="949"/>
      <c r="U888" s="949"/>
      <c r="V888" s="949"/>
      <c r="W888" s="949"/>
      <c r="X888" s="951"/>
      <c r="Y888" s="951"/>
      <c r="Z888" s="952"/>
      <c r="AA888" s="953"/>
      <c r="AB888" s="948"/>
      <c r="AC888" s="948"/>
      <c r="AD888" s="949"/>
      <c r="AE888" s="949"/>
      <c r="AF888" s="949"/>
      <c r="AG888" s="949"/>
      <c r="AH888" s="949"/>
      <c r="AI888" s="949"/>
      <c r="AJ888" s="949"/>
      <c r="AK888" s="949"/>
      <c r="AL888" s="949"/>
      <c r="AM888" s="949"/>
      <c r="AN888" s="949"/>
      <c r="AO888" s="949"/>
      <c r="AP888" s="949"/>
      <c r="AQ888" s="949"/>
      <c r="AR888" s="949"/>
      <c r="AS888" s="949"/>
      <c r="AT888" s="949"/>
      <c r="AU888" s="949"/>
      <c r="AV888" s="949"/>
      <c r="AW888" s="949"/>
      <c r="AX888" s="949"/>
      <c r="AY888" s="949"/>
      <c r="AZ888" s="949"/>
      <c r="BA888" s="949"/>
      <c r="BB888" s="949"/>
      <c r="BC888" s="949"/>
      <c r="BD888" s="949"/>
      <c r="BE888" s="949"/>
      <c r="BF888" s="949"/>
      <c r="BG888" s="948"/>
      <c r="BH888" s="948"/>
      <c r="BI888" s="948"/>
      <c r="BJ888" s="948"/>
      <c r="BK888" s="948"/>
      <c r="BL888" s="948"/>
      <c r="BM888" s="948"/>
      <c r="BN888" s="948"/>
      <c r="BO888" s="948"/>
      <c r="BP888" s="948"/>
      <c r="BQ888" s="948"/>
      <c r="BR888" s="948"/>
      <c r="BS888" s="948"/>
      <c r="BT888" s="948"/>
      <c r="BU888" s="954"/>
    </row>
    <row r="889" spans="1:73" ht="15.75" customHeight="1" x14ac:dyDescent="0.2">
      <c r="A889" s="947"/>
      <c r="B889" s="947"/>
      <c r="C889" s="947"/>
      <c r="D889" s="948"/>
      <c r="E889" s="948"/>
      <c r="F889" s="948"/>
      <c r="G889" s="948"/>
      <c r="H889" s="948"/>
      <c r="I889" s="948"/>
      <c r="J889" s="948"/>
      <c r="K889" s="949"/>
      <c r="L889" s="949"/>
      <c r="M889" s="949"/>
      <c r="N889" s="950"/>
      <c r="O889" s="948"/>
      <c r="P889" s="948"/>
      <c r="Q889" s="948"/>
      <c r="R889" s="949"/>
      <c r="S889" s="949"/>
      <c r="T889" s="949"/>
      <c r="U889" s="949"/>
      <c r="V889" s="949"/>
      <c r="W889" s="949"/>
      <c r="X889" s="951"/>
      <c r="Y889" s="951"/>
      <c r="Z889" s="952"/>
      <c r="AA889" s="953"/>
      <c r="AB889" s="948"/>
      <c r="AC889" s="948"/>
      <c r="AD889" s="949"/>
      <c r="AE889" s="949"/>
      <c r="AF889" s="949"/>
      <c r="AG889" s="949"/>
      <c r="AH889" s="949"/>
      <c r="AI889" s="949"/>
      <c r="AJ889" s="949"/>
      <c r="AK889" s="949"/>
      <c r="AL889" s="949"/>
      <c r="AM889" s="949"/>
      <c r="AN889" s="949"/>
      <c r="AO889" s="949"/>
      <c r="AP889" s="949"/>
      <c r="AQ889" s="949"/>
      <c r="AR889" s="949"/>
      <c r="AS889" s="949"/>
      <c r="AT889" s="949"/>
      <c r="AU889" s="949"/>
      <c r="AV889" s="949"/>
      <c r="AW889" s="949"/>
      <c r="AX889" s="949"/>
      <c r="AY889" s="949"/>
      <c r="AZ889" s="949"/>
      <c r="BA889" s="949"/>
      <c r="BB889" s="949"/>
      <c r="BC889" s="949"/>
      <c r="BD889" s="949"/>
      <c r="BE889" s="949"/>
      <c r="BF889" s="949"/>
      <c r="BG889" s="948"/>
      <c r="BH889" s="948"/>
      <c r="BI889" s="948"/>
      <c r="BJ889" s="948"/>
      <c r="BK889" s="948"/>
      <c r="BL889" s="948"/>
      <c r="BM889" s="948"/>
      <c r="BN889" s="948"/>
      <c r="BO889" s="948"/>
      <c r="BP889" s="948"/>
      <c r="BQ889" s="948"/>
      <c r="BR889" s="948"/>
      <c r="BS889" s="948"/>
      <c r="BT889" s="948"/>
      <c r="BU889" s="954"/>
    </row>
    <row r="890" spans="1:73" ht="15.75" customHeight="1" x14ac:dyDescent="0.2">
      <c r="A890" s="947"/>
      <c r="B890" s="947"/>
      <c r="C890" s="947"/>
      <c r="D890" s="948"/>
      <c r="E890" s="948"/>
      <c r="F890" s="948"/>
      <c r="G890" s="948"/>
      <c r="H890" s="948"/>
      <c r="I890" s="948"/>
      <c r="J890" s="948"/>
      <c r="K890" s="949"/>
      <c r="L890" s="949"/>
      <c r="M890" s="949"/>
      <c r="N890" s="950"/>
      <c r="O890" s="948"/>
      <c r="P890" s="948"/>
      <c r="Q890" s="948"/>
      <c r="R890" s="949"/>
      <c r="S890" s="949"/>
      <c r="T890" s="949"/>
      <c r="U890" s="949"/>
      <c r="V890" s="949"/>
      <c r="W890" s="949"/>
      <c r="X890" s="951"/>
      <c r="Y890" s="951"/>
      <c r="Z890" s="952"/>
      <c r="AA890" s="953"/>
      <c r="AB890" s="948"/>
      <c r="AC890" s="948"/>
      <c r="AD890" s="949"/>
      <c r="AE890" s="949"/>
      <c r="AF890" s="949"/>
      <c r="AG890" s="949"/>
      <c r="AH890" s="949"/>
      <c r="AI890" s="949"/>
      <c r="AJ890" s="949"/>
      <c r="AK890" s="949"/>
      <c r="AL890" s="949"/>
      <c r="AM890" s="949"/>
      <c r="AN890" s="949"/>
      <c r="AO890" s="949"/>
      <c r="AP890" s="949"/>
      <c r="AQ890" s="949"/>
      <c r="AR890" s="949"/>
      <c r="AS890" s="949"/>
      <c r="AT890" s="949"/>
      <c r="AU890" s="949"/>
      <c r="AV890" s="949"/>
      <c r="AW890" s="949"/>
      <c r="AX890" s="949"/>
      <c r="AY890" s="949"/>
      <c r="AZ890" s="949"/>
      <c r="BA890" s="949"/>
      <c r="BB890" s="949"/>
      <c r="BC890" s="949"/>
      <c r="BD890" s="949"/>
      <c r="BE890" s="949"/>
      <c r="BF890" s="949"/>
      <c r="BG890" s="948"/>
      <c r="BH890" s="948"/>
      <c r="BI890" s="948"/>
      <c r="BJ890" s="948"/>
      <c r="BK890" s="948"/>
      <c r="BL890" s="948"/>
      <c r="BM890" s="948"/>
      <c r="BN890" s="948"/>
      <c r="BO890" s="948"/>
      <c r="BP890" s="948"/>
      <c r="BQ890" s="948"/>
      <c r="BR890" s="948"/>
      <c r="BS890" s="948"/>
      <c r="BT890" s="948"/>
      <c r="BU890" s="954"/>
    </row>
    <row r="891" spans="1:73" ht="15.75" customHeight="1" x14ac:dyDescent="0.2">
      <c r="A891" s="947"/>
      <c r="B891" s="947"/>
      <c r="C891" s="947"/>
      <c r="D891" s="948"/>
      <c r="E891" s="948"/>
      <c r="F891" s="948"/>
      <c r="G891" s="948"/>
      <c r="H891" s="948"/>
      <c r="I891" s="948"/>
      <c r="J891" s="948"/>
      <c r="K891" s="949"/>
      <c r="L891" s="949"/>
      <c r="M891" s="949"/>
      <c r="N891" s="950"/>
      <c r="O891" s="948"/>
      <c r="P891" s="948"/>
      <c r="Q891" s="948"/>
      <c r="R891" s="949"/>
      <c r="S891" s="949"/>
      <c r="T891" s="949"/>
      <c r="U891" s="949"/>
      <c r="V891" s="949"/>
      <c r="W891" s="949"/>
      <c r="X891" s="951"/>
      <c r="Y891" s="951"/>
      <c r="Z891" s="952"/>
      <c r="AA891" s="953"/>
      <c r="AB891" s="948"/>
      <c r="AC891" s="948"/>
      <c r="AD891" s="949"/>
      <c r="AE891" s="949"/>
      <c r="AF891" s="949"/>
      <c r="AG891" s="949"/>
      <c r="AH891" s="949"/>
      <c r="AI891" s="949"/>
      <c r="AJ891" s="949"/>
      <c r="AK891" s="949"/>
      <c r="AL891" s="949"/>
      <c r="AM891" s="949"/>
      <c r="AN891" s="949"/>
      <c r="AO891" s="949"/>
      <c r="AP891" s="949"/>
      <c r="AQ891" s="949"/>
      <c r="AR891" s="949"/>
      <c r="AS891" s="949"/>
      <c r="AT891" s="949"/>
      <c r="AU891" s="949"/>
      <c r="AV891" s="949"/>
      <c r="AW891" s="949"/>
      <c r="AX891" s="949"/>
      <c r="AY891" s="949"/>
      <c r="AZ891" s="949"/>
      <c r="BA891" s="949"/>
      <c r="BB891" s="949"/>
      <c r="BC891" s="949"/>
      <c r="BD891" s="949"/>
      <c r="BE891" s="949"/>
      <c r="BF891" s="949"/>
      <c r="BG891" s="948"/>
      <c r="BH891" s="948"/>
      <c r="BI891" s="948"/>
      <c r="BJ891" s="948"/>
      <c r="BK891" s="948"/>
      <c r="BL891" s="948"/>
      <c r="BM891" s="948"/>
      <c r="BN891" s="948"/>
      <c r="BO891" s="948"/>
      <c r="BP891" s="948"/>
      <c r="BQ891" s="948"/>
      <c r="BR891" s="948"/>
      <c r="BS891" s="948"/>
      <c r="BT891" s="948"/>
      <c r="BU891" s="954"/>
    </row>
    <row r="892" spans="1:73" ht="15.75" customHeight="1" x14ac:dyDescent="0.2">
      <c r="A892" s="947"/>
      <c r="B892" s="947"/>
      <c r="C892" s="947"/>
      <c r="D892" s="948"/>
      <c r="E892" s="948"/>
      <c r="F892" s="948"/>
      <c r="G892" s="948"/>
      <c r="H892" s="948"/>
      <c r="I892" s="948"/>
      <c r="J892" s="948"/>
      <c r="K892" s="949"/>
      <c r="L892" s="949"/>
      <c r="M892" s="949"/>
      <c r="N892" s="950"/>
      <c r="O892" s="948"/>
      <c r="P892" s="948"/>
      <c r="Q892" s="948"/>
      <c r="R892" s="949"/>
      <c r="S892" s="949"/>
      <c r="T892" s="949"/>
      <c r="U892" s="949"/>
      <c r="V892" s="949"/>
      <c r="W892" s="949"/>
      <c r="X892" s="951"/>
      <c r="Y892" s="951"/>
      <c r="Z892" s="952"/>
      <c r="AA892" s="953"/>
      <c r="AB892" s="948"/>
      <c r="AC892" s="948"/>
      <c r="AD892" s="949"/>
      <c r="AE892" s="949"/>
      <c r="AF892" s="949"/>
      <c r="AG892" s="949"/>
      <c r="AH892" s="949"/>
      <c r="AI892" s="949"/>
      <c r="AJ892" s="949"/>
      <c r="AK892" s="949"/>
      <c r="AL892" s="949"/>
      <c r="AM892" s="949"/>
      <c r="AN892" s="949"/>
      <c r="AO892" s="949"/>
      <c r="AP892" s="949"/>
      <c r="AQ892" s="949"/>
      <c r="AR892" s="949"/>
      <c r="AS892" s="949"/>
      <c r="AT892" s="949"/>
      <c r="AU892" s="949"/>
      <c r="AV892" s="949"/>
      <c r="AW892" s="949"/>
      <c r="AX892" s="949"/>
      <c r="AY892" s="949"/>
      <c r="AZ892" s="949"/>
      <c r="BA892" s="949"/>
      <c r="BB892" s="949"/>
      <c r="BC892" s="949"/>
      <c r="BD892" s="949"/>
      <c r="BE892" s="949"/>
      <c r="BF892" s="949"/>
      <c r="BG892" s="948"/>
      <c r="BH892" s="948"/>
      <c r="BI892" s="948"/>
      <c r="BJ892" s="948"/>
      <c r="BK892" s="948"/>
      <c r="BL892" s="948"/>
      <c r="BM892" s="948"/>
      <c r="BN892" s="948"/>
      <c r="BO892" s="948"/>
      <c r="BP892" s="948"/>
      <c r="BQ892" s="948"/>
      <c r="BR892" s="948"/>
      <c r="BS892" s="948"/>
      <c r="BT892" s="948"/>
      <c r="BU892" s="954"/>
    </row>
    <row r="893" spans="1:73" ht="15.75" customHeight="1" x14ac:dyDescent="0.2">
      <c r="A893" s="947"/>
      <c r="B893" s="947"/>
      <c r="C893" s="947"/>
      <c r="D893" s="948"/>
      <c r="E893" s="948"/>
      <c r="F893" s="948"/>
      <c r="G893" s="948"/>
      <c r="H893" s="948"/>
      <c r="I893" s="948"/>
      <c r="J893" s="948"/>
      <c r="K893" s="949"/>
      <c r="L893" s="949"/>
      <c r="M893" s="949"/>
      <c r="N893" s="950"/>
      <c r="O893" s="948"/>
      <c r="P893" s="948"/>
      <c r="Q893" s="948"/>
      <c r="R893" s="949"/>
      <c r="S893" s="949"/>
      <c r="T893" s="949"/>
      <c r="U893" s="949"/>
      <c r="V893" s="949"/>
      <c r="W893" s="949"/>
      <c r="X893" s="951"/>
      <c r="Y893" s="951"/>
      <c r="Z893" s="952"/>
      <c r="AA893" s="953"/>
      <c r="AB893" s="948"/>
      <c r="AC893" s="948"/>
      <c r="AD893" s="949"/>
      <c r="AE893" s="949"/>
      <c r="AF893" s="949"/>
      <c r="AG893" s="949"/>
      <c r="AH893" s="949"/>
      <c r="AI893" s="949"/>
      <c r="AJ893" s="949"/>
      <c r="AK893" s="949"/>
      <c r="AL893" s="949"/>
      <c r="AM893" s="949"/>
      <c r="AN893" s="949"/>
      <c r="AO893" s="949"/>
      <c r="AP893" s="949"/>
      <c r="AQ893" s="949"/>
      <c r="AR893" s="949"/>
      <c r="AS893" s="949"/>
      <c r="AT893" s="949"/>
      <c r="AU893" s="949"/>
      <c r="AV893" s="949"/>
      <c r="AW893" s="949"/>
      <c r="AX893" s="949"/>
      <c r="AY893" s="949"/>
      <c r="AZ893" s="949"/>
      <c r="BA893" s="949"/>
      <c r="BB893" s="949"/>
      <c r="BC893" s="949"/>
      <c r="BD893" s="949"/>
      <c r="BE893" s="949"/>
      <c r="BF893" s="949"/>
      <c r="BG893" s="948"/>
      <c r="BH893" s="948"/>
      <c r="BI893" s="948"/>
      <c r="BJ893" s="948"/>
      <c r="BK893" s="948"/>
      <c r="BL893" s="948"/>
      <c r="BM893" s="948"/>
      <c r="BN893" s="948"/>
      <c r="BO893" s="948"/>
      <c r="BP893" s="948"/>
      <c r="BQ893" s="948"/>
      <c r="BR893" s="948"/>
      <c r="BS893" s="948"/>
      <c r="BT893" s="948"/>
      <c r="BU893" s="954"/>
    </row>
    <row r="894" spans="1:73" ht="15.75" customHeight="1" x14ac:dyDescent="0.2">
      <c r="A894" s="947"/>
      <c r="B894" s="947"/>
      <c r="C894" s="947"/>
      <c r="D894" s="948"/>
      <c r="E894" s="948"/>
      <c r="F894" s="948"/>
      <c r="G894" s="948"/>
      <c r="H894" s="948"/>
      <c r="I894" s="948"/>
      <c r="J894" s="948"/>
      <c r="K894" s="949"/>
      <c r="L894" s="949"/>
      <c r="M894" s="949"/>
      <c r="N894" s="950"/>
      <c r="O894" s="948"/>
      <c r="P894" s="948"/>
      <c r="Q894" s="948"/>
      <c r="R894" s="949"/>
      <c r="S894" s="949"/>
      <c r="T894" s="949"/>
      <c r="U894" s="949"/>
      <c r="V894" s="949"/>
      <c r="W894" s="949"/>
      <c r="X894" s="951"/>
      <c r="Y894" s="951"/>
      <c r="Z894" s="952"/>
      <c r="AA894" s="953"/>
      <c r="AB894" s="948"/>
      <c r="AC894" s="948"/>
      <c r="AD894" s="949"/>
      <c r="AE894" s="949"/>
      <c r="AF894" s="949"/>
      <c r="AG894" s="949"/>
      <c r="AH894" s="949"/>
      <c r="AI894" s="949"/>
      <c r="AJ894" s="949"/>
      <c r="AK894" s="949"/>
      <c r="AL894" s="949"/>
      <c r="AM894" s="949"/>
      <c r="AN894" s="949"/>
      <c r="AO894" s="949"/>
      <c r="AP894" s="949"/>
      <c r="AQ894" s="949"/>
      <c r="AR894" s="949"/>
      <c r="AS894" s="949"/>
      <c r="AT894" s="949"/>
      <c r="AU894" s="949"/>
      <c r="AV894" s="949"/>
      <c r="AW894" s="949"/>
      <c r="AX894" s="949"/>
      <c r="AY894" s="949"/>
      <c r="AZ894" s="949"/>
      <c r="BA894" s="949"/>
      <c r="BB894" s="949"/>
      <c r="BC894" s="949"/>
      <c r="BD894" s="949"/>
      <c r="BE894" s="949"/>
      <c r="BF894" s="949"/>
      <c r="BG894" s="948"/>
      <c r="BH894" s="948"/>
      <c r="BI894" s="948"/>
      <c r="BJ894" s="948"/>
      <c r="BK894" s="948"/>
      <c r="BL894" s="948"/>
      <c r="BM894" s="948"/>
      <c r="BN894" s="948"/>
      <c r="BO894" s="948"/>
      <c r="BP894" s="948"/>
      <c r="BQ894" s="948"/>
      <c r="BR894" s="948"/>
      <c r="BS894" s="948"/>
      <c r="BT894" s="948"/>
      <c r="BU894" s="954"/>
    </row>
    <row r="895" spans="1:73" ht="15.75" customHeight="1" x14ac:dyDescent="0.2">
      <c r="A895" s="947"/>
      <c r="B895" s="947"/>
      <c r="C895" s="947"/>
      <c r="D895" s="948"/>
      <c r="E895" s="948"/>
      <c r="F895" s="948"/>
      <c r="G895" s="948"/>
      <c r="H895" s="948"/>
      <c r="I895" s="948"/>
      <c r="J895" s="948"/>
      <c r="K895" s="949"/>
      <c r="L895" s="949"/>
      <c r="M895" s="949"/>
      <c r="N895" s="950"/>
      <c r="O895" s="948"/>
      <c r="P895" s="948"/>
      <c r="Q895" s="948"/>
      <c r="R895" s="949"/>
      <c r="S895" s="949"/>
      <c r="T895" s="949"/>
      <c r="U895" s="949"/>
      <c r="V895" s="949"/>
      <c r="W895" s="949"/>
      <c r="X895" s="951"/>
      <c r="Y895" s="951"/>
      <c r="Z895" s="952"/>
      <c r="AA895" s="953"/>
      <c r="AB895" s="948"/>
      <c r="AC895" s="948"/>
      <c r="AD895" s="949"/>
      <c r="AE895" s="949"/>
      <c r="AF895" s="949"/>
      <c r="AG895" s="949"/>
      <c r="AH895" s="949"/>
      <c r="AI895" s="949"/>
      <c r="AJ895" s="949"/>
      <c r="AK895" s="949"/>
      <c r="AL895" s="949"/>
      <c r="AM895" s="949"/>
      <c r="AN895" s="949"/>
      <c r="AO895" s="949"/>
      <c r="AP895" s="949"/>
      <c r="AQ895" s="949"/>
      <c r="AR895" s="949"/>
      <c r="AS895" s="949"/>
      <c r="AT895" s="949"/>
      <c r="AU895" s="949"/>
      <c r="AV895" s="949"/>
      <c r="AW895" s="949"/>
      <c r="AX895" s="949"/>
      <c r="AY895" s="949"/>
      <c r="AZ895" s="949"/>
      <c r="BA895" s="949"/>
      <c r="BB895" s="949"/>
      <c r="BC895" s="949"/>
      <c r="BD895" s="949"/>
      <c r="BE895" s="949"/>
      <c r="BF895" s="949"/>
      <c r="BG895" s="948"/>
      <c r="BH895" s="948"/>
      <c r="BI895" s="948"/>
      <c r="BJ895" s="948"/>
      <c r="BK895" s="948"/>
      <c r="BL895" s="948"/>
      <c r="BM895" s="948"/>
      <c r="BN895" s="948"/>
      <c r="BO895" s="948"/>
      <c r="BP895" s="948"/>
      <c r="BQ895" s="948"/>
      <c r="BR895" s="948"/>
      <c r="BS895" s="948"/>
      <c r="BT895" s="948"/>
      <c r="BU895" s="954"/>
    </row>
    <row r="896" spans="1:73" ht="15.75" customHeight="1" x14ac:dyDescent="0.2">
      <c r="A896" s="947"/>
      <c r="B896" s="947"/>
      <c r="C896" s="947"/>
      <c r="D896" s="948"/>
      <c r="E896" s="948"/>
      <c r="F896" s="948"/>
      <c r="G896" s="948"/>
      <c r="H896" s="948"/>
      <c r="I896" s="948"/>
      <c r="J896" s="948"/>
      <c r="K896" s="949"/>
      <c r="L896" s="949"/>
      <c r="M896" s="949"/>
      <c r="N896" s="950"/>
      <c r="O896" s="948"/>
      <c r="P896" s="948"/>
      <c r="Q896" s="948"/>
      <c r="R896" s="949"/>
      <c r="S896" s="949"/>
      <c r="T896" s="949"/>
      <c r="U896" s="949"/>
      <c r="V896" s="949"/>
      <c r="W896" s="949"/>
      <c r="X896" s="951"/>
      <c r="Y896" s="951"/>
      <c r="Z896" s="952"/>
      <c r="AA896" s="953"/>
      <c r="AB896" s="948"/>
      <c r="AC896" s="948"/>
      <c r="AD896" s="949"/>
      <c r="AE896" s="949"/>
      <c r="AF896" s="949"/>
      <c r="AG896" s="949"/>
      <c r="AH896" s="949"/>
      <c r="AI896" s="949"/>
      <c r="AJ896" s="949"/>
      <c r="AK896" s="949"/>
      <c r="AL896" s="949"/>
      <c r="AM896" s="949"/>
      <c r="AN896" s="949"/>
      <c r="AO896" s="949"/>
      <c r="AP896" s="949"/>
      <c r="AQ896" s="949"/>
      <c r="AR896" s="949"/>
      <c r="AS896" s="949"/>
      <c r="AT896" s="949"/>
      <c r="AU896" s="949"/>
      <c r="AV896" s="949"/>
      <c r="AW896" s="949"/>
      <c r="AX896" s="949"/>
      <c r="AY896" s="949"/>
      <c r="AZ896" s="949"/>
      <c r="BA896" s="949"/>
      <c r="BB896" s="949"/>
      <c r="BC896" s="949"/>
      <c r="BD896" s="949"/>
      <c r="BE896" s="949"/>
      <c r="BF896" s="949"/>
      <c r="BG896" s="948"/>
      <c r="BH896" s="948"/>
      <c r="BI896" s="948"/>
      <c r="BJ896" s="948"/>
      <c r="BK896" s="948"/>
      <c r="BL896" s="948"/>
      <c r="BM896" s="948"/>
      <c r="BN896" s="948"/>
      <c r="BO896" s="948"/>
      <c r="BP896" s="948"/>
      <c r="BQ896" s="948"/>
      <c r="BR896" s="948"/>
      <c r="BS896" s="948"/>
      <c r="BT896" s="948"/>
      <c r="BU896" s="954"/>
    </row>
    <row r="897" spans="1:73" ht="15.75" customHeight="1" x14ac:dyDescent="0.2">
      <c r="A897" s="947"/>
      <c r="B897" s="947"/>
      <c r="C897" s="947"/>
      <c r="D897" s="948"/>
      <c r="E897" s="948"/>
      <c r="F897" s="948"/>
      <c r="G897" s="948"/>
      <c r="H897" s="948"/>
      <c r="I897" s="948"/>
      <c r="J897" s="948"/>
      <c r="K897" s="949"/>
      <c r="L897" s="949"/>
      <c r="M897" s="949"/>
      <c r="N897" s="950"/>
      <c r="O897" s="948"/>
      <c r="P897" s="948"/>
      <c r="Q897" s="948"/>
      <c r="R897" s="949"/>
      <c r="S897" s="949"/>
      <c r="T897" s="949"/>
      <c r="U897" s="949"/>
      <c r="V897" s="949"/>
      <c r="W897" s="949"/>
      <c r="X897" s="951"/>
      <c r="Y897" s="951"/>
      <c r="Z897" s="952"/>
      <c r="AA897" s="953"/>
      <c r="AB897" s="948"/>
      <c r="AC897" s="948"/>
      <c r="AD897" s="949"/>
      <c r="AE897" s="949"/>
      <c r="AF897" s="949"/>
      <c r="AG897" s="949"/>
      <c r="AH897" s="949"/>
      <c r="AI897" s="949"/>
      <c r="AJ897" s="949"/>
      <c r="AK897" s="949"/>
      <c r="AL897" s="949"/>
      <c r="AM897" s="949"/>
      <c r="AN897" s="949"/>
      <c r="AO897" s="949"/>
      <c r="AP897" s="949"/>
      <c r="AQ897" s="949"/>
      <c r="AR897" s="949"/>
      <c r="AS897" s="949"/>
      <c r="AT897" s="949"/>
      <c r="AU897" s="949"/>
      <c r="AV897" s="949"/>
      <c r="AW897" s="949"/>
      <c r="AX897" s="949"/>
      <c r="AY897" s="949"/>
      <c r="AZ897" s="949"/>
      <c r="BA897" s="949"/>
      <c r="BB897" s="949"/>
      <c r="BC897" s="949"/>
      <c r="BD897" s="949"/>
      <c r="BE897" s="949"/>
      <c r="BF897" s="949"/>
      <c r="BG897" s="948"/>
      <c r="BH897" s="948"/>
      <c r="BI897" s="948"/>
      <c r="BJ897" s="948"/>
      <c r="BK897" s="948"/>
      <c r="BL897" s="948"/>
      <c r="BM897" s="948"/>
      <c r="BN897" s="948"/>
      <c r="BO897" s="948"/>
      <c r="BP897" s="948"/>
      <c r="BQ897" s="948"/>
      <c r="BR897" s="948"/>
      <c r="BS897" s="948"/>
      <c r="BT897" s="948"/>
      <c r="BU897" s="954"/>
    </row>
    <row r="898" spans="1:73" ht="15.75" customHeight="1" x14ac:dyDescent="0.2">
      <c r="A898" s="947"/>
      <c r="B898" s="947"/>
      <c r="C898" s="947"/>
      <c r="D898" s="948"/>
      <c r="E898" s="948"/>
      <c r="F898" s="948"/>
      <c r="G898" s="948"/>
      <c r="H898" s="948"/>
      <c r="I898" s="948"/>
      <c r="J898" s="948"/>
      <c r="K898" s="949"/>
      <c r="L898" s="949"/>
      <c r="M898" s="949"/>
      <c r="N898" s="950"/>
      <c r="O898" s="948"/>
      <c r="P898" s="948"/>
      <c r="Q898" s="948"/>
      <c r="R898" s="949"/>
      <c r="S898" s="949"/>
      <c r="T898" s="949"/>
      <c r="U898" s="949"/>
      <c r="V898" s="949"/>
      <c r="W898" s="949"/>
      <c r="X898" s="951"/>
      <c r="Y898" s="951"/>
      <c r="Z898" s="952"/>
      <c r="AA898" s="953"/>
      <c r="AB898" s="948"/>
      <c r="AC898" s="948"/>
      <c r="AD898" s="949"/>
      <c r="AE898" s="949"/>
      <c r="AF898" s="949"/>
      <c r="AG898" s="949"/>
      <c r="AH898" s="949"/>
      <c r="AI898" s="949"/>
      <c r="AJ898" s="949"/>
      <c r="AK898" s="949"/>
      <c r="AL898" s="949"/>
      <c r="AM898" s="949"/>
      <c r="AN898" s="949"/>
      <c r="AO898" s="949"/>
      <c r="AP898" s="949"/>
      <c r="AQ898" s="949"/>
      <c r="AR898" s="949"/>
      <c r="AS898" s="949"/>
      <c r="AT898" s="949"/>
      <c r="AU898" s="949"/>
      <c r="AV898" s="949"/>
      <c r="AW898" s="949"/>
      <c r="AX898" s="949"/>
      <c r="AY898" s="949"/>
      <c r="AZ898" s="949"/>
      <c r="BA898" s="949"/>
      <c r="BB898" s="949"/>
      <c r="BC898" s="949"/>
      <c r="BD898" s="949"/>
      <c r="BE898" s="949"/>
      <c r="BF898" s="949"/>
      <c r="BG898" s="948"/>
      <c r="BH898" s="948"/>
      <c r="BI898" s="948"/>
      <c r="BJ898" s="948"/>
      <c r="BK898" s="948"/>
      <c r="BL898" s="948"/>
      <c r="BM898" s="948"/>
      <c r="BN898" s="948"/>
      <c r="BO898" s="948"/>
      <c r="BP898" s="948"/>
      <c r="BQ898" s="948"/>
      <c r="BR898" s="948"/>
      <c r="BS898" s="948"/>
      <c r="BT898" s="948"/>
      <c r="BU898" s="954"/>
    </row>
    <row r="899" spans="1:73" ht="15.75" customHeight="1" x14ac:dyDescent="0.2">
      <c r="A899" s="947"/>
      <c r="B899" s="947"/>
      <c r="C899" s="947"/>
      <c r="D899" s="948"/>
      <c r="E899" s="948"/>
      <c r="F899" s="948"/>
      <c r="G899" s="948"/>
      <c r="H899" s="948"/>
      <c r="I899" s="948"/>
      <c r="J899" s="948"/>
      <c r="K899" s="949"/>
      <c r="L899" s="949"/>
      <c r="M899" s="949"/>
      <c r="N899" s="950"/>
      <c r="O899" s="948"/>
      <c r="P899" s="948"/>
      <c r="Q899" s="948"/>
      <c r="R899" s="949"/>
      <c r="S899" s="949"/>
      <c r="T899" s="949"/>
      <c r="U899" s="949"/>
      <c r="V899" s="949"/>
      <c r="W899" s="949"/>
      <c r="X899" s="951"/>
      <c r="Y899" s="951"/>
      <c r="Z899" s="952"/>
      <c r="AA899" s="953"/>
      <c r="AB899" s="948"/>
      <c r="AC899" s="948"/>
      <c r="AD899" s="949"/>
      <c r="AE899" s="949"/>
      <c r="AF899" s="949"/>
      <c r="AG899" s="949"/>
      <c r="AH899" s="949"/>
      <c r="AI899" s="949"/>
      <c r="AJ899" s="949"/>
      <c r="AK899" s="949"/>
      <c r="AL899" s="949"/>
      <c r="AM899" s="949"/>
      <c r="AN899" s="949"/>
      <c r="AO899" s="949"/>
      <c r="AP899" s="949"/>
      <c r="AQ899" s="949"/>
      <c r="AR899" s="949"/>
      <c r="AS899" s="949"/>
      <c r="AT899" s="949"/>
      <c r="AU899" s="949"/>
      <c r="AV899" s="949"/>
      <c r="AW899" s="949"/>
      <c r="AX899" s="949"/>
      <c r="AY899" s="949"/>
      <c r="AZ899" s="949"/>
      <c r="BA899" s="949"/>
      <c r="BB899" s="949"/>
      <c r="BC899" s="949"/>
      <c r="BD899" s="949"/>
      <c r="BE899" s="949"/>
      <c r="BF899" s="949"/>
      <c r="BG899" s="948"/>
      <c r="BH899" s="948"/>
      <c r="BI899" s="948"/>
      <c r="BJ899" s="948"/>
      <c r="BK899" s="948"/>
      <c r="BL899" s="948"/>
      <c r="BM899" s="948"/>
      <c r="BN899" s="948"/>
      <c r="BO899" s="948"/>
      <c r="BP899" s="948"/>
      <c r="BQ899" s="948"/>
      <c r="BR899" s="948"/>
      <c r="BS899" s="948"/>
      <c r="BT899" s="948"/>
      <c r="BU899" s="954"/>
    </row>
    <row r="900" spans="1:73" ht="15.75" customHeight="1" x14ac:dyDescent="0.2">
      <c r="A900" s="947"/>
      <c r="B900" s="947"/>
      <c r="C900" s="947"/>
      <c r="D900" s="948"/>
      <c r="E900" s="948"/>
      <c r="F900" s="948"/>
      <c r="G900" s="948"/>
      <c r="H900" s="948"/>
      <c r="I900" s="948"/>
      <c r="J900" s="948"/>
      <c r="K900" s="949"/>
      <c r="L900" s="949"/>
      <c r="M900" s="949"/>
      <c r="N900" s="950"/>
      <c r="O900" s="948"/>
      <c r="P900" s="948"/>
      <c r="Q900" s="948"/>
      <c r="R900" s="949"/>
      <c r="S900" s="949"/>
      <c r="T900" s="949"/>
      <c r="U900" s="949"/>
      <c r="V900" s="949"/>
      <c r="W900" s="949"/>
      <c r="X900" s="951"/>
      <c r="Y900" s="951"/>
      <c r="Z900" s="952"/>
      <c r="AA900" s="953"/>
      <c r="AB900" s="948"/>
      <c r="AC900" s="948"/>
      <c r="AD900" s="949"/>
      <c r="AE900" s="949"/>
      <c r="AF900" s="949"/>
      <c r="AG900" s="949"/>
      <c r="AH900" s="949"/>
      <c r="AI900" s="949"/>
      <c r="AJ900" s="949"/>
      <c r="AK900" s="949"/>
      <c r="AL900" s="949"/>
      <c r="AM900" s="949"/>
      <c r="AN900" s="949"/>
      <c r="AO900" s="949"/>
      <c r="AP900" s="949"/>
      <c r="AQ900" s="949"/>
      <c r="AR900" s="949"/>
      <c r="AS900" s="949"/>
      <c r="AT900" s="949"/>
      <c r="AU900" s="949"/>
      <c r="AV900" s="949"/>
      <c r="AW900" s="949"/>
      <c r="AX900" s="949"/>
      <c r="AY900" s="949"/>
      <c r="AZ900" s="949"/>
      <c r="BA900" s="949"/>
      <c r="BB900" s="949"/>
      <c r="BC900" s="949"/>
      <c r="BD900" s="949"/>
      <c r="BE900" s="949"/>
      <c r="BF900" s="949"/>
      <c r="BG900" s="948"/>
      <c r="BH900" s="948"/>
      <c r="BI900" s="948"/>
      <c r="BJ900" s="948"/>
      <c r="BK900" s="948"/>
      <c r="BL900" s="948"/>
      <c r="BM900" s="948"/>
      <c r="BN900" s="948"/>
      <c r="BO900" s="948"/>
      <c r="BP900" s="948"/>
      <c r="BQ900" s="948"/>
      <c r="BR900" s="948"/>
      <c r="BS900" s="948"/>
      <c r="BT900" s="948"/>
      <c r="BU900" s="954"/>
    </row>
    <row r="901" spans="1:73" ht="15.75" customHeight="1" x14ac:dyDescent="0.2">
      <c r="A901" s="947"/>
      <c r="B901" s="947"/>
      <c r="C901" s="947"/>
      <c r="D901" s="948"/>
      <c r="E901" s="948"/>
      <c r="F901" s="948"/>
      <c r="G901" s="948"/>
      <c r="H901" s="948"/>
      <c r="I901" s="948"/>
      <c r="J901" s="948"/>
      <c r="K901" s="949"/>
      <c r="L901" s="949"/>
      <c r="M901" s="949"/>
      <c r="N901" s="950"/>
      <c r="O901" s="948"/>
      <c r="P901" s="948"/>
      <c r="Q901" s="948"/>
      <c r="R901" s="949"/>
      <c r="S901" s="949"/>
      <c r="T901" s="949"/>
      <c r="U901" s="949"/>
      <c r="V901" s="949"/>
      <c r="W901" s="949"/>
      <c r="X901" s="951"/>
      <c r="Y901" s="951"/>
      <c r="Z901" s="952"/>
      <c r="AA901" s="953"/>
      <c r="AB901" s="948"/>
      <c r="AC901" s="948"/>
      <c r="AD901" s="949"/>
      <c r="AE901" s="949"/>
      <c r="AF901" s="949"/>
      <c r="AG901" s="949"/>
      <c r="AH901" s="949"/>
      <c r="AI901" s="949"/>
      <c r="AJ901" s="949"/>
      <c r="AK901" s="949"/>
      <c r="AL901" s="949"/>
      <c r="AM901" s="949"/>
      <c r="AN901" s="949"/>
      <c r="AO901" s="949"/>
      <c r="AP901" s="949"/>
      <c r="AQ901" s="949"/>
      <c r="AR901" s="949"/>
      <c r="AS901" s="949"/>
      <c r="AT901" s="949"/>
      <c r="AU901" s="949"/>
      <c r="AV901" s="949"/>
      <c r="AW901" s="949"/>
      <c r="AX901" s="949"/>
      <c r="AY901" s="949"/>
      <c r="AZ901" s="949"/>
      <c r="BA901" s="949"/>
      <c r="BB901" s="949"/>
      <c r="BC901" s="949"/>
      <c r="BD901" s="949"/>
      <c r="BE901" s="949"/>
      <c r="BF901" s="949"/>
      <c r="BG901" s="948"/>
      <c r="BH901" s="948"/>
      <c r="BI901" s="948"/>
      <c r="BJ901" s="948"/>
      <c r="BK901" s="948"/>
      <c r="BL901" s="948"/>
      <c r="BM901" s="948"/>
      <c r="BN901" s="948"/>
      <c r="BO901" s="948"/>
      <c r="BP901" s="948"/>
      <c r="BQ901" s="948"/>
      <c r="BR901" s="948"/>
      <c r="BS901" s="948"/>
      <c r="BT901" s="948"/>
      <c r="BU901" s="954"/>
    </row>
    <row r="902" spans="1:73" ht="15.75" customHeight="1" x14ac:dyDescent="0.2">
      <c r="A902" s="947"/>
      <c r="B902" s="947"/>
      <c r="C902" s="947"/>
      <c r="D902" s="948"/>
      <c r="E902" s="948"/>
      <c r="F902" s="948"/>
      <c r="G902" s="948"/>
      <c r="H902" s="948"/>
      <c r="I902" s="948"/>
      <c r="J902" s="948"/>
      <c r="K902" s="949"/>
      <c r="L902" s="949"/>
      <c r="M902" s="949"/>
      <c r="N902" s="950"/>
      <c r="O902" s="948"/>
      <c r="P902" s="948"/>
      <c r="Q902" s="948"/>
      <c r="R902" s="949"/>
      <c r="S902" s="949"/>
      <c r="T902" s="949"/>
      <c r="U902" s="949"/>
      <c r="V902" s="949"/>
      <c r="W902" s="949"/>
      <c r="X902" s="951"/>
      <c r="Y902" s="951"/>
      <c r="Z902" s="952"/>
      <c r="AA902" s="953"/>
      <c r="AB902" s="948"/>
      <c r="AC902" s="948"/>
      <c r="AD902" s="949"/>
      <c r="AE902" s="949"/>
      <c r="AF902" s="949"/>
      <c r="AG902" s="949"/>
      <c r="AH902" s="949"/>
      <c r="AI902" s="949"/>
      <c r="AJ902" s="949"/>
      <c r="AK902" s="949"/>
      <c r="AL902" s="949"/>
      <c r="AM902" s="949"/>
      <c r="AN902" s="949"/>
      <c r="AO902" s="949"/>
      <c r="AP902" s="949"/>
      <c r="AQ902" s="949"/>
      <c r="AR902" s="949"/>
      <c r="AS902" s="949"/>
      <c r="AT902" s="949"/>
      <c r="AU902" s="949"/>
      <c r="AV902" s="949"/>
      <c r="AW902" s="949"/>
      <c r="AX902" s="949"/>
      <c r="AY902" s="949"/>
      <c r="AZ902" s="949"/>
      <c r="BA902" s="949"/>
      <c r="BB902" s="949"/>
      <c r="BC902" s="949"/>
      <c r="BD902" s="949"/>
      <c r="BE902" s="949"/>
      <c r="BF902" s="949"/>
      <c r="BG902" s="948"/>
      <c r="BH902" s="948"/>
      <c r="BI902" s="948"/>
      <c r="BJ902" s="948"/>
      <c r="BK902" s="948"/>
      <c r="BL902" s="948"/>
      <c r="BM902" s="948"/>
      <c r="BN902" s="948"/>
      <c r="BO902" s="948"/>
      <c r="BP902" s="948"/>
      <c r="BQ902" s="948"/>
      <c r="BR902" s="948"/>
      <c r="BS902" s="948"/>
      <c r="BT902" s="948"/>
      <c r="BU902" s="954"/>
    </row>
    <row r="903" spans="1:73" ht="15.75" customHeight="1" x14ac:dyDescent="0.2">
      <c r="A903" s="947"/>
      <c r="B903" s="947"/>
      <c r="C903" s="947"/>
      <c r="D903" s="948"/>
      <c r="E903" s="948"/>
      <c r="F903" s="948"/>
      <c r="G903" s="948"/>
      <c r="H903" s="948"/>
      <c r="I903" s="948"/>
      <c r="J903" s="948"/>
      <c r="K903" s="949"/>
      <c r="L903" s="949"/>
      <c r="M903" s="949"/>
      <c r="N903" s="950"/>
      <c r="O903" s="948"/>
      <c r="P903" s="948"/>
      <c r="Q903" s="948"/>
      <c r="R903" s="949"/>
      <c r="S903" s="949"/>
      <c r="T903" s="949"/>
      <c r="U903" s="949"/>
      <c r="V903" s="949"/>
      <c r="W903" s="949"/>
      <c r="X903" s="951"/>
      <c r="Y903" s="951"/>
      <c r="Z903" s="952"/>
      <c r="AA903" s="953"/>
      <c r="AB903" s="948"/>
      <c r="AC903" s="948"/>
      <c r="AD903" s="949"/>
      <c r="AE903" s="949"/>
      <c r="AF903" s="949"/>
      <c r="AG903" s="949"/>
      <c r="AH903" s="949"/>
      <c r="AI903" s="949"/>
      <c r="AJ903" s="949"/>
      <c r="AK903" s="949"/>
      <c r="AL903" s="949"/>
      <c r="AM903" s="949"/>
      <c r="AN903" s="949"/>
      <c r="AO903" s="949"/>
      <c r="AP903" s="949"/>
      <c r="AQ903" s="949"/>
      <c r="AR903" s="949"/>
      <c r="AS903" s="949"/>
      <c r="AT903" s="949"/>
      <c r="AU903" s="949"/>
      <c r="AV903" s="949"/>
      <c r="AW903" s="949"/>
      <c r="AX903" s="949"/>
      <c r="AY903" s="949"/>
      <c r="AZ903" s="949"/>
      <c r="BA903" s="949"/>
      <c r="BB903" s="949"/>
      <c r="BC903" s="949"/>
      <c r="BD903" s="949"/>
      <c r="BE903" s="949"/>
      <c r="BF903" s="949"/>
      <c r="BG903" s="948"/>
      <c r="BH903" s="948"/>
      <c r="BI903" s="948"/>
      <c r="BJ903" s="948"/>
      <c r="BK903" s="948"/>
      <c r="BL903" s="948"/>
      <c r="BM903" s="948"/>
      <c r="BN903" s="948"/>
      <c r="BO903" s="948"/>
      <c r="BP903" s="948"/>
      <c r="BQ903" s="948"/>
      <c r="BR903" s="948"/>
      <c r="BS903" s="948"/>
      <c r="BT903" s="948"/>
      <c r="BU903" s="954"/>
    </row>
    <row r="904" spans="1:73" ht="15.75" customHeight="1" x14ac:dyDescent="0.2">
      <c r="A904" s="947"/>
      <c r="B904" s="947"/>
      <c r="C904" s="947"/>
      <c r="D904" s="948"/>
      <c r="E904" s="948"/>
      <c r="F904" s="948"/>
      <c r="G904" s="948"/>
      <c r="H904" s="948"/>
      <c r="I904" s="948"/>
      <c r="J904" s="948"/>
      <c r="K904" s="949"/>
      <c r="L904" s="949"/>
      <c r="M904" s="949"/>
      <c r="N904" s="950"/>
      <c r="O904" s="948"/>
      <c r="P904" s="948"/>
      <c r="Q904" s="948"/>
      <c r="R904" s="949"/>
      <c r="S904" s="949"/>
      <c r="T904" s="949"/>
      <c r="U904" s="949"/>
      <c r="V904" s="949"/>
      <c r="W904" s="949"/>
      <c r="X904" s="951"/>
      <c r="Y904" s="951"/>
      <c r="Z904" s="952"/>
      <c r="AA904" s="953"/>
      <c r="AB904" s="948"/>
      <c r="AC904" s="948"/>
      <c r="AD904" s="949"/>
      <c r="AE904" s="949"/>
      <c r="AF904" s="949"/>
      <c r="AG904" s="949"/>
      <c r="AH904" s="949"/>
      <c r="AI904" s="949"/>
      <c r="AJ904" s="949"/>
      <c r="AK904" s="949"/>
      <c r="AL904" s="949"/>
      <c r="AM904" s="949"/>
      <c r="AN904" s="949"/>
      <c r="AO904" s="949"/>
      <c r="AP904" s="949"/>
      <c r="AQ904" s="949"/>
      <c r="AR904" s="949"/>
      <c r="AS904" s="949"/>
      <c r="AT904" s="949"/>
      <c r="AU904" s="949"/>
      <c r="AV904" s="949"/>
      <c r="AW904" s="949"/>
      <c r="AX904" s="949"/>
      <c r="AY904" s="949"/>
      <c r="AZ904" s="949"/>
      <c r="BA904" s="949"/>
      <c r="BB904" s="949"/>
      <c r="BC904" s="949"/>
      <c r="BD904" s="949"/>
      <c r="BE904" s="949"/>
      <c r="BF904" s="949"/>
      <c r="BG904" s="948"/>
      <c r="BH904" s="948"/>
      <c r="BI904" s="948"/>
      <c r="BJ904" s="948"/>
      <c r="BK904" s="948"/>
      <c r="BL904" s="948"/>
      <c r="BM904" s="948"/>
      <c r="BN904" s="948"/>
      <c r="BO904" s="948"/>
      <c r="BP904" s="948"/>
      <c r="BQ904" s="948"/>
      <c r="BR904" s="948"/>
      <c r="BS904" s="948"/>
      <c r="BT904" s="948"/>
      <c r="BU904" s="954"/>
    </row>
    <row r="905" spans="1:73" ht="15.75" customHeight="1" x14ac:dyDescent="0.2">
      <c r="A905" s="947"/>
      <c r="B905" s="947"/>
      <c r="C905" s="947"/>
      <c r="D905" s="948"/>
      <c r="E905" s="948"/>
      <c r="F905" s="948"/>
      <c r="G905" s="948"/>
      <c r="H905" s="948"/>
      <c r="I905" s="948"/>
      <c r="J905" s="948"/>
      <c r="K905" s="949"/>
      <c r="L905" s="949"/>
      <c r="M905" s="949"/>
      <c r="N905" s="950"/>
      <c r="O905" s="948"/>
      <c r="P905" s="948"/>
      <c r="Q905" s="948"/>
      <c r="R905" s="949"/>
      <c r="S905" s="949"/>
      <c r="T905" s="949"/>
      <c r="U905" s="949"/>
      <c r="V905" s="949"/>
      <c r="W905" s="949"/>
      <c r="X905" s="951"/>
      <c r="Y905" s="951"/>
      <c r="Z905" s="952"/>
      <c r="AA905" s="953"/>
      <c r="AB905" s="948"/>
      <c r="AC905" s="948"/>
      <c r="AD905" s="949"/>
      <c r="AE905" s="949"/>
      <c r="AF905" s="949"/>
      <c r="AG905" s="949"/>
      <c r="AH905" s="949"/>
      <c r="AI905" s="949"/>
      <c r="AJ905" s="949"/>
      <c r="AK905" s="949"/>
      <c r="AL905" s="949"/>
      <c r="AM905" s="949"/>
      <c r="AN905" s="949"/>
      <c r="AO905" s="949"/>
      <c r="AP905" s="949"/>
      <c r="AQ905" s="949"/>
      <c r="AR905" s="949"/>
      <c r="AS905" s="949"/>
      <c r="AT905" s="949"/>
      <c r="AU905" s="949"/>
      <c r="AV905" s="949"/>
      <c r="AW905" s="949"/>
      <c r="AX905" s="949"/>
      <c r="AY905" s="949"/>
      <c r="AZ905" s="949"/>
      <c r="BA905" s="949"/>
      <c r="BB905" s="949"/>
      <c r="BC905" s="949"/>
      <c r="BD905" s="949"/>
      <c r="BE905" s="949"/>
      <c r="BF905" s="949"/>
      <c r="BG905" s="948"/>
      <c r="BH905" s="948"/>
      <c r="BI905" s="948"/>
      <c r="BJ905" s="948"/>
      <c r="BK905" s="948"/>
      <c r="BL905" s="948"/>
      <c r="BM905" s="948"/>
      <c r="BN905" s="948"/>
      <c r="BO905" s="948"/>
      <c r="BP905" s="948"/>
      <c r="BQ905" s="948"/>
      <c r="BR905" s="948"/>
      <c r="BS905" s="948"/>
      <c r="BT905" s="948"/>
      <c r="BU905" s="954"/>
    </row>
    <row r="906" spans="1:73" ht="15.75" customHeight="1" x14ac:dyDescent="0.2">
      <c r="A906" s="947"/>
      <c r="B906" s="947"/>
      <c r="C906" s="947"/>
      <c r="D906" s="948"/>
      <c r="E906" s="948"/>
      <c r="F906" s="948"/>
      <c r="G906" s="948"/>
      <c r="H906" s="948"/>
      <c r="I906" s="948"/>
      <c r="J906" s="948"/>
      <c r="K906" s="949"/>
      <c r="L906" s="949"/>
      <c r="M906" s="949"/>
      <c r="N906" s="950"/>
      <c r="O906" s="948"/>
      <c r="P906" s="948"/>
      <c r="Q906" s="948"/>
      <c r="R906" s="949"/>
      <c r="S906" s="949"/>
      <c r="T906" s="949"/>
      <c r="U906" s="949"/>
      <c r="V906" s="949"/>
      <c r="W906" s="949"/>
      <c r="X906" s="951"/>
      <c r="Y906" s="951"/>
      <c r="Z906" s="952"/>
      <c r="AA906" s="953"/>
      <c r="AB906" s="948"/>
      <c r="AC906" s="948"/>
      <c r="AD906" s="949"/>
      <c r="AE906" s="949"/>
      <c r="AF906" s="949"/>
      <c r="AG906" s="949"/>
      <c r="AH906" s="949"/>
      <c r="AI906" s="949"/>
      <c r="AJ906" s="949"/>
      <c r="AK906" s="949"/>
      <c r="AL906" s="949"/>
      <c r="AM906" s="949"/>
      <c r="AN906" s="949"/>
      <c r="AO906" s="949"/>
      <c r="AP906" s="949"/>
      <c r="AQ906" s="949"/>
      <c r="AR906" s="949"/>
      <c r="AS906" s="949"/>
      <c r="AT906" s="949"/>
      <c r="AU906" s="949"/>
      <c r="AV906" s="949"/>
      <c r="AW906" s="949"/>
      <c r="AX906" s="949"/>
      <c r="AY906" s="949"/>
      <c r="AZ906" s="949"/>
      <c r="BA906" s="949"/>
      <c r="BB906" s="949"/>
      <c r="BC906" s="949"/>
      <c r="BD906" s="949"/>
      <c r="BE906" s="949"/>
      <c r="BF906" s="949"/>
      <c r="BG906" s="948"/>
      <c r="BH906" s="948"/>
      <c r="BI906" s="948"/>
      <c r="BJ906" s="948"/>
      <c r="BK906" s="948"/>
      <c r="BL906" s="948"/>
      <c r="BM906" s="948"/>
      <c r="BN906" s="948"/>
      <c r="BO906" s="948"/>
      <c r="BP906" s="948"/>
      <c r="BQ906" s="948"/>
      <c r="BR906" s="948"/>
      <c r="BS906" s="948"/>
      <c r="BT906" s="948"/>
      <c r="BU906" s="954"/>
    </row>
    <row r="907" spans="1:73" ht="15.75" customHeight="1" x14ac:dyDescent="0.2">
      <c r="A907" s="947"/>
      <c r="B907" s="947"/>
      <c r="C907" s="947"/>
      <c r="D907" s="948"/>
      <c r="E907" s="948"/>
      <c r="F907" s="948"/>
      <c r="G907" s="948"/>
      <c r="H907" s="948"/>
      <c r="I907" s="948"/>
      <c r="J907" s="948"/>
      <c r="K907" s="949"/>
      <c r="L907" s="949"/>
      <c r="M907" s="949"/>
      <c r="N907" s="950"/>
      <c r="O907" s="948"/>
      <c r="P907" s="948"/>
      <c r="Q907" s="948"/>
      <c r="R907" s="949"/>
      <c r="S907" s="949"/>
      <c r="T907" s="949"/>
      <c r="U907" s="949"/>
      <c r="V907" s="949"/>
      <c r="W907" s="949"/>
      <c r="X907" s="951"/>
      <c r="Y907" s="951"/>
      <c r="Z907" s="952"/>
      <c r="AA907" s="953"/>
      <c r="AB907" s="948"/>
      <c r="AC907" s="948"/>
      <c r="AD907" s="949"/>
      <c r="AE907" s="949"/>
      <c r="AF907" s="949"/>
      <c r="AG907" s="949"/>
      <c r="AH907" s="949"/>
      <c r="AI907" s="949"/>
      <c r="AJ907" s="949"/>
      <c r="AK907" s="949"/>
      <c r="AL907" s="949"/>
      <c r="AM907" s="949"/>
      <c r="AN907" s="949"/>
      <c r="AO907" s="949"/>
      <c r="AP907" s="949"/>
      <c r="AQ907" s="949"/>
      <c r="AR907" s="949"/>
      <c r="AS907" s="949"/>
      <c r="AT907" s="949"/>
      <c r="AU907" s="949"/>
      <c r="AV907" s="949"/>
      <c r="AW907" s="949"/>
      <c r="AX907" s="949"/>
      <c r="AY907" s="949"/>
      <c r="AZ907" s="949"/>
      <c r="BA907" s="949"/>
      <c r="BB907" s="949"/>
      <c r="BC907" s="949"/>
      <c r="BD907" s="949"/>
      <c r="BE907" s="949"/>
      <c r="BF907" s="949"/>
      <c r="BG907" s="948"/>
      <c r="BH907" s="948"/>
      <c r="BI907" s="948"/>
      <c r="BJ907" s="948"/>
      <c r="BK907" s="948"/>
      <c r="BL907" s="948"/>
      <c r="BM907" s="948"/>
      <c r="BN907" s="948"/>
      <c r="BO907" s="948"/>
      <c r="BP907" s="948"/>
      <c r="BQ907" s="948"/>
      <c r="BR907" s="948"/>
      <c r="BS907" s="948"/>
      <c r="BT907" s="948"/>
      <c r="BU907" s="954"/>
    </row>
    <row r="908" spans="1:73" ht="15.75" customHeight="1" x14ac:dyDescent="0.2">
      <c r="A908" s="947"/>
      <c r="B908" s="947"/>
      <c r="C908" s="947"/>
      <c r="D908" s="948"/>
      <c r="E908" s="948"/>
      <c r="F908" s="948"/>
      <c r="G908" s="948"/>
      <c r="H908" s="948"/>
      <c r="I908" s="948"/>
      <c r="J908" s="948"/>
      <c r="K908" s="949"/>
      <c r="L908" s="949"/>
      <c r="M908" s="949"/>
      <c r="N908" s="950"/>
      <c r="O908" s="948"/>
      <c r="P908" s="948"/>
      <c r="Q908" s="948"/>
      <c r="R908" s="949"/>
      <c r="S908" s="949"/>
      <c r="T908" s="949"/>
      <c r="U908" s="949"/>
      <c r="V908" s="949"/>
      <c r="W908" s="949"/>
      <c r="X908" s="951"/>
      <c r="Y908" s="951"/>
      <c r="Z908" s="952"/>
      <c r="AA908" s="953"/>
      <c r="AB908" s="948"/>
      <c r="AC908" s="948"/>
      <c r="AD908" s="949"/>
      <c r="AE908" s="949"/>
      <c r="AF908" s="949"/>
      <c r="AG908" s="949"/>
      <c r="AH908" s="949"/>
      <c r="AI908" s="949"/>
      <c r="AJ908" s="949"/>
      <c r="AK908" s="949"/>
      <c r="AL908" s="949"/>
      <c r="AM908" s="949"/>
      <c r="AN908" s="949"/>
      <c r="AO908" s="949"/>
      <c r="AP908" s="949"/>
      <c r="AQ908" s="949"/>
      <c r="AR908" s="949"/>
      <c r="AS908" s="949"/>
      <c r="AT908" s="949"/>
      <c r="AU908" s="949"/>
      <c r="AV908" s="949"/>
      <c r="AW908" s="949"/>
      <c r="AX908" s="949"/>
      <c r="AY908" s="949"/>
      <c r="AZ908" s="949"/>
      <c r="BA908" s="949"/>
      <c r="BB908" s="949"/>
      <c r="BC908" s="949"/>
      <c r="BD908" s="949"/>
      <c r="BE908" s="949"/>
      <c r="BF908" s="949"/>
      <c r="BG908" s="948"/>
      <c r="BH908" s="948"/>
      <c r="BI908" s="948"/>
      <c r="BJ908" s="948"/>
      <c r="BK908" s="948"/>
      <c r="BL908" s="948"/>
      <c r="BM908" s="948"/>
      <c r="BN908" s="948"/>
      <c r="BO908" s="948"/>
      <c r="BP908" s="948"/>
      <c r="BQ908" s="948"/>
      <c r="BR908" s="948"/>
      <c r="BS908" s="948"/>
      <c r="BT908" s="948"/>
      <c r="BU908" s="954"/>
    </row>
    <row r="909" spans="1:73" ht="15.75" customHeight="1" x14ac:dyDescent="0.2">
      <c r="A909" s="947"/>
      <c r="B909" s="947"/>
      <c r="C909" s="947"/>
      <c r="D909" s="948"/>
      <c r="E909" s="948"/>
      <c r="F909" s="948"/>
      <c r="G909" s="948"/>
      <c r="H909" s="948"/>
      <c r="I909" s="948"/>
      <c r="J909" s="948"/>
      <c r="K909" s="949"/>
      <c r="L909" s="949"/>
      <c r="M909" s="949"/>
      <c r="N909" s="950"/>
      <c r="O909" s="948"/>
      <c r="P909" s="948"/>
      <c r="Q909" s="948"/>
      <c r="R909" s="949"/>
      <c r="S909" s="949"/>
      <c r="T909" s="949"/>
      <c r="U909" s="949"/>
      <c r="V909" s="949"/>
      <c r="W909" s="949"/>
      <c r="X909" s="951"/>
      <c r="Y909" s="951"/>
      <c r="Z909" s="952"/>
      <c r="AA909" s="953"/>
      <c r="AB909" s="948"/>
      <c r="AC909" s="948"/>
      <c r="AD909" s="949"/>
      <c r="AE909" s="949"/>
      <c r="AF909" s="949"/>
      <c r="AG909" s="949"/>
      <c r="AH909" s="949"/>
      <c r="AI909" s="949"/>
      <c r="AJ909" s="949"/>
      <c r="AK909" s="949"/>
      <c r="AL909" s="949"/>
      <c r="AM909" s="949"/>
      <c r="AN909" s="949"/>
      <c r="AO909" s="949"/>
      <c r="AP909" s="949"/>
      <c r="AQ909" s="949"/>
      <c r="AR909" s="949"/>
      <c r="AS909" s="949"/>
      <c r="AT909" s="949"/>
      <c r="AU909" s="949"/>
      <c r="AV909" s="949"/>
      <c r="AW909" s="949"/>
      <c r="AX909" s="949"/>
      <c r="AY909" s="949"/>
      <c r="AZ909" s="949"/>
      <c r="BA909" s="949"/>
      <c r="BB909" s="949"/>
      <c r="BC909" s="949"/>
      <c r="BD909" s="949"/>
      <c r="BE909" s="949"/>
      <c r="BF909" s="949"/>
      <c r="BG909" s="948"/>
      <c r="BH909" s="948"/>
      <c r="BI909" s="948"/>
      <c r="BJ909" s="948"/>
      <c r="BK909" s="948"/>
      <c r="BL909" s="948"/>
      <c r="BM909" s="948"/>
      <c r="BN909" s="948"/>
      <c r="BO909" s="948"/>
      <c r="BP909" s="948"/>
      <c r="BQ909" s="948"/>
      <c r="BR909" s="948"/>
      <c r="BS909" s="948"/>
      <c r="BT909" s="948"/>
      <c r="BU909" s="954"/>
    </row>
    <row r="910" spans="1:73" ht="15.75" customHeight="1" x14ac:dyDescent="0.2">
      <c r="A910" s="947"/>
      <c r="B910" s="947"/>
      <c r="C910" s="947"/>
      <c r="D910" s="948"/>
      <c r="E910" s="948"/>
      <c r="F910" s="948"/>
      <c r="G910" s="948"/>
      <c r="H910" s="948"/>
      <c r="I910" s="948"/>
      <c r="J910" s="948"/>
      <c r="K910" s="949"/>
      <c r="L910" s="949"/>
      <c r="M910" s="949"/>
      <c r="N910" s="950"/>
      <c r="O910" s="948"/>
      <c r="P910" s="948"/>
      <c r="Q910" s="948"/>
      <c r="R910" s="949"/>
      <c r="S910" s="949"/>
      <c r="T910" s="949"/>
      <c r="U910" s="949"/>
      <c r="V910" s="949"/>
      <c r="W910" s="949"/>
      <c r="X910" s="951"/>
      <c r="Y910" s="951"/>
      <c r="Z910" s="952"/>
      <c r="AA910" s="953"/>
      <c r="AB910" s="948"/>
      <c r="AC910" s="948"/>
      <c r="AD910" s="949"/>
      <c r="AE910" s="949"/>
      <c r="AF910" s="949"/>
      <c r="AG910" s="949"/>
      <c r="AH910" s="949"/>
      <c r="AI910" s="949"/>
      <c r="AJ910" s="949"/>
      <c r="AK910" s="949"/>
      <c r="AL910" s="949"/>
      <c r="AM910" s="949"/>
      <c r="AN910" s="949"/>
      <c r="AO910" s="949"/>
      <c r="AP910" s="949"/>
      <c r="AQ910" s="949"/>
      <c r="AR910" s="949"/>
      <c r="AS910" s="949"/>
      <c r="AT910" s="949"/>
      <c r="AU910" s="949"/>
      <c r="AV910" s="949"/>
      <c r="AW910" s="949"/>
      <c r="AX910" s="949"/>
      <c r="AY910" s="949"/>
      <c r="AZ910" s="949"/>
      <c r="BA910" s="949"/>
      <c r="BB910" s="949"/>
      <c r="BC910" s="949"/>
      <c r="BD910" s="949"/>
      <c r="BE910" s="949"/>
      <c r="BF910" s="949"/>
      <c r="BG910" s="948"/>
      <c r="BH910" s="948"/>
      <c r="BI910" s="948"/>
      <c r="BJ910" s="948"/>
      <c r="BK910" s="948"/>
      <c r="BL910" s="948"/>
      <c r="BM910" s="948"/>
      <c r="BN910" s="948"/>
      <c r="BO910" s="948"/>
      <c r="BP910" s="948"/>
      <c r="BQ910" s="948"/>
      <c r="BR910" s="948"/>
      <c r="BS910" s="948"/>
      <c r="BT910" s="948"/>
      <c r="BU910" s="954"/>
    </row>
    <row r="911" spans="1:73" ht="15.75" customHeight="1" x14ac:dyDescent="0.2">
      <c r="A911" s="947"/>
      <c r="B911" s="947"/>
      <c r="C911" s="947"/>
      <c r="D911" s="948"/>
      <c r="E911" s="948"/>
      <c r="F911" s="948"/>
      <c r="G911" s="948"/>
      <c r="H911" s="948"/>
      <c r="I911" s="948"/>
      <c r="J911" s="948"/>
      <c r="K911" s="949"/>
      <c r="L911" s="949"/>
      <c r="M911" s="949"/>
      <c r="N911" s="950"/>
      <c r="O911" s="948"/>
      <c r="P911" s="948"/>
      <c r="Q911" s="948"/>
      <c r="R911" s="949"/>
      <c r="S911" s="949"/>
      <c r="T911" s="949"/>
      <c r="U911" s="949"/>
      <c r="V911" s="949"/>
      <c r="W911" s="949"/>
      <c r="X911" s="951"/>
      <c r="Y911" s="951"/>
      <c r="Z911" s="952"/>
      <c r="AA911" s="953"/>
      <c r="AB911" s="948"/>
      <c r="AC911" s="948"/>
      <c r="AD911" s="949"/>
      <c r="AE911" s="949"/>
      <c r="AF911" s="949"/>
      <c r="AG911" s="949"/>
      <c r="AH911" s="949"/>
      <c r="AI911" s="949"/>
      <c r="AJ911" s="949"/>
      <c r="AK911" s="949"/>
      <c r="AL911" s="949"/>
      <c r="AM911" s="949"/>
      <c r="AN911" s="949"/>
      <c r="AO911" s="949"/>
      <c r="AP911" s="949"/>
      <c r="AQ911" s="949"/>
      <c r="AR911" s="949"/>
      <c r="AS911" s="949"/>
      <c r="AT911" s="949"/>
      <c r="AU911" s="949"/>
      <c r="AV911" s="949"/>
      <c r="AW911" s="949"/>
      <c r="AX911" s="949"/>
      <c r="AY911" s="949"/>
      <c r="AZ911" s="949"/>
      <c r="BA911" s="949"/>
      <c r="BB911" s="949"/>
      <c r="BC911" s="949"/>
      <c r="BD911" s="949"/>
      <c r="BE911" s="949"/>
      <c r="BF911" s="949"/>
      <c r="BG911" s="948"/>
      <c r="BH911" s="948"/>
      <c r="BI911" s="948"/>
      <c r="BJ911" s="948"/>
      <c r="BK911" s="948"/>
      <c r="BL911" s="948"/>
      <c r="BM911" s="948"/>
      <c r="BN911" s="948"/>
      <c r="BO911" s="948"/>
      <c r="BP911" s="948"/>
      <c r="BQ911" s="948"/>
      <c r="BR911" s="948"/>
      <c r="BS911" s="948"/>
      <c r="BT911" s="948"/>
      <c r="BU911" s="954"/>
    </row>
    <row r="912" spans="1:73" ht="15.75" customHeight="1" x14ac:dyDescent="0.2">
      <c r="A912" s="947"/>
      <c r="B912" s="947"/>
      <c r="C912" s="947"/>
      <c r="D912" s="948"/>
      <c r="E912" s="948"/>
      <c r="F912" s="948"/>
      <c r="G912" s="948"/>
      <c r="H912" s="948"/>
      <c r="I912" s="948"/>
      <c r="J912" s="948"/>
      <c r="K912" s="949"/>
      <c r="L912" s="949"/>
      <c r="M912" s="949"/>
      <c r="N912" s="950"/>
      <c r="O912" s="948"/>
      <c r="P912" s="948"/>
      <c r="Q912" s="948"/>
      <c r="R912" s="949"/>
      <c r="S912" s="949"/>
      <c r="T912" s="949"/>
      <c r="U912" s="949"/>
      <c r="V912" s="949"/>
      <c r="W912" s="949"/>
      <c r="X912" s="951"/>
      <c r="Y912" s="951"/>
      <c r="Z912" s="952"/>
      <c r="AA912" s="953"/>
      <c r="AB912" s="948"/>
      <c r="AC912" s="948"/>
      <c r="AD912" s="949"/>
      <c r="AE912" s="949"/>
      <c r="AF912" s="949"/>
      <c r="AG912" s="949"/>
      <c r="AH912" s="949"/>
      <c r="AI912" s="949"/>
      <c r="AJ912" s="949"/>
      <c r="AK912" s="949"/>
      <c r="AL912" s="949"/>
      <c r="AM912" s="949"/>
      <c r="AN912" s="949"/>
      <c r="AO912" s="949"/>
      <c r="AP912" s="949"/>
      <c r="AQ912" s="949"/>
      <c r="AR912" s="949"/>
      <c r="AS912" s="949"/>
      <c r="AT912" s="949"/>
      <c r="AU912" s="949"/>
      <c r="AV912" s="949"/>
      <c r="AW912" s="949"/>
      <c r="AX912" s="949"/>
      <c r="AY912" s="949"/>
      <c r="AZ912" s="949"/>
      <c r="BA912" s="949"/>
      <c r="BB912" s="949"/>
      <c r="BC912" s="949"/>
      <c r="BD912" s="949"/>
      <c r="BE912" s="949"/>
      <c r="BF912" s="949"/>
      <c r="BG912" s="948"/>
      <c r="BH912" s="948"/>
      <c r="BI912" s="948"/>
      <c r="BJ912" s="948"/>
      <c r="BK912" s="948"/>
      <c r="BL912" s="948"/>
      <c r="BM912" s="948"/>
      <c r="BN912" s="948"/>
      <c r="BO912" s="948"/>
      <c r="BP912" s="948"/>
      <c r="BQ912" s="948"/>
      <c r="BR912" s="948"/>
      <c r="BS912" s="948"/>
      <c r="BT912" s="948"/>
      <c r="BU912" s="954"/>
    </row>
    <row r="913" spans="1:73" ht="15.75" customHeight="1" x14ac:dyDescent="0.2">
      <c r="A913" s="947"/>
      <c r="B913" s="947"/>
      <c r="C913" s="947"/>
      <c r="D913" s="948"/>
      <c r="E913" s="948"/>
      <c r="F913" s="948"/>
      <c r="G913" s="948"/>
      <c r="H913" s="948"/>
      <c r="I913" s="948"/>
      <c r="J913" s="948"/>
      <c r="K913" s="949"/>
      <c r="L913" s="949"/>
      <c r="M913" s="949"/>
      <c r="N913" s="950"/>
      <c r="O913" s="948"/>
      <c r="P913" s="948"/>
      <c r="Q913" s="948"/>
      <c r="R913" s="949"/>
      <c r="S913" s="949"/>
      <c r="T913" s="949"/>
      <c r="U913" s="949"/>
      <c r="V913" s="949"/>
      <c r="W913" s="949"/>
      <c r="X913" s="951"/>
      <c r="Y913" s="951"/>
      <c r="Z913" s="952"/>
      <c r="AA913" s="953"/>
      <c r="AB913" s="948"/>
      <c r="AC913" s="948"/>
      <c r="AD913" s="949"/>
      <c r="AE913" s="949"/>
      <c r="AF913" s="949"/>
      <c r="AG913" s="949"/>
      <c r="AH913" s="949"/>
      <c r="AI913" s="949"/>
      <c r="AJ913" s="949"/>
      <c r="AK913" s="949"/>
      <c r="AL913" s="949"/>
      <c r="AM913" s="949"/>
      <c r="AN913" s="949"/>
      <c r="AO913" s="949"/>
      <c r="AP913" s="949"/>
      <c r="AQ913" s="949"/>
      <c r="AR913" s="949"/>
      <c r="AS913" s="949"/>
      <c r="AT913" s="949"/>
      <c r="AU913" s="949"/>
      <c r="AV913" s="949"/>
      <c r="AW913" s="949"/>
      <c r="AX913" s="949"/>
      <c r="AY913" s="949"/>
      <c r="AZ913" s="949"/>
      <c r="BA913" s="949"/>
      <c r="BB913" s="949"/>
      <c r="BC913" s="949"/>
      <c r="BD913" s="949"/>
      <c r="BE913" s="949"/>
      <c r="BF913" s="949"/>
      <c r="BG913" s="948"/>
      <c r="BH913" s="948"/>
      <c r="BI913" s="948"/>
      <c r="BJ913" s="948"/>
      <c r="BK913" s="948"/>
      <c r="BL913" s="948"/>
      <c r="BM913" s="948"/>
      <c r="BN913" s="948"/>
      <c r="BO913" s="948"/>
      <c r="BP913" s="948"/>
      <c r="BQ913" s="948"/>
      <c r="BR913" s="948"/>
      <c r="BS913" s="948"/>
      <c r="BT913" s="948"/>
      <c r="BU913" s="954"/>
    </row>
    <row r="914" spans="1:73" ht="15.75" customHeight="1" x14ac:dyDescent="0.2">
      <c r="A914" s="947"/>
      <c r="B914" s="947"/>
      <c r="C914" s="947"/>
      <c r="D914" s="948"/>
      <c r="E914" s="948"/>
      <c r="F914" s="948"/>
      <c r="G914" s="948"/>
      <c r="H914" s="948"/>
      <c r="I914" s="948"/>
      <c r="J914" s="948"/>
      <c r="K914" s="949"/>
      <c r="L914" s="949"/>
      <c r="M914" s="949"/>
      <c r="N914" s="950"/>
      <c r="O914" s="948"/>
      <c r="P914" s="948"/>
      <c r="Q914" s="948"/>
      <c r="R914" s="949"/>
      <c r="S914" s="949"/>
      <c r="T914" s="949"/>
      <c r="U914" s="949"/>
      <c r="V914" s="949"/>
      <c r="W914" s="949"/>
      <c r="X914" s="951"/>
      <c r="Y914" s="951"/>
      <c r="Z914" s="952"/>
      <c r="AA914" s="953"/>
      <c r="AB914" s="948"/>
      <c r="AC914" s="948"/>
      <c r="AD914" s="949"/>
      <c r="AE914" s="949"/>
      <c r="AF914" s="949"/>
      <c r="AG914" s="949"/>
      <c r="AH914" s="949"/>
      <c r="AI914" s="949"/>
      <c r="AJ914" s="949"/>
      <c r="AK914" s="949"/>
      <c r="AL914" s="949"/>
      <c r="AM914" s="949"/>
      <c r="AN914" s="949"/>
      <c r="AO914" s="949"/>
      <c r="AP914" s="949"/>
      <c r="AQ914" s="949"/>
      <c r="AR914" s="949"/>
      <c r="AS914" s="949"/>
      <c r="AT914" s="949"/>
      <c r="AU914" s="949"/>
      <c r="AV914" s="949"/>
      <c r="AW914" s="949"/>
      <c r="AX914" s="949"/>
      <c r="AY914" s="949"/>
      <c r="AZ914" s="949"/>
      <c r="BA914" s="949"/>
      <c r="BB914" s="949"/>
      <c r="BC914" s="949"/>
      <c r="BD914" s="949"/>
      <c r="BE914" s="949"/>
      <c r="BF914" s="949"/>
      <c r="BG914" s="948"/>
      <c r="BH914" s="948"/>
      <c r="BI914" s="948"/>
      <c r="BJ914" s="948"/>
      <c r="BK914" s="948"/>
      <c r="BL914" s="948"/>
      <c r="BM914" s="948"/>
      <c r="BN914" s="948"/>
      <c r="BO914" s="948"/>
      <c r="BP914" s="948"/>
      <c r="BQ914" s="948"/>
      <c r="BR914" s="948"/>
      <c r="BS914" s="948"/>
      <c r="BT914" s="948"/>
      <c r="BU914" s="954"/>
    </row>
    <row r="915" spans="1:73" ht="15.75" customHeight="1" x14ac:dyDescent="0.2">
      <c r="A915" s="947"/>
      <c r="B915" s="947"/>
      <c r="C915" s="947"/>
      <c r="D915" s="948"/>
      <c r="E915" s="948"/>
      <c r="F915" s="948"/>
      <c r="G915" s="948"/>
      <c r="H915" s="948"/>
      <c r="I915" s="948"/>
      <c r="J915" s="948"/>
      <c r="K915" s="949"/>
      <c r="L915" s="949"/>
      <c r="M915" s="949"/>
      <c r="N915" s="950"/>
      <c r="O915" s="948"/>
      <c r="P915" s="948"/>
      <c r="Q915" s="948"/>
      <c r="R915" s="949"/>
      <c r="S915" s="949"/>
      <c r="T915" s="949"/>
      <c r="U915" s="949"/>
      <c r="V915" s="949"/>
      <c r="W915" s="949"/>
      <c r="X915" s="951"/>
      <c r="Y915" s="951"/>
      <c r="Z915" s="952"/>
      <c r="AA915" s="953"/>
      <c r="AB915" s="948"/>
      <c r="AC915" s="948"/>
      <c r="AD915" s="949"/>
      <c r="AE915" s="949"/>
      <c r="AF915" s="949"/>
      <c r="AG915" s="949"/>
      <c r="AH915" s="949"/>
      <c r="AI915" s="949"/>
      <c r="AJ915" s="949"/>
      <c r="AK915" s="949"/>
      <c r="AL915" s="949"/>
      <c r="AM915" s="949"/>
      <c r="AN915" s="949"/>
      <c r="AO915" s="949"/>
      <c r="AP915" s="949"/>
      <c r="AQ915" s="949"/>
      <c r="AR915" s="949"/>
      <c r="AS915" s="949"/>
      <c r="AT915" s="949"/>
      <c r="AU915" s="949"/>
      <c r="AV915" s="949"/>
      <c r="AW915" s="949"/>
      <c r="AX915" s="949"/>
      <c r="AY915" s="949"/>
      <c r="AZ915" s="949"/>
      <c r="BA915" s="949"/>
      <c r="BB915" s="949"/>
      <c r="BC915" s="949"/>
      <c r="BD915" s="949"/>
      <c r="BE915" s="949"/>
      <c r="BF915" s="949"/>
      <c r="BG915" s="948"/>
      <c r="BH915" s="948"/>
      <c r="BI915" s="948"/>
      <c r="BJ915" s="948"/>
      <c r="BK915" s="948"/>
      <c r="BL915" s="948"/>
      <c r="BM915" s="948"/>
      <c r="BN915" s="948"/>
      <c r="BO915" s="948"/>
      <c r="BP915" s="948"/>
      <c r="BQ915" s="948"/>
      <c r="BR915" s="948"/>
      <c r="BS915" s="948"/>
      <c r="BT915" s="948"/>
      <c r="BU915" s="954"/>
    </row>
    <row r="916" spans="1:73" ht="15.75" customHeight="1" x14ac:dyDescent="0.2">
      <c r="A916" s="947"/>
      <c r="B916" s="947"/>
      <c r="C916" s="947"/>
      <c r="D916" s="948"/>
      <c r="E916" s="948"/>
      <c r="F916" s="948"/>
      <c r="G916" s="948"/>
      <c r="H916" s="948"/>
      <c r="I916" s="948"/>
      <c r="J916" s="948"/>
      <c r="K916" s="949"/>
      <c r="L916" s="949"/>
      <c r="M916" s="949"/>
      <c r="N916" s="950"/>
      <c r="O916" s="948"/>
      <c r="P916" s="948"/>
      <c r="Q916" s="948"/>
      <c r="R916" s="949"/>
      <c r="S916" s="949"/>
      <c r="T916" s="949"/>
      <c r="U916" s="949"/>
      <c r="V916" s="949"/>
      <c r="W916" s="949"/>
      <c r="X916" s="951"/>
      <c r="Y916" s="951"/>
      <c r="Z916" s="952"/>
      <c r="AA916" s="953"/>
      <c r="AB916" s="948"/>
      <c r="AC916" s="948"/>
      <c r="AD916" s="949"/>
      <c r="AE916" s="949"/>
      <c r="AF916" s="949"/>
      <c r="AG916" s="949"/>
      <c r="AH916" s="949"/>
      <c r="AI916" s="949"/>
      <c r="AJ916" s="949"/>
      <c r="AK916" s="949"/>
      <c r="AL916" s="949"/>
      <c r="AM916" s="949"/>
      <c r="AN916" s="949"/>
      <c r="AO916" s="949"/>
      <c r="AP916" s="949"/>
      <c r="AQ916" s="949"/>
      <c r="AR916" s="949"/>
      <c r="AS916" s="949"/>
      <c r="AT916" s="949"/>
      <c r="AU916" s="949"/>
      <c r="AV916" s="949"/>
      <c r="AW916" s="949"/>
      <c r="AX916" s="949"/>
      <c r="AY916" s="949"/>
      <c r="AZ916" s="949"/>
      <c r="BA916" s="949"/>
      <c r="BB916" s="949"/>
      <c r="BC916" s="949"/>
      <c r="BD916" s="949"/>
      <c r="BE916" s="949"/>
      <c r="BF916" s="949"/>
      <c r="BG916" s="948"/>
      <c r="BH916" s="948"/>
      <c r="BI916" s="948"/>
      <c r="BJ916" s="948"/>
      <c r="BK916" s="948"/>
      <c r="BL916" s="948"/>
      <c r="BM916" s="948"/>
      <c r="BN916" s="948"/>
      <c r="BO916" s="948"/>
      <c r="BP916" s="948"/>
      <c r="BQ916" s="948"/>
      <c r="BR916" s="948"/>
      <c r="BS916" s="948"/>
      <c r="BT916" s="948"/>
      <c r="BU916" s="954"/>
    </row>
    <row r="917" spans="1:73" ht="15.75" customHeight="1" x14ac:dyDescent="0.2">
      <c r="A917" s="947"/>
      <c r="B917" s="947"/>
      <c r="C917" s="947"/>
      <c r="D917" s="948"/>
      <c r="E917" s="948"/>
      <c r="F917" s="948"/>
      <c r="G917" s="948"/>
      <c r="H917" s="948"/>
      <c r="I917" s="948"/>
      <c r="J917" s="948"/>
      <c r="K917" s="949"/>
      <c r="L917" s="949"/>
      <c r="M917" s="949"/>
      <c r="N917" s="950"/>
      <c r="O917" s="948"/>
      <c r="P917" s="948"/>
      <c r="Q917" s="948"/>
      <c r="R917" s="949"/>
      <c r="S917" s="949"/>
      <c r="T917" s="949"/>
      <c r="U917" s="949"/>
      <c r="V917" s="949"/>
      <c r="W917" s="949"/>
      <c r="X917" s="951"/>
      <c r="Y917" s="951"/>
      <c r="Z917" s="952"/>
      <c r="AA917" s="953"/>
      <c r="AB917" s="948"/>
      <c r="AC917" s="948"/>
      <c r="AD917" s="949"/>
      <c r="AE917" s="949"/>
      <c r="AF917" s="949"/>
      <c r="AG917" s="949"/>
      <c r="AH917" s="949"/>
      <c r="AI917" s="949"/>
      <c r="AJ917" s="949"/>
      <c r="AK917" s="949"/>
      <c r="AL917" s="949"/>
      <c r="AM917" s="949"/>
      <c r="AN917" s="949"/>
      <c r="AO917" s="949"/>
      <c r="AP917" s="949"/>
      <c r="AQ917" s="949"/>
      <c r="AR917" s="949"/>
      <c r="AS917" s="949"/>
      <c r="AT917" s="949"/>
      <c r="AU917" s="949"/>
      <c r="AV917" s="949"/>
      <c r="AW917" s="949"/>
      <c r="AX917" s="949"/>
      <c r="AY917" s="949"/>
      <c r="AZ917" s="949"/>
      <c r="BA917" s="949"/>
      <c r="BB917" s="949"/>
      <c r="BC917" s="949"/>
      <c r="BD917" s="949"/>
      <c r="BE917" s="949"/>
      <c r="BF917" s="949"/>
      <c r="BG917" s="948"/>
      <c r="BH917" s="948"/>
      <c r="BI917" s="948"/>
      <c r="BJ917" s="948"/>
      <c r="BK917" s="948"/>
      <c r="BL917" s="948"/>
      <c r="BM917" s="948"/>
      <c r="BN917" s="948"/>
      <c r="BO917" s="948"/>
      <c r="BP917" s="948"/>
      <c r="BQ917" s="948"/>
      <c r="BR917" s="948"/>
      <c r="BS917" s="948"/>
      <c r="BT917" s="948"/>
      <c r="BU917" s="954"/>
    </row>
    <row r="918" spans="1:73" ht="15.75" customHeight="1" x14ac:dyDescent="0.2">
      <c r="A918" s="947"/>
      <c r="B918" s="947"/>
      <c r="C918" s="947"/>
      <c r="D918" s="948"/>
      <c r="E918" s="948"/>
      <c r="F918" s="948"/>
      <c r="G918" s="948"/>
      <c r="H918" s="948"/>
      <c r="I918" s="948"/>
      <c r="J918" s="948"/>
      <c r="K918" s="949"/>
      <c r="L918" s="949"/>
      <c r="M918" s="949"/>
      <c r="N918" s="950"/>
      <c r="O918" s="948"/>
      <c r="P918" s="948"/>
      <c r="Q918" s="948"/>
      <c r="R918" s="949"/>
      <c r="S918" s="949"/>
      <c r="T918" s="949"/>
      <c r="U918" s="949"/>
      <c r="V918" s="949"/>
      <c r="W918" s="949"/>
      <c r="X918" s="951"/>
      <c r="Y918" s="951"/>
      <c r="Z918" s="952"/>
      <c r="AA918" s="953"/>
      <c r="AB918" s="948"/>
      <c r="AC918" s="948"/>
      <c r="AD918" s="949"/>
      <c r="AE918" s="949"/>
      <c r="AF918" s="949"/>
      <c r="AG918" s="949"/>
      <c r="AH918" s="949"/>
      <c r="AI918" s="949"/>
      <c r="AJ918" s="949"/>
      <c r="AK918" s="949"/>
      <c r="AL918" s="949"/>
      <c r="AM918" s="949"/>
      <c r="AN918" s="949"/>
      <c r="AO918" s="949"/>
      <c r="AP918" s="949"/>
      <c r="AQ918" s="949"/>
      <c r="AR918" s="949"/>
      <c r="AS918" s="949"/>
      <c r="AT918" s="949"/>
      <c r="AU918" s="949"/>
      <c r="AV918" s="949"/>
      <c r="AW918" s="949"/>
      <c r="AX918" s="949"/>
      <c r="AY918" s="949"/>
      <c r="AZ918" s="949"/>
      <c r="BA918" s="949"/>
      <c r="BB918" s="949"/>
      <c r="BC918" s="949"/>
      <c r="BD918" s="949"/>
      <c r="BE918" s="949"/>
      <c r="BF918" s="949"/>
      <c r="BG918" s="948"/>
      <c r="BH918" s="948"/>
      <c r="BI918" s="948"/>
      <c r="BJ918" s="948"/>
      <c r="BK918" s="948"/>
      <c r="BL918" s="948"/>
      <c r="BM918" s="948"/>
      <c r="BN918" s="948"/>
      <c r="BO918" s="948"/>
      <c r="BP918" s="948"/>
      <c r="BQ918" s="948"/>
      <c r="BR918" s="948"/>
      <c r="BS918" s="948"/>
      <c r="BT918" s="948"/>
      <c r="BU918" s="954"/>
    </row>
    <row r="919" spans="1:73" ht="15.75" customHeight="1" x14ac:dyDescent="0.2">
      <c r="A919" s="947"/>
      <c r="B919" s="947"/>
      <c r="C919" s="947"/>
      <c r="D919" s="948"/>
      <c r="E919" s="948"/>
      <c r="F919" s="948"/>
      <c r="G919" s="948"/>
      <c r="H919" s="948"/>
      <c r="I919" s="948"/>
      <c r="J919" s="948"/>
      <c r="K919" s="949"/>
      <c r="L919" s="949"/>
      <c r="M919" s="949"/>
      <c r="N919" s="950"/>
      <c r="O919" s="948"/>
      <c r="P919" s="948"/>
      <c r="Q919" s="948"/>
      <c r="R919" s="949"/>
      <c r="S919" s="949"/>
      <c r="T919" s="949"/>
      <c r="U919" s="949"/>
      <c r="V919" s="949"/>
      <c r="W919" s="949"/>
      <c r="X919" s="951"/>
      <c r="Y919" s="951"/>
      <c r="Z919" s="952"/>
      <c r="AA919" s="953"/>
      <c r="AB919" s="948"/>
      <c r="AC919" s="948"/>
      <c r="AD919" s="949"/>
      <c r="AE919" s="949"/>
      <c r="AF919" s="949"/>
      <c r="AG919" s="949"/>
      <c r="AH919" s="949"/>
      <c r="AI919" s="949"/>
      <c r="AJ919" s="949"/>
      <c r="AK919" s="949"/>
      <c r="AL919" s="949"/>
      <c r="AM919" s="949"/>
      <c r="AN919" s="949"/>
      <c r="AO919" s="949"/>
      <c r="AP919" s="949"/>
      <c r="AQ919" s="949"/>
      <c r="AR919" s="949"/>
      <c r="AS919" s="949"/>
      <c r="AT919" s="949"/>
      <c r="AU919" s="949"/>
      <c r="AV919" s="949"/>
      <c r="AW919" s="949"/>
      <c r="AX919" s="949"/>
      <c r="AY919" s="949"/>
      <c r="AZ919" s="949"/>
      <c r="BA919" s="949"/>
      <c r="BB919" s="949"/>
      <c r="BC919" s="949"/>
      <c r="BD919" s="949"/>
      <c r="BE919" s="949"/>
      <c r="BF919" s="949"/>
      <c r="BG919" s="948"/>
      <c r="BH919" s="948"/>
      <c r="BI919" s="948"/>
      <c r="BJ919" s="948"/>
      <c r="BK919" s="948"/>
      <c r="BL919" s="948"/>
      <c r="BM919" s="948"/>
      <c r="BN919" s="948"/>
      <c r="BO919" s="948"/>
      <c r="BP919" s="948"/>
      <c r="BQ919" s="948"/>
      <c r="BR919" s="948"/>
      <c r="BS919" s="948"/>
      <c r="BT919" s="948"/>
      <c r="BU919" s="954"/>
    </row>
    <row r="920" spans="1:73" ht="15.75" customHeight="1" x14ac:dyDescent="0.2">
      <c r="A920" s="947"/>
      <c r="B920" s="947"/>
      <c r="C920" s="947"/>
      <c r="D920" s="948"/>
      <c r="E920" s="948"/>
      <c r="F920" s="948"/>
      <c r="G920" s="948"/>
      <c r="H920" s="948"/>
      <c r="I920" s="948"/>
      <c r="J920" s="948"/>
      <c r="K920" s="949"/>
      <c r="L920" s="949"/>
      <c r="M920" s="949"/>
      <c r="N920" s="950"/>
      <c r="O920" s="948"/>
      <c r="P920" s="948"/>
      <c r="Q920" s="948"/>
      <c r="R920" s="949"/>
      <c r="S920" s="949"/>
      <c r="T920" s="949"/>
      <c r="U920" s="949"/>
      <c r="V920" s="949"/>
      <c r="W920" s="949"/>
      <c r="X920" s="951"/>
      <c r="Y920" s="951"/>
      <c r="Z920" s="952"/>
      <c r="AA920" s="953"/>
      <c r="AB920" s="948"/>
      <c r="AC920" s="948"/>
      <c r="AD920" s="949"/>
      <c r="AE920" s="949"/>
      <c r="AF920" s="949"/>
      <c r="AG920" s="949"/>
      <c r="AH920" s="949"/>
      <c r="AI920" s="949"/>
      <c r="AJ920" s="949"/>
      <c r="AK920" s="949"/>
      <c r="AL920" s="949"/>
      <c r="AM920" s="949"/>
      <c r="AN920" s="949"/>
      <c r="AO920" s="949"/>
      <c r="AP920" s="949"/>
      <c r="AQ920" s="949"/>
      <c r="AR920" s="949"/>
      <c r="AS920" s="949"/>
      <c r="AT920" s="949"/>
      <c r="AU920" s="949"/>
      <c r="AV920" s="949"/>
      <c r="AW920" s="949"/>
      <c r="AX920" s="949"/>
      <c r="AY920" s="949"/>
      <c r="AZ920" s="949"/>
      <c r="BA920" s="949"/>
      <c r="BB920" s="949"/>
      <c r="BC920" s="949"/>
      <c r="BD920" s="949"/>
      <c r="BE920" s="949"/>
      <c r="BF920" s="949"/>
      <c r="BG920" s="948"/>
      <c r="BH920" s="948"/>
      <c r="BI920" s="948"/>
      <c r="BJ920" s="948"/>
      <c r="BK920" s="948"/>
      <c r="BL920" s="948"/>
      <c r="BM920" s="948"/>
      <c r="BN920" s="948"/>
      <c r="BO920" s="948"/>
      <c r="BP920" s="948"/>
      <c r="BQ920" s="948"/>
      <c r="BR920" s="948"/>
      <c r="BS920" s="948"/>
      <c r="BT920" s="948"/>
      <c r="BU920" s="954"/>
    </row>
    <row r="921" spans="1:73" ht="15.75" customHeight="1" x14ac:dyDescent="0.2">
      <c r="A921" s="947"/>
      <c r="B921" s="947"/>
      <c r="C921" s="947"/>
      <c r="D921" s="948"/>
      <c r="E921" s="948"/>
      <c r="F921" s="948"/>
      <c r="G921" s="948"/>
      <c r="H921" s="948"/>
      <c r="I921" s="948"/>
      <c r="J921" s="948"/>
      <c r="K921" s="949"/>
      <c r="L921" s="949"/>
      <c r="M921" s="949"/>
      <c r="N921" s="950"/>
      <c r="O921" s="948"/>
      <c r="P921" s="948"/>
      <c r="Q921" s="948"/>
      <c r="R921" s="949"/>
      <c r="S921" s="949"/>
      <c r="T921" s="949"/>
      <c r="U921" s="949"/>
      <c r="V921" s="949"/>
      <c r="W921" s="949"/>
      <c r="X921" s="951"/>
      <c r="Y921" s="951"/>
      <c r="Z921" s="952"/>
      <c r="AA921" s="953"/>
      <c r="AB921" s="948"/>
      <c r="AC921" s="948"/>
      <c r="AD921" s="949"/>
      <c r="AE921" s="949"/>
      <c r="AF921" s="949"/>
      <c r="AG921" s="949"/>
      <c r="AH921" s="949"/>
      <c r="AI921" s="949"/>
      <c r="AJ921" s="949"/>
      <c r="AK921" s="949"/>
      <c r="AL921" s="949"/>
      <c r="AM921" s="949"/>
      <c r="AN921" s="949"/>
      <c r="AO921" s="949"/>
      <c r="AP921" s="949"/>
      <c r="AQ921" s="949"/>
      <c r="AR921" s="949"/>
      <c r="AS921" s="949"/>
      <c r="AT921" s="949"/>
      <c r="AU921" s="949"/>
      <c r="AV921" s="949"/>
      <c r="AW921" s="949"/>
      <c r="AX921" s="949"/>
      <c r="AY921" s="949"/>
      <c r="AZ921" s="949"/>
      <c r="BA921" s="949"/>
      <c r="BB921" s="949"/>
      <c r="BC921" s="949"/>
      <c r="BD921" s="949"/>
      <c r="BE921" s="949"/>
      <c r="BF921" s="949"/>
      <c r="BG921" s="948"/>
      <c r="BH921" s="948"/>
      <c r="BI921" s="948"/>
      <c r="BJ921" s="948"/>
      <c r="BK921" s="948"/>
      <c r="BL921" s="948"/>
      <c r="BM921" s="948"/>
      <c r="BN921" s="948"/>
      <c r="BO921" s="948"/>
      <c r="BP921" s="948"/>
      <c r="BQ921" s="948"/>
      <c r="BR921" s="948"/>
      <c r="BS921" s="948"/>
      <c r="BT921" s="948"/>
      <c r="BU921" s="954"/>
    </row>
    <row r="922" spans="1:73" ht="15.75" customHeight="1" x14ac:dyDescent="0.2">
      <c r="A922" s="947"/>
      <c r="B922" s="947"/>
      <c r="C922" s="947"/>
      <c r="D922" s="948"/>
      <c r="E922" s="948"/>
      <c r="F922" s="948"/>
      <c r="G922" s="948"/>
      <c r="H922" s="948"/>
      <c r="I922" s="948"/>
      <c r="J922" s="948"/>
      <c r="K922" s="949"/>
      <c r="L922" s="949"/>
      <c r="M922" s="949"/>
      <c r="N922" s="950"/>
      <c r="O922" s="948"/>
      <c r="P922" s="948"/>
      <c r="Q922" s="948"/>
      <c r="R922" s="949"/>
      <c r="S922" s="949"/>
      <c r="T922" s="949"/>
      <c r="U922" s="949"/>
      <c r="V922" s="949"/>
      <c r="W922" s="949"/>
      <c r="X922" s="951"/>
      <c r="Y922" s="951"/>
      <c r="Z922" s="952"/>
      <c r="AA922" s="953"/>
      <c r="AB922" s="948"/>
      <c r="AC922" s="948"/>
      <c r="AD922" s="949"/>
      <c r="AE922" s="949"/>
      <c r="AF922" s="949"/>
      <c r="AG922" s="949"/>
      <c r="AH922" s="949"/>
      <c r="AI922" s="949"/>
      <c r="AJ922" s="949"/>
      <c r="AK922" s="949"/>
      <c r="AL922" s="949"/>
      <c r="AM922" s="949"/>
      <c r="AN922" s="949"/>
      <c r="AO922" s="949"/>
      <c r="AP922" s="949"/>
      <c r="AQ922" s="949"/>
      <c r="AR922" s="949"/>
      <c r="AS922" s="949"/>
      <c r="AT922" s="949"/>
      <c r="AU922" s="949"/>
      <c r="AV922" s="949"/>
      <c r="AW922" s="949"/>
      <c r="AX922" s="949"/>
      <c r="AY922" s="949"/>
      <c r="AZ922" s="949"/>
      <c r="BA922" s="949"/>
      <c r="BB922" s="949"/>
      <c r="BC922" s="949"/>
      <c r="BD922" s="949"/>
      <c r="BE922" s="949"/>
      <c r="BF922" s="949"/>
      <c r="BG922" s="948"/>
      <c r="BH922" s="948"/>
      <c r="BI922" s="948"/>
      <c r="BJ922" s="948"/>
      <c r="BK922" s="948"/>
      <c r="BL922" s="948"/>
      <c r="BM922" s="948"/>
      <c r="BN922" s="948"/>
      <c r="BO922" s="948"/>
      <c r="BP922" s="948"/>
      <c r="BQ922" s="948"/>
      <c r="BR922" s="948"/>
      <c r="BS922" s="948"/>
      <c r="BT922" s="948"/>
      <c r="BU922" s="954"/>
    </row>
    <row r="923" spans="1:73" ht="15.75" customHeight="1" x14ac:dyDescent="0.2">
      <c r="A923" s="947"/>
      <c r="B923" s="947"/>
      <c r="C923" s="947"/>
      <c r="D923" s="948"/>
      <c r="E923" s="948"/>
      <c r="F923" s="948"/>
      <c r="G923" s="948"/>
      <c r="H923" s="948"/>
      <c r="I923" s="948"/>
      <c r="J923" s="948"/>
      <c r="K923" s="949"/>
      <c r="L923" s="949"/>
      <c r="M923" s="949"/>
      <c r="N923" s="950"/>
      <c r="O923" s="948"/>
      <c r="P923" s="948"/>
      <c r="Q923" s="948"/>
      <c r="R923" s="949"/>
      <c r="S923" s="949"/>
      <c r="T923" s="949"/>
      <c r="U923" s="949"/>
      <c r="V923" s="949"/>
      <c r="W923" s="949"/>
      <c r="X923" s="951"/>
      <c r="Y923" s="951"/>
      <c r="Z923" s="952"/>
      <c r="AA923" s="953"/>
      <c r="AB923" s="948"/>
      <c r="AC923" s="948"/>
      <c r="AD923" s="949"/>
      <c r="AE923" s="949"/>
      <c r="AF923" s="949"/>
      <c r="AG923" s="949"/>
      <c r="AH923" s="949"/>
      <c r="AI923" s="949"/>
      <c r="AJ923" s="949"/>
      <c r="AK923" s="949"/>
      <c r="AL923" s="949"/>
      <c r="AM923" s="949"/>
      <c r="AN923" s="949"/>
      <c r="AO923" s="949"/>
      <c r="AP923" s="949"/>
      <c r="AQ923" s="949"/>
      <c r="AR923" s="949"/>
      <c r="AS923" s="949"/>
      <c r="AT923" s="949"/>
      <c r="AU923" s="949"/>
      <c r="AV923" s="949"/>
      <c r="AW923" s="949"/>
      <c r="AX923" s="949"/>
      <c r="AY923" s="949"/>
      <c r="AZ923" s="949"/>
      <c r="BA923" s="949"/>
      <c r="BB923" s="949"/>
      <c r="BC923" s="949"/>
      <c r="BD923" s="949"/>
      <c r="BE923" s="949"/>
      <c r="BF923" s="949"/>
      <c r="BG923" s="948"/>
      <c r="BH923" s="948"/>
      <c r="BI923" s="948"/>
      <c r="BJ923" s="948"/>
      <c r="BK923" s="948"/>
      <c r="BL923" s="948"/>
      <c r="BM923" s="948"/>
      <c r="BN923" s="948"/>
      <c r="BO923" s="948"/>
      <c r="BP923" s="948"/>
      <c r="BQ923" s="948"/>
      <c r="BR923" s="948"/>
      <c r="BS923" s="948"/>
      <c r="BT923" s="948"/>
      <c r="BU923" s="954"/>
    </row>
    <row r="924" spans="1:73" ht="15.75" customHeight="1" x14ac:dyDescent="0.2">
      <c r="A924" s="947"/>
      <c r="B924" s="947"/>
      <c r="C924" s="947"/>
      <c r="D924" s="948"/>
      <c r="E924" s="948"/>
      <c r="F924" s="948"/>
      <c r="G924" s="948"/>
      <c r="H924" s="948"/>
      <c r="I924" s="948"/>
      <c r="J924" s="948"/>
      <c r="K924" s="949"/>
      <c r="L924" s="949"/>
      <c r="M924" s="949"/>
      <c r="N924" s="950"/>
      <c r="O924" s="948"/>
      <c r="P924" s="948"/>
      <c r="Q924" s="948"/>
      <c r="R924" s="949"/>
      <c r="S924" s="949"/>
      <c r="T924" s="949"/>
      <c r="U924" s="949"/>
      <c r="V924" s="949"/>
      <c r="W924" s="949"/>
      <c r="X924" s="951"/>
      <c r="Y924" s="951"/>
      <c r="Z924" s="952"/>
      <c r="AA924" s="953"/>
      <c r="AB924" s="948"/>
      <c r="AC924" s="948"/>
      <c r="AD924" s="949"/>
      <c r="AE924" s="949"/>
      <c r="AF924" s="949"/>
      <c r="AG924" s="949"/>
      <c r="AH924" s="949"/>
      <c r="AI924" s="949"/>
      <c r="AJ924" s="949"/>
      <c r="AK924" s="949"/>
      <c r="AL924" s="949"/>
      <c r="AM924" s="949"/>
      <c r="AN924" s="949"/>
      <c r="AO924" s="949"/>
      <c r="AP924" s="949"/>
      <c r="AQ924" s="949"/>
      <c r="AR924" s="949"/>
      <c r="AS924" s="949"/>
      <c r="AT924" s="949"/>
      <c r="AU924" s="949"/>
      <c r="AV924" s="949"/>
      <c r="AW924" s="949"/>
      <c r="AX924" s="949"/>
      <c r="AY924" s="949"/>
      <c r="AZ924" s="949"/>
      <c r="BA924" s="949"/>
      <c r="BB924" s="949"/>
      <c r="BC924" s="949"/>
      <c r="BD924" s="949"/>
      <c r="BE924" s="949"/>
      <c r="BF924" s="949"/>
      <c r="BG924" s="948"/>
      <c r="BH924" s="948"/>
      <c r="BI924" s="948"/>
      <c r="BJ924" s="948"/>
      <c r="BK924" s="948"/>
      <c r="BL924" s="948"/>
      <c r="BM924" s="948"/>
      <c r="BN924" s="948"/>
      <c r="BO924" s="948"/>
      <c r="BP924" s="948"/>
      <c r="BQ924" s="948"/>
      <c r="BR924" s="948"/>
      <c r="BS924" s="948"/>
      <c r="BT924" s="948"/>
      <c r="BU924" s="954"/>
    </row>
    <row r="925" spans="1:73" ht="15.75" customHeight="1" x14ac:dyDescent="0.2">
      <c r="A925" s="947"/>
      <c r="B925" s="947"/>
      <c r="C925" s="947"/>
      <c r="D925" s="948"/>
      <c r="E925" s="948"/>
      <c r="F925" s="948"/>
      <c r="G925" s="948"/>
      <c r="H925" s="948"/>
      <c r="I925" s="948"/>
      <c r="J925" s="948"/>
      <c r="K925" s="949"/>
      <c r="L925" s="949"/>
      <c r="M925" s="949"/>
      <c r="N925" s="950"/>
      <c r="O925" s="948"/>
      <c r="P925" s="948"/>
      <c r="Q925" s="948"/>
      <c r="R925" s="949"/>
      <c r="S925" s="949"/>
      <c r="T925" s="949"/>
      <c r="U925" s="949"/>
      <c r="V925" s="949"/>
      <c r="W925" s="949"/>
      <c r="X925" s="951"/>
      <c r="Y925" s="951"/>
      <c r="Z925" s="952"/>
      <c r="AA925" s="953"/>
      <c r="AB925" s="948"/>
      <c r="AC925" s="948"/>
      <c r="AD925" s="949"/>
      <c r="AE925" s="949"/>
      <c r="AF925" s="949"/>
      <c r="AG925" s="949"/>
      <c r="AH925" s="949"/>
      <c r="AI925" s="949"/>
      <c r="AJ925" s="949"/>
      <c r="AK925" s="949"/>
      <c r="AL925" s="949"/>
      <c r="AM925" s="949"/>
      <c r="AN925" s="949"/>
      <c r="AO925" s="949"/>
      <c r="AP925" s="949"/>
      <c r="AQ925" s="949"/>
      <c r="AR925" s="949"/>
      <c r="AS925" s="949"/>
      <c r="AT925" s="949"/>
      <c r="AU925" s="949"/>
      <c r="AV925" s="949"/>
      <c r="AW925" s="949"/>
      <c r="AX925" s="949"/>
      <c r="AY925" s="949"/>
      <c r="AZ925" s="949"/>
      <c r="BA925" s="949"/>
      <c r="BB925" s="949"/>
      <c r="BC925" s="949"/>
      <c r="BD925" s="949"/>
      <c r="BE925" s="949"/>
      <c r="BF925" s="949"/>
      <c r="BG925" s="948"/>
      <c r="BH925" s="948"/>
      <c r="BI925" s="948"/>
      <c r="BJ925" s="948"/>
      <c r="BK925" s="948"/>
      <c r="BL925" s="948"/>
      <c r="BM925" s="948"/>
      <c r="BN925" s="948"/>
      <c r="BO925" s="948"/>
      <c r="BP925" s="948"/>
      <c r="BQ925" s="948"/>
      <c r="BR925" s="948"/>
      <c r="BS925" s="948"/>
      <c r="BT925" s="948"/>
      <c r="BU925" s="954"/>
    </row>
    <row r="926" spans="1:73" ht="15.75" customHeight="1" x14ac:dyDescent="0.2">
      <c r="A926" s="947"/>
      <c r="B926" s="947"/>
      <c r="C926" s="947"/>
      <c r="D926" s="948"/>
      <c r="E926" s="948"/>
      <c r="F926" s="948"/>
      <c r="G926" s="948"/>
      <c r="H926" s="948"/>
      <c r="I926" s="948"/>
      <c r="J926" s="948"/>
      <c r="K926" s="949"/>
      <c r="L926" s="949"/>
      <c r="M926" s="949"/>
      <c r="N926" s="950"/>
      <c r="O926" s="948"/>
      <c r="P926" s="948"/>
      <c r="Q926" s="948"/>
      <c r="R926" s="949"/>
      <c r="S926" s="949"/>
      <c r="T926" s="949"/>
      <c r="U926" s="949"/>
      <c r="V926" s="949"/>
      <c r="W926" s="949"/>
      <c r="X926" s="951"/>
      <c r="Y926" s="951"/>
      <c r="Z926" s="952"/>
      <c r="AA926" s="953"/>
      <c r="AB926" s="948"/>
      <c r="AC926" s="948"/>
      <c r="AD926" s="949"/>
      <c r="AE926" s="949"/>
      <c r="AF926" s="949"/>
      <c r="AG926" s="949"/>
      <c r="AH926" s="949"/>
      <c r="AI926" s="949"/>
      <c r="AJ926" s="949"/>
      <c r="AK926" s="949"/>
      <c r="AL926" s="949"/>
      <c r="AM926" s="949"/>
      <c r="AN926" s="949"/>
      <c r="AO926" s="949"/>
      <c r="AP926" s="949"/>
      <c r="AQ926" s="949"/>
      <c r="AR926" s="949"/>
      <c r="AS926" s="949"/>
      <c r="AT926" s="949"/>
      <c r="AU926" s="949"/>
      <c r="AV926" s="949"/>
      <c r="AW926" s="949"/>
      <c r="AX926" s="949"/>
      <c r="AY926" s="949"/>
      <c r="AZ926" s="949"/>
      <c r="BA926" s="949"/>
      <c r="BB926" s="949"/>
      <c r="BC926" s="949"/>
      <c r="BD926" s="949"/>
      <c r="BE926" s="949"/>
      <c r="BF926" s="949"/>
      <c r="BG926" s="948"/>
      <c r="BH926" s="948"/>
      <c r="BI926" s="948"/>
      <c r="BJ926" s="948"/>
      <c r="BK926" s="948"/>
      <c r="BL926" s="948"/>
      <c r="BM926" s="948"/>
      <c r="BN926" s="948"/>
      <c r="BO926" s="948"/>
      <c r="BP926" s="948"/>
      <c r="BQ926" s="948"/>
      <c r="BR926" s="948"/>
      <c r="BS926" s="948"/>
      <c r="BT926" s="948"/>
      <c r="BU926" s="954"/>
    </row>
    <row r="927" spans="1:73" ht="15.75" customHeight="1" x14ac:dyDescent="0.2">
      <c r="A927" s="947"/>
      <c r="B927" s="947"/>
      <c r="C927" s="947"/>
      <c r="D927" s="948"/>
      <c r="E927" s="948"/>
      <c r="F927" s="948"/>
      <c r="G927" s="948"/>
      <c r="H927" s="948"/>
      <c r="I927" s="948"/>
      <c r="J927" s="948"/>
      <c r="K927" s="949"/>
      <c r="L927" s="949"/>
      <c r="M927" s="949"/>
      <c r="N927" s="950"/>
      <c r="O927" s="948"/>
      <c r="P927" s="948"/>
      <c r="Q927" s="948"/>
      <c r="R927" s="949"/>
      <c r="S927" s="949"/>
      <c r="T927" s="949"/>
      <c r="U927" s="949"/>
      <c r="V927" s="949"/>
      <c r="W927" s="949"/>
      <c r="X927" s="951"/>
      <c r="Y927" s="951"/>
      <c r="Z927" s="952"/>
      <c r="AA927" s="953"/>
      <c r="AB927" s="948"/>
      <c r="AC927" s="948"/>
      <c r="AD927" s="949"/>
      <c r="AE927" s="949"/>
      <c r="AF927" s="949"/>
      <c r="AG927" s="949"/>
      <c r="AH927" s="949"/>
      <c r="AI927" s="949"/>
      <c r="AJ927" s="949"/>
      <c r="AK927" s="949"/>
      <c r="AL927" s="949"/>
      <c r="AM927" s="949"/>
      <c r="AN927" s="949"/>
      <c r="AO927" s="949"/>
      <c r="AP927" s="949"/>
      <c r="AQ927" s="949"/>
      <c r="AR927" s="949"/>
      <c r="AS927" s="949"/>
      <c r="AT927" s="949"/>
      <c r="AU927" s="949"/>
      <c r="AV927" s="949"/>
      <c r="AW927" s="949"/>
      <c r="AX927" s="949"/>
      <c r="AY927" s="949"/>
      <c r="AZ927" s="949"/>
      <c r="BA927" s="949"/>
      <c r="BB927" s="949"/>
      <c r="BC927" s="949"/>
      <c r="BD927" s="949"/>
      <c r="BE927" s="949"/>
      <c r="BF927" s="949"/>
      <c r="BG927" s="948"/>
      <c r="BH927" s="948"/>
      <c r="BI927" s="948"/>
      <c r="BJ927" s="948"/>
      <c r="BK927" s="948"/>
      <c r="BL927" s="948"/>
      <c r="BM927" s="948"/>
      <c r="BN927" s="948"/>
      <c r="BO927" s="948"/>
      <c r="BP927" s="948"/>
      <c r="BQ927" s="948"/>
      <c r="BR927" s="948"/>
      <c r="BS927" s="948"/>
      <c r="BT927" s="948"/>
      <c r="BU927" s="954"/>
    </row>
    <row r="928" spans="1:73" ht="15.75" customHeight="1" x14ac:dyDescent="0.2">
      <c r="A928" s="947"/>
      <c r="B928" s="947"/>
      <c r="C928" s="947"/>
      <c r="D928" s="948"/>
      <c r="E928" s="948"/>
      <c r="F928" s="948"/>
      <c r="G928" s="948"/>
      <c r="H928" s="948"/>
      <c r="I928" s="948"/>
      <c r="J928" s="948"/>
      <c r="K928" s="949"/>
      <c r="L928" s="949"/>
      <c r="M928" s="949"/>
      <c r="N928" s="950"/>
      <c r="O928" s="948"/>
      <c r="P928" s="948"/>
      <c r="Q928" s="948"/>
      <c r="R928" s="949"/>
      <c r="S928" s="949"/>
      <c r="T928" s="949"/>
      <c r="U928" s="949"/>
      <c r="V928" s="949"/>
      <c r="W928" s="949"/>
      <c r="X928" s="951"/>
      <c r="Y928" s="951"/>
      <c r="Z928" s="952"/>
      <c r="AA928" s="953"/>
      <c r="AB928" s="948"/>
      <c r="AC928" s="948"/>
      <c r="AD928" s="949"/>
      <c r="AE928" s="949"/>
      <c r="AF928" s="949"/>
      <c r="AG928" s="949"/>
      <c r="AH928" s="949"/>
      <c r="AI928" s="949"/>
      <c r="AJ928" s="949"/>
      <c r="AK928" s="949"/>
      <c r="AL928" s="949"/>
      <c r="AM928" s="949"/>
      <c r="AN928" s="949"/>
      <c r="AO928" s="949"/>
      <c r="AP928" s="949"/>
      <c r="AQ928" s="949"/>
      <c r="AR928" s="949"/>
      <c r="AS928" s="949"/>
      <c r="AT928" s="949"/>
      <c r="AU928" s="949"/>
      <c r="AV928" s="949"/>
      <c r="AW928" s="949"/>
      <c r="AX928" s="949"/>
      <c r="AY928" s="949"/>
      <c r="AZ928" s="949"/>
      <c r="BA928" s="949"/>
      <c r="BB928" s="949"/>
      <c r="BC928" s="949"/>
      <c r="BD928" s="949"/>
      <c r="BE928" s="949"/>
      <c r="BF928" s="949"/>
      <c r="BG928" s="948"/>
      <c r="BH928" s="948"/>
      <c r="BI928" s="948"/>
      <c r="BJ928" s="948"/>
      <c r="BK928" s="948"/>
      <c r="BL928" s="948"/>
      <c r="BM928" s="948"/>
      <c r="BN928" s="948"/>
      <c r="BO928" s="948"/>
      <c r="BP928" s="948"/>
      <c r="BQ928" s="948"/>
      <c r="BR928" s="948"/>
      <c r="BS928" s="948"/>
      <c r="BT928" s="948"/>
      <c r="BU928" s="954"/>
    </row>
    <row r="929" spans="1:73" ht="15.75" customHeight="1" x14ac:dyDescent="0.2">
      <c r="A929" s="947"/>
      <c r="B929" s="947"/>
      <c r="C929" s="947"/>
      <c r="D929" s="948"/>
      <c r="E929" s="948"/>
      <c r="F929" s="948"/>
      <c r="G929" s="948"/>
      <c r="H929" s="948"/>
      <c r="I929" s="948"/>
      <c r="J929" s="948"/>
      <c r="K929" s="949"/>
      <c r="L929" s="949"/>
      <c r="M929" s="949"/>
      <c r="N929" s="950"/>
      <c r="O929" s="948"/>
      <c r="P929" s="948"/>
      <c r="Q929" s="948"/>
      <c r="R929" s="949"/>
      <c r="S929" s="949"/>
      <c r="T929" s="949"/>
      <c r="U929" s="949"/>
      <c r="V929" s="949"/>
      <c r="W929" s="949"/>
      <c r="X929" s="951"/>
      <c r="Y929" s="951"/>
      <c r="Z929" s="952"/>
      <c r="AA929" s="953"/>
      <c r="AB929" s="948"/>
      <c r="AC929" s="948"/>
      <c r="AD929" s="949"/>
      <c r="AE929" s="949"/>
      <c r="AF929" s="949"/>
      <c r="AG929" s="949"/>
      <c r="AH929" s="949"/>
      <c r="AI929" s="949"/>
      <c r="AJ929" s="949"/>
      <c r="AK929" s="949"/>
      <c r="AL929" s="949"/>
      <c r="AM929" s="949"/>
      <c r="AN929" s="949"/>
      <c r="AO929" s="949"/>
      <c r="AP929" s="949"/>
      <c r="AQ929" s="949"/>
      <c r="AR929" s="949"/>
      <c r="AS929" s="949"/>
      <c r="AT929" s="949"/>
      <c r="AU929" s="949"/>
      <c r="AV929" s="949"/>
      <c r="AW929" s="949"/>
      <c r="AX929" s="949"/>
      <c r="AY929" s="949"/>
      <c r="AZ929" s="949"/>
      <c r="BA929" s="949"/>
      <c r="BB929" s="949"/>
      <c r="BC929" s="949"/>
      <c r="BD929" s="949"/>
      <c r="BE929" s="949"/>
      <c r="BF929" s="949"/>
      <c r="BG929" s="948"/>
      <c r="BH929" s="948"/>
      <c r="BI929" s="948"/>
      <c r="BJ929" s="948"/>
      <c r="BK929" s="948"/>
      <c r="BL929" s="948"/>
      <c r="BM929" s="948"/>
      <c r="BN929" s="948"/>
      <c r="BO929" s="948"/>
      <c r="BP929" s="948"/>
      <c r="BQ929" s="948"/>
      <c r="BR929" s="948"/>
      <c r="BS929" s="948"/>
      <c r="BT929" s="948"/>
      <c r="BU929" s="954"/>
    </row>
    <row r="930" spans="1:73" ht="15.75" customHeight="1" x14ac:dyDescent="0.2">
      <c r="A930" s="947"/>
      <c r="B930" s="947"/>
      <c r="C930" s="947"/>
      <c r="D930" s="948"/>
      <c r="E930" s="948"/>
      <c r="F930" s="948"/>
      <c r="G930" s="948"/>
      <c r="H930" s="948"/>
      <c r="I930" s="948"/>
      <c r="J930" s="948"/>
      <c r="K930" s="949"/>
      <c r="L930" s="949"/>
      <c r="M930" s="949"/>
      <c r="N930" s="950"/>
      <c r="O930" s="948"/>
      <c r="P930" s="948"/>
      <c r="Q930" s="948"/>
      <c r="R930" s="949"/>
      <c r="S930" s="949"/>
      <c r="T930" s="949"/>
      <c r="U930" s="949"/>
      <c r="V930" s="949"/>
      <c r="W930" s="949"/>
      <c r="X930" s="951"/>
      <c r="Y930" s="951"/>
      <c r="Z930" s="952"/>
      <c r="AA930" s="953"/>
      <c r="AB930" s="948"/>
      <c r="AC930" s="948"/>
      <c r="AD930" s="949"/>
      <c r="AE930" s="949"/>
      <c r="AF930" s="949"/>
      <c r="AG930" s="949"/>
      <c r="AH930" s="949"/>
      <c r="AI930" s="949"/>
      <c r="AJ930" s="949"/>
      <c r="AK930" s="949"/>
      <c r="AL930" s="949"/>
      <c r="AM930" s="949"/>
      <c r="AN930" s="949"/>
      <c r="AO930" s="949"/>
      <c r="AP930" s="949"/>
      <c r="AQ930" s="949"/>
      <c r="AR930" s="949"/>
      <c r="AS930" s="949"/>
      <c r="AT930" s="949"/>
      <c r="AU930" s="949"/>
      <c r="AV930" s="949"/>
      <c r="AW930" s="949"/>
      <c r="AX930" s="949"/>
      <c r="AY930" s="949"/>
      <c r="AZ930" s="949"/>
      <c r="BA930" s="949"/>
      <c r="BB930" s="949"/>
      <c r="BC930" s="949"/>
      <c r="BD930" s="949"/>
      <c r="BE930" s="949"/>
      <c r="BF930" s="949"/>
      <c r="BG930" s="948"/>
      <c r="BH930" s="948"/>
      <c r="BI930" s="948"/>
      <c r="BJ930" s="948"/>
      <c r="BK930" s="948"/>
      <c r="BL930" s="948"/>
      <c r="BM930" s="948"/>
      <c r="BN930" s="948"/>
      <c r="BO930" s="948"/>
      <c r="BP930" s="948"/>
      <c r="BQ930" s="948"/>
      <c r="BR930" s="948"/>
      <c r="BS930" s="948"/>
      <c r="BT930" s="948"/>
      <c r="BU930" s="954"/>
    </row>
    <row r="931" spans="1:73" ht="15.75" customHeight="1" x14ac:dyDescent="0.2">
      <c r="A931" s="947"/>
      <c r="B931" s="947"/>
      <c r="C931" s="947"/>
      <c r="D931" s="948"/>
      <c r="E931" s="948"/>
      <c r="F931" s="948"/>
      <c r="G931" s="948"/>
      <c r="H931" s="948"/>
      <c r="I931" s="948"/>
      <c r="J931" s="948"/>
      <c r="K931" s="949"/>
      <c r="L931" s="949"/>
      <c r="M931" s="949"/>
      <c r="N931" s="950"/>
      <c r="O931" s="948"/>
      <c r="P931" s="948"/>
      <c r="Q931" s="948"/>
      <c r="R931" s="949"/>
      <c r="S931" s="949"/>
      <c r="T931" s="949"/>
      <c r="U931" s="949"/>
      <c r="V931" s="949"/>
      <c r="W931" s="949"/>
      <c r="X931" s="951"/>
      <c r="Y931" s="951"/>
      <c r="Z931" s="952"/>
      <c r="AA931" s="953"/>
      <c r="AB931" s="948"/>
      <c r="AC931" s="948"/>
      <c r="AD931" s="949"/>
      <c r="AE931" s="949"/>
      <c r="AF931" s="949"/>
      <c r="AG931" s="949"/>
      <c r="AH931" s="949"/>
      <c r="AI931" s="949"/>
      <c r="AJ931" s="949"/>
      <c r="AK931" s="949"/>
      <c r="AL931" s="949"/>
      <c r="AM931" s="949"/>
      <c r="AN931" s="949"/>
      <c r="AO931" s="949"/>
      <c r="AP931" s="949"/>
      <c r="AQ931" s="949"/>
      <c r="AR931" s="949"/>
      <c r="AS931" s="949"/>
      <c r="AT931" s="949"/>
      <c r="AU931" s="949"/>
      <c r="AV931" s="949"/>
      <c r="AW931" s="949"/>
      <c r="AX931" s="949"/>
      <c r="AY931" s="949"/>
      <c r="AZ931" s="949"/>
      <c r="BA931" s="949"/>
      <c r="BB931" s="949"/>
      <c r="BC931" s="949"/>
      <c r="BD931" s="949"/>
      <c r="BE931" s="949"/>
      <c r="BF931" s="949"/>
      <c r="BG931" s="948"/>
      <c r="BH931" s="948"/>
      <c r="BI931" s="948"/>
      <c r="BJ931" s="948"/>
      <c r="BK931" s="948"/>
      <c r="BL931" s="948"/>
      <c r="BM931" s="948"/>
      <c r="BN931" s="948"/>
      <c r="BO931" s="948"/>
      <c r="BP931" s="948"/>
      <c r="BQ931" s="948"/>
      <c r="BR931" s="948"/>
      <c r="BS931" s="948"/>
      <c r="BT931" s="948"/>
      <c r="BU931" s="954"/>
    </row>
    <row r="932" spans="1:73" ht="15.75" customHeight="1" x14ac:dyDescent="0.2">
      <c r="A932" s="947"/>
      <c r="B932" s="947"/>
      <c r="C932" s="947"/>
      <c r="D932" s="948"/>
      <c r="E932" s="948"/>
      <c r="F932" s="948"/>
      <c r="G932" s="948"/>
      <c r="H932" s="948"/>
      <c r="I932" s="948"/>
      <c r="J932" s="948"/>
      <c r="K932" s="949"/>
      <c r="L932" s="949"/>
      <c r="M932" s="949"/>
      <c r="N932" s="950"/>
      <c r="O932" s="948"/>
      <c r="P932" s="948"/>
      <c r="Q932" s="948"/>
      <c r="R932" s="949"/>
      <c r="S932" s="949"/>
      <c r="T932" s="949"/>
      <c r="U932" s="949"/>
      <c r="V932" s="949"/>
      <c r="W932" s="949"/>
      <c r="X932" s="951"/>
      <c r="Y932" s="951"/>
      <c r="Z932" s="952"/>
      <c r="AA932" s="953"/>
      <c r="AB932" s="948"/>
      <c r="AC932" s="948"/>
      <c r="AD932" s="949"/>
      <c r="AE932" s="949"/>
      <c r="AF932" s="949"/>
      <c r="AG932" s="949"/>
      <c r="AH932" s="949"/>
      <c r="AI932" s="949"/>
      <c r="AJ932" s="949"/>
      <c r="AK932" s="949"/>
      <c r="AL932" s="949"/>
      <c r="AM932" s="949"/>
      <c r="AN932" s="949"/>
      <c r="AO932" s="949"/>
      <c r="AP932" s="949"/>
      <c r="AQ932" s="949"/>
      <c r="AR932" s="949"/>
      <c r="AS932" s="949"/>
      <c r="AT932" s="949"/>
      <c r="AU932" s="949"/>
      <c r="AV932" s="949"/>
      <c r="AW932" s="949"/>
      <c r="AX932" s="949"/>
      <c r="AY932" s="949"/>
      <c r="AZ932" s="949"/>
      <c r="BA932" s="949"/>
      <c r="BB932" s="949"/>
      <c r="BC932" s="949"/>
      <c r="BD932" s="949"/>
      <c r="BE932" s="949"/>
      <c r="BF932" s="949"/>
      <c r="BG932" s="948"/>
      <c r="BH932" s="948"/>
      <c r="BI932" s="948"/>
      <c r="BJ932" s="948"/>
      <c r="BK932" s="948"/>
      <c r="BL932" s="948"/>
      <c r="BM932" s="948"/>
      <c r="BN932" s="948"/>
      <c r="BO932" s="948"/>
      <c r="BP932" s="948"/>
      <c r="BQ932" s="948"/>
      <c r="BR932" s="948"/>
      <c r="BS932" s="948"/>
      <c r="BT932" s="948"/>
      <c r="BU932" s="954"/>
    </row>
    <row r="933" spans="1:73" ht="15.75" customHeight="1" x14ac:dyDescent="0.2">
      <c r="A933" s="947"/>
      <c r="B933" s="947"/>
      <c r="C933" s="947"/>
      <c r="D933" s="948"/>
      <c r="E933" s="948"/>
      <c r="F933" s="948"/>
      <c r="G933" s="948"/>
      <c r="H933" s="948"/>
      <c r="I933" s="948"/>
      <c r="J933" s="948"/>
      <c r="K933" s="949"/>
      <c r="L933" s="949"/>
      <c r="M933" s="949"/>
      <c r="N933" s="950"/>
      <c r="O933" s="948"/>
      <c r="P933" s="948"/>
      <c r="Q933" s="948"/>
      <c r="R933" s="949"/>
      <c r="S933" s="949"/>
      <c r="T933" s="949"/>
      <c r="U933" s="949"/>
      <c r="V933" s="949"/>
      <c r="W933" s="949"/>
      <c r="X933" s="951"/>
      <c r="Y933" s="951"/>
      <c r="Z933" s="952"/>
      <c r="AA933" s="953"/>
      <c r="AB933" s="948"/>
      <c r="AC933" s="948"/>
      <c r="AD933" s="949"/>
      <c r="AE933" s="949"/>
      <c r="AF933" s="949"/>
      <c r="AG933" s="949"/>
      <c r="AH933" s="949"/>
      <c r="AI933" s="949"/>
      <c r="AJ933" s="949"/>
      <c r="AK933" s="949"/>
      <c r="AL933" s="949"/>
      <c r="AM933" s="949"/>
      <c r="AN933" s="949"/>
      <c r="AO933" s="949"/>
      <c r="AP933" s="949"/>
      <c r="AQ933" s="949"/>
      <c r="AR933" s="949"/>
      <c r="AS933" s="949"/>
      <c r="AT933" s="949"/>
      <c r="AU933" s="949"/>
      <c r="AV933" s="949"/>
      <c r="AW933" s="949"/>
      <c r="AX933" s="949"/>
      <c r="AY933" s="949"/>
      <c r="AZ933" s="949"/>
      <c r="BA933" s="949"/>
      <c r="BB933" s="949"/>
      <c r="BC933" s="949"/>
      <c r="BD933" s="949"/>
      <c r="BE933" s="949"/>
      <c r="BF933" s="949"/>
      <c r="BG933" s="948"/>
      <c r="BH933" s="948"/>
      <c r="BI933" s="948"/>
      <c r="BJ933" s="948"/>
      <c r="BK933" s="948"/>
      <c r="BL933" s="948"/>
      <c r="BM933" s="948"/>
      <c r="BN933" s="948"/>
      <c r="BO933" s="948"/>
      <c r="BP933" s="948"/>
      <c r="BQ933" s="948"/>
      <c r="BR933" s="948"/>
      <c r="BS933" s="948"/>
      <c r="BT933" s="948"/>
      <c r="BU933" s="954"/>
    </row>
    <row r="934" spans="1:73" ht="15.75" customHeight="1" x14ac:dyDescent="0.2">
      <c r="A934" s="947"/>
      <c r="B934" s="947"/>
      <c r="C934" s="947"/>
      <c r="D934" s="948"/>
      <c r="E934" s="948"/>
      <c r="F934" s="948"/>
      <c r="G934" s="948"/>
      <c r="H934" s="948"/>
      <c r="I934" s="948"/>
      <c r="J934" s="948"/>
      <c r="K934" s="949"/>
      <c r="L934" s="949"/>
      <c r="M934" s="949"/>
      <c r="N934" s="950"/>
      <c r="O934" s="948"/>
      <c r="P934" s="948"/>
      <c r="Q934" s="948"/>
      <c r="R934" s="949"/>
      <c r="S934" s="949"/>
      <c r="T934" s="949"/>
      <c r="U934" s="949"/>
      <c r="V934" s="949"/>
      <c r="W934" s="949"/>
      <c r="X934" s="951"/>
      <c r="Y934" s="951"/>
      <c r="Z934" s="952"/>
      <c r="AA934" s="953"/>
      <c r="AB934" s="948"/>
      <c r="AC934" s="948"/>
      <c r="AD934" s="949"/>
      <c r="AE934" s="949"/>
      <c r="AF934" s="949"/>
      <c r="AG934" s="949"/>
      <c r="AH934" s="949"/>
      <c r="AI934" s="949"/>
      <c r="AJ934" s="949"/>
      <c r="AK934" s="949"/>
      <c r="AL934" s="949"/>
      <c r="AM934" s="949"/>
      <c r="AN934" s="949"/>
      <c r="AO934" s="949"/>
      <c r="AP934" s="949"/>
      <c r="AQ934" s="949"/>
      <c r="AR934" s="949"/>
      <c r="AS934" s="949"/>
      <c r="AT934" s="949"/>
      <c r="AU934" s="949"/>
      <c r="AV934" s="949"/>
      <c r="AW934" s="949"/>
      <c r="AX934" s="949"/>
      <c r="AY934" s="949"/>
      <c r="AZ934" s="949"/>
      <c r="BA934" s="949"/>
      <c r="BB934" s="949"/>
      <c r="BC934" s="949"/>
      <c r="BD934" s="949"/>
      <c r="BE934" s="949"/>
      <c r="BF934" s="949"/>
      <c r="BG934" s="948"/>
      <c r="BH934" s="948"/>
      <c r="BI934" s="948"/>
      <c r="BJ934" s="948"/>
      <c r="BK934" s="948"/>
      <c r="BL934" s="948"/>
      <c r="BM934" s="948"/>
      <c r="BN934" s="948"/>
      <c r="BO934" s="948"/>
      <c r="BP934" s="948"/>
      <c r="BQ934" s="948"/>
      <c r="BR934" s="948"/>
      <c r="BS934" s="948"/>
      <c r="BT934" s="948"/>
      <c r="BU934" s="954"/>
    </row>
    <row r="935" spans="1:73" ht="15.75" customHeight="1" x14ac:dyDescent="0.2">
      <c r="A935" s="947"/>
      <c r="B935" s="947"/>
      <c r="C935" s="947"/>
      <c r="D935" s="948"/>
      <c r="E935" s="948"/>
      <c r="F935" s="948"/>
      <c r="G935" s="948"/>
      <c r="H935" s="948"/>
      <c r="I935" s="948"/>
      <c r="J935" s="948"/>
      <c r="K935" s="949"/>
      <c r="L935" s="949"/>
      <c r="M935" s="949"/>
      <c r="N935" s="950"/>
      <c r="O935" s="948"/>
      <c r="P935" s="948"/>
      <c r="Q935" s="948"/>
      <c r="R935" s="949"/>
      <c r="S935" s="949"/>
      <c r="T935" s="949"/>
      <c r="U935" s="949"/>
      <c r="V935" s="949"/>
      <c r="W935" s="949"/>
      <c r="X935" s="951"/>
      <c r="Y935" s="951"/>
      <c r="Z935" s="952"/>
      <c r="AA935" s="953"/>
      <c r="AB935" s="948"/>
      <c r="AC935" s="948"/>
      <c r="AD935" s="949"/>
      <c r="AE935" s="949"/>
      <c r="AF935" s="949"/>
      <c r="AG935" s="949"/>
      <c r="AH935" s="949"/>
      <c r="AI935" s="949"/>
      <c r="AJ935" s="949"/>
      <c r="AK935" s="949"/>
      <c r="AL935" s="949"/>
      <c r="AM935" s="949"/>
      <c r="AN935" s="949"/>
      <c r="AO935" s="949"/>
      <c r="AP935" s="949"/>
      <c r="AQ935" s="949"/>
      <c r="AR935" s="949"/>
      <c r="AS935" s="949"/>
      <c r="AT935" s="949"/>
      <c r="AU935" s="949"/>
      <c r="AV935" s="949"/>
      <c r="AW935" s="949"/>
      <c r="AX935" s="949"/>
      <c r="AY935" s="949"/>
      <c r="AZ935" s="949"/>
      <c r="BA935" s="949"/>
      <c r="BB935" s="949"/>
      <c r="BC935" s="949"/>
      <c r="BD935" s="949"/>
      <c r="BE935" s="949"/>
      <c r="BF935" s="949"/>
      <c r="BG935" s="948"/>
      <c r="BH935" s="948"/>
      <c r="BI935" s="948"/>
      <c r="BJ935" s="948"/>
      <c r="BK935" s="948"/>
      <c r="BL935" s="948"/>
      <c r="BM935" s="948"/>
      <c r="BN935" s="948"/>
      <c r="BO935" s="948"/>
      <c r="BP935" s="948"/>
      <c r="BQ935" s="948"/>
      <c r="BR935" s="948"/>
      <c r="BS935" s="948"/>
      <c r="BT935" s="948"/>
      <c r="BU935" s="954"/>
    </row>
    <row r="936" spans="1:73" ht="15.75" customHeight="1" x14ac:dyDescent="0.2">
      <c r="A936" s="947"/>
      <c r="B936" s="947"/>
      <c r="C936" s="947"/>
      <c r="D936" s="948"/>
      <c r="E936" s="948"/>
      <c r="F936" s="948"/>
      <c r="G936" s="948"/>
      <c r="H936" s="948"/>
      <c r="I936" s="948"/>
      <c r="J936" s="948"/>
      <c r="K936" s="949"/>
      <c r="L936" s="949"/>
      <c r="M936" s="949"/>
      <c r="N936" s="950"/>
      <c r="O936" s="948"/>
      <c r="P936" s="948"/>
      <c r="Q936" s="948"/>
      <c r="R936" s="949"/>
      <c r="S936" s="949"/>
      <c r="T936" s="949"/>
      <c r="U936" s="949"/>
      <c r="V936" s="949"/>
      <c r="W936" s="949"/>
      <c r="X936" s="951"/>
      <c r="Y936" s="951"/>
      <c r="Z936" s="952"/>
      <c r="AA936" s="953"/>
      <c r="AB936" s="948"/>
      <c r="AC936" s="948"/>
      <c r="AD936" s="949"/>
      <c r="AE936" s="949"/>
      <c r="AF936" s="949"/>
      <c r="AG936" s="949"/>
      <c r="AH936" s="949"/>
      <c r="AI936" s="949"/>
      <c r="AJ936" s="949"/>
      <c r="AK936" s="949"/>
      <c r="AL936" s="949"/>
      <c r="AM936" s="949"/>
      <c r="AN936" s="949"/>
      <c r="AO936" s="949"/>
      <c r="AP936" s="949"/>
      <c r="AQ936" s="949"/>
      <c r="AR936" s="949"/>
      <c r="AS936" s="949"/>
      <c r="AT936" s="949"/>
      <c r="AU936" s="949"/>
      <c r="AV936" s="949"/>
      <c r="AW936" s="949"/>
      <c r="AX936" s="949"/>
      <c r="AY936" s="949"/>
      <c r="AZ936" s="949"/>
      <c r="BA936" s="949"/>
      <c r="BB936" s="949"/>
      <c r="BC936" s="949"/>
      <c r="BD936" s="949"/>
      <c r="BE936" s="949"/>
      <c r="BF936" s="949"/>
      <c r="BG936" s="948"/>
      <c r="BH936" s="948"/>
      <c r="BI936" s="948"/>
      <c r="BJ936" s="948"/>
      <c r="BK936" s="948"/>
      <c r="BL936" s="948"/>
      <c r="BM936" s="948"/>
      <c r="BN936" s="948"/>
      <c r="BO936" s="948"/>
      <c r="BP936" s="948"/>
      <c r="BQ936" s="948"/>
      <c r="BR936" s="948"/>
      <c r="BS936" s="948"/>
      <c r="BT936" s="948"/>
      <c r="BU936" s="954"/>
    </row>
    <row r="937" spans="1:73" ht="15.75" customHeight="1" x14ac:dyDescent="0.2">
      <c r="A937" s="947"/>
      <c r="B937" s="947"/>
      <c r="C937" s="947"/>
      <c r="D937" s="948"/>
      <c r="E937" s="948"/>
      <c r="F937" s="948"/>
      <c r="G937" s="948"/>
      <c r="H937" s="948"/>
      <c r="I937" s="948"/>
      <c r="J937" s="948"/>
      <c r="K937" s="949"/>
      <c r="L937" s="949"/>
      <c r="M937" s="949"/>
      <c r="N937" s="950"/>
      <c r="O937" s="948"/>
      <c r="P937" s="948"/>
      <c r="Q937" s="948"/>
      <c r="R937" s="949"/>
      <c r="S937" s="949"/>
      <c r="T937" s="949"/>
      <c r="U937" s="949"/>
      <c r="V937" s="949"/>
      <c r="W937" s="949"/>
      <c r="X937" s="951"/>
      <c r="Y937" s="951"/>
      <c r="Z937" s="952"/>
      <c r="AA937" s="953"/>
      <c r="AB937" s="948"/>
      <c r="AC937" s="948"/>
      <c r="AD937" s="949"/>
      <c r="AE937" s="949"/>
      <c r="AF937" s="949"/>
      <c r="AG937" s="949"/>
      <c r="AH937" s="949"/>
      <c r="AI937" s="949"/>
      <c r="AJ937" s="949"/>
      <c r="AK937" s="949"/>
      <c r="AL937" s="949"/>
      <c r="AM937" s="949"/>
      <c r="AN937" s="949"/>
      <c r="AO937" s="949"/>
      <c r="AP937" s="949"/>
      <c r="AQ937" s="949"/>
      <c r="AR937" s="949"/>
      <c r="AS937" s="949"/>
      <c r="AT937" s="949"/>
      <c r="AU937" s="949"/>
      <c r="AV937" s="949"/>
      <c r="AW937" s="949"/>
      <c r="AX937" s="949"/>
      <c r="AY937" s="949"/>
      <c r="AZ937" s="949"/>
      <c r="BA937" s="949"/>
      <c r="BB937" s="949"/>
      <c r="BC937" s="949"/>
      <c r="BD937" s="949"/>
      <c r="BE937" s="949"/>
      <c r="BF937" s="949"/>
      <c r="BG937" s="948"/>
      <c r="BH937" s="948"/>
      <c r="BI937" s="948"/>
      <c r="BJ937" s="948"/>
      <c r="BK937" s="948"/>
      <c r="BL937" s="948"/>
      <c r="BM937" s="948"/>
      <c r="BN937" s="948"/>
      <c r="BO937" s="948"/>
      <c r="BP937" s="948"/>
      <c r="BQ937" s="948"/>
      <c r="BR937" s="948"/>
      <c r="BS937" s="948"/>
      <c r="BT937" s="948"/>
      <c r="BU937" s="954"/>
    </row>
    <row r="938" spans="1:73" ht="15.75" customHeight="1" x14ac:dyDescent="0.2">
      <c r="A938" s="947"/>
      <c r="B938" s="947"/>
      <c r="C938" s="947"/>
      <c r="D938" s="948"/>
      <c r="E938" s="948"/>
      <c r="F938" s="948"/>
      <c r="G938" s="948"/>
      <c r="H938" s="948"/>
      <c r="I938" s="948"/>
      <c r="J938" s="948"/>
      <c r="K938" s="949"/>
      <c r="L938" s="949"/>
      <c r="M938" s="949"/>
      <c r="N938" s="950"/>
      <c r="O938" s="948"/>
      <c r="P938" s="948"/>
      <c r="Q938" s="948"/>
      <c r="R938" s="949"/>
      <c r="S938" s="949"/>
      <c r="T938" s="949"/>
      <c r="U938" s="949"/>
      <c r="V938" s="949"/>
      <c r="W938" s="949"/>
      <c r="X938" s="951"/>
      <c r="Y938" s="951"/>
      <c r="Z938" s="952"/>
      <c r="AA938" s="953"/>
      <c r="AB938" s="948"/>
      <c r="AC938" s="948"/>
      <c r="AD938" s="949"/>
      <c r="AE938" s="949"/>
      <c r="AF938" s="949"/>
      <c r="AG938" s="949"/>
      <c r="AH938" s="949"/>
      <c r="AI938" s="949"/>
      <c r="AJ938" s="949"/>
      <c r="AK938" s="949"/>
      <c r="AL938" s="949"/>
      <c r="AM938" s="949"/>
      <c r="AN938" s="949"/>
      <c r="AO938" s="949"/>
      <c r="AP938" s="949"/>
      <c r="AQ938" s="949"/>
      <c r="AR938" s="949"/>
      <c r="AS938" s="949"/>
      <c r="AT938" s="949"/>
      <c r="AU938" s="949"/>
      <c r="AV938" s="949"/>
      <c r="AW938" s="949"/>
      <c r="AX938" s="949"/>
      <c r="AY938" s="949"/>
      <c r="AZ938" s="949"/>
      <c r="BA938" s="949"/>
      <c r="BB938" s="949"/>
      <c r="BC938" s="949"/>
      <c r="BD938" s="949"/>
      <c r="BE938" s="949"/>
      <c r="BF938" s="949"/>
      <c r="BG938" s="948"/>
      <c r="BH938" s="948"/>
      <c r="BI938" s="948"/>
      <c r="BJ938" s="948"/>
      <c r="BK938" s="948"/>
      <c r="BL938" s="948"/>
      <c r="BM938" s="948"/>
      <c r="BN938" s="948"/>
      <c r="BO938" s="948"/>
      <c r="BP938" s="948"/>
      <c r="BQ938" s="948"/>
      <c r="BR938" s="948"/>
      <c r="BS938" s="948"/>
      <c r="BT938" s="948"/>
      <c r="BU938" s="954"/>
    </row>
    <row r="939" spans="1:73" ht="15.75" customHeight="1" x14ac:dyDescent="0.2">
      <c r="A939" s="947"/>
      <c r="B939" s="947"/>
      <c r="C939" s="947"/>
      <c r="D939" s="948"/>
      <c r="E939" s="948"/>
      <c r="F939" s="948"/>
      <c r="G939" s="948"/>
      <c r="H939" s="948"/>
      <c r="I939" s="948"/>
      <c r="J939" s="948"/>
      <c r="K939" s="949"/>
      <c r="L939" s="949"/>
      <c r="M939" s="949"/>
      <c r="N939" s="950"/>
      <c r="O939" s="948"/>
      <c r="P939" s="948"/>
      <c r="Q939" s="948"/>
      <c r="R939" s="949"/>
      <c r="S939" s="949"/>
      <c r="T939" s="949"/>
      <c r="U939" s="949"/>
      <c r="V939" s="949"/>
      <c r="W939" s="949"/>
      <c r="X939" s="951"/>
      <c r="Y939" s="951"/>
      <c r="Z939" s="952"/>
      <c r="AA939" s="953"/>
      <c r="AB939" s="948"/>
      <c r="AC939" s="948"/>
      <c r="AD939" s="949"/>
      <c r="AE939" s="949"/>
      <c r="AF939" s="949"/>
      <c r="AG939" s="949"/>
      <c r="AH939" s="949"/>
      <c r="AI939" s="949"/>
      <c r="AJ939" s="949"/>
      <c r="AK939" s="949"/>
      <c r="AL939" s="949"/>
      <c r="AM939" s="949"/>
      <c r="AN939" s="949"/>
      <c r="AO939" s="949"/>
      <c r="AP939" s="949"/>
      <c r="AQ939" s="949"/>
      <c r="AR939" s="949"/>
      <c r="AS939" s="949"/>
      <c r="AT939" s="949"/>
      <c r="AU939" s="949"/>
      <c r="AV939" s="949"/>
      <c r="AW939" s="949"/>
      <c r="AX939" s="949"/>
      <c r="AY939" s="949"/>
      <c r="AZ939" s="949"/>
      <c r="BA939" s="949"/>
      <c r="BB939" s="949"/>
      <c r="BC939" s="949"/>
      <c r="BD939" s="949"/>
      <c r="BE939" s="949"/>
      <c r="BF939" s="949"/>
      <c r="BG939" s="948"/>
      <c r="BH939" s="948"/>
      <c r="BI939" s="948"/>
      <c r="BJ939" s="948"/>
      <c r="BK939" s="948"/>
      <c r="BL939" s="948"/>
      <c r="BM939" s="948"/>
      <c r="BN939" s="948"/>
      <c r="BO939" s="948"/>
      <c r="BP939" s="948"/>
      <c r="BQ939" s="948"/>
      <c r="BR939" s="948"/>
      <c r="BS939" s="948"/>
      <c r="BT939" s="948"/>
      <c r="BU939" s="954"/>
    </row>
    <row r="940" spans="1:73" ht="15.75" customHeight="1" x14ac:dyDescent="0.2">
      <c r="A940" s="947"/>
      <c r="B940" s="947"/>
      <c r="C940" s="947"/>
      <c r="D940" s="948"/>
      <c r="E940" s="948"/>
      <c r="F940" s="948"/>
      <c r="G940" s="948"/>
      <c r="H940" s="948"/>
      <c r="I940" s="948"/>
      <c r="J940" s="948"/>
      <c r="K940" s="949"/>
      <c r="L940" s="949"/>
      <c r="M940" s="949"/>
      <c r="N940" s="950"/>
      <c r="O940" s="948"/>
      <c r="P940" s="948"/>
      <c r="Q940" s="948"/>
      <c r="R940" s="949"/>
      <c r="S940" s="949"/>
      <c r="T940" s="949"/>
      <c r="U940" s="949"/>
      <c r="V940" s="949"/>
      <c r="W940" s="949"/>
      <c r="X940" s="951"/>
      <c r="Y940" s="951"/>
      <c r="Z940" s="952"/>
      <c r="AA940" s="953"/>
      <c r="AB940" s="948"/>
      <c r="AC940" s="948"/>
      <c r="AD940" s="949"/>
      <c r="AE940" s="949"/>
      <c r="AF940" s="949"/>
      <c r="AG940" s="949"/>
      <c r="AH940" s="949"/>
      <c r="AI940" s="949"/>
      <c r="AJ940" s="949"/>
      <c r="AK940" s="949"/>
      <c r="AL940" s="949"/>
      <c r="AM940" s="949"/>
      <c r="AN940" s="949"/>
      <c r="AO940" s="949"/>
      <c r="AP940" s="949"/>
      <c r="AQ940" s="949"/>
      <c r="AR940" s="949"/>
      <c r="AS940" s="949"/>
      <c r="AT940" s="949"/>
      <c r="AU940" s="949"/>
      <c r="AV940" s="949"/>
      <c r="AW940" s="949"/>
      <c r="AX940" s="949"/>
      <c r="AY940" s="949"/>
      <c r="AZ940" s="949"/>
      <c r="BA940" s="949"/>
      <c r="BB940" s="949"/>
      <c r="BC940" s="949"/>
      <c r="BD940" s="949"/>
      <c r="BE940" s="949"/>
      <c r="BF940" s="949"/>
      <c r="BG940" s="948"/>
      <c r="BH940" s="948"/>
      <c r="BI940" s="948"/>
      <c r="BJ940" s="948"/>
      <c r="BK940" s="948"/>
      <c r="BL940" s="948"/>
      <c r="BM940" s="948"/>
      <c r="BN940" s="948"/>
      <c r="BO940" s="948"/>
      <c r="BP940" s="948"/>
      <c r="BQ940" s="948"/>
      <c r="BR940" s="948"/>
      <c r="BS940" s="948"/>
      <c r="BT940" s="948"/>
      <c r="BU940" s="954"/>
    </row>
    <row r="941" spans="1:73" ht="15.75" customHeight="1" x14ac:dyDescent="0.2">
      <c r="A941" s="947"/>
      <c r="B941" s="947"/>
      <c r="C941" s="947"/>
      <c r="D941" s="948"/>
      <c r="E941" s="948"/>
      <c r="F941" s="948"/>
      <c r="G941" s="948"/>
      <c r="H941" s="948"/>
      <c r="I941" s="948"/>
      <c r="J941" s="948"/>
      <c r="K941" s="949"/>
      <c r="L941" s="949"/>
      <c r="M941" s="949"/>
      <c r="N941" s="950"/>
      <c r="O941" s="948"/>
      <c r="P941" s="948"/>
      <c r="Q941" s="948"/>
      <c r="R941" s="949"/>
      <c r="S941" s="949"/>
      <c r="T941" s="949"/>
      <c r="U941" s="949"/>
      <c r="V941" s="949"/>
      <c r="W941" s="949"/>
      <c r="X941" s="951"/>
      <c r="Y941" s="951"/>
      <c r="Z941" s="952"/>
      <c r="AA941" s="953"/>
      <c r="AB941" s="948"/>
      <c r="AC941" s="948"/>
      <c r="AD941" s="949"/>
      <c r="AE941" s="949"/>
      <c r="AF941" s="949"/>
      <c r="AG941" s="949"/>
      <c r="AH941" s="949"/>
      <c r="AI941" s="949"/>
      <c r="AJ941" s="949"/>
      <c r="AK941" s="949"/>
      <c r="AL941" s="949"/>
      <c r="AM941" s="949"/>
      <c r="AN941" s="949"/>
      <c r="AO941" s="949"/>
      <c r="AP941" s="949"/>
      <c r="AQ941" s="949"/>
      <c r="AR941" s="949"/>
      <c r="AS941" s="949"/>
      <c r="AT941" s="949"/>
      <c r="AU941" s="949"/>
      <c r="AV941" s="949"/>
      <c r="AW941" s="949"/>
      <c r="AX941" s="949"/>
      <c r="AY941" s="949"/>
      <c r="AZ941" s="949"/>
      <c r="BA941" s="949"/>
      <c r="BB941" s="949"/>
      <c r="BC941" s="949"/>
      <c r="BD941" s="949"/>
      <c r="BE941" s="949"/>
      <c r="BF941" s="949"/>
      <c r="BG941" s="948"/>
      <c r="BH941" s="948"/>
      <c r="BI941" s="948"/>
      <c r="BJ941" s="948"/>
      <c r="BK941" s="948"/>
      <c r="BL941" s="948"/>
      <c r="BM941" s="948"/>
      <c r="BN941" s="948"/>
      <c r="BO941" s="948"/>
      <c r="BP941" s="948"/>
      <c r="BQ941" s="948"/>
      <c r="BR941" s="948"/>
      <c r="BS941" s="948"/>
      <c r="BT941" s="948"/>
      <c r="BU941" s="954"/>
    </row>
    <row r="942" spans="1:73" ht="15.75" customHeight="1" x14ac:dyDescent="0.2">
      <c r="A942" s="947"/>
      <c r="B942" s="947"/>
      <c r="C942" s="947"/>
      <c r="D942" s="948"/>
      <c r="E942" s="948"/>
      <c r="F942" s="948"/>
      <c r="G942" s="948"/>
      <c r="H942" s="948"/>
      <c r="I942" s="948"/>
      <c r="J942" s="948"/>
      <c r="K942" s="949"/>
      <c r="L942" s="949"/>
      <c r="M942" s="949"/>
      <c r="N942" s="950"/>
      <c r="O942" s="948"/>
      <c r="P942" s="948"/>
      <c r="Q942" s="948"/>
      <c r="R942" s="949"/>
      <c r="S942" s="949"/>
      <c r="T942" s="949"/>
      <c r="U942" s="949"/>
      <c r="V942" s="949"/>
      <c r="W942" s="949"/>
      <c r="X942" s="951"/>
      <c r="Y942" s="951"/>
      <c r="Z942" s="952"/>
      <c r="AA942" s="953"/>
      <c r="AB942" s="948"/>
      <c r="AC942" s="948"/>
      <c r="AD942" s="949"/>
      <c r="AE942" s="949"/>
      <c r="AF942" s="949"/>
      <c r="AG942" s="949"/>
      <c r="AH942" s="949"/>
      <c r="AI942" s="949"/>
      <c r="AJ942" s="949"/>
      <c r="AK942" s="949"/>
      <c r="AL942" s="949"/>
      <c r="AM942" s="949"/>
      <c r="AN942" s="949"/>
      <c r="AO942" s="949"/>
      <c r="AP942" s="949"/>
      <c r="AQ942" s="949"/>
      <c r="AR942" s="949"/>
      <c r="AS942" s="949"/>
      <c r="AT942" s="949"/>
      <c r="AU942" s="949"/>
      <c r="AV942" s="949"/>
      <c r="AW942" s="949"/>
      <c r="AX942" s="949"/>
      <c r="AY942" s="949"/>
      <c r="AZ942" s="949"/>
      <c r="BA942" s="949"/>
      <c r="BB942" s="949"/>
      <c r="BC942" s="949"/>
      <c r="BD942" s="949"/>
      <c r="BE942" s="949"/>
      <c r="BF942" s="949"/>
      <c r="BG942" s="948"/>
      <c r="BH942" s="948"/>
      <c r="BI942" s="948"/>
      <c r="BJ942" s="948"/>
      <c r="BK942" s="948"/>
      <c r="BL942" s="948"/>
      <c r="BM942" s="948"/>
      <c r="BN942" s="948"/>
      <c r="BO942" s="948"/>
      <c r="BP942" s="948"/>
      <c r="BQ942" s="948"/>
      <c r="BR942" s="948"/>
      <c r="BS942" s="948"/>
      <c r="BT942" s="948"/>
      <c r="BU942" s="954"/>
    </row>
    <row r="943" spans="1:73" ht="15.75" customHeight="1" x14ac:dyDescent="0.2">
      <c r="A943" s="947"/>
      <c r="B943" s="947"/>
      <c r="C943" s="947"/>
      <c r="D943" s="948"/>
      <c r="E943" s="948"/>
      <c r="F943" s="948"/>
      <c r="G943" s="948"/>
      <c r="H943" s="948"/>
      <c r="I943" s="948"/>
      <c r="J943" s="948"/>
      <c r="K943" s="949"/>
      <c r="L943" s="949"/>
      <c r="M943" s="949"/>
      <c r="N943" s="950"/>
      <c r="O943" s="948"/>
      <c r="P943" s="948"/>
      <c r="Q943" s="948"/>
      <c r="R943" s="949"/>
      <c r="S943" s="949"/>
      <c r="T943" s="949"/>
      <c r="U943" s="949"/>
      <c r="V943" s="949"/>
      <c r="W943" s="949"/>
      <c r="X943" s="951"/>
      <c r="Y943" s="951"/>
      <c r="Z943" s="952"/>
      <c r="AA943" s="953"/>
      <c r="AB943" s="948"/>
      <c r="AC943" s="948"/>
      <c r="AD943" s="949"/>
      <c r="AE943" s="949"/>
      <c r="AF943" s="949"/>
      <c r="AG943" s="949"/>
      <c r="AH943" s="949"/>
      <c r="AI943" s="949"/>
      <c r="AJ943" s="949"/>
      <c r="AK943" s="949"/>
      <c r="AL943" s="949"/>
      <c r="AM943" s="949"/>
      <c r="AN943" s="949"/>
      <c r="AO943" s="949"/>
      <c r="AP943" s="949"/>
      <c r="AQ943" s="949"/>
      <c r="AR943" s="949"/>
      <c r="AS943" s="949"/>
      <c r="AT943" s="949"/>
      <c r="AU943" s="949"/>
      <c r="AV943" s="949"/>
      <c r="AW943" s="949"/>
      <c r="AX943" s="949"/>
      <c r="AY943" s="949"/>
      <c r="AZ943" s="949"/>
      <c r="BA943" s="949"/>
      <c r="BB943" s="949"/>
      <c r="BC943" s="949"/>
      <c r="BD943" s="949"/>
      <c r="BE943" s="949"/>
      <c r="BF943" s="949"/>
      <c r="BG943" s="948"/>
      <c r="BH943" s="948"/>
      <c r="BI943" s="948"/>
      <c r="BJ943" s="948"/>
      <c r="BK943" s="948"/>
      <c r="BL943" s="948"/>
      <c r="BM943" s="948"/>
      <c r="BN943" s="948"/>
      <c r="BO943" s="948"/>
      <c r="BP943" s="948"/>
      <c r="BQ943" s="948"/>
      <c r="BR943" s="948"/>
      <c r="BS943" s="948"/>
      <c r="BT943" s="948"/>
      <c r="BU943" s="954"/>
    </row>
    <row r="944" spans="1:73" ht="15.75" customHeight="1" x14ac:dyDescent="0.2">
      <c r="A944" s="947"/>
      <c r="B944" s="947"/>
      <c r="C944" s="947"/>
      <c r="D944" s="948"/>
      <c r="E944" s="948"/>
      <c r="F944" s="948"/>
      <c r="G944" s="948"/>
      <c r="H944" s="948"/>
      <c r="I944" s="948"/>
      <c r="J944" s="948"/>
      <c r="K944" s="949"/>
      <c r="L944" s="949"/>
      <c r="M944" s="949"/>
      <c r="N944" s="950"/>
      <c r="O944" s="948"/>
      <c r="P944" s="948"/>
      <c r="Q944" s="948"/>
      <c r="R944" s="949"/>
      <c r="S944" s="949"/>
      <c r="T944" s="949"/>
      <c r="U944" s="949"/>
      <c r="V944" s="949"/>
      <c r="W944" s="949"/>
      <c r="X944" s="951"/>
      <c r="Y944" s="951"/>
      <c r="Z944" s="952"/>
      <c r="AA944" s="953"/>
      <c r="AB944" s="948"/>
      <c r="AC944" s="948"/>
      <c r="AD944" s="949"/>
      <c r="AE944" s="949"/>
      <c r="AF944" s="949"/>
      <c r="AG944" s="949"/>
      <c r="AH944" s="949"/>
      <c r="AI944" s="949"/>
      <c r="AJ944" s="949"/>
      <c r="AK944" s="949"/>
      <c r="AL944" s="949"/>
      <c r="AM944" s="949"/>
      <c r="AN944" s="949"/>
      <c r="AO944" s="949"/>
      <c r="AP944" s="949"/>
      <c r="AQ944" s="949"/>
      <c r="AR944" s="949"/>
      <c r="AS944" s="949"/>
      <c r="AT944" s="949"/>
      <c r="AU944" s="949"/>
      <c r="AV944" s="949"/>
      <c r="AW944" s="949"/>
      <c r="AX944" s="949"/>
      <c r="AY944" s="949"/>
      <c r="AZ944" s="949"/>
      <c r="BA944" s="949"/>
      <c r="BB944" s="949"/>
      <c r="BC944" s="949"/>
      <c r="BD944" s="949"/>
      <c r="BE944" s="949"/>
      <c r="BF944" s="949"/>
      <c r="BG944" s="948"/>
      <c r="BH944" s="948"/>
      <c r="BI944" s="948"/>
      <c r="BJ944" s="948"/>
      <c r="BK944" s="948"/>
      <c r="BL944" s="948"/>
      <c r="BM944" s="948"/>
      <c r="BN944" s="948"/>
      <c r="BO944" s="948"/>
      <c r="BP944" s="948"/>
      <c r="BQ944" s="948"/>
      <c r="BR944" s="948"/>
      <c r="BS944" s="948"/>
      <c r="BT944" s="948"/>
      <c r="BU944" s="954"/>
    </row>
    <row r="945" spans="1:73" ht="15.75" customHeight="1" x14ac:dyDescent="0.2">
      <c r="A945" s="947"/>
      <c r="B945" s="947"/>
      <c r="C945" s="947"/>
      <c r="D945" s="948"/>
      <c r="E945" s="948"/>
      <c r="F945" s="948"/>
      <c r="G945" s="948"/>
      <c r="H945" s="948"/>
      <c r="I945" s="948"/>
      <c r="J945" s="948"/>
      <c r="K945" s="949"/>
      <c r="L945" s="949"/>
      <c r="M945" s="949"/>
      <c r="N945" s="950"/>
      <c r="O945" s="948"/>
      <c r="P945" s="948"/>
      <c r="Q945" s="948"/>
      <c r="R945" s="949"/>
      <c r="S945" s="949"/>
      <c r="T945" s="949"/>
      <c r="U945" s="949"/>
      <c r="V945" s="949"/>
      <c r="W945" s="949"/>
      <c r="X945" s="951"/>
      <c r="Y945" s="951"/>
      <c r="Z945" s="952"/>
      <c r="AA945" s="953"/>
      <c r="AB945" s="948"/>
      <c r="AC945" s="948"/>
      <c r="AD945" s="949"/>
      <c r="AE945" s="949"/>
      <c r="AF945" s="949"/>
      <c r="AG945" s="949"/>
      <c r="AH945" s="949"/>
      <c r="AI945" s="949"/>
      <c r="AJ945" s="949"/>
      <c r="AK945" s="949"/>
      <c r="AL945" s="949"/>
      <c r="AM945" s="949"/>
      <c r="AN945" s="949"/>
      <c r="AO945" s="949"/>
      <c r="AP945" s="949"/>
      <c r="AQ945" s="949"/>
      <c r="AR945" s="949"/>
      <c r="AS945" s="949"/>
      <c r="AT945" s="949"/>
      <c r="AU945" s="949"/>
      <c r="AV945" s="949"/>
      <c r="AW945" s="949"/>
      <c r="AX945" s="949"/>
      <c r="AY945" s="949"/>
      <c r="AZ945" s="949"/>
      <c r="BA945" s="949"/>
      <c r="BB945" s="949"/>
      <c r="BC945" s="949"/>
      <c r="BD945" s="949"/>
      <c r="BE945" s="949"/>
      <c r="BF945" s="949"/>
      <c r="BG945" s="948"/>
      <c r="BH945" s="948"/>
      <c r="BI945" s="948"/>
      <c r="BJ945" s="948"/>
      <c r="BK945" s="948"/>
      <c r="BL945" s="948"/>
      <c r="BM945" s="948"/>
      <c r="BN945" s="948"/>
      <c r="BO945" s="948"/>
      <c r="BP945" s="948"/>
      <c r="BQ945" s="948"/>
      <c r="BR945" s="948"/>
      <c r="BS945" s="948"/>
      <c r="BT945" s="948"/>
      <c r="BU945" s="954"/>
    </row>
    <row r="946" spans="1:73" ht="15.75" customHeight="1" x14ac:dyDescent="0.2">
      <c r="A946" s="947"/>
      <c r="B946" s="947"/>
      <c r="C946" s="947"/>
      <c r="D946" s="948"/>
      <c r="E946" s="948"/>
      <c r="F946" s="948"/>
      <c r="G946" s="948"/>
      <c r="H946" s="948"/>
      <c r="I946" s="948"/>
      <c r="J946" s="948"/>
      <c r="K946" s="949"/>
      <c r="L946" s="949"/>
      <c r="M946" s="949"/>
      <c r="N946" s="950"/>
      <c r="O946" s="948"/>
      <c r="P946" s="948"/>
      <c r="Q946" s="948"/>
      <c r="R946" s="949"/>
      <c r="S946" s="949"/>
      <c r="T946" s="949"/>
      <c r="U946" s="949"/>
      <c r="V946" s="949"/>
      <c r="W946" s="949"/>
      <c r="X946" s="951"/>
      <c r="Y946" s="951"/>
      <c r="Z946" s="952"/>
      <c r="AA946" s="953"/>
      <c r="AB946" s="948"/>
      <c r="AC946" s="948"/>
      <c r="AD946" s="949"/>
      <c r="AE946" s="949"/>
      <c r="AF946" s="949"/>
      <c r="AG946" s="949"/>
      <c r="AH946" s="949"/>
      <c r="AI946" s="949"/>
      <c r="AJ946" s="949"/>
      <c r="AK946" s="949"/>
      <c r="AL946" s="949"/>
      <c r="AM946" s="949"/>
      <c r="AN946" s="949"/>
      <c r="AO946" s="949"/>
      <c r="AP946" s="949"/>
      <c r="AQ946" s="949"/>
      <c r="AR946" s="949"/>
      <c r="AS946" s="949"/>
      <c r="AT946" s="949"/>
      <c r="AU946" s="949"/>
      <c r="AV946" s="949"/>
      <c r="AW946" s="949"/>
      <c r="AX946" s="949"/>
      <c r="AY946" s="949"/>
      <c r="AZ946" s="949"/>
      <c r="BA946" s="949"/>
      <c r="BB946" s="949"/>
      <c r="BC946" s="949"/>
      <c r="BD946" s="949"/>
      <c r="BE946" s="949"/>
      <c r="BF946" s="949"/>
      <c r="BG946" s="948"/>
      <c r="BH946" s="948"/>
      <c r="BI946" s="948"/>
      <c r="BJ946" s="948"/>
      <c r="BK946" s="948"/>
      <c r="BL946" s="948"/>
      <c r="BM946" s="948"/>
      <c r="BN946" s="948"/>
      <c r="BO946" s="948"/>
      <c r="BP946" s="948"/>
      <c r="BQ946" s="948"/>
      <c r="BR946" s="948"/>
      <c r="BS946" s="948"/>
      <c r="BT946" s="948"/>
      <c r="BU946" s="954"/>
    </row>
    <row r="947" spans="1:73" ht="15.75" customHeight="1" x14ac:dyDescent="0.2">
      <c r="A947" s="947"/>
      <c r="B947" s="947"/>
      <c r="C947" s="947"/>
      <c r="D947" s="948"/>
      <c r="E947" s="948"/>
      <c r="F947" s="948"/>
      <c r="G947" s="948"/>
      <c r="H947" s="948"/>
      <c r="I947" s="948"/>
      <c r="J947" s="948"/>
      <c r="K947" s="949"/>
      <c r="L947" s="949"/>
      <c r="M947" s="949"/>
      <c r="N947" s="950"/>
      <c r="O947" s="948"/>
      <c r="P947" s="948"/>
      <c r="Q947" s="948"/>
      <c r="R947" s="949"/>
      <c r="S947" s="949"/>
      <c r="T947" s="949"/>
      <c r="U947" s="949"/>
      <c r="V947" s="949"/>
      <c r="W947" s="949"/>
      <c r="X947" s="951"/>
      <c r="Y947" s="951"/>
      <c r="Z947" s="952"/>
      <c r="AA947" s="953"/>
      <c r="AB947" s="948"/>
      <c r="AC947" s="948"/>
      <c r="AD947" s="949"/>
      <c r="AE947" s="949"/>
      <c r="AF947" s="949"/>
      <c r="AG947" s="949"/>
      <c r="AH947" s="949"/>
      <c r="AI947" s="949"/>
      <c r="AJ947" s="949"/>
      <c r="AK947" s="949"/>
      <c r="AL947" s="949"/>
      <c r="AM947" s="949"/>
      <c r="AN947" s="949"/>
      <c r="AO947" s="949"/>
      <c r="AP947" s="949"/>
      <c r="AQ947" s="949"/>
      <c r="AR947" s="949"/>
      <c r="AS947" s="949"/>
      <c r="AT947" s="949"/>
      <c r="AU947" s="949"/>
      <c r="AV947" s="949"/>
      <c r="AW947" s="949"/>
      <c r="AX947" s="949"/>
      <c r="AY947" s="949"/>
      <c r="AZ947" s="949"/>
      <c r="BA947" s="949"/>
      <c r="BB947" s="949"/>
      <c r="BC947" s="949"/>
      <c r="BD947" s="949"/>
      <c r="BE947" s="949"/>
      <c r="BF947" s="949"/>
      <c r="BG947" s="948"/>
      <c r="BH947" s="948"/>
      <c r="BI947" s="948"/>
      <c r="BJ947" s="948"/>
      <c r="BK947" s="948"/>
      <c r="BL947" s="948"/>
      <c r="BM947" s="948"/>
      <c r="BN947" s="948"/>
      <c r="BO947" s="948"/>
      <c r="BP947" s="948"/>
      <c r="BQ947" s="948"/>
      <c r="BR947" s="948"/>
      <c r="BS947" s="948"/>
      <c r="BT947" s="948"/>
      <c r="BU947" s="954"/>
    </row>
    <row r="948" spans="1:73" ht="15.75" customHeight="1" x14ac:dyDescent="0.2">
      <c r="A948" s="947"/>
      <c r="B948" s="947"/>
      <c r="C948" s="947"/>
      <c r="D948" s="948"/>
      <c r="E948" s="948"/>
      <c r="F948" s="948"/>
      <c r="G948" s="948"/>
      <c r="H948" s="948"/>
      <c r="I948" s="948"/>
      <c r="J948" s="948"/>
      <c r="K948" s="949"/>
      <c r="L948" s="949"/>
      <c r="M948" s="949"/>
      <c r="N948" s="950"/>
      <c r="O948" s="948"/>
      <c r="P948" s="948"/>
      <c r="Q948" s="948"/>
      <c r="R948" s="949"/>
      <c r="S948" s="949"/>
      <c r="T948" s="949"/>
      <c r="U948" s="949"/>
      <c r="V948" s="949"/>
      <c r="W948" s="949"/>
      <c r="X948" s="951"/>
      <c r="Y948" s="951"/>
      <c r="Z948" s="952"/>
      <c r="AA948" s="953"/>
      <c r="AB948" s="948"/>
      <c r="AC948" s="948"/>
      <c r="AD948" s="949"/>
      <c r="AE948" s="949"/>
      <c r="AF948" s="949"/>
      <c r="AG948" s="949"/>
      <c r="AH948" s="949"/>
      <c r="AI948" s="949"/>
      <c r="AJ948" s="949"/>
      <c r="AK948" s="949"/>
      <c r="AL948" s="949"/>
      <c r="AM948" s="949"/>
      <c r="AN948" s="949"/>
      <c r="AO948" s="949"/>
      <c r="AP948" s="949"/>
      <c r="AQ948" s="949"/>
      <c r="AR948" s="949"/>
      <c r="AS948" s="949"/>
      <c r="AT948" s="949"/>
      <c r="AU948" s="949"/>
      <c r="AV948" s="949"/>
      <c r="AW948" s="949"/>
      <c r="AX948" s="949"/>
      <c r="AY948" s="949"/>
      <c r="AZ948" s="949"/>
      <c r="BA948" s="949"/>
      <c r="BB948" s="949"/>
      <c r="BC948" s="949"/>
      <c r="BD948" s="949"/>
      <c r="BE948" s="949"/>
      <c r="BF948" s="949"/>
      <c r="BG948" s="948"/>
      <c r="BH948" s="948"/>
      <c r="BI948" s="948"/>
      <c r="BJ948" s="948"/>
      <c r="BK948" s="948"/>
      <c r="BL948" s="948"/>
      <c r="BM948" s="948"/>
      <c r="BN948" s="948"/>
      <c r="BO948" s="948"/>
      <c r="BP948" s="948"/>
      <c r="BQ948" s="948"/>
      <c r="BR948" s="948"/>
      <c r="BS948" s="948"/>
      <c r="BT948" s="948"/>
      <c r="BU948" s="954"/>
    </row>
    <row r="949" spans="1:73" ht="15.75" customHeight="1" x14ac:dyDescent="0.2">
      <c r="A949" s="947"/>
      <c r="B949" s="947"/>
      <c r="C949" s="947"/>
      <c r="D949" s="948"/>
      <c r="E949" s="948"/>
      <c r="F949" s="948"/>
      <c r="G949" s="948"/>
      <c r="H949" s="948"/>
      <c r="I949" s="948"/>
      <c r="J949" s="948"/>
      <c r="K949" s="949"/>
      <c r="L949" s="949"/>
      <c r="M949" s="949"/>
      <c r="N949" s="950"/>
      <c r="O949" s="948"/>
      <c r="P949" s="948"/>
      <c r="Q949" s="948"/>
      <c r="R949" s="949"/>
      <c r="S949" s="949"/>
      <c r="T949" s="949"/>
      <c r="U949" s="949"/>
      <c r="V949" s="949"/>
      <c r="W949" s="949"/>
      <c r="X949" s="951"/>
      <c r="Y949" s="951"/>
      <c r="Z949" s="952"/>
      <c r="AA949" s="953"/>
      <c r="AB949" s="948"/>
      <c r="AC949" s="948"/>
      <c r="AD949" s="949"/>
      <c r="AE949" s="949"/>
      <c r="AF949" s="949"/>
      <c r="AG949" s="949"/>
      <c r="AH949" s="949"/>
      <c r="AI949" s="949"/>
      <c r="AJ949" s="949"/>
      <c r="AK949" s="949"/>
      <c r="AL949" s="949"/>
      <c r="AM949" s="949"/>
      <c r="AN949" s="949"/>
      <c r="AO949" s="949"/>
      <c r="AP949" s="949"/>
      <c r="AQ949" s="949"/>
      <c r="AR949" s="949"/>
      <c r="AS949" s="949"/>
      <c r="AT949" s="949"/>
      <c r="AU949" s="949"/>
      <c r="AV949" s="949"/>
      <c r="AW949" s="949"/>
      <c r="AX949" s="949"/>
      <c r="AY949" s="949"/>
      <c r="AZ949" s="949"/>
      <c r="BA949" s="949"/>
      <c r="BB949" s="949"/>
      <c r="BC949" s="949"/>
      <c r="BD949" s="949"/>
      <c r="BE949" s="949"/>
      <c r="BF949" s="949"/>
      <c r="BG949" s="948"/>
      <c r="BH949" s="948"/>
      <c r="BI949" s="948"/>
      <c r="BJ949" s="948"/>
      <c r="BK949" s="948"/>
      <c r="BL949" s="948"/>
      <c r="BM949" s="948"/>
      <c r="BN949" s="948"/>
      <c r="BO949" s="948"/>
      <c r="BP949" s="948"/>
      <c r="BQ949" s="948"/>
      <c r="BR949" s="948"/>
      <c r="BS949" s="948"/>
      <c r="BT949" s="948"/>
      <c r="BU949" s="954"/>
    </row>
    <row r="950" spans="1:73" ht="15.75" customHeight="1" x14ac:dyDescent="0.2">
      <c r="A950" s="947"/>
      <c r="B950" s="947"/>
      <c r="C950" s="947"/>
      <c r="D950" s="948"/>
      <c r="E950" s="948"/>
      <c r="F950" s="948"/>
      <c r="G950" s="948"/>
      <c r="H950" s="948"/>
      <c r="I950" s="948"/>
      <c r="J950" s="948"/>
      <c r="K950" s="949"/>
      <c r="L950" s="949"/>
      <c r="M950" s="949"/>
      <c r="N950" s="950"/>
      <c r="O950" s="948"/>
      <c r="P950" s="948"/>
      <c r="Q950" s="948"/>
      <c r="R950" s="949"/>
      <c r="S950" s="949"/>
      <c r="T950" s="949"/>
      <c r="U950" s="949"/>
      <c r="V950" s="949"/>
      <c r="W950" s="949"/>
      <c r="X950" s="951"/>
      <c r="Y950" s="951"/>
      <c r="Z950" s="952"/>
      <c r="AA950" s="953"/>
      <c r="AB950" s="948"/>
      <c r="AC950" s="948"/>
      <c r="AD950" s="949"/>
      <c r="AE950" s="949"/>
      <c r="AF950" s="949"/>
      <c r="AG950" s="949"/>
      <c r="AH950" s="949"/>
      <c r="AI950" s="949"/>
      <c r="AJ950" s="949"/>
      <c r="AK950" s="949"/>
      <c r="AL950" s="949"/>
      <c r="AM950" s="949"/>
      <c r="AN950" s="949"/>
      <c r="AO950" s="949"/>
      <c r="AP950" s="949"/>
      <c r="AQ950" s="949"/>
      <c r="AR950" s="949"/>
      <c r="AS950" s="949"/>
      <c r="AT950" s="949"/>
      <c r="AU950" s="949"/>
      <c r="AV950" s="949"/>
      <c r="AW950" s="949"/>
      <c r="AX950" s="949"/>
      <c r="AY950" s="949"/>
      <c r="AZ950" s="949"/>
      <c r="BA950" s="949"/>
      <c r="BB950" s="949"/>
      <c r="BC950" s="949"/>
      <c r="BD950" s="949"/>
      <c r="BE950" s="949"/>
      <c r="BF950" s="949"/>
      <c r="BG950" s="948"/>
      <c r="BH950" s="948"/>
      <c r="BI950" s="948"/>
      <c r="BJ950" s="948"/>
      <c r="BK950" s="948"/>
      <c r="BL950" s="948"/>
      <c r="BM950" s="948"/>
      <c r="BN950" s="948"/>
      <c r="BO950" s="948"/>
      <c r="BP950" s="948"/>
      <c r="BQ950" s="948"/>
      <c r="BR950" s="948"/>
      <c r="BS950" s="948"/>
      <c r="BT950" s="948"/>
      <c r="BU950" s="954"/>
    </row>
    <row r="951" spans="1:73" ht="15.75" customHeight="1" x14ac:dyDescent="0.2">
      <c r="A951" s="947"/>
      <c r="B951" s="947"/>
      <c r="C951" s="947"/>
      <c r="D951" s="948"/>
      <c r="E951" s="948"/>
      <c r="F951" s="948"/>
      <c r="G951" s="948"/>
      <c r="H951" s="948"/>
      <c r="I951" s="948"/>
      <c r="J951" s="948"/>
      <c r="K951" s="949"/>
      <c r="L951" s="949"/>
      <c r="M951" s="949"/>
      <c r="N951" s="950"/>
      <c r="O951" s="948"/>
      <c r="P951" s="948"/>
      <c r="Q951" s="948"/>
      <c r="R951" s="949"/>
      <c r="S951" s="949"/>
      <c r="T951" s="949"/>
      <c r="U951" s="949"/>
      <c r="V951" s="949"/>
      <c r="W951" s="949"/>
      <c r="X951" s="951"/>
      <c r="Y951" s="951"/>
      <c r="Z951" s="952"/>
      <c r="AA951" s="953"/>
      <c r="AB951" s="948"/>
      <c r="AC951" s="948"/>
      <c r="AD951" s="949"/>
      <c r="AE951" s="949"/>
      <c r="AF951" s="949"/>
      <c r="AG951" s="949"/>
      <c r="AH951" s="949"/>
      <c r="AI951" s="949"/>
      <c r="AJ951" s="949"/>
      <c r="AK951" s="949"/>
      <c r="AL951" s="949"/>
      <c r="AM951" s="949"/>
      <c r="AN951" s="949"/>
      <c r="AO951" s="949"/>
      <c r="AP951" s="949"/>
      <c r="AQ951" s="949"/>
      <c r="AR951" s="949"/>
      <c r="AS951" s="949"/>
      <c r="AT951" s="949"/>
      <c r="AU951" s="949"/>
      <c r="AV951" s="949"/>
      <c r="AW951" s="949"/>
      <c r="AX951" s="949"/>
      <c r="AY951" s="949"/>
      <c r="AZ951" s="949"/>
      <c r="BA951" s="949"/>
      <c r="BB951" s="949"/>
      <c r="BC951" s="949"/>
      <c r="BD951" s="949"/>
      <c r="BE951" s="949"/>
      <c r="BF951" s="949"/>
      <c r="BG951" s="948"/>
      <c r="BH951" s="948"/>
      <c r="BI951" s="948"/>
      <c r="BJ951" s="948"/>
      <c r="BK951" s="948"/>
      <c r="BL951" s="948"/>
      <c r="BM951" s="948"/>
      <c r="BN951" s="948"/>
      <c r="BO951" s="948"/>
      <c r="BP951" s="948"/>
      <c r="BQ951" s="948"/>
      <c r="BR951" s="948"/>
      <c r="BS951" s="948"/>
      <c r="BT951" s="948"/>
      <c r="BU951" s="954"/>
    </row>
    <row r="952" spans="1:73" ht="15.75" customHeight="1" x14ac:dyDescent="0.2">
      <c r="A952" s="947"/>
      <c r="B952" s="947"/>
      <c r="C952" s="947"/>
      <c r="D952" s="948"/>
      <c r="E952" s="948"/>
      <c r="F952" s="948"/>
      <c r="G952" s="948"/>
      <c r="H952" s="948"/>
      <c r="I952" s="948"/>
      <c r="J952" s="948"/>
      <c r="K952" s="949"/>
      <c r="L952" s="949"/>
      <c r="M952" s="949"/>
      <c r="N952" s="950"/>
      <c r="O952" s="948"/>
      <c r="P952" s="948"/>
      <c r="Q952" s="948"/>
      <c r="R952" s="949"/>
      <c r="S952" s="949"/>
      <c r="T952" s="949"/>
      <c r="U952" s="949"/>
      <c r="V952" s="949"/>
      <c r="W952" s="949"/>
      <c r="X952" s="951"/>
      <c r="Y952" s="951"/>
      <c r="Z952" s="952"/>
      <c r="AA952" s="953"/>
      <c r="AB952" s="948"/>
      <c r="AC952" s="948"/>
      <c r="AD952" s="949"/>
      <c r="AE952" s="949"/>
      <c r="AF952" s="949"/>
      <c r="AG952" s="949"/>
      <c r="AH952" s="949"/>
      <c r="AI952" s="949"/>
      <c r="AJ952" s="949"/>
      <c r="AK952" s="949"/>
      <c r="AL952" s="949"/>
      <c r="AM952" s="949"/>
      <c r="AN952" s="949"/>
      <c r="AO952" s="949"/>
      <c r="AP952" s="949"/>
      <c r="AQ952" s="949"/>
      <c r="AR952" s="949"/>
      <c r="AS952" s="949"/>
      <c r="AT952" s="949"/>
      <c r="AU952" s="949"/>
      <c r="AV952" s="949"/>
      <c r="AW952" s="949"/>
      <c r="AX952" s="949"/>
      <c r="AY952" s="949"/>
      <c r="AZ952" s="949"/>
      <c r="BA952" s="949"/>
      <c r="BB952" s="949"/>
      <c r="BC952" s="949"/>
      <c r="BD952" s="949"/>
      <c r="BE952" s="949"/>
      <c r="BF952" s="949"/>
      <c r="BG952" s="948"/>
      <c r="BH952" s="948"/>
      <c r="BI952" s="948"/>
      <c r="BJ952" s="948"/>
      <c r="BK952" s="948"/>
      <c r="BL952" s="948"/>
      <c r="BM952" s="948"/>
      <c r="BN952" s="948"/>
      <c r="BO952" s="948"/>
      <c r="BP952" s="948"/>
      <c r="BQ952" s="948"/>
      <c r="BR952" s="948"/>
      <c r="BS952" s="948"/>
      <c r="BT952" s="948"/>
      <c r="BU952" s="954"/>
    </row>
    <row r="953" spans="1:73" ht="15.75" customHeight="1" x14ac:dyDescent="0.2">
      <c r="A953" s="947"/>
      <c r="B953" s="947"/>
      <c r="C953" s="947"/>
      <c r="D953" s="948"/>
      <c r="E953" s="948"/>
      <c r="F953" s="948"/>
      <c r="G953" s="948"/>
      <c r="H953" s="948"/>
      <c r="I953" s="948"/>
      <c r="J953" s="948"/>
      <c r="K953" s="949"/>
      <c r="L953" s="949"/>
      <c r="M953" s="949"/>
      <c r="N953" s="950"/>
      <c r="O953" s="948"/>
      <c r="P953" s="948"/>
      <c r="Q953" s="948"/>
      <c r="R953" s="949"/>
      <c r="S953" s="949"/>
      <c r="T953" s="949"/>
      <c r="U953" s="949"/>
      <c r="V953" s="949"/>
      <c r="W953" s="949"/>
      <c r="X953" s="951"/>
      <c r="Y953" s="951"/>
      <c r="Z953" s="952"/>
      <c r="AA953" s="953"/>
      <c r="AB953" s="948"/>
      <c r="AC953" s="948"/>
      <c r="AD953" s="949"/>
      <c r="AE953" s="949"/>
      <c r="AF953" s="949"/>
      <c r="AG953" s="949"/>
      <c r="AH953" s="949"/>
      <c r="AI953" s="949"/>
      <c r="AJ953" s="949"/>
      <c r="AK953" s="949"/>
      <c r="AL953" s="949"/>
      <c r="AM953" s="949"/>
      <c r="AN953" s="949"/>
      <c r="AO953" s="949"/>
      <c r="AP953" s="949"/>
      <c r="AQ953" s="949"/>
      <c r="AR953" s="949"/>
      <c r="AS953" s="949"/>
      <c r="AT953" s="949"/>
      <c r="AU953" s="949"/>
      <c r="AV953" s="949"/>
      <c r="AW953" s="949"/>
      <c r="AX953" s="949"/>
      <c r="AY953" s="949"/>
      <c r="AZ953" s="949"/>
      <c r="BA953" s="949"/>
      <c r="BB953" s="949"/>
      <c r="BC953" s="949"/>
      <c r="BD953" s="949"/>
      <c r="BE953" s="949"/>
      <c r="BF953" s="949"/>
      <c r="BG953" s="948"/>
      <c r="BH953" s="948"/>
      <c r="BI953" s="948"/>
      <c r="BJ953" s="948"/>
      <c r="BK953" s="948"/>
      <c r="BL953" s="948"/>
      <c r="BM953" s="948"/>
      <c r="BN953" s="948"/>
      <c r="BO953" s="948"/>
      <c r="BP953" s="948"/>
      <c r="BQ953" s="948"/>
      <c r="BR953" s="948"/>
      <c r="BS953" s="948"/>
      <c r="BT953" s="948"/>
      <c r="BU953" s="954"/>
    </row>
    <row r="954" spans="1:73" ht="15.75" customHeight="1" x14ac:dyDescent="0.2">
      <c r="A954" s="947"/>
      <c r="B954" s="947"/>
      <c r="C954" s="947"/>
      <c r="D954" s="948"/>
      <c r="E954" s="948"/>
      <c r="F954" s="948"/>
      <c r="G954" s="948"/>
      <c r="H954" s="948"/>
      <c r="I954" s="948"/>
      <c r="J954" s="948"/>
      <c r="K954" s="949"/>
      <c r="L954" s="949"/>
      <c r="M954" s="949"/>
      <c r="N954" s="950"/>
      <c r="O954" s="948"/>
      <c r="P954" s="948"/>
      <c r="Q954" s="948"/>
      <c r="R954" s="949"/>
      <c r="S954" s="949"/>
      <c r="T954" s="949"/>
      <c r="U954" s="949"/>
      <c r="V954" s="949"/>
      <c r="W954" s="949"/>
      <c r="X954" s="951"/>
      <c r="Y954" s="951"/>
      <c r="Z954" s="952"/>
      <c r="AA954" s="953"/>
      <c r="AB954" s="948"/>
      <c r="AC954" s="948"/>
      <c r="AD954" s="949"/>
      <c r="AE954" s="949"/>
      <c r="AF954" s="949"/>
      <c r="AG954" s="949"/>
      <c r="AH954" s="949"/>
      <c r="AI954" s="949"/>
      <c r="AJ954" s="949"/>
      <c r="AK954" s="949"/>
      <c r="AL954" s="949"/>
      <c r="AM954" s="949"/>
      <c r="AN954" s="949"/>
      <c r="AO954" s="949"/>
      <c r="AP954" s="949"/>
      <c r="AQ954" s="949"/>
      <c r="AR954" s="949"/>
      <c r="AS954" s="949"/>
      <c r="AT954" s="949"/>
      <c r="AU954" s="949"/>
      <c r="AV954" s="949"/>
      <c r="AW954" s="949"/>
      <c r="AX954" s="949"/>
      <c r="AY954" s="949"/>
      <c r="AZ954" s="949"/>
      <c r="BA954" s="949"/>
      <c r="BB954" s="949"/>
      <c r="BC954" s="949"/>
      <c r="BD954" s="949"/>
      <c r="BE954" s="949"/>
      <c r="BF954" s="949"/>
      <c r="BG954" s="948"/>
      <c r="BH954" s="948"/>
      <c r="BI954" s="948"/>
      <c r="BJ954" s="948"/>
      <c r="BK954" s="948"/>
      <c r="BL954" s="948"/>
      <c r="BM954" s="948"/>
      <c r="BN954" s="948"/>
      <c r="BO954" s="948"/>
      <c r="BP954" s="948"/>
      <c r="BQ954" s="948"/>
      <c r="BR954" s="948"/>
      <c r="BS954" s="948"/>
      <c r="BT954" s="948"/>
      <c r="BU954" s="954"/>
    </row>
    <row r="955" spans="1:73" ht="15.75" customHeight="1" x14ac:dyDescent="0.2">
      <c r="A955" s="947"/>
      <c r="B955" s="947"/>
      <c r="C955" s="947"/>
      <c r="D955" s="948"/>
      <c r="E955" s="948"/>
      <c r="F955" s="948"/>
      <c r="G955" s="948"/>
      <c r="H955" s="948"/>
      <c r="I955" s="948"/>
      <c r="J955" s="948"/>
      <c r="K955" s="949"/>
      <c r="L955" s="949"/>
      <c r="M955" s="949"/>
      <c r="N955" s="950"/>
      <c r="O955" s="948"/>
      <c r="P955" s="948"/>
      <c r="Q955" s="948"/>
      <c r="R955" s="949"/>
      <c r="S955" s="949"/>
      <c r="T955" s="949"/>
      <c r="U955" s="949"/>
      <c r="V955" s="949"/>
      <c r="W955" s="949"/>
      <c r="X955" s="951"/>
      <c r="Y955" s="951"/>
      <c r="Z955" s="952"/>
      <c r="AA955" s="953"/>
      <c r="AB955" s="948"/>
      <c r="AC955" s="948"/>
      <c r="AD955" s="949"/>
      <c r="AE955" s="949"/>
      <c r="AF955" s="949"/>
      <c r="AG955" s="949"/>
      <c r="AH955" s="949"/>
      <c r="AI955" s="949"/>
      <c r="AJ955" s="949"/>
      <c r="AK955" s="949"/>
      <c r="AL955" s="949"/>
      <c r="AM955" s="949"/>
      <c r="AN955" s="949"/>
      <c r="AO955" s="949"/>
      <c r="AP955" s="949"/>
      <c r="AQ955" s="949"/>
      <c r="AR955" s="949"/>
      <c r="AS955" s="949"/>
      <c r="AT955" s="949"/>
      <c r="AU955" s="949"/>
      <c r="AV955" s="949"/>
      <c r="AW955" s="949"/>
      <c r="AX955" s="949"/>
      <c r="AY955" s="949"/>
      <c r="AZ955" s="949"/>
      <c r="BA955" s="949"/>
      <c r="BB955" s="949"/>
      <c r="BC955" s="949"/>
      <c r="BD955" s="949"/>
      <c r="BE955" s="949"/>
      <c r="BF955" s="949"/>
      <c r="BG955" s="948"/>
      <c r="BH955" s="948"/>
      <c r="BI955" s="948"/>
      <c r="BJ955" s="948"/>
      <c r="BK955" s="948"/>
      <c r="BL955" s="948"/>
      <c r="BM955" s="948"/>
      <c r="BN955" s="948"/>
      <c r="BO955" s="948"/>
      <c r="BP955" s="948"/>
      <c r="BQ955" s="948"/>
      <c r="BR955" s="948"/>
      <c r="BS955" s="948"/>
      <c r="BT955" s="948"/>
      <c r="BU955" s="954"/>
    </row>
    <row r="956" spans="1:73" ht="15.75" customHeight="1" x14ac:dyDescent="0.2">
      <c r="A956" s="947"/>
      <c r="B956" s="947"/>
      <c r="C956" s="947"/>
      <c r="D956" s="948"/>
      <c r="E956" s="948"/>
      <c r="F956" s="948"/>
      <c r="G956" s="948"/>
      <c r="H956" s="948"/>
      <c r="I956" s="948"/>
      <c r="J956" s="948"/>
      <c r="K956" s="949"/>
      <c r="L956" s="949"/>
      <c r="M956" s="949"/>
      <c r="N956" s="950"/>
      <c r="O956" s="948"/>
      <c r="P956" s="948"/>
      <c r="Q956" s="948"/>
      <c r="R956" s="949"/>
      <c r="S956" s="949"/>
      <c r="T956" s="949"/>
      <c r="U956" s="949"/>
      <c r="V956" s="949"/>
      <c r="W956" s="949"/>
      <c r="X956" s="951"/>
      <c r="Y956" s="951"/>
      <c r="Z956" s="952"/>
      <c r="AA956" s="953"/>
      <c r="AB956" s="948"/>
      <c r="AC956" s="948"/>
      <c r="AD956" s="949"/>
      <c r="AE956" s="949"/>
      <c r="AF956" s="949"/>
      <c r="AG956" s="949"/>
      <c r="AH956" s="949"/>
      <c r="AI956" s="949"/>
      <c r="AJ956" s="949"/>
      <c r="AK956" s="949"/>
      <c r="AL956" s="949"/>
      <c r="AM956" s="949"/>
      <c r="AN956" s="949"/>
      <c r="AO956" s="949"/>
      <c r="AP956" s="949"/>
      <c r="AQ956" s="949"/>
      <c r="AR956" s="949"/>
      <c r="AS956" s="949"/>
      <c r="AT956" s="949"/>
      <c r="AU956" s="949"/>
      <c r="AV956" s="949"/>
      <c r="AW956" s="949"/>
      <c r="AX956" s="949"/>
      <c r="AY956" s="949"/>
      <c r="AZ956" s="949"/>
      <c r="BA956" s="949"/>
      <c r="BB956" s="949"/>
      <c r="BC956" s="949"/>
      <c r="BD956" s="949"/>
      <c r="BE956" s="949"/>
      <c r="BF956" s="949"/>
      <c r="BG956" s="948"/>
      <c r="BH956" s="948"/>
      <c r="BI956" s="948"/>
      <c r="BJ956" s="948"/>
      <c r="BK956" s="948"/>
      <c r="BL956" s="948"/>
      <c r="BM956" s="948"/>
      <c r="BN956" s="948"/>
      <c r="BO956" s="948"/>
      <c r="BP956" s="948"/>
      <c r="BQ956" s="948"/>
      <c r="BR956" s="948"/>
      <c r="BS956" s="948"/>
      <c r="BT956" s="948"/>
      <c r="BU956" s="954"/>
    </row>
    <row r="957" spans="1:73" ht="15.75" customHeight="1" x14ac:dyDescent="0.2">
      <c r="A957" s="947"/>
      <c r="B957" s="947"/>
      <c r="C957" s="947"/>
      <c r="D957" s="948"/>
      <c r="E957" s="948"/>
      <c r="F957" s="948"/>
      <c r="G957" s="948"/>
      <c r="H957" s="948"/>
      <c r="I957" s="948"/>
      <c r="J957" s="948"/>
      <c r="K957" s="949"/>
      <c r="L957" s="949"/>
      <c r="M957" s="949"/>
      <c r="N957" s="950"/>
      <c r="O957" s="948"/>
      <c r="P957" s="948"/>
      <c r="Q957" s="948"/>
      <c r="R957" s="949"/>
      <c r="S957" s="949"/>
      <c r="T957" s="949"/>
      <c r="U957" s="949"/>
      <c r="V957" s="949"/>
      <c r="W957" s="949"/>
      <c r="X957" s="951"/>
      <c r="Y957" s="951"/>
      <c r="Z957" s="952"/>
      <c r="AA957" s="953"/>
      <c r="AB957" s="948"/>
      <c r="AC957" s="948"/>
      <c r="AD957" s="949"/>
      <c r="AE957" s="949"/>
      <c r="AF957" s="949"/>
      <c r="AG957" s="949"/>
      <c r="AH957" s="949"/>
      <c r="AI957" s="949"/>
      <c r="AJ957" s="949"/>
      <c r="AK957" s="949"/>
      <c r="AL957" s="949"/>
      <c r="AM957" s="949"/>
      <c r="AN957" s="949"/>
      <c r="AO957" s="949"/>
      <c r="AP957" s="949"/>
      <c r="AQ957" s="949"/>
      <c r="AR957" s="949"/>
      <c r="AS957" s="949"/>
      <c r="AT957" s="949"/>
      <c r="AU957" s="949"/>
      <c r="AV957" s="949"/>
      <c r="AW957" s="949"/>
      <c r="AX957" s="949"/>
      <c r="AY957" s="949"/>
      <c r="AZ957" s="949"/>
      <c r="BA957" s="949"/>
      <c r="BB957" s="949"/>
      <c r="BC957" s="949"/>
      <c r="BD957" s="949"/>
      <c r="BE957" s="949"/>
      <c r="BF957" s="949"/>
      <c r="BG957" s="948"/>
      <c r="BH957" s="948"/>
      <c r="BI957" s="948"/>
      <c r="BJ957" s="948"/>
      <c r="BK957" s="948"/>
      <c r="BL957" s="948"/>
      <c r="BM957" s="948"/>
      <c r="BN957" s="948"/>
      <c r="BO957" s="948"/>
      <c r="BP957" s="948"/>
      <c r="BQ957" s="948"/>
      <c r="BR957" s="948"/>
      <c r="BS957" s="948"/>
      <c r="BT957" s="948"/>
      <c r="BU957" s="954"/>
    </row>
    <row r="958" spans="1:73" ht="15.75" customHeight="1" x14ac:dyDescent="0.2">
      <c r="A958" s="947"/>
      <c r="B958" s="947"/>
      <c r="C958" s="947"/>
      <c r="D958" s="948"/>
      <c r="E958" s="948"/>
      <c r="F958" s="948"/>
      <c r="G958" s="948"/>
      <c r="H958" s="948"/>
      <c r="I958" s="948"/>
      <c r="J958" s="948"/>
      <c r="K958" s="949"/>
      <c r="L958" s="949"/>
      <c r="M958" s="949"/>
      <c r="N958" s="950"/>
      <c r="O958" s="948"/>
      <c r="P958" s="948"/>
      <c r="Q958" s="948"/>
      <c r="R958" s="949"/>
      <c r="S958" s="949"/>
      <c r="T958" s="949"/>
      <c r="U958" s="949"/>
      <c r="V958" s="949"/>
      <c r="W958" s="949"/>
      <c r="X958" s="951"/>
      <c r="Y958" s="951"/>
      <c r="Z958" s="952"/>
      <c r="AA958" s="953"/>
      <c r="AB958" s="948"/>
      <c r="AC958" s="948"/>
      <c r="AD958" s="949"/>
      <c r="AE958" s="949"/>
      <c r="AF958" s="949"/>
      <c r="AG958" s="949"/>
      <c r="AH958" s="949"/>
      <c r="AI958" s="949"/>
      <c r="AJ958" s="949"/>
      <c r="AK958" s="949"/>
      <c r="AL958" s="949"/>
      <c r="AM958" s="949"/>
      <c r="AN958" s="949"/>
      <c r="AO958" s="949"/>
      <c r="AP958" s="949"/>
      <c r="AQ958" s="949"/>
      <c r="AR958" s="949"/>
      <c r="AS958" s="949"/>
      <c r="AT958" s="949"/>
      <c r="AU958" s="949"/>
      <c r="AV958" s="949"/>
      <c r="AW958" s="949"/>
      <c r="AX958" s="949"/>
      <c r="AY958" s="949"/>
      <c r="AZ958" s="949"/>
      <c r="BA958" s="949"/>
      <c r="BB958" s="949"/>
      <c r="BC958" s="949"/>
      <c r="BD958" s="949"/>
      <c r="BE958" s="949"/>
      <c r="BF958" s="949"/>
      <c r="BG958" s="948"/>
      <c r="BH958" s="948"/>
      <c r="BI958" s="948"/>
      <c r="BJ958" s="948"/>
      <c r="BK958" s="948"/>
      <c r="BL958" s="948"/>
      <c r="BM958" s="948"/>
      <c r="BN958" s="948"/>
      <c r="BO958" s="948"/>
      <c r="BP958" s="948"/>
      <c r="BQ958" s="948"/>
      <c r="BR958" s="948"/>
      <c r="BS958" s="948"/>
      <c r="BT958" s="948"/>
      <c r="BU958" s="954"/>
    </row>
    <row r="959" spans="1:73" ht="15.75" customHeight="1" x14ac:dyDescent="0.2">
      <c r="A959" s="947"/>
      <c r="B959" s="947"/>
      <c r="C959" s="947"/>
      <c r="D959" s="948"/>
      <c r="E959" s="948"/>
      <c r="F959" s="948"/>
      <c r="G959" s="948"/>
      <c r="H959" s="948"/>
      <c r="I959" s="948"/>
      <c r="J959" s="948"/>
      <c r="K959" s="949"/>
      <c r="L959" s="949"/>
      <c r="M959" s="949"/>
      <c r="N959" s="950"/>
      <c r="O959" s="948"/>
      <c r="P959" s="948"/>
      <c r="Q959" s="948"/>
      <c r="R959" s="949"/>
      <c r="S959" s="949"/>
      <c r="T959" s="949"/>
      <c r="U959" s="949"/>
      <c r="V959" s="949"/>
      <c r="W959" s="949"/>
      <c r="X959" s="951"/>
      <c r="Y959" s="951"/>
      <c r="Z959" s="952"/>
      <c r="AA959" s="953"/>
      <c r="AB959" s="948"/>
      <c r="AC959" s="948"/>
      <c r="AD959" s="949"/>
      <c r="AE959" s="949"/>
      <c r="AF959" s="949"/>
      <c r="AG959" s="949"/>
      <c r="AH959" s="949"/>
      <c r="AI959" s="949"/>
      <c r="AJ959" s="949"/>
      <c r="AK959" s="949"/>
      <c r="AL959" s="949"/>
      <c r="AM959" s="949"/>
      <c r="AN959" s="949"/>
      <c r="AO959" s="949"/>
      <c r="AP959" s="949"/>
      <c r="AQ959" s="949"/>
      <c r="AR959" s="949"/>
      <c r="AS959" s="949"/>
      <c r="AT959" s="949"/>
      <c r="AU959" s="949"/>
      <c r="AV959" s="949"/>
      <c r="AW959" s="949"/>
      <c r="AX959" s="949"/>
      <c r="AY959" s="949"/>
      <c r="AZ959" s="949"/>
      <c r="BA959" s="949"/>
      <c r="BB959" s="949"/>
      <c r="BC959" s="949"/>
      <c r="BD959" s="949"/>
      <c r="BE959" s="949"/>
      <c r="BF959" s="949"/>
      <c r="BG959" s="948"/>
      <c r="BH959" s="948"/>
      <c r="BI959" s="948"/>
      <c r="BJ959" s="948"/>
      <c r="BK959" s="948"/>
      <c r="BL959" s="948"/>
      <c r="BM959" s="948"/>
      <c r="BN959" s="948"/>
      <c r="BO959" s="948"/>
      <c r="BP959" s="948"/>
      <c r="BQ959" s="948"/>
      <c r="BR959" s="948"/>
      <c r="BS959" s="948"/>
      <c r="BT959" s="948"/>
      <c r="BU959" s="954"/>
    </row>
    <row r="960" spans="1:73" ht="15.75" customHeight="1" x14ac:dyDescent="0.2">
      <c r="A960" s="947"/>
      <c r="B960" s="947"/>
      <c r="C960" s="947"/>
      <c r="D960" s="948"/>
      <c r="E960" s="948"/>
      <c r="F960" s="948"/>
      <c r="G960" s="948"/>
      <c r="H960" s="948"/>
      <c r="I960" s="948"/>
      <c r="J960" s="948"/>
      <c r="K960" s="949"/>
      <c r="L960" s="949"/>
      <c r="M960" s="949"/>
      <c r="N960" s="950"/>
      <c r="O960" s="948"/>
      <c r="P960" s="948"/>
      <c r="Q960" s="948"/>
      <c r="R960" s="949"/>
      <c r="S960" s="949"/>
      <c r="T960" s="949"/>
      <c r="U960" s="949"/>
      <c r="V960" s="949"/>
      <c r="W960" s="949"/>
      <c r="X960" s="951"/>
      <c r="Y960" s="951"/>
      <c r="Z960" s="952"/>
      <c r="AA960" s="953"/>
      <c r="AB960" s="948"/>
      <c r="AC960" s="948"/>
      <c r="AD960" s="949"/>
      <c r="AE960" s="949"/>
      <c r="AF960" s="949"/>
      <c r="AG960" s="949"/>
      <c r="AH960" s="949"/>
      <c r="AI960" s="949"/>
      <c r="AJ960" s="949"/>
      <c r="AK960" s="949"/>
      <c r="AL960" s="949"/>
      <c r="AM960" s="949"/>
      <c r="AN960" s="949"/>
      <c r="AO960" s="949"/>
      <c r="AP960" s="949"/>
      <c r="AQ960" s="949"/>
      <c r="AR960" s="949"/>
      <c r="AS960" s="949"/>
      <c r="AT960" s="949"/>
      <c r="AU960" s="949"/>
      <c r="AV960" s="949"/>
      <c r="AW960" s="949"/>
      <c r="AX960" s="949"/>
      <c r="AY960" s="949"/>
      <c r="AZ960" s="949"/>
      <c r="BA960" s="949"/>
      <c r="BB960" s="949"/>
      <c r="BC960" s="949"/>
      <c r="BD960" s="949"/>
      <c r="BE960" s="949"/>
      <c r="BF960" s="949"/>
      <c r="BG960" s="948"/>
      <c r="BH960" s="948"/>
      <c r="BI960" s="948"/>
      <c r="BJ960" s="948"/>
      <c r="BK960" s="948"/>
      <c r="BL960" s="948"/>
      <c r="BM960" s="948"/>
      <c r="BN960" s="948"/>
      <c r="BO960" s="948"/>
      <c r="BP960" s="948"/>
      <c r="BQ960" s="948"/>
      <c r="BR960" s="948"/>
      <c r="BS960" s="948"/>
      <c r="BT960" s="948"/>
      <c r="BU960" s="954"/>
    </row>
    <row r="961" spans="1:73" ht="15.75" customHeight="1" x14ac:dyDescent="0.2">
      <c r="A961" s="947"/>
      <c r="B961" s="947"/>
      <c r="C961" s="947"/>
      <c r="D961" s="948"/>
      <c r="E961" s="948"/>
      <c r="F961" s="948"/>
      <c r="G961" s="948"/>
      <c r="H961" s="948"/>
      <c r="I961" s="948"/>
      <c r="J961" s="948"/>
      <c r="K961" s="949"/>
      <c r="L961" s="949"/>
      <c r="M961" s="949"/>
      <c r="N961" s="950"/>
      <c r="O961" s="948"/>
      <c r="P961" s="948"/>
      <c r="Q961" s="948"/>
      <c r="R961" s="949"/>
      <c r="S961" s="949"/>
      <c r="T961" s="949"/>
      <c r="U961" s="949"/>
      <c r="V961" s="949"/>
      <c r="W961" s="949"/>
      <c r="X961" s="951"/>
      <c r="Y961" s="951"/>
      <c r="Z961" s="952"/>
      <c r="AA961" s="953"/>
      <c r="AB961" s="948"/>
      <c r="AC961" s="948"/>
      <c r="AD961" s="949"/>
      <c r="AE961" s="949"/>
      <c r="AF961" s="949"/>
      <c r="AG961" s="949"/>
      <c r="AH961" s="949"/>
      <c r="AI961" s="949"/>
      <c r="AJ961" s="949"/>
      <c r="AK961" s="949"/>
      <c r="AL961" s="949"/>
      <c r="AM961" s="949"/>
      <c r="AN961" s="949"/>
      <c r="AO961" s="949"/>
      <c r="AP961" s="949"/>
      <c r="AQ961" s="949"/>
      <c r="AR961" s="949"/>
      <c r="AS961" s="949"/>
      <c r="AT961" s="949"/>
      <c r="AU961" s="949"/>
      <c r="AV961" s="949"/>
      <c r="AW961" s="949"/>
      <c r="AX961" s="949"/>
      <c r="AY961" s="949"/>
      <c r="AZ961" s="949"/>
      <c r="BA961" s="949"/>
      <c r="BB961" s="949"/>
      <c r="BC961" s="949"/>
      <c r="BD961" s="949"/>
      <c r="BE961" s="949"/>
      <c r="BF961" s="949"/>
      <c r="BG961" s="948"/>
      <c r="BH961" s="948"/>
      <c r="BI961" s="948"/>
      <c r="BJ961" s="948"/>
      <c r="BK961" s="948"/>
      <c r="BL961" s="948"/>
      <c r="BM961" s="948"/>
      <c r="BN961" s="948"/>
      <c r="BO961" s="948"/>
      <c r="BP961" s="948"/>
      <c r="BQ961" s="948"/>
      <c r="BR961" s="948"/>
      <c r="BS961" s="948"/>
      <c r="BT961" s="948"/>
      <c r="BU961" s="954"/>
    </row>
    <row r="962" spans="1:73" ht="15.75" customHeight="1" x14ac:dyDescent="0.2">
      <c r="A962" s="947"/>
      <c r="B962" s="947"/>
      <c r="C962" s="947"/>
      <c r="D962" s="948"/>
      <c r="E962" s="948"/>
      <c r="F962" s="948"/>
      <c r="G962" s="948"/>
      <c r="H962" s="948"/>
      <c r="I962" s="948"/>
      <c r="J962" s="948"/>
      <c r="K962" s="949"/>
      <c r="L962" s="949"/>
      <c r="M962" s="949"/>
      <c r="N962" s="950"/>
      <c r="O962" s="948"/>
      <c r="P962" s="948"/>
      <c r="Q962" s="948"/>
      <c r="R962" s="949"/>
      <c r="S962" s="949"/>
      <c r="T962" s="949"/>
      <c r="U962" s="949"/>
      <c r="V962" s="949"/>
      <c r="W962" s="949"/>
      <c r="X962" s="951"/>
      <c r="Y962" s="951"/>
      <c r="Z962" s="952"/>
      <c r="AA962" s="953"/>
      <c r="AB962" s="948"/>
      <c r="AC962" s="948"/>
      <c r="AD962" s="949"/>
      <c r="AE962" s="949"/>
      <c r="AF962" s="949"/>
      <c r="AG962" s="949"/>
      <c r="AH962" s="949"/>
      <c r="AI962" s="949"/>
      <c r="AJ962" s="949"/>
      <c r="AK962" s="949"/>
      <c r="AL962" s="949"/>
      <c r="AM962" s="949"/>
      <c r="AN962" s="949"/>
      <c r="AO962" s="949"/>
      <c r="AP962" s="949"/>
      <c r="AQ962" s="949"/>
      <c r="AR962" s="949"/>
      <c r="AS962" s="949"/>
      <c r="AT962" s="949"/>
      <c r="AU962" s="949"/>
      <c r="AV962" s="949"/>
      <c r="AW962" s="949"/>
      <c r="AX962" s="949"/>
      <c r="AY962" s="949"/>
      <c r="AZ962" s="949"/>
      <c r="BA962" s="949"/>
      <c r="BB962" s="949"/>
      <c r="BC962" s="949"/>
      <c r="BD962" s="949"/>
      <c r="BE962" s="949"/>
      <c r="BF962" s="949"/>
      <c r="BG962" s="948"/>
      <c r="BH962" s="948"/>
      <c r="BI962" s="948"/>
      <c r="BJ962" s="948"/>
      <c r="BK962" s="948"/>
      <c r="BL962" s="948"/>
      <c r="BM962" s="948"/>
      <c r="BN962" s="948"/>
      <c r="BO962" s="948"/>
      <c r="BP962" s="948"/>
      <c r="BQ962" s="948"/>
      <c r="BR962" s="948"/>
      <c r="BS962" s="948"/>
      <c r="BT962" s="948"/>
      <c r="BU962" s="954"/>
    </row>
    <row r="963" spans="1:73" ht="15.75" customHeight="1" x14ac:dyDescent="0.2">
      <c r="A963" s="947"/>
      <c r="B963" s="947"/>
      <c r="C963" s="947"/>
      <c r="D963" s="948"/>
      <c r="E963" s="948"/>
      <c r="F963" s="948"/>
      <c r="G963" s="948"/>
      <c r="H963" s="948"/>
      <c r="I963" s="948"/>
      <c r="J963" s="948"/>
      <c r="K963" s="949"/>
      <c r="L963" s="949"/>
      <c r="M963" s="949"/>
      <c r="N963" s="950"/>
      <c r="O963" s="948"/>
      <c r="P963" s="948"/>
      <c r="Q963" s="948"/>
      <c r="R963" s="949"/>
      <c r="S963" s="949"/>
      <c r="T963" s="949"/>
      <c r="U963" s="949"/>
      <c r="V963" s="949"/>
      <c r="W963" s="949"/>
      <c r="X963" s="951"/>
      <c r="Y963" s="951"/>
      <c r="Z963" s="952"/>
      <c r="AA963" s="953"/>
      <c r="AB963" s="948"/>
      <c r="AC963" s="948"/>
      <c r="AD963" s="949"/>
      <c r="AE963" s="949"/>
      <c r="AF963" s="949"/>
      <c r="AG963" s="949"/>
      <c r="AH963" s="949"/>
      <c r="AI963" s="949"/>
      <c r="AJ963" s="949"/>
      <c r="AK963" s="949"/>
      <c r="AL963" s="949"/>
      <c r="AM963" s="949"/>
      <c r="AN963" s="949"/>
      <c r="AO963" s="949"/>
      <c r="AP963" s="949"/>
      <c r="AQ963" s="949"/>
      <c r="AR963" s="949"/>
      <c r="AS963" s="949"/>
      <c r="AT963" s="949"/>
      <c r="AU963" s="949"/>
      <c r="AV963" s="949"/>
      <c r="AW963" s="949"/>
      <c r="AX963" s="949"/>
      <c r="AY963" s="949"/>
      <c r="AZ963" s="949"/>
      <c r="BA963" s="949"/>
      <c r="BB963" s="949"/>
      <c r="BC963" s="949"/>
      <c r="BD963" s="949"/>
      <c r="BE963" s="949"/>
      <c r="BF963" s="949"/>
      <c r="BG963" s="948"/>
      <c r="BH963" s="948"/>
      <c r="BI963" s="948"/>
      <c r="BJ963" s="948"/>
      <c r="BK963" s="948"/>
      <c r="BL963" s="948"/>
      <c r="BM963" s="948"/>
      <c r="BN963" s="948"/>
      <c r="BO963" s="948"/>
      <c r="BP963" s="948"/>
      <c r="BQ963" s="948"/>
      <c r="BR963" s="948"/>
      <c r="BS963" s="948"/>
      <c r="BT963" s="948"/>
      <c r="BU963" s="954"/>
    </row>
    <row r="964" spans="1:73" ht="15.75" customHeight="1" x14ac:dyDescent="0.2">
      <c r="A964" s="947"/>
      <c r="B964" s="947"/>
      <c r="C964" s="947"/>
      <c r="D964" s="948"/>
      <c r="E964" s="948"/>
      <c r="F964" s="948"/>
      <c r="G964" s="948"/>
      <c r="H964" s="948"/>
      <c r="I964" s="948"/>
      <c r="J964" s="948"/>
      <c r="K964" s="949"/>
      <c r="L964" s="949"/>
      <c r="M964" s="949"/>
      <c r="N964" s="950"/>
      <c r="O964" s="948"/>
      <c r="P964" s="948"/>
      <c r="Q964" s="948"/>
      <c r="R964" s="949"/>
      <c r="S964" s="949"/>
      <c r="T964" s="949"/>
      <c r="U964" s="949"/>
      <c r="V964" s="949"/>
      <c r="W964" s="949"/>
      <c r="X964" s="951"/>
      <c r="Y964" s="951"/>
      <c r="Z964" s="952"/>
      <c r="AA964" s="953"/>
      <c r="AB964" s="948"/>
      <c r="AC964" s="948"/>
      <c r="AD964" s="949"/>
      <c r="AE964" s="949"/>
      <c r="AF964" s="949"/>
      <c r="AG964" s="949"/>
      <c r="AH964" s="949"/>
      <c r="AI964" s="949"/>
      <c r="AJ964" s="949"/>
      <c r="AK964" s="949"/>
      <c r="AL964" s="949"/>
      <c r="AM964" s="949"/>
      <c r="AN964" s="949"/>
      <c r="AO964" s="949"/>
      <c r="AP964" s="949"/>
      <c r="AQ964" s="949"/>
      <c r="AR964" s="949"/>
      <c r="AS964" s="949"/>
      <c r="AT964" s="949"/>
      <c r="AU964" s="949"/>
      <c r="AV964" s="949"/>
      <c r="AW964" s="949"/>
      <c r="AX964" s="949"/>
      <c r="AY964" s="949"/>
      <c r="AZ964" s="949"/>
      <c r="BA964" s="949"/>
      <c r="BB964" s="949"/>
      <c r="BC964" s="949"/>
      <c r="BD964" s="949"/>
      <c r="BE964" s="949"/>
      <c r="BF964" s="949"/>
      <c r="BG964" s="948"/>
      <c r="BH964" s="948"/>
      <c r="BI964" s="948"/>
      <c r="BJ964" s="948"/>
      <c r="BK964" s="948"/>
      <c r="BL964" s="948"/>
      <c r="BM964" s="948"/>
      <c r="BN964" s="948"/>
      <c r="BO964" s="948"/>
      <c r="BP964" s="948"/>
      <c r="BQ964" s="948"/>
      <c r="BR964" s="948"/>
      <c r="BS964" s="948"/>
      <c r="BT964" s="948"/>
      <c r="BU964" s="954"/>
    </row>
    <row r="965" spans="1:73" ht="15.75" customHeight="1" x14ac:dyDescent="0.2">
      <c r="A965" s="947"/>
      <c r="B965" s="947"/>
      <c r="C965" s="947"/>
      <c r="D965" s="948"/>
      <c r="E965" s="948"/>
      <c r="F965" s="948"/>
      <c r="G965" s="948"/>
      <c r="H965" s="948"/>
      <c r="I965" s="948"/>
      <c r="J965" s="948"/>
      <c r="K965" s="949"/>
      <c r="L965" s="949"/>
      <c r="M965" s="949"/>
      <c r="N965" s="950"/>
      <c r="O965" s="948"/>
      <c r="P965" s="948"/>
      <c r="Q965" s="948"/>
      <c r="R965" s="949"/>
      <c r="S965" s="949"/>
      <c r="T965" s="949"/>
      <c r="U965" s="949"/>
      <c r="V965" s="949"/>
      <c r="W965" s="949"/>
      <c r="X965" s="951"/>
      <c r="Y965" s="951"/>
      <c r="Z965" s="952"/>
      <c r="AA965" s="953"/>
      <c r="AB965" s="948"/>
      <c r="AC965" s="948"/>
      <c r="AD965" s="949"/>
      <c r="AE965" s="949"/>
      <c r="AF965" s="949"/>
      <c r="AG965" s="949"/>
      <c r="AH965" s="949"/>
      <c r="AI965" s="949"/>
      <c r="AJ965" s="949"/>
      <c r="AK965" s="949"/>
      <c r="AL965" s="949"/>
      <c r="AM965" s="949"/>
      <c r="AN965" s="949"/>
      <c r="AO965" s="949"/>
      <c r="AP965" s="949"/>
      <c r="AQ965" s="949"/>
      <c r="AR965" s="949"/>
      <c r="AS965" s="949"/>
      <c r="AT965" s="949"/>
      <c r="AU965" s="949"/>
      <c r="AV965" s="949"/>
      <c r="AW965" s="949"/>
      <c r="AX965" s="949"/>
      <c r="AY965" s="949"/>
      <c r="AZ965" s="949"/>
      <c r="BA965" s="949"/>
      <c r="BB965" s="949"/>
      <c r="BC965" s="949"/>
      <c r="BD965" s="949"/>
      <c r="BE965" s="949"/>
      <c r="BF965" s="949"/>
      <c r="BG965" s="948"/>
      <c r="BH965" s="948"/>
      <c r="BI965" s="948"/>
      <c r="BJ965" s="948"/>
      <c r="BK965" s="948"/>
      <c r="BL965" s="948"/>
      <c r="BM965" s="948"/>
      <c r="BN965" s="948"/>
      <c r="BO965" s="948"/>
      <c r="BP965" s="948"/>
      <c r="BQ965" s="948"/>
      <c r="BR965" s="948"/>
      <c r="BS965" s="948"/>
      <c r="BT965" s="948"/>
      <c r="BU965" s="954"/>
    </row>
    <row r="966" spans="1:73" ht="15.75" customHeight="1" x14ac:dyDescent="0.2">
      <c r="A966" s="947"/>
      <c r="B966" s="947"/>
      <c r="C966" s="947"/>
      <c r="D966" s="948"/>
      <c r="E966" s="948"/>
      <c r="F966" s="948"/>
      <c r="G966" s="948"/>
      <c r="H966" s="948"/>
      <c r="I966" s="948"/>
      <c r="J966" s="948"/>
      <c r="K966" s="949"/>
      <c r="L966" s="949"/>
      <c r="M966" s="949"/>
      <c r="N966" s="950"/>
      <c r="O966" s="948"/>
      <c r="P966" s="948"/>
      <c r="Q966" s="948"/>
      <c r="R966" s="949"/>
      <c r="S966" s="949"/>
      <c r="T966" s="949"/>
      <c r="U966" s="949"/>
      <c r="V966" s="949"/>
      <c r="W966" s="949"/>
      <c r="X966" s="951"/>
      <c r="Y966" s="951"/>
      <c r="Z966" s="952"/>
      <c r="AA966" s="953"/>
      <c r="AB966" s="948"/>
      <c r="AC966" s="948"/>
      <c r="AD966" s="949"/>
      <c r="AE966" s="949"/>
      <c r="AF966" s="949"/>
      <c r="AG966" s="949"/>
      <c r="AH966" s="949"/>
      <c r="AI966" s="949"/>
      <c r="AJ966" s="949"/>
      <c r="AK966" s="949"/>
      <c r="AL966" s="949"/>
      <c r="AM966" s="949"/>
      <c r="AN966" s="949"/>
      <c r="AO966" s="949"/>
      <c r="AP966" s="949"/>
      <c r="AQ966" s="949"/>
      <c r="AR966" s="949"/>
      <c r="AS966" s="949"/>
      <c r="AT966" s="949"/>
      <c r="AU966" s="949"/>
      <c r="AV966" s="949"/>
      <c r="AW966" s="949"/>
      <c r="AX966" s="949"/>
      <c r="AY966" s="949"/>
      <c r="AZ966" s="949"/>
      <c r="BA966" s="949"/>
      <c r="BB966" s="949"/>
      <c r="BC966" s="949"/>
      <c r="BD966" s="949"/>
      <c r="BE966" s="949"/>
      <c r="BF966" s="949"/>
      <c r="BG966" s="948"/>
      <c r="BH966" s="948"/>
      <c r="BI966" s="948"/>
      <c r="BJ966" s="948"/>
      <c r="BK966" s="948"/>
      <c r="BL966" s="948"/>
      <c r="BM966" s="948"/>
      <c r="BN966" s="948"/>
      <c r="BO966" s="948"/>
      <c r="BP966" s="948"/>
      <c r="BQ966" s="948"/>
      <c r="BR966" s="948"/>
      <c r="BS966" s="948"/>
      <c r="BT966" s="948"/>
      <c r="BU966" s="954"/>
    </row>
    <row r="967" spans="1:73" ht="15.75" customHeight="1" x14ac:dyDescent="0.2">
      <c r="A967" s="947"/>
      <c r="B967" s="947"/>
      <c r="C967" s="947"/>
      <c r="D967" s="948"/>
      <c r="E967" s="948"/>
      <c r="F967" s="948"/>
      <c r="G967" s="948"/>
      <c r="H967" s="948"/>
      <c r="I967" s="948"/>
      <c r="J967" s="948"/>
      <c r="K967" s="949"/>
      <c r="L967" s="949"/>
      <c r="M967" s="949"/>
      <c r="N967" s="950"/>
      <c r="O967" s="948"/>
      <c r="P967" s="948"/>
      <c r="Q967" s="948"/>
      <c r="R967" s="949"/>
      <c r="S967" s="949"/>
      <c r="T967" s="949"/>
      <c r="U967" s="949"/>
      <c r="V967" s="949"/>
      <c r="W967" s="949"/>
      <c r="X967" s="951"/>
      <c r="Y967" s="951"/>
      <c r="Z967" s="952"/>
      <c r="AA967" s="953"/>
      <c r="AB967" s="948"/>
      <c r="AC967" s="948"/>
      <c r="AD967" s="949"/>
      <c r="AE967" s="949"/>
      <c r="AF967" s="949"/>
      <c r="AG967" s="949"/>
      <c r="AH967" s="949"/>
      <c r="AI967" s="949"/>
      <c r="AJ967" s="949"/>
      <c r="AK967" s="949"/>
      <c r="AL967" s="949"/>
      <c r="AM967" s="949"/>
      <c r="AN967" s="949"/>
      <c r="AO967" s="949"/>
      <c r="AP967" s="949"/>
      <c r="AQ967" s="949"/>
      <c r="AR967" s="949"/>
      <c r="AS967" s="949"/>
      <c r="AT967" s="949"/>
      <c r="AU967" s="949"/>
      <c r="AV967" s="949"/>
      <c r="AW967" s="949"/>
      <c r="AX967" s="949"/>
      <c r="AY967" s="949"/>
      <c r="AZ967" s="949"/>
      <c r="BA967" s="949"/>
      <c r="BB967" s="949"/>
      <c r="BC967" s="949"/>
      <c r="BD967" s="949"/>
      <c r="BE967" s="949"/>
      <c r="BF967" s="949"/>
      <c r="BG967" s="948"/>
      <c r="BH967" s="948"/>
      <c r="BI967" s="948"/>
      <c r="BJ967" s="948"/>
      <c r="BK967" s="948"/>
      <c r="BL967" s="948"/>
      <c r="BM967" s="948"/>
      <c r="BN967" s="948"/>
      <c r="BO967" s="948"/>
      <c r="BP967" s="948"/>
      <c r="BQ967" s="948"/>
      <c r="BR967" s="948"/>
      <c r="BS967" s="948"/>
      <c r="BT967" s="948"/>
      <c r="BU967" s="954"/>
    </row>
    <row r="968" spans="1:73" ht="15.75" customHeight="1" x14ac:dyDescent="0.2">
      <c r="A968" s="947"/>
      <c r="B968" s="947"/>
      <c r="C968" s="947"/>
      <c r="D968" s="948"/>
      <c r="E968" s="948"/>
      <c r="F968" s="948"/>
      <c r="G968" s="948"/>
      <c r="H968" s="948"/>
      <c r="I968" s="948"/>
      <c r="J968" s="948"/>
      <c r="K968" s="949"/>
      <c r="L968" s="949"/>
      <c r="M968" s="949"/>
      <c r="N968" s="950"/>
      <c r="O968" s="948"/>
      <c r="P968" s="948"/>
      <c r="Q968" s="948"/>
      <c r="R968" s="949"/>
      <c r="S968" s="949"/>
      <c r="T968" s="949"/>
      <c r="U968" s="949"/>
      <c r="V968" s="949"/>
      <c r="W968" s="949"/>
      <c r="X968" s="951"/>
      <c r="Y968" s="951"/>
      <c r="Z968" s="952"/>
      <c r="AA968" s="953"/>
      <c r="AB968" s="948"/>
      <c r="AC968" s="948"/>
      <c r="AD968" s="949"/>
      <c r="AE968" s="949"/>
      <c r="AF968" s="949"/>
      <c r="AG968" s="949"/>
      <c r="AH968" s="949"/>
      <c r="AI968" s="949"/>
      <c r="AJ968" s="949"/>
      <c r="AK968" s="949"/>
      <c r="AL968" s="949"/>
      <c r="AM968" s="949"/>
      <c r="AN968" s="949"/>
      <c r="AO968" s="949"/>
      <c r="AP968" s="949"/>
      <c r="AQ968" s="949"/>
      <c r="AR968" s="949"/>
      <c r="AS968" s="949"/>
      <c r="AT968" s="949"/>
      <c r="AU968" s="949"/>
      <c r="AV968" s="949"/>
      <c r="AW968" s="949"/>
      <c r="AX968" s="949"/>
      <c r="AY968" s="949"/>
      <c r="AZ968" s="949"/>
      <c r="BA968" s="949"/>
      <c r="BB968" s="949"/>
      <c r="BC968" s="949"/>
      <c r="BD968" s="949"/>
      <c r="BE968" s="949"/>
      <c r="BF968" s="949"/>
      <c r="BG968" s="948"/>
      <c r="BH968" s="948"/>
      <c r="BI968" s="948"/>
      <c r="BJ968" s="948"/>
      <c r="BK968" s="948"/>
      <c r="BL968" s="948"/>
      <c r="BM968" s="948"/>
      <c r="BN968" s="948"/>
      <c r="BO968" s="948"/>
      <c r="BP968" s="948"/>
      <c r="BQ968" s="948"/>
      <c r="BR968" s="948"/>
      <c r="BS968" s="948"/>
      <c r="BT968" s="948"/>
      <c r="BU968" s="954"/>
    </row>
    <row r="969" spans="1:73" ht="15.75" customHeight="1" x14ac:dyDescent="0.2">
      <c r="A969" s="947"/>
      <c r="B969" s="947"/>
      <c r="C969" s="947"/>
      <c r="D969" s="948"/>
      <c r="E969" s="948"/>
      <c r="F969" s="948"/>
      <c r="G969" s="948"/>
      <c r="H969" s="948"/>
      <c r="I969" s="948"/>
      <c r="J969" s="948"/>
      <c r="K969" s="949"/>
      <c r="L969" s="949"/>
      <c r="M969" s="949"/>
      <c r="N969" s="950"/>
      <c r="O969" s="948"/>
      <c r="P969" s="948"/>
      <c r="Q969" s="948"/>
      <c r="R969" s="949"/>
      <c r="S969" s="949"/>
      <c r="T969" s="949"/>
      <c r="U969" s="949"/>
      <c r="V969" s="949"/>
      <c r="W969" s="949"/>
      <c r="X969" s="951"/>
      <c r="Y969" s="951"/>
      <c r="Z969" s="952"/>
      <c r="AA969" s="953"/>
      <c r="AB969" s="948"/>
      <c r="AC969" s="948"/>
      <c r="AD969" s="949"/>
      <c r="AE969" s="949"/>
      <c r="AF969" s="949"/>
      <c r="AG969" s="949"/>
      <c r="AH969" s="949"/>
      <c r="AI969" s="949"/>
      <c r="AJ969" s="949"/>
      <c r="AK969" s="949"/>
      <c r="AL969" s="949"/>
      <c r="AM969" s="949"/>
      <c r="AN969" s="949"/>
      <c r="AO969" s="949"/>
      <c r="AP969" s="949"/>
      <c r="AQ969" s="949"/>
      <c r="AR969" s="949"/>
      <c r="AS969" s="949"/>
      <c r="AT969" s="949"/>
      <c r="AU969" s="949"/>
      <c r="AV969" s="949"/>
      <c r="AW969" s="949"/>
      <c r="AX969" s="949"/>
      <c r="AY969" s="949"/>
      <c r="AZ969" s="949"/>
      <c r="BA969" s="949"/>
      <c r="BB969" s="949"/>
      <c r="BC969" s="949"/>
      <c r="BD969" s="949"/>
      <c r="BE969" s="949"/>
      <c r="BF969" s="949"/>
      <c r="BG969" s="948"/>
      <c r="BH969" s="948"/>
      <c r="BI969" s="948"/>
      <c r="BJ969" s="948"/>
      <c r="BK969" s="948"/>
      <c r="BL969" s="948"/>
      <c r="BM969" s="948"/>
      <c r="BN969" s="948"/>
      <c r="BO969" s="948"/>
      <c r="BP969" s="948"/>
      <c r="BQ969" s="948"/>
      <c r="BR969" s="948"/>
      <c r="BS969" s="948"/>
      <c r="BT969" s="948"/>
      <c r="BU969" s="954"/>
    </row>
    <row r="970" spans="1:73" ht="15.75" customHeight="1" x14ac:dyDescent="0.2">
      <c r="A970" s="947"/>
      <c r="B970" s="947"/>
      <c r="C970" s="947"/>
      <c r="D970" s="948"/>
      <c r="E970" s="948"/>
      <c r="F970" s="948"/>
      <c r="G970" s="948"/>
      <c r="H970" s="948"/>
      <c r="I970" s="948"/>
      <c r="J970" s="948"/>
      <c r="K970" s="949"/>
      <c r="L970" s="949"/>
      <c r="M970" s="949"/>
      <c r="N970" s="950"/>
      <c r="O970" s="948"/>
      <c r="P970" s="948"/>
      <c r="Q970" s="948"/>
      <c r="R970" s="949"/>
      <c r="S970" s="949"/>
      <c r="T970" s="949"/>
      <c r="U970" s="949"/>
      <c r="V970" s="949"/>
      <c r="W970" s="949"/>
      <c r="X970" s="951"/>
      <c r="Y970" s="951"/>
      <c r="Z970" s="952"/>
      <c r="AA970" s="953"/>
      <c r="AB970" s="948"/>
      <c r="AC970" s="948"/>
      <c r="AD970" s="949"/>
      <c r="AE970" s="949"/>
      <c r="AF970" s="949"/>
      <c r="AG970" s="949"/>
      <c r="AH970" s="949"/>
      <c r="AI970" s="949"/>
      <c r="AJ970" s="949"/>
      <c r="AK970" s="949"/>
      <c r="AL970" s="949"/>
      <c r="AM970" s="949"/>
      <c r="AN970" s="949"/>
      <c r="AO970" s="949"/>
      <c r="AP970" s="949"/>
      <c r="AQ970" s="949"/>
      <c r="AR970" s="949"/>
      <c r="AS970" s="949"/>
      <c r="AT970" s="949"/>
      <c r="AU970" s="949"/>
      <c r="AV970" s="949"/>
      <c r="AW970" s="949"/>
      <c r="AX970" s="949"/>
      <c r="AY970" s="949"/>
      <c r="AZ970" s="949"/>
      <c r="BA970" s="949"/>
      <c r="BB970" s="949"/>
      <c r="BC970" s="949"/>
      <c r="BD970" s="949"/>
      <c r="BE970" s="949"/>
      <c r="BF970" s="949"/>
      <c r="BG970" s="948"/>
      <c r="BH970" s="948"/>
      <c r="BI970" s="948"/>
      <c r="BJ970" s="948"/>
      <c r="BK970" s="948"/>
      <c r="BL970" s="948"/>
      <c r="BM970" s="948"/>
      <c r="BN970" s="948"/>
      <c r="BO970" s="948"/>
      <c r="BP970" s="948"/>
      <c r="BQ970" s="948"/>
      <c r="BR970" s="948"/>
      <c r="BS970" s="948"/>
      <c r="BT970" s="948"/>
      <c r="BU970" s="954"/>
    </row>
    <row r="971" spans="1:73" ht="15.75" customHeight="1" x14ac:dyDescent="0.2">
      <c r="A971" s="947"/>
      <c r="B971" s="947"/>
      <c r="C971" s="947"/>
      <c r="D971" s="948"/>
      <c r="E971" s="948"/>
      <c r="F971" s="948"/>
      <c r="G971" s="948"/>
      <c r="H971" s="948"/>
      <c r="I971" s="948"/>
      <c r="J971" s="948"/>
      <c r="K971" s="949"/>
      <c r="L971" s="949"/>
      <c r="M971" s="949"/>
      <c r="N971" s="950"/>
      <c r="O971" s="948"/>
      <c r="P971" s="948"/>
      <c r="Q971" s="948"/>
      <c r="R971" s="949"/>
      <c r="S971" s="949"/>
      <c r="T971" s="949"/>
      <c r="U971" s="949"/>
      <c r="V971" s="949"/>
      <c r="W971" s="949"/>
      <c r="X971" s="951"/>
      <c r="Y971" s="951"/>
      <c r="Z971" s="952"/>
      <c r="AA971" s="953"/>
      <c r="AB971" s="948"/>
      <c r="AC971" s="948"/>
      <c r="AD971" s="949"/>
      <c r="AE971" s="949"/>
      <c r="AF971" s="949"/>
      <c r="AG971" s="949"/>
      <c r="AH971" s="949"/>
      <c r="AI971" s="949"/>
      <c r="AJ971" s="949"/>
      <c r="AK971" s="949"/>
      <c r="AL971" s="949"/>
      <c r="AM971" s="949"/>
      <c r="AN971" s="949"/>
      <c r="AO971" s="949"/>
      <c r="AP971" s="949"/>
      <c r="AQ971" s="949"/>
      <c r="AR971" s="949"/>
      <c r="AS971" s="949"/>
      <c r="AT971" s="949"/>
      <c r="AU971" s="949"/>
      <c r="AV971" s="949"/>
      <c r="AW971" s="949"/>
      <c r="AX971" s="949"/>
      <c r="AY971" s="949"/>
      <c r="AZ971" s="949"/>
      <c r="BA971" s="949"/>
      <c r="BB971" s="949"/>
      <c r="BC971" s="949"/>
      <c r="BD971" s="949"/>
      <c r="BE971" s="949"/>
      <c r="BF971" s="949"/>
      <c r="BG971" s="948"/>
      <c r="BH971" s="948"/>
      <c r="BI971" s="948"/>
      <c r="BJ971" s="948"/>
      <c r="BK971" s="948"/>
      <c r="BL971" s="948"/>
      <c r="BM971" s="948"/>
      <c r="BN971" s="948"/>
      <c r="BO971" s="948"/>
      <c r="BP971" s="948"/>
      <c r="BQ971" s="948"/>
      <c r="BR971" s="948"/>
      <c r="BS971" s="948"/>
      <c r="BT971" s="948"/>
      <c r="BU971" s="954"/>
    </row>
    <row r="972" spans="1:73" ht="15.75" customHeight="1" x14ac:dyDescent="0.2">
      <c r="A972" s="947"/>
      <c r="B972" s="947"/>
      <c r="C972" s="947"/>
      <c r="D972" s="948"/>
      <c r="E972" s="948"/>
      <c r="F972" s="948"/>
      <c r="G972" s="948"/>
      <c r="H972" s="948"/>
      <c r="I972" s="948"/>
      <c r="J972" s="948"/>
      <c r="K972" s="949"/>
      <c r="L972" s="949"/>
      <c r="M972" s="949"/>
      <c r="N972" s="950"/>
      <c r="O972" s="948"/>
      <c r="P972" s="948"/>
      <c r="Q972" s="948"/>
      <c r="R972" s="949"/>
      <c r="S972" s="949"/>
      <c r="T972" s="949"/>
      <c r="U972" s="949"/>
      <c r="V972" s="949"/>
      <c r="W972" s="949"/>
      <c r="X972" s="951"/>
      <c r="Y972" s="951"/>
      <c r="Z972" s="952"/>
      <c r="AA972" s="953"/>
      <c r="AB972" s="948"/>
      <c r="AC972" s="948"/>
      <c r="AD972" s="949"/>
      <c r="AE972" s="949"/>
      <c r="AF972" s="949"/>
      <c r="AG972" s="949"/>
      <c r="AH972" s="949"/>
      <c r="AI972" s="949"/>
      <c r="AJ972" s="949"/>
      <c r="AK972" s="949"/>
      <c r="AL972" s="949"/>
      <c r="AM972" s="949"/>
      <c r="AN972" s="949"/>
      <c r="AO972" s="949"/>
      <c r="AP972" s="949"/>
      <c r="AQ972" s="949"/>
      <c r="AR972" s="949"/>
      <c r="AS972" s="949"/>
      <c r="AT972" s="949"/>
      <c r="AU972" s="949"/>
      <c r="AV972" s="949"/>
      <c r="AW972" s="949"/>
      <c r="AX972" s="949"/>
      <c r="AY972" s="949"/>
      <c r="AZ972" s="949"/>
      <c r="BA972" s="949"/>
      <c r="BB972" s="949"/>
      <c r="BC972" s="949"/>
      <c r="BD972" s="949"/>
      <c r="BE972" s="949"/>
      <c r="BF972" s="949"/>
      <c r="BG972" s="948"/>
      <c r="BH972" s="948"/>
      <c r="BI972" s="948"/>
      <c r="BJ972" s="948"/>
      <c r="BK972" s="948"/>
      <c r="BL972" s="948"/>
      <c r="BM972" s="948"/>
      <c r="BN972" s="948"/>
      <c r="BO972" s="948"/>
      <c r="BP972" s="948"/>
      <c r="BQ972" s="948"/>
      <c r="BR972" s="948"/>
      <c r="BS972" s="948"/>
      <c r="BT972" s="948"/>
      <c r="BU972" s="954"/>
    </row>
    <row r="973" spans="1:73" ht="15.75" customHeight="1" x14ac:dyDescent="0.2">
      <c r="A973" s="947"/>
      <c r="B973" s="947"/>
      <c r="C973" s="947"/>
      <c r="D973" s="948"/>
      <c r="E973" s="948"/>
      <c r="F973" s="948"/>
      <c r="G973" s="948"/>
      <c r="H973" s="948"/>
      <c r="I973" s="948"/>
      <c r="J973" s="948"/>
      <c r="K973" s="949"/>
      <c r="L973" s="949"/>
      <c r="M973" s="949"/>
      <c r="N973" s="950"/>
      <c r="O973" s="948"/>
      <c r="P973" s="948"/>
      <c r="Q973" s="948"/>
      <c r="R973" s="949"/>
      <c r="S973" s="949"/>
      <c r="T973" s="949"/>
      <c r="U973" s="949"/>
      <c r="V973" s="949"/>
      <c r="W973" s="949"/>
      <c r="X973" s="951"/>
      <c r="Y973" s="951"/>
      <c r="Z973" s="952"/>
      <c r="AA973" s="953"/>
      <c r="AB973" s="948"/>
      <c r="AC973" s="948"/>
      <c r="AD973" s="949"/>
      <c r="AE973" s="949"/>
      <c r="AF973" s="949"/>
      <c r="AG973" s="949"/>
      <c r="AH973" s="949"/>
      <c r="AI973" s="949"/>
      <c r="AJ973" s="949"/>
      <c r="AK973" s="949"/>
      <c r="AL973" s="949"/>
      <c r="AM973" s="949"/>
      <c r="AN973" s="949"/>
      <c r="AO973" s="949"/>
      <c r="AP973" s="949"/>
      <c r="AQ973" s="949"/>
      <c r="AR973" s="949"/>
      <c r="AS973" s="949"/>
      <c r="AT973" s="949"/>
      <c r="AU973" s="949"/>
      <c r="AV973" s="949"/>
      <c r="AW973" s="949"/>
      <c r="AX973" s="949"/>
      <c r="AY973" s="949"/>
      <c r="AZ973" s="949"/>
      <c r="BA973" s="949"/>
      <c r="BB973" s="949"/>
      <c r="BC973" s="949"/>
      <c r="BD973" s="949"/>
      <c r="BE973" s="949"/>
      <c r="BF973" s="949"/>
      <c r="BG973" s="948"/>
      <c r="BH973" s="948"/>
      <c r="BI973" s="948"/>
      <c r="BJ973" s="948"/>
      <c r="BK973" s="948"/>
      <c r="BL973" s="948"/>
      <c r="BM973" s="948"/>
      <c r="BN973" s="948"/>
      <c r="BO973" s="948"/>
      <c r="BP973" s="948"/>
      <c r="BQ973" s="948"/>
      <c r="BR973" s="948"/>
      <c r="BS973" s="948"/>
      <c r="BT973" s="948"/>
      <c r="BU973" s="954"/>
    </row>
    <row r="974" spans="1:73" ht="15.75" customHeight="1" x14ac:dyDescent="0.2">
      <c r="A974" s="947"/>
      <c r="B974" s="947"/>
      <c r="C974" s="947"/>
      <c r="D974" s="948"/>
      <c r="E974" s="948"/>
      <c r="F974" s="948"/>
      <c r="G974" s="948"/>
      <c r="H974" s="948"/>
      <c r="I974" s="948"/>
      <c r="J974" s="948"/>
      <c r="K974" s="949"/>
      <c r="L974" s="949"/>
      <c r="M974" s="949"/>
      <c r="N974" s="950"/>
      <c r="O974" s="948"/>
      <c r="P974" s="948"/>
      <c r="Q974" s="948"/>
      <c r="R974" s="949"/>
      <c r="S974" s="949"/>
      <c r="T974" s="949"/>
      <c r="U974" s="949"/>
      <c r="V974" s="949"/>
      <c r="W974" s="949"/>
      <c r="X974" s="951"/>
      <c r="Y974" s="951"/>
      <c r="Z974" s="952"/>
      <c r="AA974" s="953"/>
      <c r="AB974" s="948"/>
      <c r="AC974" s="948"/>
      <c r="AD974" s="949"/>
      <c r="AE974" s="949"/>
      <c r="AF974" s="949"/>
      <c r="AG974" s="949"/>
      <c r="AH974" s="949"/>
      <c r="AI974" s="949"/>
      <c r="AJ974" s="949"/>
      <c r="AK974" s="949"/>
      <c r="AL974" s="949"/>
      <c r="AM974" s="949"/>
      <c r="AN974" s="949"/>
      <c r="AO974" s="949"/>
      <c r="AP974" s="949"/>
      <c r="AQ974" s="949"/>
      <c r="AR974" s="949"/>
      <c r="AS974" s="949"/>
      <c r="AT974" s="949"/>
      <c r="AU974" s="949"/>
      <c r="AV974" s="949"/>
      <c r="AW974" s="949"/>
      <c r="AX974" s="949"/>
      <c r="AY974" s="949"/>
      <c r="AZ974" s="949"/>
      <c r="BA974" s="949"/>
      <c r="BB974" s="949"/>
      <c r="BC974" s="949"/>
      <c r="BD974" s="949"/>
      <c r="BE974" s="949"/>
      <c r="BF974" s="949"/>
      <c r="BG974" s="948"/>
      <c r="BH974" s="948"/>
      <c r="BI974" s="948"/>
      <c r="BJ974" s="948"/>
      <c r="BK974" s="948"/>
      <c r="BL974" s="948"/>
      <c r="BM974" s="948"/>
      <c r="BN974" s="948"/>
      <c r="BO974" s="948"/>
      <c r="BP974" s="948"/>
      <c r="BQ974" s="948"/>
      <c r="BR974" s="948"/>
      <c r="BS974" s="948"/>
      <c r="BT974" s="948"/>
      <c r="BU974" s="954"/>
    </row>
    <row r="975" spans="1:73" ht="15.75" customHeight="1" x14ac:dyDescent="0.2">
      <c r="A975" s="947"/>
      <c r="B975" s="947"/>
      <c r="C975" s="947"/>
      <c r="D975" s="948"/>
      <c r="E975" s="948"/>
      <c r="F975" s="948"/>
      <c r="G975" s="948"/>
      <c r="H975" s="948"/>
      <c r="I975" s="948"/>
      <c r="J975" s="948"/>
      <c r="K975" s="949"/>
      <c r="L975" s="949"/>
      <c r="M975" s="949"/>
      <c r="N975" s="950"/>
      <c r="O975" s="948"/>
      <c r="P975" s="948"/>
      <c r="Q975" s="948"/>
      <c r="R975" s="949"/>
      <c r="S975" s="949"/>
      <c r="T975" s="949"/>
      <c r="U975" s="949"/>
      <c r="V975" s="949"/>
      <c r="W975" s="949"/>
      <c r="X975" s="951"/>
      <c r="Y975" s="951"/>
      <c r="Z975" s="952"/>
      <c r="AA975" s="953"/>
      <c r="AB975" s="948"/>
      <c r="AC975" s="948"/>
      <c r="AD975" s="949"/>
      <c r="AE975" s="949"/>
      <c r="AF975" s="949"/>
      <c r="AG975" s="949"/>
      <c r="AH975" s="949"/>
      <c r="AI975" s="949"/>
      <c r="AJ975" s="949"/>
      <c r="AK975" s="949"/>
      <c r="AL975" s="949"/>
      <c r="AM975" s="949"/>
      <c r="AN975" s="949"/>
      <c r="AO975" s="949"/>
      <c r="AP975" s="949"/>
      <c r="AQ975" s="949"/>
      <c r="AR975" s="949"/>
      <c r="AS975" s="949"/>
      <c r="AT975" s="949"/>
      <c r="AU975" s="949"/>
      <c r="AV975" s="949"/>
      <c r="AW975" s="949"/>
      <c r="AX975" s="949"/>
      <c r="AY975" s="949"/>
      <c r="AZ975" s="949"/>
      <c r="BA975" s="949"/>
      <c r="BB975" s="949"/>
      <c r="BC975" s="949"/>
      <c r="BD975" s="949"/>
      <c r="BE975" s="949"/>
      <c r="BF975" s="949"/>
      <c r="BG975" s="948"/>
      <c r="BH975" s="948"/>
      <c r="BI975" s="948"/>
      <c r="BJ975" s="948"/>
      <c r="BK975" s="948"/>
      <c r="BL975" s="948"/>
      <c r="BM975" s="948"/>
      <c r="BN975" s="948"/>
      <c r="BO975" s="948"/>
      <c r="BP975" s="948"/>
      <c r="BQ975" s="948"/>
      <c r="BR975" s="948"/>
      <c r="BS975" s="948"/>
      <c r="BT975" s="948"/>
      <c r="BU975" s="954"/>
    </row>
    <row r="976" spans="1:73" ht="15.75" customHeight="1" x14ac:dyDescent="0.2">
      <c r="A976" s="947"/>
      <c r="B976" s="947"/>
      <c r="C976" s="947"/>
      <c r="D976" s="948"/>
      <c r="E976" s="948"/>
      <c r="F976" s="948"/>
      <c r="G976" s="948"/>
      <c r="H976" s="948"/>
      <c r="I976" s="948"/>
      <c r="J976" s="948"/>
      <c r="K976" s="949"/>
      <c r="L976" s="949"/>
      <c r="M976" s="949"/>
      <c r="N976" s="950"/>
      <c r="O976" s="948"/>
      <c r="P976" s="948"/>
      <c r="Q976" s="948"/>
      <c r="R976" s="949"/>
      <c r="S976" s="949"/>
      <c r="T976" s="949"/>
      <c r="U976" s="949"/>
      <c r="V976" s="949"/>
      <c r="W976" s="949"/>
      <c r="X976" s="951"/>
      <c r="Y976" s="951"/>
      <c r="Z976" s="952"/>
      <c r="AA976" s="953"/>
      <c r="AB976" s="948"/>
      <c r="AC976" s="948"/>
      <c r="AD976" s="949"/>
      <c r="AE976" s="949"/>
      <c r="AF976" s="949"/>
      <c r="AG976" s="949"/>
      <c r="AH976" s="949"/>
      <c r="AI976" s="949"/>
      <c r="AJ976" s="949"/>
      <c r="AK976" s="949"/>
      <c r="AL976" s="949"/>
      <c r="AM976" s="949"/>
      <c r="AN976" s="949"/>
      <c r="AO976" s="949"/>
      <c r="AP976" s="949"/>
      <c r="AQ976" s="949"/>
      <c r="AR976" s="949"/>
      <c r="AS976" s="949"/>
      <c r="AT976" s="949"/>
      <c r="AU976" s="949"/>
      <c r="AV976" s="949"/>
      <c r="AW976" s="949"/>
      <c r="AX976" s="949"/>
      <c r="AY976" s="949"/>
      <c r="AZ976" s="949"/>
      <c r="BA976" s="949"/>
      <c r="BB976" s="949"/>
      <c r="BC976" s="949"/>
      <c r="BD976" s="949"/>
      <c r="BE976" s="949"/>
      <c r="BF976" s="949"/>
      <c r="BG976" s="948"/>
      <c r="BH976" s="948"/>
      <c r="BI976" s="948"/>
      <c r="BJ976" s="948"/>
      <c r="BK976" s="948"/>
      <c r="BL976" s="948"/>
      <c r="BM976" s="948"/>
      <c r="BN976" s="948"/>
      <c r="BO976" s="948"/>
      <c r="BP976" s="948"/>
      <c r="BQ976" s="948"/>
      <c r="BR976" s="948"/>
      <c r="BS976" s="948"/>
      <c r="BT976" s="948"/>
      <c r="BU976" s="954"/>
    </row>
    <row r="977" spans="1:73" ht="15.75" customHeight="1" x14ac:dyDescent="0.2">
      <c r="A977" s="947"/>
      <c r="B977" s="947"/>
      <c r="C977" s="947"/>
      <c r="D977" s="948"/>
      <c r="E977" s="948"/>
      <c r="F977" s="948"/>
      <c r="G977" s="948"/>
      <c r="H977" s="948"/>
      <c r="I977" s="948"/>
      <c r="J977" s="948"/>
      <c r="K977" s="949"/>
      <c r="L977" s="949"/>
      <c r="M977" s="949"/>
      <c r="N977" s="950"/>
      <c r="O977" s="948"/>
      <c r="P977" s="948"/>
      <c r="Q977" s="948"/>
      <c r="R977" s="949"/>
      <c r="S977" s="949"/>
      <c r="T977" s="949"/>
      <c r="U977" s="949"/>
      <c r="V977" s="949"/>
      <c r="W977" s="949"/>
      <c r="X977" s="951"/>
      <c r="Y977" s="951"/>
      <c r="Z977" s="952"/>
      <c r="AA977" s="953"/>
      <c r="AB977" s="948"/>
      <c r="AC977" s="948"/>
      <c r="AD977" s="949"/>
      <c r="AE977" s="949"/>
      <c r="AF977" s="949"/>
      <c r="AG977" s="949"/>
      <c r="AH977" s="949"/>
      <c r="AI977" s="949"/>
      <c r="AJ977" s="949"/>
      <c r="AK977" s="949"/>
      <c r="AL977" s="949"/>
      <c r="AM977" s="949"/>
      <c r="AN977" s="949"/>
      <c r="AO977" s="949"/>
      <c r="AP977" s="949"/>
      <c r="AQ977" s="949"/>
      <c r="AR977" s="949"/>
      <c r="AS977" s="949"/>
      <c r="AT977" s="949"/>
      <c r="AU977" s="949"/>
      <c r="AV977" s="949"/>
      <c r="AW977" s="949"/>
      <c r="AX977" s="949"/>
      <c r="AY977" s="949"/>
      <c r="AZ977" s="949"/>
      <c r="BA977" s="949"/>
      <c r="BB977" s="949"/>
      <c r="BC977" s="949"/>
      <c r="BD977" s="949"/>
      <c r="BE977" s="949"/>
      <c r="BF977" s="949"/>
      <c r="BG977" s="948"/>
      <c r="BH977" s="948"/>
      <c r="BI977" s="948"/>
      <c r="BJ977" s="948"/>
      <c r="BK977" s="948"/>
      <c r="BL977" s="948"/>
      <c r="BM977" s="948"/>
      <c r="BN977" s="948"/>
      <c r="BO977" s="948"/>
      <c r="BP977" s="948"/>
      <c r="BQ977" s="948"/>
      <c r="BR977" s="948"/>
      <c r="BS977" s="948"/>
      <c r="BT977" s="948"/>
      <c r="BU977" s="954"/>
    </row>
    <row r="978" spans="1:73" ht="15.75" customHeight="1" x14ac:dyDescent="0.2">
      <c r="A978" s="947"/>
      <c r="B978" s="947"/>
      <c r="C978" s="947"/>
      <c r="D978" s="948"/>
      <c r="E978" s="948"/>
      <c r="F978" s="948"/>
      <c r="G978" s="948"/>
      <c r="H978" s="948"/>
      <c r="I978" s="948"/>
      <c r="J978" s="948"/>
      <c r="K978" s="949"/>
      <c r="L978" s="949"/>
      <c r="M978" s="949"/>
      <c r="N978" s="950"/>
      <c r="O978" s="948"/>
      <c r="P978" s="948"/>
      <c r="Q978" s="948"/>
      <c r="R978" s="949"/>
      <c r="S978" s="949"/>
      <c r="T978" s="949"/>
      <c r="U978" s="949"/>
      <c r="V978" s="949"/>
      <c r="W978" s="949"/>
      <c r="X978" s="951"/>
      <c r="Y978" s="951"/>
      <c r="Z978" s="952"/>
      <c r="AA978" s="953"/>
      <c r="AB978" s="948"/>
      <c r="AC978" s="948"/>
      <c r="AD978" s="949"/>
      <c r="AE978" s="949"/>
      <c r="AF978" s="949"/>
      <c r="AG978" s="949"/>
      <c r="AH978" s="949"/>
      <c r="AI978" s="949"/>
      <c r="AJ978" s="949"/>
      <c r="AK978" s="949"/>
      <c r="AL978" s="949"/>
      <c r="AM978" s="949"/>
      <c r="AN978" s="949"/>
      <c r="AO978" s="949"/>
      <c r="AP978" s="949"/>
      <c r="AQ978" s="949"/>
      <c r="AR978" s="949"/>
      <c r="AS978" s="949"/>
      <c r="AT978" s="949"/>
      <c r="AU978" s="949"/>
      <c r="AV978" s="949"/>
      <c r="AW978" s="949"/>
      <c r="AX978" s="949"/>
      <c r="AY978" s="949"/>
      <c r="AZ978" s="949"/>
      <c r="BA978" s="949"/>
      <c r="BB978" s="949"/>
      <c r="BC978" s="949"/>
      <c r="BD978" s="949"/>
      <c r="BE978" s="949"/>
      <c r="BF978" s="949"/>
      <c r="BG978" s="948"/>
      <c r="BH978" s="948"/>
      <c r="BI978" s="948"/>
      <c r="BJ978" s="948"/>
      <c r="BK978" s="948"/>
      <c r="BL978" s="948"/>
      <c r="BM978" s="948"/>
      <c r="BN978" s="948"/>
      <c r="BO978" s="948"/>
      <c r="BP978" s="948"/>
      <c r="BQ978" s="948"/>
      <c r="BR978" s="948"/>
      <c r="BS978" s="948"/>
      <c r="BT978" s="948"/>
      <c r="BU978" s="954"/>
    </row>
    <row r="979" spans="1:73" ht="15.75" customHeight="1" x14ac:dyDescent="0.2">
      <c r="A979" s="947"/>
      <c r="B979" s="947"/>
      <c r="C979" s="947"/>
      <c r="D979" s="948"/>
      <c r="E979" s="948"/>
      <c r="F979" s="948"/>
      <c r="G979" s="948"/>
      <c r="H979" s="948"/>
      <c r="I979" s="948"/>
      <c r="J979" s="948"/>
      <c r="K979" s="949"/>
      <c r="L979" s="949"/>
      <c r="M979" s="949"/>
      <c r="N979" s="950"/>
      <c r="O979" s="948"/>
      <c r="P979" s="948"/>
      <c r="Q979" s="948"/>
      <c r="R979" s="949"/>
      <c r="S979" s="949"/>
      <c r="T979" s="949"/>
      <c r="U979" s="949"/>
      <c r="V979" s="949"/>
      <c r="W979" s="949"/>
      <c r="X979" s="951"/>
      <c r="Y979" s="951"/>
      <c r="Z979" s="952"/>
      <c r="AA979" s="953"/>
      <c r="AB979" s="948"/>
      <c r="AC979" s="948"/>
      <c r="AD979" s="949"/>
      <c r="AE979" s="949"/>
      <c r="AF979" s="949"/>
      <c r="AG979" s="949"/>
      <c r="AH979" s="949"/>
      <c r="AI979" s="949"/>
      <c r="AJ979" s="949"/>
      <c r="AK979" s="949"/>
      <c r="AL979" s="949"/>
      <c r="AM979" s="949"/>
      <c r="AN979" s="949"/>
      <c r="AO979" s="949"/>
      <c r="AP979" s="949"/>
      <c r="AQ979" s="949"/>
      <c r="AR979" s="949"/>
      <c r="AS979" s="949"/>
      <c r="AT979" s="949"/>
      <c r="AU979" s="949"/>
      <c r="AV979" s="949"/>
      <c r="AW979" s="949"/>
      <c r="AX979" s="949"/>
      <c r="AY979" s="949"/>
      <c r="AZ979" s="949"/>
      <c r="BA979" s="949"/>
      <c r="BB979" s="949"/>
      <c r="BC979" s="949"/>
      <c r="BD979" s="949"/>
      <c r="BE979" s="949"/>
      <c r="BF979" s="949"/>
      <c r="BG979" s="948"/>
      <c r="BH979" s="948"/>
      <c r="BI979" s="948"/>
      <c r="BJ979" s="948"/>
      <c r="BK979" s="948"/>
      <c r="BL979" s="948"/>
      <c r="BM979" s="948"/>
      <c r="BN979" s="948"/>
      <c r="BO979" s="948"/>
      <c r="BP979" s="948"/>
      <c r="BQ979" s="948"/>
      <c r="BR979" s="948"/>
      <c r="BS979" s="948"/>
      <c r="BT979" s="948"/>
      <c r="BU979" s="954"/>
    </row>
    <row r="980" spans="1:73" ht="15.75" customHeight="1" x14ac:dyDescent="0.2">
      <c r="A980" s="947"/>
      <c r="B980" s="947"/>
      <c r="C980" s="947"/>
      <c r="D980" s="948"/>
      <c r="E980" s="948"/>
      <c r="F980" s="948"/>
      <c r="G980" s="948"/>
      <c r="H980" s="948"/>
      <c r="I980" s="948"/>
      <c r="J980" s="948"/>
      <c r="K980" s="949"/>
      <c r="L980" s="949"/>
      <c r="M980" s="949"/>
      <c r="N980" s="950"/>
      <c r="O980" s="948"/>
      <c r="P980" s="948"/>
      <c r="Q980" s="948"/>
      <c r="R980" s="949"/>
      <c r="S980" s="949"/>
      <c r="T980" s="949"/>
      <c r="U980" s="949"/>
      <c r="V980" s="949"/>
      <c r="W980" s="949"/>
      <c r="X980" s="951"/>
      <c r="Y980" s="951"/>
      <c r="Z980" s="952"/>
      <c r="AA980" s="953"/>
      <c r="AB980" s="948"/>
      <c r="AC980" s="948"/>
      <c r="AD980" s="949"/>
      <c r="AE980" s="949"/>
      <c r="AF980" s="949"/>
      <c r="AG980" s="949"/>
      <c r="AH980" s="949"/>
      <c r="AI980" s="949"/>
      <c r="AJ980" s="949"/>
      <c r="AK980" s="949"/>
      <c r="AL980" s="949"/>
      <c r="AM980" s="949"/>
      <c r="AN980" s="949"/>
      <c r="AO980" s="949"/>
      <c r="AP980" s="949"/>
      <c r="AQ980" s="949"/>
      <c r="AR980" s="949"/>
      <c r="AS980" s="949"/>
      <c r="AT980" s="949"/>
      <c r="AU980" s="949"/>
      <c r="AV980" s="949"/>
      <c r="AW980" s="949"/>
      <c r="AX980" s="949"/>
      <c r="AY980" s="949"/>
      <c r="AZ980" s="949"/>
      <c r="BA980" s="949"/>
      <c r="BB980" s="949"/>
      <c r="BC980" s="949"/>
      <c r="BD980" s="949"/>
      <c r="BE980" s="949"/>
      <c r="BF980" s="949"/>
      <c r="BG980" s="948"/>
      <c r="BH980" s="948"/>
      <c r="BI980" s="948"/>
      <c r="BJ980" s="948"/>
      <c r="BK980" s="948"/>
      <c r="BL980" s="948"/>
      <c r="BM980" s="948"/>
      <c r="BN980" s="948"/>
      <c r="BO980" s="948"/>
      <c r="BP980" s="948"/>
      <c r="BQ980" s="948"/>
      <c r="BR980" s="948"/>
      <c r="BS980" s="948"/>
      <c r="BT980" s="948"/>
      <c r="BU980" s="954"/>
    </row>
    <row r="981" spans="1:73" ht="15.75" customHeight="1" x14ac:dyDescent="0.2">
      <c r="A981" s="947"/>
      <c r="B981" s="947"/>
      <c r="C981" s="947"/>
      <c r="D981" s="948"/>
      <c r="E981" s="948"/>
      <c r="F981" s="948"/>
      <c r="G981" s="948"/>
      <c r="H981" s="948"/>
      <c r="I981" s="948"/>
      <c r="J981" s="948"/>
      <c r="K981" s="949"/>
      <c r="L981" s="949"/>
      <c r="M981" s="949"/>
      <c r="N981" s="950"/>
      <c r="O981" s="948"/>
      <c r="P981" s="948"/>
      <c r="Q981" s="948"/>
      <c r="R981" s="949"/>
      <c r="S981" s="949"/>
      <c r="T981" s="949"/>
      <c r="U981" s="949"/>
      <c r="V981" s="949"/>
      <c r="W981" s="949"/>
      <c r="X981" s="951"/>
      <c r="Y981" s="951"/>
      <c r="Z981" s="952"/>
      <c r="AA981" s="953"/>
      <c r="AB981" s="948"/>
      <c r="AC981" s="948"/>
      <c r="AD981" s="949"/>
      <c r="AE981" s="949"/>
      <c r="AF981" s="949"/>
      <c r="AG981" s="949"/>
      <c r="AH981" s="949"/>
      <c r="AI981" s="949"/>
      <c r="AJ981" s="949"/>
      <c r="AK981" s="949"/>
      <c r="AL981" s="949"/>
      <c r="AM981" s="949"/>
      <c r="AN981" s="949"/>
      <c r="AO981" s="949"/>
      <c r="AP981" s="949"/>
      <c r="AQ981" s="949"/>
      <c r="AR981" s="949"/>
      <c r="AS981" s="949"/>
      <c r="AT981" s="949"/>
      <c r="AU981" s="949"/>
      <c r="AV981" s="949"/>
      <c r="AW981" s="949"/>
      <c r="AX981" s="949"/>
      <c r="AY981" s="949"/>
      <c r="AZ981" s="949"/>
      <c r="BA981" s="949"/>
      <c r="BB981" s="949"/>
      <c r="BC981" s="949"/>
      <c r="BD981" s="949"/>
      <c r="BE981" s="949"/>
      <c r="BF981" s="949"/>
      <c r="BG981" s="948"/>
      <c r="BH981" s="948"/>
      <c r="BI981" s="948"/>
      <c r="BJ981" s="948"/>
      <c r="BK981" s="948"/>
      <c r="BL981" s="948"/>
      <c r="BM981" s="948"/>
      <c r="BN981" s="948"/>
      <c r="BO981" s="948"/>
      <c r="BP981" s="948"/>
      <c r="BQ981" s="948"/>
      <c r="BR981" s="948"/>
      <c r="BS981" s="948"/>
      <c r="BT981" s="948"/>
      <c r="BU981" s="954"/>
    </row>
    <row r="982" spans="1:73" ht="15.75" customHeight="1" x14ac:dyDescent="0.2">
      <c r="A982" s="947"/>
      <c r="B982" s="947"/>
      <c r="C982" s="947"/>
      <c r="D982" s="948"/>
      <c r="E982" s="948"/>
      <c r="F982" s="948"/>
      <c r="G982" s="948"/>
      <c r="H982" s="948"/>
      <c r="I982" s="948"/>
      <c r="J982" s="948"/>
      <c r="K982" s="949"/>
      <c r="L982" s="949"/>
      <c r="M982" s="949"/>
      <c r="N982" s="950"/>
      <c r="O982" s="948"/>
      <c r="P982" s="948"/>
      <c r="Q982" s="948"/>
      <c r="R982" s="949"/>
      <c r="S982" s="949"/>
      <c r="T982" s="949"/>
      <c r="U982" s="949"/>
      <c r="V982" s="949"/>
      <c r="W982" s="949"/>
      <c r="X982" s="951"/>
      <c r="Y982" s="951"/>
      <c r="Z982" s="952"/>
      <c r="AA982" s="953"/>
      <c r="AB982" s="948"/>
      <c r="AC982" s="948"/>
      <c r="AD982" s="949"/>
      <c r="AE982" s="949"/>
      <c r="AF982" s="949"/>
      <c r="AG982" s="949"/>
      <c r="AH982" s="949"/>
      <c r="AI982" s="949"/>
      <c r="AJ982" s="949"/>
      <c r="AK982" s="949"/>
      <c r="AL982" s="949"/>
      <c r="AM982" s="949"/>
      <c r="AN982" s="949"/>
      <c r="AO982" s="949"/>
      <c r="AP982" s="949"/>
      <c r="AQ982" s="949"/>
      <c r="AR982" s="949"/>
      <c r="AS982" s="949"/>
      <c r="AT982" s="949"/>
      <c r="AU982" s="949"/>
      <c r="AV982" s="949"/>
      <c r="AW982" s="949"/>
      <c r="AX982" s="949"/>
      <c r="AY982" s="949"/>
      <c r="AZ982" s="949"/>
      <c r="BA982" s="949"/>
      <c r="BB982" s="949"/>
      <c r="BC982" s="949"/>
      <c r="BD982" s="949"/>
      <c r="BE982" s="949"/>
      <c r="BF982" s="949"/>
      <c r="BG982" s="948"/>
      <c r="BH982" s="948"/>
      <c r="BI982" s="948"/>
      <c r="BJ982" s="948"/>
      <c r="BK982" s="948"/>
      <c r="BL982" s="948"/>
      <c r="BM982" s="948"/>
      <c r="BN982" s="948"/>
      <c r="BO982" s="948"/>
      <c r="BP982" s="948"/>
      <c r="BQ982" s="948"/>
      <c r="BR982" s="948"/>
      <c r="BS982" s="948"/>
      <c r="BT982" s="948"/>
      <c r="BU982" s="954"/>
    </row>
    <row r="983" spans="1:73" ht="15.75" customHeight="1" x14ac:dyDescent="0.2">
      <c r="A983" s="947"/>
      <c r="B983" s="947"/>
      <c r="C983" s="947"/>
      <c r="D983" s="948"/>
      <c r="E983" s="948"/>
      <c r="F983" s="948"/>
      <c r="G983" s="948"/>
      <c r="H983" s="948"/>
      <c r="I983" s="948"/>
      <c r="J983" s="948"/>
      <c r="K983" s="949"/>
      <c r="L983" s="949"/>
      <c r="M983" s="949"/>
      <c r="N983" s="950"/>
      <c r="O983" s="948"/>
      <c r="P983" s="948"/>
      <c r="Q983" s="948"/>
      <c r="R983" s="949"/>
      <c r="S983" s="949"/>
      <c r="T983" s="949"/>
      <c r="U983" s="949"/>
      <c r="V983" s="949"/>
      <c r="W983" s="949"/>
      <c r="X983" s="951"/>
      <c r="Y983" s="951"/>
      <c r="Z983" s="952"/>
      <c r="AA983" s="953"/>
      <c r="AB983" s="948"/>
      <c r="AC983" s="948"/>
      <c r="AD983" s="949"/>
      <c r="AE983" s="949"/>
      <c r="AF983" s="949"/>
      <c r="AG983" s="949"/>
      <c r="AH983" s="949"/>
      <c r="AI983" s="949"/>
      <c r="AJ983" s="949"/>
      <c r="AK983" s="949"/>
      <c r="AL983" s="949"/>
      <c r="AM983" s="949"/>
      <c r="AN983" s="949"/>
      <c r="AO983" s="949"/>
      <c r="AP983" s="949"/>
      <c r="AQ983" s="949"/>
      <c r="AR983" s="949"/>
      <c r="AS983" s="949"/>
      <c r="AT983" s="949"/>
      <c r="AU983" s="949"/>
      <c r="AV983" s="949"/>
      <c r="AW983" s="949"/>
      <c r="AX983" s="949"/>
      <c r="AY983" s="949"/>
      <c r="AZ983" s="949"/>
      <c r="BA983" s="949"/>
      <c r="BB983" s="949"/>
      <c r="BC983" s="949"/>
      <c r="BD983" s="949"/>
      <c r="BE983" s="949"/>
      <c r="BF983" s="949"/>
      <c r="BG983" s="948"/>
      <c r="BH983" s="948"/>
      <c r="BI983" s="948"/>
      <c r="BJ983" s="948"/>
      <c r="BK983" s="948"/>
      <c r="BL983" s="948"/>
      <c r="BM983" s="948"/>
      <c r="BN983" s="948"/>
      <c r="BO983" s="948"/>
      <c r="BP983" s="948"/>
      <c r="BQ983" s="948"/>
      <c r="BR983" s="948"/>
      <c r="BS983" s="948"/>
      <c r="BT983" s="948"/>
      <c r="BU983" s="954"/>
    </row>
  </sheetData>
  <autoFilter ref="A2:BU94" xr:uid="{00000000-0009-0000-0000-000000000000}"/>
  <hyperlinks>
    <hyperlink ref="BR14" r:id="rId2" xr:uid="{CC2E194E-D172-4341-B152-3961DAE8F2A0}"/>
    <hyperlink ref="BP43" r:id="rId3" xr:uid="{F621755D-8555-634F-849C-F937BEBD0F52}"/>
    <hyperlink ref="BO26" r:id="rId4" xr:uid="{2E3601FD-C576-7C4B-99EB-62D73CA3370B}"/>
    <hyperlink ref="BP35" r:id="rId5" xr:uid="{BAE99DEC-3EBC-594A-86A0-F22542B6884C}"/>
    <hyperlink ref="BO35" r:id="rId6" xr:uid="{4A517D05-9DD7-A042-B616-D603FEFCA392}"/>
    <hyperlink ref="BO56" r:id="rId7" xr:uid="{BD94F722-E143-DA46-B252-2CFE88EEBB8B}"/>
    <hyperlink ref="BR29" r:id="rId8" xr:uid="{396DC79C-AD33-E547-8C95-9C4155417CCB}"/>
    <hyperlink ref="BO29" r:id="rId9" xr:uid="{B0DFA125-78E4-C542-A339-00BF3FED0476}"/>
    <hyperlink ref="BO62" r:id="rId10" xr:uid="{8CDCF0A1-6808-524D-A2E0-515842DEA6F0}"/>
    <hyperlink ref="BO24" r:id="rId11" xr:uid="{E6A70782-CE8B-BB46-B7D6-8366BDF61592}"/>
    <hyperlink ref="BR24" r:id="rId12" xr:uid="{610A9980-8914-1341-AE49-16359ADCA43F}"/>
    <hyperlink ref="BO48" r:id="rId13" xr:uid="{E416847A-1269-F946-8F6B-7011E4A271FF}"/>
    <hyperlink ref="BR48" r:id="rId14" xr:uid="{B068DC35-5D56-E840-9D1C-95FDF5AE3B6A}"/>
    <hyperlink ref="BO6" r:id="rId15" xr:uid="{51E93FFB-AE2B-4A4E-9B5C-F4A24DE2EF5B}"/>
    <hyperlink ref="BP6" r:id="rId16" xr:uid="{8C0412E6-1B31-BF47-9983-A6F8C36BA2F9}"/>
    <hyperlink ref="BO27" r:id="rId17" xr:uid="{CED9A313-DDEF-9049-8D39-63DF2688E99A}"/>
    <hyperlink ref="BR27" r:id="rId18" xr:uid="{99540391-3757-1848-B4E2-800828D0918F}"/>
    <hyperlink ref="BO7" r:id="rId19" xr:uid="{4B9EFF77-7158-004D-839C-4E49615FB884}"/>
    <hyperlink ref="BO21" r:id="rId20" xr:uid="{43C9B18A-AA2F-9D48-BAF1-DF46EC859A62}"/>
    <hyperlink ref="BO43" r:id="rId21" xr:uid="{D527A184-7B47-C745-8C11-0E8B6AF79E29}"/>
    <hyperlink ref="BT43" r:id="rId22" xr:uid="{DC84F2CB-FDAF-0E42-BC29-872BE0367D8F}"/>
    <hyperlink ref="BO18" r:id="rId23" xr:uid="{3B34C6C9-DDAD-874B-B25F-D315EC2F1107}"/>
    <hyperlink ref="BT15" r:id="rId24" xr:uid="{C408BDF8-684E-4749-81B9-8511B8D7E63D}"/>
    <hyperlink ref="BT62" r:id="rId25" xr:uid="{667CCA9B-CD87-A049-A756-E5B4266A3212}"/>
    <hyperlink ref="BP48" r:id="rId26" xr:uid="{876D0F96-9D44-F343-919F-4FD8271ED9D1}"/>
    <hyperlink ref="BT47" r:id="rId27" xr:uid="{19B6DB55-4D70-1047-8031-1F2F1328BA0C}"/>
    <hyperlink ref="BR47" r:id="rId28" xr:uid="{04EFF2B9-D70A-034F-AF63-68319D69A28C}"/>
    <hyperlink ref="BO57" r:id="rId29" xr:uid="{CE503B7B-111C-864E-AABF-9A1FD655E437}"/>
    <hyperlink ref="BR58" r:id="rId30" xr:uid="{5077F058-385A-A342-9B60-12B59D74A2CC}"/>
    <hyperlink ref="BO37" r:id="rId31" xr:uid="{82A0D851-8BA3-264F-9CAE-04E13212A17D}"/>
    <hyperlink ref="BO30" r:id="rId32" xr:uid="{31F83F06-2F98-F144-8D6D-B3DA1E7589ED}"/>
    <hyperlink ref="BT89" r:id="rId33" xr:uid="{B3DDC819-C762-8342-B380-B3D3D4974A16}"/>
    <hyperlink ref="BO89" r:id="rId34" xr:uid="{9AD07054-0737-F342-A05C-C1A35A403FCF}"/>
    <hyperlink ref="BO92" r:id="rId35" xr:uid="{2F8AE766-0E57-C647-AA65-568C543A5F44}"/>
    <hyperlink ref="BO34" r:id="rId36" xr:uid="{32D212A2-68E8-754C-AD71-A6470047F18D}"/>
    <hyperlink ref="BP34" r:id="rId37" xr:uid="{844D09C5-5ABE-044D-A40B-A71DE846792B}"/>
    <hyperlink ref="BT34" r:id="rId38" xr:uid="{AC14E5FB-BD5C-6248-8ABA-579FE2312196}"/>
  </hyperlinks>
  <pageMargins left="0.70866141732283472" right="0.70866141732283472" top="0.74803149606299213" bottom="0.74803149606299213" header="0" footer="0"/>
  <pageSetup paperSize="9" scale="45" orientation="landscape" r:id="rId39"/>
  <legacyDrawing r:id="rId4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912EC-EE3F-8F40-A8E6-5EA672797A41}">
  <dimension ref="A1:AA141"/>
  <sheetViews>
    <sheetView zoomScale="85" zoomScaleNormal="100" workbookViewId="0">
      <pane xSplit="5" ySplit="6" topLeftCell="H7" activePane="bottomRight" state="frozen"/>
      <selection pane="topRight" activeCell="D1" sqref="D1"/>
      <selection pane="bottomLeft" activeCell="A5" sqref="A5"/>
      <selection pane="bottomRight" activeCell="B39" sqref="B39"/>
    </sheetView>
  </sheetViews>
  <sheetFormatPr baseColWidth="10" defaultColWidth="8.83203125" defaultRowHeight="15" x14ac:dyDescent="0.2"/>
  <cols>
    <col min="1" max="1" width="18.6640625" style="682" bestFit="1" customWidth="1"/>
    <col min="2" max="2" width="18.6640625" style="137" bestFit="1" customWidth="1"/>
    <col min="3" max="3" width="18.6640625" style="137" customWidth="1"/>
    <col min="4" max="4" width="22.6640625" style="137" customWidth="1"/>
    <col min="5" max="5" width="26.5" style="137" customWidth="1"/>
    <col min="6" max="7" width="17.5" style="137" customWidth="1"/>
    <col min="8" max="8" width="12.1640625" style="137" customWidth="1"/>
    <col min="9" max="9" width="26.1640625" style="137" customWidth="1"/>
    <col min="10" max="10" width="8.83203125" style="137" bestFit="1" customWidth="1"/>
    <col min="11" max="11" width="29.5" style="137" customWidth="1"/>
    <col min="12" max="12" width="12.6640625" style="137" bestFit="1" customWidth="1"/>
    <col min="13" max="13" width="8.83203125" style="137"/>
    <col min="14" max="14" width="15.33203125" style="673" customWidth="1"/>
    <col min="15" max="15" width="8" style="674" customWidth="1"/>
    <col min="16" max="18" width="8.83203125" style="674"/>
    <col min="19" max="19" width="15.33203125" style="675" customWidth="1"/>
    <col min="20" max="20" width="52.1640625" style="137" customWidth="1"/>
    <col min="21" max="21" width="8.83203125" style="137"/>
    <col min="22" max="22" width="15.33203125" style="675" customWidth="1"/>
    <col min="23" max="23" width="10.5" style="137" bestFit="1" customWidth="1"/>
    <col min="24" max="16384" width="8.83203125" style="137"/>
  </cols>
  <sheetData>
    <row r="1" spans="1:25" x14ac:dyDescent="0.2">
      <c r="A1" s="671" t="s">
        <v>773</v>
      </c>
      <c r="B1" s="672"/>
      <c r="C1" s="672"/>
      <c r="D1" s="137" t="s">
        <v>774</v>
      </c>
    </row>
    <row r="2" spans="1:25" x14ac:dyDescent="0.2">
      <c r="A2" s="676" t="s">
        <v>775</v>
      </c>
      <c r="B2" s="137">
        <v>1.3620000000000001</v>
      </c>
      <c r="N2" s="677" t="s">
        <v>776</v>
      </c>
      <c r="O2" s="678" t="s">
        <v>777</v>
      </c>
      <c r="P2" s="679"/>
      <c r="Q2" s="679"/>
      <c r="R2" s="679"/>
      <c r="S2" s="680" t="s">
        <v>778</v>
      </c>
      <c r="V2" s="680" t="s">
        <v>778</v>
      </c>
      <c r="X2" s="137" t="s">
        <v>778</v>
      </c>
    </row>
    <row r="3" spans="1:25" x14ac:dyDescent="0.2">
      <c r="A3" s="676" t="s">
        <v>780</v>
      </c>
      <c r="B3" s="137">
        <v>1.23</v>
      </c>
      <c r="N3" s="677" t="s">
        <v>1673</v>
      </c>
      <c r="O3" s="679">
        <v>2088</v>
      </c>
      <c r="P3" s="679">
        <v>2088</v>
      </c>
      <c r="Q3" s="679">
        <v>2080</v>
      </c>
      <c r="R3" s="679">
        <v>2088</v>
      </c>
      <c r="S3" s="680"/>
      <c r="V3" s="680"/>
    </row>
    <row r="4" spans="1:25" x14ac:dyDescent="0.2">
      <c r="A4" s="676"/>
      <c r="N4" s="677" t="s">
        <v>1674</v>
      </c>
      <c r="O4" s="679">
        <f>2088-512</f>
        <v>1576</v>
      </c>
      <c r="P4" s="679">
        <v>2088</v>
      </c>
      <c r="Q4" s="679">
        <v>2080</v>
      </c>
      <c r="R4" s="679">
        <f>2088-168</f>
        <v>1920</v>
      </c>
      <c r="S4" s="680"/>
      <c r="V4" s="680"/>
    </row>
    <row r="5" spans="1:25" x14ac:dyDescent="0.2">
      <c r="L5" s="683"/>
      <c r="M5" s="683"/>
      <c r="N5" s="683" t="s">
        <v>781</v>
      </c>
      <c r="O5" s="684">
        <f>SUBTOTAL(9,O7:O1048576)</f>
        <v>38947.070000000007</v>
      </c>
      <c r="P5" s="684">
        <f>SUBTOTAL(9,P7:P1048576)</f>
        <v>39178.403333333335</v>
      </c>
      <c r="Q5" s="684">
        <f>SUBTOTAL(9,Q7:Q1048576)</f>
        <v>37947.403333333335</v>
      </c>
      <c r="R5" s="684">
        <f>SUBTOTAL(9,R7:R1048576)</f>
        <v>37175.403333333335</v>
      </c>
      <c r="S5" s="685">
        <f>SUBTOTAL(9,S7:S123)</f>
        <v>28499953.481495228</v>
      </c>
      <c r="T5" s="686"/>
      <c r="V5" s="685">
        <v>28499930.481175225</v>
      </c>
      <c r="X5" s="137">
        <v>28499743.352716062</v>
      </c>
    </row>
    <row r="6" spans="1:25" x14ac:dyDescent="0.2">
      <c r="A6" s="687" t="s">
        <v>269</v>
      </c>
      <c r="B6" s="688" t="s">
        <v>782</v>
      </c>
      <c r="C6" s="688" t="s">
        <v>783</v>
      </c>
      <c r="D6" s="688" t="s">
        <v>784</v>
      </c>
      <c r="E6" s="688" t="s">
        <v>785</v>
      </c>
      <c r="F6" s="688" t="s">
        <v>786</v>
      </c>
      <c r="G6" s="688" t="s">
        <v>1</v>
      </c>
      <c r="H6" s="763" t="s">
        <v>787</v>
      </c>
      <c r="I6" s="688" t="s">
        <v>788</v>
      </c>
      <c r="J6" s="688" t="s">
        <v>789</v>
      </c>
      <c r="K6" s="688" t="s">
        <v>790</v>
      </c>
      <c r="L6" s="688" t="s">
        <v>791</v>
      </c>
      <c r="M6" s="688" t="s">
        <v>792</v>
      </c>
      <c r="N6" s="689" t="s">
        <v>793</v>
      </c>
      <c r="O6" s="690" t="s">
        <v>794</v>
      </c>
      <c r="P6" s="690" t="s">
        <v>795</v>
      </c>
      <c r="Q6" s="690" t="s">
        <v>796</v>
      </c>
      <c r="R6" s="690" t="s">
        <v>797</v>
      </c>
      <c r="S6" s="691" t="s">
        <v>798</v>
      </c>
      <c r="T6" s="688" t="s">
        <v>410</v>
      </c>
      <c r="V6" s="801" t="s">
        <v>798</v>
      </c>
      <c r="X6" s="137" t="s">
        <v>798</v>
      </c>
    </row>
    <row r="7" spans="1:25" x14ac:dyDescent="0.2">
      <c r="A7" s="692">
        <v>1</v>
      </c>
      <c r="B7" s="693" t="s">
        <v>799</v>
      </c>
      <c r="C7" s="137" t="s">
        <v>800</v>
      </c>
      <c r="D7" s="137" t="s">
        <v>801</v>
      </c>
      <c r="E7" s="137" t="s">
        <v>802</v>
      </c>
      <c r="F7" s="694" t="s">
        <v>803</v>
      </c>
      <c r="G7" s="694" t="s">
        <v>804</v>
      </c>
      <c r="H7" s="137" t="s">
        <v>805</v>
      </c>
      <c r="I7" s="137" t="s">
        <v>307</v>
      </c>
      <c r="J7" s="137">
        <v>713002</v>
      </c>
      <c r="K7" s="693" t="s">
        <v>806</v>
      </c>
      <c r="L7" s="693" t="s">
        <v>807</v>
      </c>
      <c r="M7" s="693" t="s">
        <v>808</v>
      </c>
      <c r="N7" s="695">
        <v>4006.6688999999997</v>
      </c>
      <c r="O7" s="696">
        <v>868</v>
      </c>
      <c r="P7" s="696"/>
      <c r="Q7" s="696"/>
      <c r="R7" s="696"/>
      <c r="S7" s="697">
        <f t="shared" ref="S7:S28" si="0">SUM(O7:R7)*N7*$B$3</f>
        <v>4277679.9843959995</v>
      </c>
      <c r="T7" s="693" t="s">
        <v>729</v>
      </c>
      <c r="V7" s="675">
        <v>4277679.9843959995</v>
      </c>
      <c r="W7" s="783">
        <f>V7-S7</f>
        <v>0</v>
      </c>
      <c r="X7" s="137">
        <v>4277679.9843959995</v>
      </c>
      <c r="Y7" s="783">
        <f>S7-X7</f>
        <v>0</v>
      </c>
    </row>
    <row r="8" spans="1:25" x14ac:dyDescent="0.2">
      <c r="A8" s="692">
        <v>1</v>
      </c>
      <c r="B8" s="693" t="s">
        <v>799</v>
      </c>
      <c r="C8" s="137" t="s">
        <v>800</v>
      </c>
      <c r="D8" s="137" t="s">
        <v>809</v>
      </c>
      <c r="E8" s="137" t="s">
        <v>802</v>
      </c>
      <c r="F8" s="694" t="s">
        <v>803</v>
      </c>
      <c r="G8" s="694" t="s">
        <v>810</v>
      </c>
      <c r="H8" s="137" t="s">
        <v>805</v>
      </c>
      <c r="I8" s="137" t="s">
        <v>307</v>
      </c>
      <c r="J8" s="137">
        <v>713002</v>
      </c>
      <c r="K8" s="693" t="s">
        <v>806</v>
      </c>
      <c r="L8" s="693" t="s">
        <v>807</v>
      </c>
      <c r="M8" s="693" t="s">
        <v>808</v>
      </c>
      <c r="N8" s="695">
        <v>3152.06</v>
      </c>
      <c r="O8" s="696">
        <v>868</v>
      </c>
      <c r="P8" s="696"/>
      <c r="Q8" s="696"/>
      <c r="R8" s="696"/>
      <c r="S8" s="697">
        <f t="shared" si="0"/>
        <v>3365265.3384000002</v>
      </c>
      <c r="T8" s="693" t="s">
        <v>811</v>
      </c>
      <c r="V8" s="675">
        <v>3365265.3384000002</v>
      </c>
      <c r="W8" s="783">
        <f t="shared" ref="W8:W71" si="1">V8-S8</f>
        <v>0</v>
      </c>
      <c r="X8" s="137">
        <v>3365265.3384000002</v>
      </c>
      <c r="Y8" s="783">
        <f t="shared" ref="Y8:Y71" si="2">S8-X8</f>
        <v>0</v>
      </c>
    </row>
    <row r="9" spans="1:25" x14ac:dyDescent="0.2">
      <c r="A9" s="692">
        <v>1</v>
      </c>
      <c r="B9" s="693" t="s">
        <v>799</v>
      </c>
      <c r="C9" s="137" t="s">
        <v>800</v>
      </c>
      <c r="D9" s="137" t="s">
        <v>812</v>
      </c>
      <c r="E9" s="137" t="s">
        <v>802</v>
      </c>
      <c r="F9" s="694" t="s">
        <v>803</v>
      </c>
      <c r="G9" s="694" t="s">
        <v>810</v>
      </c>
      <c r="H9" s="137" t="s">
        <v>805</v>
      </c>
      <c r="I9" s="137" t="s">
        <v>307</v>
      </c>
      <c r="J9" s="137">
        <v>713002</v>
      </c>
      <c r="K9" s="693" t="s">
        <v>806</v>
      </c>
      <c r="L9" s="693" t="s">
        <v>807</v>
      </c>
      <c r="M9" s="693" t="s">
        <v>813</v>
      </c>
      <c r="N9" s="695">
        <v>4019.25</v>
      </c>
      <c r="O9" s="696">
        <v>48</v>
      </c>
      <c r="P9" s="696"/>
      <c r="Q9" s="696"/>
      <c r="R9" s="696"/>
      <c r="S9" s="697">
        <f t="shared" si="0"/>
        <v>237296.52</v>
      </c>
      <c r="T9" s="693" t="s">
        <v>814</v>
      </c>
      <c r="V9" s="675">
        <v>237296.52</v>
      </c>
      <c r="W9" s="783">
        <f t="shared" si="1"/>
        <v>0</v>
      </c>
      <c r="X9" s="137">
        <v>237296.52</v>
      </c>
      <c r="Y9" s="783">
        <f t="shared" si="2"/>
        <v>0</v>
      </c>
    </row>
    <row r="10" spans="1:25" x14ac:dyDescent="0.2">
      <c r="A10" s="698">
        <v>2</v>
      </c>
      <c r="B10" s="693" t="s">
        <v>815</v>
      </c>
      <c r="C10" s="137" t="s">
        <v>800</v>
      </c>
      <c r="D10" s="137" t="s">
        <v>801</v>
      </c>
      <c r="E10" s="137" t="s">
        <v>816</v>
      </c>
      <c r="F10" s="694" t="s">
        <v>803</v>
      </c>
      <c r="G10" s="694" t="s">
        <v>804</v>
      </c>
      <c r="H10" s="137" t="s">
        <v>805</v>
      </c>
      <c r="I10" s="137" t="s">
        <v>307</v>
      </c>
      <c r="J10" s="137">
        <v>713002</v>
      </c>
      <c r="K10" s="693" t="s">
        <v>806</v>
      </c>
      <c r="L10" s="693" t="s">
        <v>807</v>
      </c>
      <c r="M10" s="693" t="s">
        <v>808</v>
      </c>
      <c r="N10" s="695">
        <v>6517.8083700000007</v>
      </c>
      <c r="O10" s="696">
        <v>169</v>
      </c>
      <c r="P10" s="696"/>
      <c r="Q10" s="696"/>
      <c r="R10" s="696"/>
      <c r="S10" s="697">
        <f t="shared" si="0"/>
        <v>1354856.8258719002</v>
      </c>
      <c r="T10" s="693" t="s">
        <v>817</v>
      </c>
      <c r="V10" s="675">
        <v>1354856.8258719002</v>
      </c>
      <c r="W10" s="783">
        <f t="shared" si="1"/>
        <v>0</v>
      </c>
      <c r="X10" s="137">
        <v>1354856.8258719002</v>
      </c>
      <c r="Y10" s="783">
        <f t="shared" si="2"/>
        <v>0</v>
      </c>
    </row>
    <row r="11" spans="1:25" x14ac:dyDescent="0.2">
      <c r="A11" s="698">
        <v>2</v>
      </c>
      <c r="B11" s="693" t="s">
        <v>815</v>
      </c>
      <c r="C11" s="137" t="s">
        <v>800</v>
      </c>
      <c r="D11" s="137" t="s">
        <v>801</v>
      </c>
      <c r="E11" s="137" t="s">
        <v>816</v>
      </c>
      <c r="F11" s="694" t="s">
        <v>803</v>
      </c>
      <c r="G11" s="694" t="s">
        <v>804</v>
      </c>
      <c r="H11" s="137" t="s">
        <v>805</v>
      </c>
      <c r="I11" s="137" t="s">
        <v>307</v>
      </c>
      <c r="J11" s="137">
        <v>713002</v>
      </c>
      <c r="K11" s="693" t="s">
        <v>806</v>
      </c>
      <c r="L11" s="693" t="s">
        <v>807</v>
      </c>
      <c r="M11" s="693" t="s">
        <v>818</v>
      </c>
      <c r="N11" s="695">
        <v>5832.1949800000002</v>
      </c>
      <c r="O11" s="696">
        <v>15</v>
      </c>
      <c r="P11" s="696"/>
      <c r="Q11" s="696"/>
      <c r="R11" s="696"/>
      <c r="S11" s="697">
        <f t="shared" si="0"/>
        <v>107603.99738100001</v>
      </c>
      <c r="T11" s="693" t="s">
        <v>819</v>
      </c>
      <c r="V11" s="675">
        <v>107603.99738100001</v>
      </c>
      <c r="W11" s="783">
        <f t="shared" si="1"/>
        <v>0</v>
      </c>
      <c r="X11" s="137">
        <v>107603.99738100001</v>
      </c>
      <c r="Y11" s="783">
        <f t="shared" si="2"/>
        <v>0</v>
      </c>
    </row>
    <row r="12" spans="1:25" x14ac:dyDescent="0.2">
      <c r="A12" s="698">
        <v>2</v>
      </c>
      <c r="B12" s="693" t="s">
        <v>815</v>
      </c>
      <c r="C12" s="137" t="s">
        <v>800</v>
      </c>
      <c r="D12" s="137" t="s">
        <v>820</v>
      </c>
      <c r="E12" s="137" t="s">
        <v>816</v>
      </c>
      <c r="F12" s="694" t="s">
        <v>803</v>
      </c>
      <c r="G12" s="694" t="s">
        <v>810</v>
      </c>
      <c r="H12" s="137" t="s">
        <v>805</v>
      </c>
      <c r="I12" s="137" t="s">
        <v>307</v>
      </c>
      <c r="J12" s="137">
        <v>713002</v>
      </c>
      <c r="K12" s="693" t="s">
        <v>806</v>
      </c>
      <c r="L12" s="693" t="s">
        <v>807</v>
      </c>
      <c r="M12" s="693" t="s">
        <v>818</v>
      </c>
      <c r="N12" s="695">
        <v>1442.71775</v>
      </c>
      <c r="O12" s="696">
        <v>15</v>
      </c>
      <c r="P12" s="696"/>
      <c r="Q12" s="696"/>
      <c r="R12" s="696"/>
      <c r="S12" s="697">
        <f t="shared" si="0"/>
        <v>26618.142487500001</v>
      </c>
      <c r="T12" s="693" t="s">
        <v>811</v>
      </c>
      <c r="V12" s="675">
        <v>26618.142487500001</v>
      </c>
      <c r="W12" s="783">
        <f t="shared" si="1"/>
        <v>0</v>
      </c>
      <c r="X12" s="137">
        <v>26618.142487500001</v>
      </c>
      <c r="Y12" s="783">
        <f t="shared" si="2"/>
        <v>0</v>
      </c>
    </row>
    <row r="13" spans="1:25" x14ac:dyDescent="0.2">
      <c r="A13" s="692">
        <v>3</v>
      </c>
      <c r="B13" s="693" t="s">
        <v>821</v>
      </c>
      <c r="C13" s="137" t="s">
        <v>800</v>
      </c>
      <c r="D13" s="137" t="s">
        <v>801</v>
      </c>
      <c r="E13" s="137" t="s">
        <v>822</v>
      </c>
      <c r="F13" s="694" t="s">
        <v>803</v>
      </c>
      <c r="G13" s="694" t="s">
        <v>804</v>
      </c>
      <c r="H13" s="137" t="s">
        <v>805</v>
      </c>
      <c r="I13" s="137" t="s">
        <v>307</v>
      </c>
      <c r="J13" s="137">
        <v>713002</v>
      </c>
      <c r="K13" s="693" t="s">
        <v>806</v>
      </c>
      <c r="L13" s="693" t="s">
        <v>807</v>
      </c>
      <c r="M13" s="693" t="s">
        <v>813</v>
      </c>
      <c r="N13" s="695">
        <v>1211.6040955631399</v>
      </c>
      <c r="O13" s="696">
        <v>80</v>
      </c>
      <c r="P13" s="696"/>
      <c r="Q13" s="696"/>
      <c r="R13" s="696"/>
      <c r="S13" s="697">
        <f t="shared" si="0"/>
        <v>119221.84300341297</v>
      </c>
      <c r="T13" s="693" t="s">
        <v>823</v>
      </c>
      <c r="V13" s="675">
        <v>119221.84300341297</v>
      </c>
      <c r="W13" s="783">
        <f t="shared" si="1"/>
        <v>0</v>
      </c>
      <c r="X13" s="137">
        <v>119221.84300341297</v>
      </c>
      <c r="Y13" s="783">
        <f t="shared" si="2"/>
        <v>0</v>
      </c>
    </row>
    <row r="14" spans="1:25" x14ac:dyDescent="0.2">
      <c r="A14" s="692">
        <v>3</v>
      </c>
      <c r="B14" s="693" t="s">
        <v>821</v>
      </c>
      <c r="C14" s="137" t="s">
        <v>800</v>
      </c>
      <c r="D14" s="137" t="s">
        <v>820</v>
      </c>
      <c r="E14" s="137" t="s">
        <v>822</v>
      </c>
      <c r="F14" s="694" t="s">
        <v>803</v>
      </c>
      <c r="G14" s="694" t="s">
        <v>810</v>
      </c>
      <c r="H14" s="137" t="s">
        <v>805</v>
      </c>
      <c r="I14" s="137" t="s">
        <v>307</v>
      </c>
      <c r="J14" s="137">
        <v>713002</v>
      </c>
      <c r="K14" s="693" t="s">
        <v>806</v>
      </c>
      <c r="L14" s="693" t="s">
        <v>807</v>
      </c>
      <c r="M14" s="693" t="s">
        <v>813</v>
      </c>
      <c r="N14" s="695">
        <v>1279.8634812286691</v>
      </c>
      <c r="O14" s="696">
        <v>80</v>
      </c>
      <c r="P14" s="696"/>
      <c r="Q14" s="696"/>
      <c r="R14" s="696"/>
      <c r="S14" s="697">
        <f t="shared" si="0"/>
        <v>125938.56655290104</v>
      </c>
      <c r="T14" s="693" t="s">
        <v>814</v>
      </c>
      <c r="V14" s="675">
        <v>125938.56655290104</v>
      </c>
      <c r="W14" s="783">
        <f t="shared" si="1"/>
        <v>0</v>
      </c>
      <c r="X14" s="137">
        <v>125938.56655290104</v>
      </c>
      <c r="Y14" s="783">
        <f t="shared" si="2"/>
        <v>0</v>
      </c>
    </row>
    <row r="15" spans="1:25" x14ac:dyDescent="0.2">
      <c r="A15" s="698">
        <v>4</v>
      </c>
      <c r="B15" s="693" t="s">
        <v>824</v>
      </c>
      <c r="C15" s="137" t="s">
        <v>800</v>
      </c>
      <c r="D15" s="137" t="s">
        <v>825</v>
      </c>
      <c r="E15" s="137" t="s">
        <v>826</v>
      </c>
      <c r="F15" s="694" t="s">
        <v>803</v>
      </c>
      <c r="G15" s="694" t="s">
        <v>70</v>
      </c>
      <c r="H15" s="137" t="s">
        <v>805</v>
      </c>
      <c r="I15" s="137" t="s">
        <v>71</v>
      </c>
      <c r="J15" s="137">
        <v>711003</v>
      </c>
      <c r="K15" s="693" t="s">
        <v>827</v>
      </c>
      <c r="L15" s="693" t="s">
        <v>807</v>
      </c>
      <c r="M15" s="693" t="s">
        <v>828</v>
      </c>
      <c r="N15" s="695">
        <v>300000</v>
      </c>
      <c r="O15" s="696">
        <v>1</v>
      </c>
      <c r="P15" s="696"/>
      <c r="Q15" s="696"/>
      <c r="R15" s="696"/>
      <c r="S15" s="697">
        <f t="shared" si="0"/>
        <v>369000</v>
      </c>
      <c r="T15" s="693" t="s">
        <v>829</v>
      </c>
      <c r="V15" s="675">
        <v>369000</v>
      </c>
      <c r="W15" s="783">
        <f t="shared" si="1"/>
        <v>0</v>
      </c>
      <c r="X15" s="137">
        <v>369000</v>
      </c>
      <c r="Y15" s="783">
        <f t="shared" si="2"/>
        <v>0</v>
      </c>
    </row>
    <row r="16" spans="1:25" x14ac:dyDescent="0.2">
      <c r="A16" s="692">
        <v>5</v>
      </c>
      <c r="B16" s="693" t="s">
        <v>830</v>
      </c>
      <c r="C16" s="137" t="s">
        <v>800</v>
      </c>
      <c r="D16" s="137" t="s">
        <v>801</v>
      </c>
      <c r="E16" s="137" t="s">
        <v>831</v>
      </c>
      <c r="F16" s="694" t="s">
        <v>803</v>
      </c>
      <c r="G16" s="694" t="s">
        <v>70</v>
      </c>
      <c r="H16" s="137" t="s">
        <v>805</v>
      </c>
      <c r="I16" s="137" t="s">
        <v>76</v>
      </c>
      <c r="J16" s="137">
        <v>633013</v>
      </c>
      <c r="K16" s="693" t="s">
        <v>832</v>
      </c>
      <c r="L16" s="693" t="s">
        <v>807</v>
      </c>
      <c r="M16" s="693" t="s">
        <v>833</v>
      </c>
      <c r="N16" s="695">
        <v>100000</v>
      </c>
      <c r="O16" s="696">
        <v>1</v>
      </c>
      <c r="P16" s="696"/>
      <c r="Q16" s="696"/>
      <c r="R16" s="696"/>
      <c r="S16" s="697">
        <f t="shared" si="0"/>
        <v>123000</v>
      </c>
      <c r="T16" s="693" t="s">
        <v>834</v>
      </c>
      <c r="V16" s="675">
        <v>123000</v>
      </c>
      <c r="W16" s="783">
        <f t="shared" si="1"/>
        <v>0</v>
      </c>
      <c r="X16" s="137">
        <v>123000</v>
      </c>
      <c r="Y16" s="783">
        <f t="shared" si="2"/>
        <v>0</v>
      </c>
    </row>
    <row r="17" spans="1:25" x14ac:dyDescent="0.2">
      <c r="A17" s="692">
        <v>5</v>
      </c>
      <c r="B17" s="693" t="s">
        <v>830</v>
      </c>
      <c r="C17" s="137" t="s">
        <v>800</v>
      </c>
      <c r="D17" s="137" t="s">
        <v>820</v>
      </c>
      <c r="E17" s="137" t="s">
        <v>831</v>
      </c>
      <c r="F17" s="694" t="s">
        <v>803</v>
      </c>
      <c r="G17" s="694" t="s">
        <v>835</v>
      </c>
      <c r="H17" s="137" t="s">
        <v>805</v>
      </c>
      <c r="I17" s="137" t="s">
        <v>76</v>
      </c>
      <c r="J17" s="137">
        <v>633013</v>
      </c>
      <c r="K17" s="693" t="s">
        <v>832</v>
      </c>
      <c r="L17" s="693" t="s">
        <v>807</v>
      </c>
      <c r="M17" s="693" t="s">
        <v>833</v>
      </c>
      <c r="N17" s="695">
        <v>400000</v>
      </c>
      <c r="O17" s="696">
        <v>1</v>
      </c>
      <c r="P17" s="696"/>
      <c r="Q17" s="696"/>
      <c r="R17" s="696"/>
      <c r="S17" s="697">
        <f t="shared" si="0"/>
        <v>492000</v>
      </c>
      <c r="T17" s="693" t="s">
        <v>834</v>
      </c>
      <c r="V17" s="675">
        <v>492000</v>
      </c>
      <c r="W17" s="783">
        <f t="shared" si="1"/>
        <v>0</v>
      </c>
      <c r="X17" s="137">
        <v>492000</v>
      </c>
      <c r="Y17" s="783">
        <f t="shared" si="2"/>
        <v>0</v>
      </c>
    </row>
    <row r="18" spans="1:25" x14ac:dyDescent="0.2">
      <c r="A18" s="698">
        <v>6</v>
      </c>
      <c r="B18" s="693" t="s">
        <v>836</v>
      </c>
      <c r="C18" s="137" t="s">
        <v>800</v>
      </c>
      <c r="D18" s="137" t="s">
        <v>801</v>
      </c>
      <c r="E18" s="137" t="s">
        <v>831</v>
      </c>
      <c r="F18" s="694" t="s">
        <v>803</v>
      </c>
      <c r="G18" s="694" t="s">
        <v>804</v>
      </c>
      <c r="H18" s="137" t="s">
        <v>805</v>
      </c>
      <c r="I18" s="137" t="s">
        <v>307</v>
      </c>
      <c r="J18" s="137">
        <v>713002</v>
      </c>
      <c r="K18" s="693" t="s">
        <v>832</v>
      </c>
      <c r="L18" s="693" t="s">
        <v>807</v>
      </c>
      <c r="M18" s="693" t="s">
        <v>833</v>
      </c>
      <c r="N18" s="695">
        <v>2331806.7120000003</v>
      </c>
      <c r="O18" s="696">
        <v>1</v>
      </c>
      <c r="P18" s="696"/>
      <c r="Q18" s="696"/>
      <c r="R18" s="696"/>
      <c r="S18" s="697">
        <f t="shared" si="0"/>
        <v>2868122.2557600001</v>
      </c>
      <c r="T18" s="693" t="s">
        <v>837</v>
      </c>
      <c r="V18" s="675">
        <v>2868122.2557600001</v>
      </c>
      <c r="W18" s="783">
        <f t="shared" si="1"/>
        <v>0</v>
      </c>
      <c r="X18" s="137">
        <v>2868122.2557600001</v>
      </c>
      <c r="Y18" s="783">
        <f t="shared" si="2"/>
        <v>0</v>
      </c>
    </row>
    <row r="19" spans="1:25" x14ac:dyDescent="0.2">
      <c r="A19" s="698">
        <v>6</v>
      </c>
      <c r="B19" s="693" t="s">
        <v>836</v>
      </c>
      <c r="C19" s="137" t="s">
        <v>800</v>
      </c>
      <c r="D19" s="137" t="s">
        <v>820</v>
      </c>
      <c r="E19" s="137" t="s">
        <v>831</v>
      </c>
      <c r="F19" s="694" t="s">
        <v>803</v>
      </c>
      <c r="G19" s="694" t="s">
        <v>838</v>
      </c>
      <c r="H19" s="137" t="s">
        <v>805</v>
      </c>
      <c r="I19" s="137" t="s">
        <v>307</v>
      </c>
      <c r="J19" s="137">
        <v>713002</v>
      </c>
      <c r="K19" s="693" t="s">
        <v>832</v>
      </c>
      <c r="L19" s="693" t="s">
        <v>807</v>
      </c>
      <c r="M19" s="693" t="s">
        <v>833</v>
      </c>
      <c r="N19" s="695">
        <v>1580984.4700000002</v>
      </c>
      <c r="O19" s="696">
        <v>1</v>
      </c>
      <c r="P19" s="696"/>
      <c r="Q19" s="696"/>
      <c r="R19" s="696"/>
      <c r="S19" s="697">
        <f t="shared" si="0"/>
        <v>1944610.8981000001</v>
      </c>
      <c r="T19" s="693" t="s">
        <v>837</v>
      </c>
      <c r="V19" s="675">
        <v>1944610.8981000001</v>
      </c>
      <c r="W19" s="783">
        <f t="shared" si="1"/>
        <v>0</v>
      </c>
      <c r="X19" s="137">
        <v>1944610.8981000001</v>
      </c>
      <c r="Y19" s="783">
        <f t="shared" si="2"/>
        <v>0</v>
      </c>
    </row>
    <row r="20" spans="1:25" x14ac:dyDescent="0.2">
      <c r="A20" s="698">
        <v>6</v>
      </c>
      <c r="B20" s="693" t="s">
        <v>836</v>
      </c>
      <c r="C20" s="137" t="s">
        <v>800</v>
      </c>
      <c r="D20" s="137" t="s">
        <v>839</v>
      </c>
      <c r="E20" s="137" t="s">
        <v>831</v>
      </c>
      <c r="F20" s="694" t="s">
        <v>803</v>
      </c>
      <c r="G20" s="694" t="s">
        <v>804</v>
      </c>
      <c r="H20" s="137" t="s">
        <v>805</v>
      </c>
      <c r="I20" s="137" t="s">
        <v>307</v>
      </c>
      <c r="J20" s="137">
        <v>713002</v>
      </c>
      <c r="K20" s="693" t="s">
        <v>832</v>
      </c>
      <c r="L20" s="693" t="s">
        <v>807</v>
      </c>
      <c r="M20" s="693" t="s">
        <v>833</v>
      </c>
      <c r="N20" s="695">
        <v>1300000</v>
      </c>
      <c r="O20" s="696">
        <v>1</v>
      </c>
      <c r="P20" s="696"/>
      <c r="Q20" s="696"/>
      <c r="R20" s="696"/>
      <c r="S20" s="697">
        <f t="shared" si="0"/>
        <v>1599000</v>
      </c>
      <c r="T20" s="693" t="s">
        <v>837</v>
      </c>
      <c r="V20" s="675">
        <v>1599000</v>
      </c>
      <c r="W20" s="783">
        <f t="shared" si="1"/>
        <v>0</v>
      </c>
      <c r="X20" s="137">
        <v>1599000</v>
      </c>
      <c r="Y20" s="783">
        <f t="shared" si="2"/>
        <v>0</v>
      </c>
    </row>
    <row r="21" spans="1:25" x14ac:dyDescent="0.2">
      <c r="A21" s="692">
        <v>7</v>
      </c>
      <c r="B21" s="693" t="s">
        <v>840</v>
      </c>
      <c r="C21" s="137" t="s">
        <v>800</v>
      </c>
      <c r="D21" s="137" t="s">
        <v>801</v>
      </c>
      <c r="E21" s="137" t="s">
        <v>831</v>
      </c>
      <c r="F21" s="694" t="s">
        <v>803</v>
      </c>
      <c r="G21" s="694" t="s">
        <v>804</v>
      </c>
      <c r="H21" s="137" t="s">
        <v>805</v>
      </c>
      <c r="I21" s="137" t="s">
        <v>307</v>
      </c>
      <c r="J21" s="137">
        <v>713002</v>
      </c>
      <c r="K21" s="693" t="s">
        <v>832</v>
      </c>
      <c r="L21" s="693" t="s">
        <v>807</v>
      </c>
      <c r="M21" s="693" t="s">
        <v>833</v>
      </c>
      <c r="N21" s="695">
        <v>3131192</v>
      </c>
      <c r="O21" s="696">
        <v>1</v>
      </c>
      <c r="P21" s="696"/>
      <c r="Q21" s="696"/>
      <c r="R21" s="696"/>
      <c r="S21" s="697">
        <f t="shared" si="0"/>
        <v>3851366.16</v>
      </c>
      <c r="T21" s="693" t="s">
        <v>841</v>
      </c>
      <c r="V21" s="675">
        <v>3851366.16</v>
      </c>
      <c r="W21" s="783">
        <f t="shared" si="1"/>
        <v>0</v>
      </c>
      <c r="X21" s="137">
        <v>3851366.16</v>
      </c>
      <c r="Y21" s="783">
        <f t="shared" si="2"/>
        <v>0</v>
      </c>
    </row>
    <row r="22" spans="1:25" x14ac:dyDescent="0.2">
      <c r="A22" s="698">
        <v>8</v>
      </c>
      <c r="B22" s="693" t="s">
        <v>842</v>
      </c>
      <c r="C22" s="137" t="s">
        <v>800</v>
      </c>
      <c r="D22" s="137" t="s">
        <v>801</v>
      </c>
      <c r="E22" s="137" t="s">
        <v>831</v>
      </c>
      <c r="F22" s="694" t="s">
        <v>803</v>
      </c>
      <c r="G22" s="694" t="s">
        <v>70</v>
      </c>
      <c r="H22" s="137" t="s">
        <v>805</v>
      </c>
      <c r="I22" s="137" t="s">
        <v>76</v>
      </c>
      <c r="J22" s="137">
        <v>633013</v>
      </c>
      <c r="K22" s="693" t="s">
        <v>832</v>
      </c>
      <c r="L22" s="693" t="s">
        <v>807</v>
      </c>
      <c r="M22" s="693" t="s">
        <v>833</v>
      </c>
      <c r="N22" s="695">
        <v>700000</v>
      </c>
      <c r="O22" s="696">
        <v>1</v>
      </c>
      <c r="P22" s="696"/>
      <c r="Q22" s="696"/>
      <c r="R22" s="696"/>
      <c r="S22" s="697">
        <f t="shared" si="0"/>
        <v>861000</v>
      </c>
      <c r="T22" s="693" t="s">
        <v>843</v>
      </c>
      <c r="V22" s="675">
        <v>861000</v>
      </c>
      <c r="W22" s="783">
        <f t="shared" si="1"/>
        <v>0</v>
      </c>
      <c r="X22" s="137">
        <v>861000</v>
      </c>
      <c r="Y22" s="783">
        <f t="shared" si="2"/>
        <v>0</v>
      </c>
    </row>
    <row r="23" spans="1:25" x14ac:dyDescent="0.2">
      <c r="A23" s="698">
        <v>8</v>
      </c>
      <c r="B23" s="693" t="s">
        <v>842</v>
      </c>
      <c r="C23" s="137" t="s">
        <v>800</v>
      </c>
      <c r="D23" s="137" t="s">
        <v>820</v>
      </c>
      <c r="E23" s="137" t="s">
        <v>831</v>
      </c>
      <c r="F23" s="694" t="s">
        <v>803</v>
      </c>
      <c r="G23" s="694" t="s">
        <v>835</v>
      </c>
      <c r="H23" s="137" t="s">
        <v>805</v>
      </c>
      <c r="I23" s="137" t="s">
        <v>76</v>
      </c>
      <c r="J23" s="137">
        <v>633013</v>
      </c>
      <c r="K23" s="693" t="s">
        <v>832</v>
      </c>
      <c r="L23" s="693" t="s">
        <v>807</v>
      </c>
      <c r="M23" s="693" t="s">
        <v>833</v>
      </c>
      <c r="N23" s="695">
        <v>300000</v>
      </c>
      <c r="O23" s="696">
        <v>1</v>
      </c>
      <c r="P23" s="696"/>
      <c r="Q23" s="696"/>
      <c r="R23" s="696"/>
      <c r="S23" s="697">
        <f t="shared" si="0"/>
        <v>369000</v>
      </c>
      <c r="T23" s="693" t="s">
        <v>843</v>
      </c>
      <c r="V23" s="675">
        <v>369000</v>
      </c>
      <c r="W23" s="783">
        <f t="shared" si="1"/>
        <v>0</v>
      </c>
      <c r="X23" s="137">
        <v>369000</v>
      </c>
      <c r="Y23" s="783">
        <f t="shared" si="2"/>
        <v>0</v>
      </c>
    </row>
    <row r="24" spans="1:25" x14ac:dyDescent="0.2">
      <c r="A24" s="692">
        <v>9</v>
      </c>
      <c r="B24" s="693" t="s">
        <v>844</v>
      </c>
      <c r="C24" s="137" t="s">
        <v>800</v>
      </c>
      <c r="D24" s="137" t="s">
        <v>801</v>
      </c>
      <c r="E24" s="137" t="s">
        <v>845</v>
      </c>
      <c r="F24" s="694" t="s">
        <v>803</v>
      </c>
      <c r="G24" s="694" t="s">
        <v>804</v>
      </c>
      <c r="H24" s="137" t="s">
        <v>805</v>
      </c>
      <c r="I24" s="137" t="s">
        <v>307</v>
      </c>
      <c r="J24" s="137">
        <v>713002</v>
      </c>
      <c r="K24" s="693" t="s">
        <v>806</v>
      </c>
      <c r="L24" s="693" t="s">
        <v>807</v>
      </c>
      <c r="M24" s="693" t="s">
        <v>813</v>
      </c>
      <c r="N24" s="695">
        <v>11500</v>
      </c>
      <c r="O24" s="696">
        <v>23</v>
      </c>
      <c r="P24" s="696"/>
      <c r="Q24" s="696"/>
      <c r="R24" s="696"/>
      <c r="S24" s="697">
        <f t="shared" si="0"/>
        <v>325335</v>
      </c>
      <c r="T24" s="693" t="s">
        <v>846</v>
      </c>
      <c r="V24" s="675">
        <v>325335</v>
      </c>
      <c r="W24" s="783">
        <f t="shared" si="1"/>
        <v>0</v>
      </c>
      <c r="X24" s="137">
        <v>325335</v>
      </c>
      <c r="Y24" s="783">
        <f t="shared" si="2"/>
        <v>0</v>
      </c>
    </row>
    <row r="25" spans="1:25" x14ac:dyDescent="0.2">
      <c r="A25" s="692">
        <v>9</v>
      </c>
      <c r="B25" s="693" t="s">
        <v>844</v>
      </c>
      <c r="C25" s="137" t="s">
        <v>800</v>
      </c>
      <c r="D25" s="137" t="s">
        <v>801</v>
      </c>
      <c r="E25" s="137" t="s">
        <v>847</v>
      </c>
      <c r="F25" s="694" t="s">
        <v>803</v>
      </c>
      <c r="G25" s="694" t="s">
        <v>804</v>
      </c>
      <c r="H25" s="137" t="s">
        <v>805</v>
      </c>
      <c r="I25" s="137" t="s">
        <v>307</v>
      </c>
      <c r="J25" s="137">
        <v>713002</v>
      </c>
      <c r="K25" s="693" t="s">
        <v>806</v>
      </c>
      <c r="L25" s="693" t="s">
        <v>807</v>
      </c>
      <c r="M25" s="693" t="s">
        <v>813</v>
      </c>
      <c r="N25" s="695">
        <v>58000</v>
      </c>
      <c r="O25" s="696">
        <v>3</v>
      </c>
      <c r="P25" s="696"/>
      <c r="Q25" s="696"/>
      <c r="R25" s="696"/>
      <c r="S25" s="697">
        <f t="shared" si="0"/>
        <v>214020</v>
      </c>
      <c r="T25" s="693" t="s">
        <v>846</v>
      </c>
      <c r="V25" s="675">
        <v>214020</v>
      </c>
      <c r="W25" s="783">
        <f t="shared" si="1"/>
        <v>0</v>
      </c>
      <c r="X25" s="137">
        <v>214020</v>
      </c>
      <c r="Y25" s="783">
        <f t="shared" si="2"/>
        <v>0</v>
      </c>
    </row>
    <row r="26" spans="1:25" x14ac:dyDescent="0.2">
      <c r="A26" s="692">
        <v>9</v>
      </c>
      <c r="B26" s="693" t="s">
        <v>844</v>
      </c>
      <c r="C26" s="137" t="s">
        <v>800</v>
      </c>
      <c r="D26" s="137" t="s">
        <v>839</v>
      </c>
      <c r="E26" s="137" t="s">
        <v>848</v>
      </c>
      <c r="F26" s="694" t="s">
        <v>803</v>
      </c>
      <c r="G26" s="694" t="s">
        <v>70</v>
      </c>
      <c r="H26" s="137" t="s">
        <v>805</v>
      </c>
      <c r="I26" s="137" t="s">
        <v>76</v>
      </c>
      <c r="J26" s="137">
        <v>633013</v>
      </c>
      <c r="K26" s="693" t="s">
        <v>806</v>
      </c>
      <c r="L26" s="693" t="s">
        <v>807</v>
      </c>
      <c r="M26" s="693" t="s">
        <v>813</v>
      </c>
      <c r="N26" s="695">
        <v>2000</v>
      </c>
      <c r="O26" s="696">
        <v>23</v>
      </c>
      <c r="P26" s="696"/>
      <c r="Q26" s="696"/>
      <c r="R26" s="696"/>
      <c r="S26" s="697">
        <f t="shared" ref="S26" si="3">SUM(O26:R26)*N26*$B$3</f>
        <v>56580</v>
      </c>
      <c r="T26" s="693" t="s">
        <v>846</v>
      </c>
      <c r="V26" s="742">
        <v>56580</v>
      </c>
      <c r="W26" s="783">
        <f t="shared" si="1"/>
        <v>0</v>
      </c>
      <c r="X26" s="137">
        <v>56580</v>
      </c>
      <c r="Y26" s="783">
        <f t="shared" si="2"/>
        <v>0</v>
      </c>
    </row>
    <row r="27" spans="1:25" x14ac:dyDescent="0.2">
      <c r="A27" s="692">
        <v>9</v>
      </c>
      <c r="B27" s="693" t="s">
        <v>844</v>
      </c>
      <c r="C27" s="137" t="s">
        <v>800</v>
      </c>
      <c r="D27" s="137" t="s">
        <v>839</v>
      </c>
      <c r="E27" s="137" t="s">
        <v>848</v>
      </c>
      <c r="F27" s="694" t="s">
        <v>803</v>
      </c>
      <c r="G27" s="694" t="s">
        <v>70</v>
      </c>
      <c r="H27" s="137" t="s">
        <v>805</v>
      </c>
      <c r="I27" s="137" t="s">
        <v>76</v>
      </c>
      <c r="J27" s="137">
        <v>633013</v>
      </c>
      <c r="K27" s="693" t="s">
        <v>806</v>
      </c>
      <c r="L27" s="693" t="s">
        <v>807</v>
      </c>
      <c r="M27" s="693" t="s">
        <v>813</v>
      </c>
      <c r="N27" s="695">
        <v>4500</v>
      </c>
      <c r="O27" s="696">
        <v>3</v>
      </c>
      <c r="P27" s="696"/>
      <c r="Q27" s="696"/>
      <c r="R27" s="696"/>
      <c r="S27" s="697">
        <f t="shared" si="0"/>
        <v>16605</v>
      </c>
      <c r="T27" s="693" t="s">
        <v>849</v>
      </c>
      <c r="V27" s="742">
        <v>16605</v>
      </c>
      <c r="W27" s="783">
        <f t="shared" si="1"/>
        <v>0</v>
      </c>
      <c r="X27" s="137">
        <v>16605</v>
      </c>
      <c r="Y27" s="783">
        <f t="shared" si="2"/>
        <v>0</v>
      </c>
    </row>
    <row r="28" spans="1:25" x14ac:dyDescent="0.2">
      <c r="A28" s="698">
        <v>10</v>
      </c>
      <c r="B28" s="693" t="s">
        <v>850</v>
      </c>
      <c r="C28" s="137" t="s">
        <v>800</v>
      </c>
      <c r="D28" s="137" t="s">
        <v>851</v>
      </c>
      <c r="E28" s="137" t="s">
        <v>852</v>
      </c>
      <c r="F28" s="694" t="s">
        <v>803</v>
      </c>
      <c r="G28" s="694" t="s">
        <v>804</v>
      </c>
      <c r="H28" s="137" t="s">
        <v>805</v>
      </c>
      <c r="I28" s="137" t="s">
        <v>307</v>
      </c>
      <c r="J28" s="137">
        <v>713002</v>
      </c>
      <c r="K28" s="693" t="s">
        <v>806</v>
      </c>
      <c r="L28" s="693" t="s">
        <v>807</v>
      </c>
      <c r="M28" s="693" t="s">
        <v>828</v>
      </c>
      <c r="N28" s="695">
        <v>263999.49702642276</v>
      </c>
      <c r="O28" s="696">
        <v>1</v>
      </c>
      <c r="P28" s="696"/>
      <c r="Q28" s="696"/>
      <c r="R28" s="696"/>
      <c r="S28" s="697">
        <f t="shared" si="0"/>
        <v>324719.38134249998</v>
      </c>
      <c r="T28" s="693" t="s">
        <v>853</v>
      </c>
      <c r="V28" s="802">
        <v>324719.38134249998</v>
      </c>
      <c r="W28" s="783">
        <f t="shared" si="1"/>
        <v>0</v>
      </c>
      <c r="X28" s="137">
        <v>432959.17512333335</v>
      </c>
      <c r="Y28" s="783">
        <f t="shared" si="2"/>
        <v>-108239.79378083337</v>
      </c>
    </row>
    <row r="29" spans="1:25" x14ac:dyDescent="0.2">
      <c r="A29" s="692">
        <v>11</v>
      </c>
      <c r="B29" s="693" t="s">
        <v>854</v>
      </c>
      <c r="C29" s="699" t="s">
        <v>855</v>
      </c>
      <c r="D29" s="700" t="s">
        <v>856</v>
      </c>
      <c r="E29" s="700" t="s">
        <v>857</v>
      </c>
      <c r="F29" s="701" t="s">
        <v>858</v>
      </c>
      <c r="G29" s="701" t="s">
        <v>859</v>
      </c>
      <c r="H29" s="699" t="s">
        <v>860</v>
      </c>
      <c r="I29" s="699" t="s">
        <v>861</v>
      </c>
      <c r="J29" s="699">
        <v>610</v>
      </c>
      <c r="K29" s="702" t="s">
        <v>862</v>
      </c>
      <c r="L29" s="693" t="s">
        <v>863</v>
      </c>
      <c r="M29" s="693" t="s">
        <v>15</v>
      </c>
      <c r="N29" s="695">
        <v>12</v>
      </c>
      <c r="O29" s="696">
        <v>2088</v>
      </c>
      <c r="P29" s="696">
        <v>2088</v>
      </c>
      <c r="Q29" s="696">
        <v>2080</v>
      </c>
      <c r="R29" s="696">
        <v>2088</v>
      </c>
      <c r="S29" s="703">
        <f t="shared" ref="S29:S62" si="4">SUM(O29:R29)*N29*$B$2</f>
        <v>136374.33600000001</v>
      </c>
      <c r="T29" s="702" t="s">
        <v>864</v>
      </c>
      <c r="V29" s="743">
        <v>136374.33600000001</v>
      </c>
      <c r="W29" s="783">
        <f t="shared" si="1"/>
        <v>0</v>
      </c>
      <c r="X29" s="137">
        <v>136374.33600000001</v>
      </c>
      <c r="Y29" s="783">
        <f t="shared" si="2"/>
        <v>0</v>
      </c>
    </row>
    <row r="30" spans="1:25" x14ac:dyDescent="0.2">
      <c r="A30" s="692">
        <v>11</v>
      </c>
      <c r="B30" s="693" t="s">
        <v>865</v>
      </c>
      <c r="C30" s="704" t="s">
        <v>866</v>
      </c>
      <c r="D30" s="704" t="s">
        <v>867</v>
      </c>
      <c r="E30" s="704" t="s">
        <v>868</v>
      </c>
      <c r="F30" s="705" t="s">
        <v>858</v>
      </c>
      <c r="G30" s="706" t="s">
        <v>859</v>
      </c>
      <c r="H30" s="704" t="s">
        <v>860</v>
      </c>
      <c r="I30" s="704" t="s">
        <v>861</v>
      </c>
      <c r="J30" s="704">
        <v>610</v>
      </c>
      <c r="K30" s="707" t="s">
        <v>862</v>
      </c>
      <c r="L30" s="693" t="s">
        <v>863</v>
      </c>
      <c r="M30" s="693" t="s">
        <v>15</v>
      </c>
      <c r="N30" s="695">
        <v>12</v>
      </c>
      <c r="O30" s="696">
        <v>2088</v>
      </c>
      <c r="P30" s="696">
        <v>2088</v>
      </c>
      <c r="Q30" s="696">
        <v>2080</v>
      </c>
      <c r="R30" s="696">
        <v>2088</v>
      </c>
      <c r="S30" s="708">
        <f t="shared" si="4"/>
        <v>136374.33600000001</v>
      </c>
      <c r="T30" s="707" t="s">
        <v>869</v>
      </c>
      <c r="V30" s="744">
        <v>136374.33600000001</v>
      </c>
      <c r="W30" s="783">
        <f t="shared" si="1"/>
        <v>0</v>
      </c>
      <c r="X30" s="137">
        <v>136374.33600000001</v>
      </c>
      <c r="Y30" s="783">
        <f t="shared" si="2"/>
        <v>0</v>
      </c>
    </row>
    <row r="31" spans="1:25" x14ac:dyDescent="0.2">
      <c r="A31" s="692">
        <v>11</v>
      </c>
      <c r="B31" s="693" t="s">
        <v>854</v>
      </c>
      <c r="C31" s="699" t="s">
        <v>855</v>
      </c>
      <c r="D31" s="700" t="s">
        <v>870</v>
      </c>
      <c r="E31" s="700" t="s">
        <v>871</v>
      </c>
      <c r="F31" s="701" t="s">
        <v>858</v>
      </c>
      <c r="G31" s="701" t="s">
        <v>872</v>
      </c>
      <c r="H31" s="699" t="s">
        <v>860</v>
      </c>
      <c r="I31" s="699" t="s">
        <v>861</v>
      </c>
      <c r="J31" s="699">
        <v>610</v>
      </c>
      <c r="K31" s="702" t="s">
        <v>873</v>
      </c>
      <c r="L31" s="693" t="s">
        <v>874</v>
      </c>
      <c r="M31" s="693" t="s">
        <v>15</v>
      </c>
      <c r="N31" s="673">
        <v>22</v>
      </c>
      <c r="O31" s="674">
        <f>O$3/4</f>
        <v>522</v>
      </c>
      <c r="P31" s="674">
        <f>2088/4</f>
        <v>522</v>
      </c>
      <c r="Q31" s="674">
        <f>2080/4</f>
        <v>520</v>
      </c>
      <c r="R31" s="674">
        <f>2088/4</f>
        <v>522</v>
      </c>
      <c r="S31" s="703">
        <f t="shared" si="4"/>
        <v>62504.904000000002</v>
      </c>
      <c r="T31" s="702" t="s">
        <v>864</v>
      </c>
      <c r="V31" s="743">
        <v>62504.904000000002</v>
      </c>
      <c r="W31" s="783">
        <f t="shared" si="1"/>
        <v>0</v>
      </c>
      <c r="X31" s="137">
        <v>59663.772000000004</v>
      </c>
      <c r="Y31" s="783">
        <f t="shared" si="2"/>
        <v>2841.1319999999978</v>
      </c>
    </row>
    <row r="32" spans="1:25" x14ac:dyDescent="0.2">
      <c r="A32" s="692">
        <v>11</v>
      </c>
      <c r="B32" s="693" t="s">
        <v>865</v>
      </c>
      <c r="C32" s="704" t="s">
        <v>866</v>
      </c>
      <c r="D32" s="704" t="s">
        <v>875</v>
      </c>
      <c r="E32" s="704" t="s">
        <v>876</v>
      </c>
      <c r="F32" s="705" t="s">
        <v>858</v>
      </c>
      <c r="G32" s="706" t="s">
        <v>872</v>
      </c>
      <c r="H32" s="704" t="s">
        <v>860</v>
      </c>
      <c r="I32" s="704" t="s">
        <v>861</v>
      </c>
      <c r="J32" s="704">
        <v>610</v>
      </c>
      <c r="K32" s="707" t="s">
        <v>877</v>
      </c>
      <c r="L32" s="693" t="s">
        <v>878</v>
      </c>
      <c r="M32" s="693" t="s">
        <v>15</v>
      </c>
      <c r="N32" s="740">
        <v>24</v>
      </c>
      <c r="O32" s="674">
        <f>O$3/4</f>
        <v>522</v>
      </c>
      <c r="P32" s="674">
        <f>P$3/4</f>
        <v>522</v>
      </c>
      <c r="Q32" s="674">
        <f>Q$3/4</f>
        <v>520</v>
      </c>
      <c r="R32" s="674">
        <f>R$3/4</f>
        <v>522</v>
      </c>
      <c r="S32" s="708">
        <f t="shared" si="4"/>
        <v>68187.168000000005</v>
      </c>
      <c r="T32" s="707" t="s">
        <v>869</v>
      </c>
      <c r="V32" s="744">
        <v>68187.168000000005</v>
      </c>
      <c r="W32" s="783">
        <f t="shared" si="1"/>
        <v>0</v>
      </c>
      <c r="X32" s="137">
        <v>68187.168000000005</v>
      </c>
      <c r="Y32" s="783">
        <f t="shared" si="2"/>
        <v>0</v>
      </c>
    </row>
    <row r="33" spans="1:25" x14ac:dyDescent="0.2">
      <c r="A33" s="692">
        <v>11</v>
      </c>
      <c r="B33" s="693" t="s">
        <v>854</v>
      </c>
      <c r="C33" s="699" t="s">
        <v>855</v>
      </c>
      <c r="D33" s="700" t="s">
        <v>879</v>
      </c>
      <c r="E33" s="700" t="s">
        <v>880</v>
      </c>
      <c r="F33" s="701" t="s">
        <v>858</v>
      </c>
      <c r="G33" s="701" t="s">
        <v>872</v>
      </c>
      <c r="H33" s="699" t="s">
        <v>860</v>
      </c>
      <c r="I33" s="699" t="s">
        <v>861</v>
      </c>
      <c r="J33" s="699">
        <v>610</v>
      </c>
      <c r="K33" s="702" t="s">
        <v>873</v>
      </c>
      <c r="L33" s="693" t="s">
        <v>863</v>
      </c>
      <c r="M33" s="693" t="s">
        <v>15</v>
      </c>
      <c r="N33" s="673">
        <v>22</v>
      </c>
      <c r="O33" s="674">
        <f>O$4/4*3</f>
        <v>1182</v>
      </c>
      <c r="P33" s="674">
        <f>P$4/4*3</f>
        <v>1566</v>
      </c>
      <c r="Q33" s="674">
        <f>Q$4/4*3</f>
        <v>1560</v>
      </c>
      <c r="R33" s="674">
        <f>R$4/4*3</f>
        <v>1440</v>
      </c>
      <c r="S33" s="703">
        <f t="shared" si="4"/>
        <v>172233.07200000001</v>
      </c>
      <c r="T33" s="702" t="s">
        <v>881</v>
      </c>
      <c r="V33" s="743">
        <v>164404.296</v>
      </c>
      <c r="W33" s="783">
        <f t="shared" si="1"/>
        <v>-7828.7760000000126</v>
      </c>
      <c r="X33" s="137">
        <v>164404.296</v>
      </c>
      <c r="Y33" s="783">
        <f t="shared" si="2"/>
        <v>7828.7760000000126</v>
      </c>
    </row>
    <row r="34" spans="1:25" x14ac:dyDescent="0.2">
      <c r="A34" s="692">
        <v>11</v>
      </c>
      <c r="B34" s="693" t="s">
        <v>882</v>
      </c>
      <c r="C34" s="137" t="s">
        <v>800</v>
      </c>
      <c r="D34" s="137" t="s">
        <v>883</v>
      </c>
      <c r="E34" s="137" t="s">
        <v>884</v>
      </c>
      <c r="F34" s="694" t="s">
        <v>858</v>
      </c>
      <c r="G34" s="694" t="s">
        <v>885</v>
      </c>
      <c r="H34" s="137" t="s">
        <v>860</v>
      </c>
      <c r="I34" s="137" t="s">
        <v>861</v>
      </c>
      <c r="J34" s="137">
        <v>610</v>
      </c>
      <c r="K34" s="693" t="s">
        <v>886</v>
      </c>
      <c r="L34" s="693" t="s">
        <v>878</v>
      </c>
      <c r="M34" s="693" t="s">
        <v>15</v>
      </c>
      <c r="N34" s="695">
        <v>15</v>
      </c>
      <c r="O34" s="696">
        <v>350</v>
      </c>
      <c r="P34" s="696">
        <v>350</v>
      </c>
      <c r="Q34" s="696">
        <v>350</v>
      </c>
      <c r="R34" s="696">
        <v>350</v>
      </c>
      <c r="S34" s="697">
        <f t="shared" si="4"/>
        <v>28602.000000000004</v>
      </c>
      <c r="T34" s="693" t="s">
        <v>887</v>
      </c>
      <c r="V34" s="675">
        <v>28602.000000000004</v>
      </c>
      <c r="W34" s="783">
        <f t="shared" si="1"/>
        <v>0</v>
      </c>
      <c r="X34" s="137">
        <v>28602.000000000004</v>
      </c>
      <c r="Y34" s="783">
        <f t="shared" si="2"/>
        <v>0</v>
      </c>
    </row>
    <row r="35" spans="1:25" x14ac:dyDescent="0.2">
      <c r="A35" s="692">
        <v>11</v>
      </c>
      <c r="B35" s="693" t="s">
        <v>882</v>
      </c>
      <c r="C35" s="137" t="s">
        <v>800</v>
      </c>
      <c r="D35" s="137" t="s">
        <v>883</v>
      </c>
      <c r="E35" s="137" t="s">
        <v>884</v>
      </c>
      <c r="F35" s="694" t="s">
        <v>858</v>
      </c>
      <c r="G35" s="694" t="s">
        <v>885</v>
      </c>
      <c r="H35" s="137" t="s">
        <v>860</v>
      </c>
      <c r="I35" s="137" t="s">
        <v>861</v>
      </c>
      <c r="J35" s="137">
        <v>610</v>
      </c>
      <c r="K35" s="693" t="s">
        <v>886</v>
      </c>
      <c r="L35" s="693" t="s">
        <v>878</v>
      </c>
      <c r="M35" s="693" t="s">
        <v>15</v>
      </c>
      <c r="N35" s="695">
        <v>15</v>
      </c>
      <c r="O35" s="696">
        <v>350</v>
      </c>
      <c r="P35" s="696">
        <v>350</v>
      </c>
      <c r="Q35" s="696">
        <v>350</v>
      </c>
      <c r="R35" s="696">
        <v>350</v>
      </c>
      <c r="S35" s="697">
        <f t="shared" si="4"/>
        <v>28602.000000000004</v>
      </c>
      <c r="T35" s="693" t="s">
        <v>888</v>
      </c>
      <c r="V35" s="675">
        <v>28602.000000000004</v>
      </c>
      <c r="W35" s="783">
        <f t="shared" si="1"/>
        <v>0</v>
      </c>
      <c r="X35" s="137">
        <v>28602.000000000004</v>
      </c>
      <c r="Y35" s="783">
        <f t="shared" si="2"/>
        <v>0</v>
      </c>
    </row>
    <row r="36" spans="1:25" x14ac:dyDescent="0.2">
      <c r="A36" s="692">
        <v>11</v>
      </c>
      <c r="B36" s="693" t="s">
        <v>882</v>
      </c>
      <c r="C36" s="137" t="s">
        <v>800</v>
      </c>
      <c r="D36" s="694" t="s">
        <v>889</v>
      </c>
      <c r="E36" s="694" t="s">
        <v>890</v>
      </c>
      <c r="F36" s="694" t="s">
        <v>858</v>
      </c>
      <c r="G36" s="694" t="s">
        <v>885</v>
      </c>
      <c r="H36" s="694" t="s">
        <v>860</v>
      </c>
      <c r="I36" s="694" t="s">
        <v>861</v>
      </c>
      <c r="J36" s="694">
        <v>610</v>
      </c>
      <c r="K36" s="693" t="s">
        <v>891</v>
      </c>
      <c r="L36" s="137" t="s">
        <v>807</v>
      </c>
      <c r="M36" s="137" t="s">
        <v>15</v>
      </c>
      <c r="N36" s="784">
        <v>25</v>
      </c>
      <c r="O36" s="785">
        <f>O$3/4</f>
        <v>522</v>
      </c>
      <c r="P36" s="785">
        <f>2088/4</f>
        <v>522</v>
      </c>
      <c r="Q36" s="785">
        <f>2080/4</f>
        <v>520</v>
      </c>
      <c r="R36" s="785">
        <f>2088/4</f>
        <v>522</v>
      </c>
      <c r="S36" s="697">
        <f t="shared" si="4"/>
        <v>71028.3</v>
      </c>
      <c r="T36" s="693" t="s">
        <v>892</v>
      </c>
      <c r="V36" s="803">
        <v>71028.3</v>
      </c>
      <c r="W36" s="783">
        <f t="shared" si="1"/>
        <v>0</v>
      </c>
      <c r="X36" s="137">
        <v>71028.3</v>
      </c>
      <c r="Y36" s="783">
        <f t="shared" si="2"/>
        <v>0</v>
      </c>
    </row>
    <row r="37" spans="1:25" x14ac:dyDescent="0.2">
      <c r="A37" s="692">
        <v>11</v>
      </c>
      <c r="B37" s="693" t="s">
        <v>882</v>
      </c>
      <c r="C37" s="137" t="s">
        <v>800</v>
      </c>
      <c r="D37" s="694" t="s">
        <v>889</v>
      </c>
      <c r="E37" s="694" t="s">
        <v>890</v>
      </c>
      <c r="F37" s="694" t="s">
        <v>858</v>
      </c>
      <c r="G37" s="694" t="s">
        <v>885</v>
      </c>
      <c r="H37" s="694" t="s">
        <v>860</v>
      </c>
      <c r="I37" s="694" t="s">
        <v>861</v>
      </c>
      <c r="J37" s="694">
        <v>610</v>
      </c>
      <c r="K37" s="693" t="s">
        <v>893</v>
      </c>
      <c r="L37" s="137" t="s">
        <v>807</v>
      </c>
      <c r="M37" s="137" t="s">
        <v>15</v>
      </c>
      <c r="N37" s="784">
        <v>25</v>
      </c>
      <c r="O37" s="785">
        <f>O$3/4</f>
        <v>522</v>
      </c>
      <c r="P37" s="785">
        <f>2088/4</f>
        <v>522</v>
      </c>
      <c r="Q37" s="785">
        <f>2080/4</f>
        <v>520</v>
      </c>
      <c r="R37" s="785">
        <f>2088/4</f>
        <v>522</v>
      </c>
      <c r="S37" s="697">
        <f t="shared" si="4"/>
        <v>71028.3</v>
      </c>
      <c r="T37" s="693" t="s">
        <v>892</v>
      </c>
      <c r="V37" s="803">
        <v>71028.3</v>
      </c>
      <c r="W37" s="783">
        <f t="shared" si="1"/>
        <v>0</v>
      </c>
      <c r="X37" s="137">
        <v>71028.3</v>
      </c>
      <c r="Y37" s="783">
        <f t="shared" si="2"/>
        <v>0</v>
      </c>
    </row>
    <row r="38" spans="1:25" x14ac:dyDescent="0.2">
      <c r="A38" s="698">
        <v>11</v>
      </c>
      <c r="B38" s="693" t="s">
        <v>894</v>
      </c>
      <c r="C38" s="709" t="s">
        <v>895</v>
      </c>
      <c r="D38" s="709" t="s">
        <v>896</v>
      </c>
      <c r="E38" s="709" t="s">
        <v>897</v>
      </c>
      <c r="F38" s="710" t="s">
        <v>858</v>
      </c>
      <c r="G38" s="710" t="s">
        <v>898</v>
      </c>
      <c r="H38" s="709" t="s">
        <v>860</v>
      </c>
      <c r="I38" s="709" t="s">
        <v>861</v>
      </c>
      <c r="J38" s="709">
        <v>610</v>
      </c>
      <c r="K38" s="711" t="s">
        <v>899</v>
      </c>
      <c r="L38" s="137" t="s">
        <v>1098</v>
      </c>
      <c r="M38" s="137" t="s">
        <v>15</v>
      </c>
      <c r="N38" s="740">
        <v>25</v>
      </c>
      <c r="O38" s="674">
        <f>O$3/4</f>
        <v>522</v>
      </c>
      <c r="P38" s="674">
        <f>P$3/4</f>
        <v>522</v>
      </c>
      <c r="Q38" s="674">
        <f>Q$3/4</f>
        <v>520</v>
      </c>
      <c r="R38" s="674">
        <f>R$3/4</f>
        <v>522</v>
      </c>
      <c r="S38" s="712">
        <f t="shared" si="4"/>
        <v>71028.3</v>
      </c>
      <c r="T38" s="711" t="s">
        <v>900</v>
      </c>
      <c r="V38" s="745">
        <v>71028.3</v>
      </c>
      <c r="W38" s="783">
        <f t="shared" si="1"/>
        <v>0</v>
      </c>
      <c r="X38" s="137">
        <v>71028.3</v>
      </c>
      <c r="Y38" s="783">
        <f t="shared" si="2"/>
        <v>0</v>
      </c>
    </row>
    <row r="39" spans="1:25" x14ac:dyDescent="0.2">
      <c r="A39" s="698">
        <v>11</v>
      </c>
      <c r="B39" s="693" t="s">
        <v>894</v>
      </c>
      <c r="C39" s="713" t="s">
        <v>901</v>
      </c>
      <c r="D39" s="713" t="s">
        <v>896</v>
      </c>
      <c r="E39" s="713" t="s">
        <v>902</v>
      </c>
      <c r="F39" s="714" t="s">
        <v>858</v>
      </c>
      <c r="G39" s="714" t="s">
        <v>898</v>
      </c>
      <c r="H39" s="713" t="s">
        <v>860</v>
      </c>
      <c r="I39" s="713" t="s">
        <v>861</v>
      </c>
      <c r="J39" s="713">
        <v>610</v>
      </c>
      <c r="K39" s="715" t="s">
        <v>903</v>
      </c>
      <c r="L39" s="137" t="s">
        <v>863</v>
      </c>
      <c r="M39" s="137" t="s">
        <v>15</v>
      </c>
      <c r="N39" s="673">
        <v>25</v>
      </c>
      <c r="O39" s="674">
        <f>O$4</f>
        <v>1576</v>
      </c>
      <c r="P39" s="674">
        <f t="shared" ref="P39:R39" si="5">P$4</f>
        <v>2088</v>
      </c>
      <c r="Q39" s="674">
        <f t="shared" si="5"/>
        <v>2080</v>
      </c>
      <c r="R39" s="674">
        <f t="shared" si="5"/>
        <v>1920</v>
      </c>
      <c r="S39" s="716">
        <f t="shared" si="4"/>
        <v>260959.2</v>
      </c>
      <c r="T39" s="715" t="s">
        <v>904</v>
      </c>
      <c r="V39" s="746">
        <v>260959.2</v>
      </c>
      <c r="W39" s="783">
        <f t="shared" si="1"/>
        <v>0</v>
      </c>
      <c r="X39" s="137">
        <v>260959.2</v>
      </c>
      <c r="Y39" s="783">
        <f t="shared" si="2"/>
        <v>0</v>
      </c>
    </row>
    <row r="40" spans="1:25" x14ac:dyDescent="0.2">
      <c r="A40" s="698">
        <v>11</v>
      </c>
      <c r="B40" s="693" t="s">
        <v>894</v>
      </c>
      <c r="C40" s="137" t="s">
        <v>800</v>
      </c>
      <c r="D40" s="137" t="s">
        <v>896</v>
      </c>
      <c r="E40" s="137" t="s">
        <v>905</v>
      </c>
      <c r="F40" s="694" t="s">
        <v>858</v>
      </c>
      <c r="G40" s="694" t="s">
        <v>885</v>
      </c>
      <c r="H40" s="137" t="s">
        <v>860</v>
      </c>
      <c r="I40" s="137" t="s">
        <v>861</v>
      </c>
      <c r="J40" s="137">
        <v>610</v>
      </c>
      <c r="K40" s="693" t="s">
        <v>899</v>
      </c>
      <c r="L40" s="137" t="s">
        <v>1098</v>
      </c>
      <c r="M40" s="137" t="s">
        <v>15</v>
      </c>
      <c r="N40" s="740">
        <v>25</v>
      </c>
      <c r="O40" s="674">
        <f t="shared" ref="O40:R42" si="6">O$3/4</f>
        <v>522</v>
      </c>
      <c r="P40" s="674">
        <f t="shared" si="6"/>
        <v>522</v>
      </c>
      <c r="Q40" s="674">
        <f t="shared" si="6"/>
        <v>520</v>
      </c>
      <c r="R40" s="674">
        <f t="shared" si="6"/>
        <v>522</v>
      </c>
      <c r="S40" s="697">
        <f t="shared" si="4"/>
        <v>71028.3</v>
      </c>
      <c r="T40" s="693" t="s">
        <v>906</v>
      </c>
      <c r="V40" s="743">
        <v>71028.3</v>
      </c>
      <c r="W40" s="783">
        <f t="shared" si="1"/>
        <v>0</v>
      </c>
      <c r="X40" s="137">
        <v>71028.3</v>
      </c>
      <c r="Y40" s="783">
        <f t="shared" si="2"/>
        <v>0</v>
      </c>
    </row>
    <row r="41" spans="1:25" x14ac:dyDescent="0.2">
      <c r="A41" s="698">
        <v>11</v>
      </c>
      <c r="B41" s="693" t="s">
        <v>894</v>
      </c>
      <c r="C41" s="709" t="s">
        <v>895</v>
      </c>
      <c r="D41" s="709" t="s">
        <v>896</v>
      </c>
      <c r="E41" s="709" t="s">
        <v>907</v>
      </c>
      <c r="F41" s="710" t="s">
        <v>858</v>
      </c>
      <c r="G41" s="710" t="s">
        <v>898</v>
      </c>
      <c r="H41" s="709" t="s">
        <v>860</v>
      </c>
      <c r="I41" s="709" t="s">
        <v>861</v>
      </c>
      <c r="J41" s="709">
        <v>610</v>
      </c>
      <c r="K41" s="711" t="s">
        <v>899</v>
      </c>
      <c r="L41" s="137" t="s">
        <v>1098</v>
      </c>
      <c r="M41" s="137" t="s">
        <v>15</v>
      </c>
      <c r="N41" s="740">
        <v>25</v>
      </c>
      <c r="O41" s="674">
        <f t="shared" si="6"/>
        <v>522</v>
      </c>
      <c r="P41" s="674">
        <f t="shared" si="6"/>
        <v>522</v>
      </c>
      <c r="Q41" s="674">
        <f t="shared" si="6"/>
        <v>520</v>
      </c>
      <c r="R41" s="674">
        <f t="shared" si="6"/>
        <v>522</v>
      </c>
      <c r="S41" s="712">
        <f t="shared" si="4"/>
        <v>71028.3</v>
      </c>
      <c r="T41" s="711" t="s">
        <v>908</v>
      </c>
      <c r="V41" s="745">
        <v>71028.3</v>
      </c>
      <c r="W41" s="783">
        <f t="shared" si="1"/>
        <v>0</v>
      </c>
      <c r="X41" s="137">
        <v>71028.3</v>
      </c>
      <c r="Y41" s="783">
        <f t="shared" si="2"/>
        <v>0</v>
      </c>
    </row>
    <row r="42" spans="1:25" x14ac:dyDescent="0.2">
      <c r="A42" s="698">
        <v>11</v>
      </c>
      <c r="B42" s="693" t="s">
        <v>894</v>
      </c>
      <c r="C42" s="137" t="s">
        <v>800</v>
      </c>
      <c r="D42" s="717" t="s">
        <v>896</v>
      </c>
      <c r="E42" s="717" t="s">
        <v>909</v>
      </c>
      <c r="F42" s="694" t="s">
        <v>858</v>
      </c>
      <c r="G42" s="694" t="s">
        <v>898</v>
      </c>
      <c r="H42" s="713" t="s">
        <v>860</v>
      </c>
      <c r="I42" s="137" t="s">
        <v>861</v>
      </c>
      <c r="J42" s="137">
        <v>610</v>
      </c>
      <c r="K42" s="693" t="s">
        <v>899</v>
      </c>
      <c r="L42" s="137" t="s">
        <v>1098</v>
      </c>
      <c r="M42" s="717" t="s">
        <v>15</v>
      </c>
      <c r="N42" s="740">
        <v>25</v>
      </c>
      <c r="O42" s="674">
        <f t="shared" si="6"/>
        <v>522</v>
      </c>
      <c r="P42" s="674">
        <f t="shared" si="6"/>
        <v>522</v>
      </c>
      <c r="Q42" s="674">
        <f t="shared" si="6"/>
        <v>520</v>
      </c>
      <c r="R42" s="674">
        <f t="shared" si="6"/>
        <v>522</v>
      </c>
      <c r="S42" s="697">
        <f t="shared" si="4"/>
        <v>71028.3</v>
      </c>
      <c r="T42" s="693" t="s">
        <v>910</v>
      </c>
      <c r="V42" s="748">
        <v>71028.3</v>
      </c>
      <c r="W42" s="783">
        <f t="shared" si="1"/>
        <v>0</v>
      </c>
      <c r="X42" s="137">
        <v>71028.3</v>
      </c>
      <c r="Y42" s="783">
        <f t="shared" si="2"/>
        <v>0</v>
      </c>
    </row>
    <row r="43" spans="1:25" x14ac:dyDescent="0.2">
      <c r="A43" s="698">
        <v>11</v>
      </c>
      <c r="B43" s="693" t="s">
        <v>894</v>
      </c>
      <c r="C43" s="713" t="s">
        <v>901</v>
      </c>
      <c r="D43" s="713" t="s">
        <v>896</v>
      </c>
      <c r="E43" s="713" t="s">
        <v>911</v>
      </c>
      <c r="F43" s="714" t="s">
        <v>858</v>
      </c>
      <c r="G43" s="714" t="s">
        <v>885</v>
      </c>
      <c r="H43" s="713" t="s">
        <v>860</v>
      </c>
      <c r="I43" s="713" t="s">
        <v>861</v>
      </c>
      <c r="J43" s="713">
        <v>610</v>
      </c>
      <c r="K43" s="715" t="s">
        <v>912</v>
      </c>
      <c r="L43" s="693" t="s">
        <v>863</v>
      </c>
      <c r="M43" s="693" t="s">
        <v>15</v>
      </c>
      <c r="N43" s="695">
        <v>20</v>
      </c>
      <c r="O43" s="696">
        <v>197</v>
      </c>
      <c r="P43" s="696">
        <v>261</v>
      </c>
      <c r="Q43" s="696">
        <v>260</v>
      </c>
      <c r="R43" s="696">
        <v>240</v>
      </c>
      <c r="S43" s="716">
        <f t="shared" si="4"/>
        <v>26095.920000000002</v>
      </c>
      <c r="T43" s="715" t="s">
        <v>913</v>
      </c>
      <c r="V43" s="746">
        <v>26095.920000000002</v>
      </c>
      <c r="W43" s="783">
        <f t="shared" si="1"/>
        <v>0</v>
      </c>
      <c r="X43" s="137">
        <v>26095.920000000002</v>
      </c>
      <c r="Y43" s="783">
        <f t="shared" si="2"/>
        <v>0</v>
      </c>
    </row>
    <row r="44" spans="1:25" x14ac:dyDescent="0.2">
      <c r="A44" s="698">
        <v>11</v>
      </c>
      <c r="B44" s="693" t="s">
        <v>894</v>
      </c>
      <c r="C44" s="713" t="s">
        <v>901</v>
      </c>
      <c r="D44" s="713" t="s">
        <v>896</v>
      </c>
      <c r="E44" s="713" t="s">
        <v>911</v>
      </c>
      <c r="F44" s="714" t="s">
        <v>858</v>
      </c>
      <c r="G44" s="714" t="s">
        <v>885</v>
      </c>
      <c r="H44" s="713" t="s">
        <v>860</v>
      </c>
      <c r="I44" s="713" t="s">
        <v>861</v>
      </c>
      <c r="J44" s="713">
        <v>610</v>
      </c>
      <c r="K44" s="715" t="s">
        <v>912</v>
      </c>
      <c r="L44" s="693" t="s">
        <v>863</v>
      </c>
      <c r="M44" s="693" t="s">
        <v>15</v>
      </c>
      <c r="N44" s="695">
        <v>20</v>
      </c>
      <c r="O44" s="696">
        <v>197</v>
      </c>
      <c r="P44" s="696">
        <v>261</v>
      </c>
      <c r="Q44" s="696">
        <v>260</v>
      </c>
      <c r="R44" s="696">
        <v>240</v>
      </c>
      <c r="S44" s="716">
        <f t="shared" si="4"/>
        <v>26095.920000000002</v>
      </c>
      <c r="T44" s="715" t="s">
        <v>913</v>
      </c>
      <c r="V44" s="746">
        <v>26095.920000000002</v>
      </c>
      <c r="W44" s="783">
        <f t="shared" si="1"/>
        <v>0</v>
      </c>
      <c r="X44" s="137">
        <v>26095.920000000002</v>
      </c>
      <c r="Y44" s="783">
        <f t="shared" si="2"/>
        <v>0</v>
      </c>
    </row>
    <row r="45" spans="1:25" x14ac:dyDescent="0.2">
      <c r="A45" s="692">
        <v>11</v>
      </c>
      <c r="B45" s="693" t="s">
        <v>914</v>
      </c>
      <c r="C45" s="709" t="s">
        <v>895</v>
      </c>
      <c r="D45" s="709" t="s">
        <v>915</v>
      </c>
      <c r="E45" s="709" t="s">
        <v>916</v>
      </c>
      <c r="F45" s="710" t="s">
        <v>858</v>
      </c>
      <c r="G45" s="710" t="s">
        <v>885</v>
      </c>
      <c r="H45" s="709" t="s">
        <v>860</v>
      </c>
      <c r="I45" s="709" t="s">
        <v>861</v>
      </c>
      <c r="J45" s="709">
        <v>610</v>
      </c>
      <c r="K45" s="711" t="s">
        <v>917</v>
      </c>
      <c r="L45" s="693" t="s">
        <v>878</v>
      </c>
      <c r="M45" s="693" t="s">
        <v>15</v>
      </c>
      <c r="N45" s="695">
        <v>25</v>
      </c>
      <c r="O45" s="696">
        <v>350</v>
      </c>
      <c r="P45" s="696">
        <v>350</v>
      </c>
      <c r="Q45" s="696">
        <v>350</v>
      </c>
      <c r="R45" s="696">
        <v>350</v>
      </c>
      <c r="S45" s="712">
        <f t="shared" si="4"/>
        <v>47670</v>
      </c>
      <c r="T45" s="711" t="s">
        <v>918</v>
      </c>
      <c r="V45" s="745">
        <v>47670</v>
      </c>
      <c r="W45" s="783">
        <f t="shared" si="1"/>
        <v>0</v>
      </c>
      <c r="X45" s="137">
        <v>47670</v>
      </c>
      <c r="Y45" s="783">
        <f t="shared" si="2"/>
        <v>0</v>
      </c>
    </row>
    <row r="46" spans="1:25" x14ac:dyDescent="0.2">
      <c r="A46" s="692">
        <v>11</v>
      </c>
      <c r="B46" s="693" t="s">
        <v>914</v>
      </c>
      <c r="C46" s="709" t="s">
        <v>895</v>
      </c>
      <c r="D46" s="709" t="s">
        <v>915</v>
      </c>
      <c r="E46" s="709" t="s">
        <v>919</v>
      </c>
      <c r="F46" s="710" t="s">
        <v>858</v>
      </c>
      <c r="G46" s="710" t="s">
        <v>885</v>
      </c>
      <c r="H46" s="709" t="s">
        <v>860</v>
      </c>
      <c r="I46" s="709" t="s">
        <v>861</v>
      </c>
      <c r="J46" s="709">
        <v>610</v>
      </c>
      <c r="K46" s="711" t="s">
        <v>917</v>
      </c>
      <c r="L46" s="693" t="s">
        <v>878</v>
      </c>
      <c r="M46" s="693" t="s">
        <v>15</v>
      </c>
      <c r="N46" s="695">
        <v>25</v>
      </c>
      <c r="O46" s="696">
        <v>350</v>
      </c>
      <c r="P46" s="696">
        <v>350</v>
      </c>
      <c r="Q46" s="696">
        <v>350</v>
      </c>
      <c r="R46" s="696">
        <v>350</v>
      </c>
      <c r="S46" s="712">
        <f t="shared" si="4"/>
        <v>47670</v>
      </c>
      <c r="T46" s="711" t="s">
        <v>918</v>
      </c>
      <c r="V46" s="745">
        <v>47670</v>
      </c>
      <c r="W46" s="783">
        <f t="shared" si="1"/>
        <v>0</v>
      </c>
      <c r="X46" s="137">
        <v>47670</v>
      </c>
      <c r="Y46" s="783">
        <f t="shared" si="2"/>
        <v>0</v>
      </c>
    </row>
    <row r="47" spans="1:25" x14ac:dyDescent="0.2">
      <c r="A47" s="692">
        <v>11</v>
      </c>
      <c r="B47" s="693" t="s">
        <v>914</v>
      </c>
      <c r="C47" s="709" t="s">
        <v>895</v>
      </c>
      <c r="D47" s="709" t="s">
        <v>915</v>
      </c>
      <c r="E47" s="709" t="s">
        <v>920</v>
      </c>
      <c r="F47" s="710" t="s">
        <v>858</v>
      </c>
      <c r="G47" s="710" t="s">
        <v>885</v>
      </c>
      <c r="H47" s="709" t="s">
        <v>860</v>
      </c>
      <c r="I47" s="709" t="s">
        <v>861</v>
      </c>
      <c r="J47" s="709">
        <v>610</v>
      </c>
      <c r="K47" s="711" t="s">
        <v>917</v>
      </c>
      <c r="L47" s="693" t="s">
        <v>878</v>
      </c>
      <c r="M47" s="693" t="s">
        <v>15</v>
      </c>
      <c r="N47" s="695">
        <v>25</v>
      </c>
      <c r="O47" s="696">
        <v>350</v>
      </c>
      <c r="P47" s="696">
        <v>350</v>
      </c>
      <c r="Q47" s="696">
        <v>350</v>
      </c>
      <c r="R47" s="696">
        <v>350</v>
      </c>
      <c r="S47" s="712">
        <f t="shared" si="4"/>
        <v>47670</v>
      </c>
      <c r="T47" s="711" t="s">
        <v>918</v>
      </c>
      <c r="V47" s="745">
        <v>47670</v>
      </c>
      <c r="W47" s="783">
        <f t="shared" si="1"/>
        <v>0</v>
      </c>
      <c r="X47" s="137">
        <v>47670</v>
      </c>
      <c r="Y47" s="783">
        <f t="shared" si="2"/>
        <v>0</v>
      </c>
    </row>
    <row r="48" spans="1:25" x14ac:dyDescent="0.2">
      <c r="A48" s="692">
        <v>11</v>
      </c>
      <c r="B48" s="693" t="s">
        <v>914</v>
      </c>
      <c r="C48" s="713" t="s">
        <v>901</v>
      </c>
      <c r="D48" s="713" t="s">
        <v>915</v>
      </c>
      <c r="E48" s="713" t="s">
        <v>921</v>
      </c>
      <c r="F48" s="714" t="s">
        <v>858</v>
      </c>
      <c r="G48" s="714" t="s">
        <v>885</v>
      </c>
      <c r="H48" s="713" t="s">
        <v>860</v>
      </c>
      <c r="I48" s="713" t="s">
        <v>861</v>
      </c>
      <c r="J48" s="713">
        <v>610</v>
      </c>
      <c r="K48" s="715" t="s">
        <v>922</v>
      </c>
      <c r="L48" s="693" t="s">
        <v>863</v>
      </c>
      <c r="M48" s="693" t="s">
        <v>15</v>
      </c>
      <c r="N48" s="695">
        <v>18</v>
      </c>
      <c r="O48" s="696">
        <v>1576</v>
      </c>
      <c r="P48" s="696">
        <v>2088</v>
      </c>
      <c r="Q48" s="696">
        <v>2080</v>
      </c>
      <c r="R48" s="696">
        <v>1920</v>
      </c>
      <c r="S48" s="716">
        <f t="shared" si="4"/>
        <v>187890.62400000001</v>
      </c>
      <c r="T48" s="715" t="s">
        <v>904</v>
      </c>
      <c r="V48" s="746">
        <v>187890.62400000001</v>
      </c>
      <c r="W48" s="783">
        <f t="shared" si="1"/>
        <v>0</v>
      </c>
      <c r="X48" s="137">
        <v>187890.62400000001</v>
      </c>
      <c r="Y48" s="783">
        <f t="shared" si="2"/>
        <v>0</v>
      </c>
    </row>
    <row r="49" spans="1:25" x14ac:dyDescent="0.2">
      <c r="A49" s="692">
        <v>11</v>
      </c>
      <c r="B49" s="693" t="s">
        <v>914</v>
      </c>
      <c r="C49" s="137" t="s">
        <v>800</v>
      </c>
      <c r="D49" s="137" t="s">
        <v>923</v>
      </c>
      <c r="E49" s="137" t="s">
        <v>924</v>
      </c>
      <c r="F49" s="694" t="s">
        <v>858</v>
      </c>
      <c r="G49" s="694" t="s">
        <v>885</v>
      </c>
      <c r="H49" s="137" t="s">
        <v>860</v>
      </c>
      <c r="I49" s="137" t="s">
        <v>861</v>
      </c>
      <c r="J49" s="137">
        <v>610</v>
      </c>
      <c r="K49" s="693" t="s">
        <v>917</v>
      </c>
      <c r="L49" s="693" t="s">
        <v>878</v>
      </c>
      <c r="M49" s="693" t="s">
        <v>15</v>
      </c>
      <c r="N49" s="695">
        <v>25</v>
      </c>
      <c r="O49" s="696">
        <v>350</v>
      </c>
      <c r="P49" s="696">
        <v>350</v>
      </c>
      <c r="Q49" s="696">
        <v>350</v>
      </c>
      <c r="R49" s="696">
        <v>350</v>
      </c>
      <c r="S49" s="697">
        <f t="shared" si="4"/>
        <v>47670</v>
      </c>
      <c r="T49" s="693" t="s">
        <v>925</v>
      </c>
      <c r="V49" s="675">
        <v>47670</v>
      </c>
      <c r="W49" s="783">
        <f t="shared" si="1"/>
        <v>0</v>
      </c>
      <c r="X49" s="137">
        <v>47670</v>
      </c>
      <c r="Y49" s="783">
        <f t="shared" si="2"/>
        <v>0</v>
      </c>
    </row>
    <row r="50" spans="1:25" x14ac:dyDescent="0.2">
      <c r="A50" s="692">
        <v>11</v>
      </c>
      <c r="B50" s="693" t="s">
        <v>914</v>
      </c>
      <c r="C50" s="137" t="s">
        <v>800</v>
      </c>
      <c r="D50" s="137" t="s">
        <v>923</v>
      </c>
      <c r="E50" s="137" t="s">
        <v>926</v>
      </c>
      <c r="F50" s="694" t="s">
        <v>858</v>
      </c>
      <c r="G50" s="694" t="s">
        <v>885</v>
      </c>
      <c r="H50" s="137" t="s">
        <v>860</v>
      </c>
      <c r="I50" s="137" t="s">
        <v>861</v>
      </c>
      <c r="J50" s="137">
        <v>610</v>
      </c>
      <c r="K50" s="693" t="s">
        <v>927</v>
      </c>
      <c r="L50" s="693" t="s">
        <v>878</v>
      </c>
      <c r="M50" s="693" t="s">
        <v>15</v>
      </c>
      <c r="N50" s="695">
        <v>25</v>
      </c>
      <c r="O50" s="696">
        <v>350</v>
      </c>
      <c r="P50" s="696">
        <v>350</v>
      </c>
      <c r="Q50" s="696">
        <v>350</v>
      </c>
      <c r="R50" s="696">
        <v>350</v>
      </c>
      <c r="S50" s="697">
        <f t="shared" si="4"/>
        <v>47670</v>
      </c>
      <c r="T50" s="693" t="s">
        <v>925</v>
      </c>
      <c r="V50" s="675">
        <v>47670</v>
      </c>
      <c r="W50" s="783">
        <f t="shared" si="1"/>
        <v>0</v>
      </c>
      <c r="X50" s="137">
        <v>47670</v>
      </c>
      <c r="Y50" s="783">
        <f t="shared" si="2"/>
        <v>0</v>
      </c>
    </row>
    <row r="51" spans="1:25" x14ac:dyDescent="0.2">
      <c r="A51" s="692">
        <v>11</v>
      </c>
      <c r="B51" s="693" t="s">
        <v>914</v>
      </c>
      <c r="C51" s="137" t="s">
        <v>800</v>
      </c>
      <c r="D51" s="137" t="s">
        <v>923</v>
      </c>
      <c r="E51" s="137" t="s">
        <v>928</v>
      </c>
      <c r="F51" s="694" t="s">
        <v>858</v>
      </c>
      <c r="G51" s="694" t="s">
        <v>885</v>
      </c>
      <c r="H51" s="137" t="s">
        <v>860</v>
      </c>
      <c r="I51" s="137" t="s">
        <v>861</v>
      </c>
      <c r="J51" s="137">
        <v>610</v>
      </c>
      <c r="K51" s="693" t="s">
        <v>917</v>
      </c>
      <c r="L51" s="693" t="s">
        <v>878</v>
      </c>
      <c r="M51" s="693" t="s">
        <v>15</v>
      </c>
      <c r="N51" s="695">
        <v>25</v>
      </c>
      <c r="O51" s="696">
        <v>350</v>
      </c>
      <c r="P51" s="696">
        <v>350</v>
      </c>
      <c r="Q51" s="696">
        <v>350</v>
      </c>
      <c r="R51" s="696">
        <v>350</v>
      </c>
      <c r="S51" s="697">
        <f t="shared" si="4"/>
        <v>47670</v>
      </c>
      <c r="T51" s="693" t="s">
        <v>925</v>
      </c>
      <c r="V51" s="675">
        <v>47670</v>
      </c>
      <c r="W51" s="783">
        <f t="shared" si="1"/>
        <v>0</v>
      </c>
      <c r="X51" s="137">
        <v>47670</v>
      </c>
      <c r="Y51" s="783">
        <f t="shared" si="2"/>
        <v>0</v>
      </c>
    </row>
    <row r="52" spans="1:25" x14ac:dyDescent="0.2">
      <c r="A52" s="692">
        <v>11</v>
      </c>
      <c r="B52" s="693" t="s">
        <v>914</v>
      </c>
      <c r="C52" s="137" t="s">
        <v>800</v>
      </c>
      <c r="D52" s="137" t="s">
        <v>923</v>
      </c>
      <c r="E52" s="137" t="s">
        <v>929</v>
      </c>
      <c r="F52" s="694" t="s">
        <v>858</v>
      </c>
      <c r="G52" s="694" t="s">
        <v>885</v>
      </c>
      <c r="H52" s="137" t="s">
        <v>860</v>
      </c>
      <c r="I52" s="137" t="s">
        <v>861</v>
      </c>
      <c r="J52" s="137">
        <v>610</v>
      </c>
      <c r="K52" s="693" t="s">
        <v>917</v>
      </c>
      <c r="L52" s="693" t="s">
        <v>878</v>
      </c>
      <c r="M52" s="693" t="s">
        <v>15</v>
      </c>
      <c r="N52" s="695">
        <v>25</v>
      </c>
      <c r="O52" s="696">
        <v>350</v>
      </c>
      <c r="P52" s="696">
        <v>350</v>
      </c>
      <c r="Q52" s="696">
        <v>350</v>
      </c>
      <c r="R52" s="696">
        <v>350</v>
      </c>
      <c r="S52" s="697">
        <f t="shared" si="4"/>
        <v>47670</v>
      </c>
      <c r="T52" s="693" t="s">
        <v>925</v>
      </c>
      <c r="V52" s="675">
        <v>47670</v>
      </c>
      <c r="W52" s="783">
        <f t="shared" si="1"/>
        <v>0</v>
      </c>
      <c r="X52" s="137">
        <v>47670</v>
      </c>
      <c r="Y52" s="783">
        <f t="shared" si="2"/>
        <v>0</v>
      </c>
    </row>
    <row r="53" spans="1:25" x14ac:dyDescent="0.2">
      <c r="A53" s="692">
        <v>11</v>
      </c>
      <c r="B53" s="693" t="s">
        <v>914</v>
      </c>
      <c r="C53" s="137" t="s">
        <v>800</v>
      </c>
      <c r="D53" s="137" t="s">
        <v>923</v>
      </c>
      <c r="E53" s="137" t="s">
        <v>930</v>
      </c>
      <c r="F53" s="694" t="s">
        <v>858</v>
      </c>
      <c r="G53" s="694" t="s">
        <v>885</v>
      </c>
      <c r="H53" s="137" t="s">
        <v>860</v>
      </c>
      <c r="I53" s="137" t="s">
        <v>861</v>
      </c>
      <c r="J53" s="137">
        <v>610</v>
      </c>
      <c r="K53" s="693" t="s">
        <v>927</v>
      </c>
      <c r="L53" s="693" t="s">
        <v>878</v>
      </c>
      <c r="M53" s="693" t="s">
        <v>15</v>
      </c>
      <c r="N53" s="695">
        <v>25</v>
      </c>
      <c r="O53" s="696">
        <v>350</v>
      </c>
      <c r="P53" s="696">
        <v>350</v>
      </c>
      <c r="Q53" s="696">
        <v>350</v>
      </c>
      <c r="R53" s="696">
        <v>350</v>
      </c>
      <c r="S53" s="697">
        <f t="shared" si="4"/>
        <v>47670</v>
      </c>
      <c r="T53" s="693" t="s">
        <v>925</v>
      </c>
      <c r="V53" s="675">
        <v>47670</v>
      </c>
      <c r="W53" s="783">
        <f t="shared" si="1"/>
        <v>0</v>
      </c>
      <c r="X53" s="137">
        <v>47670</v>
      </c>
      <c r="Y53" s="783">
        <f t="shared" si="2"/>
        <v>0</v>
      </c>
    </row>
    <row r="54" spans="1:25" x14ac:dyDescent="0.2">
      <c r="A54" s="692">
        <v>11</v>
      </c>
      <c r="B54" s="693" t="s">
        <v>914</v>
      </c>
      <c r="C54" s="137" t="s">
        <v>800</v>
      </c>
      <c r="D54" s="137" t="s">
        <v>923</v>
      </c>
      <c r="E54" s="137" t="s">
        <v>931</v>
      </c>
      <c r="F54" s="694" t="s">
        <v>858</v>
      </c>
      <c r="G54" s="694" t="s">
        <v>885</v>
      </c>
      <c r="H54" s="137" t="s">
        <v>860</v>
      </c>
      <c r="I54" s="137" t="s">
        <v>861</v>
      </c>
      <c r="J54" s="137">
        <v>610</v>
      </c>
      <c r="K54" s="693" t="s">
        <v>917</v>
      </c>
      <c r="L54" s="693" t="s">
        <v>878</v>
      </c>
      <c r="M54" s="693" t="s">
        <v>15</v>
      </c>
      <c r="N54" s="695">
        <v>25</v>
      </c>
      <c r="O54" s="696">
        <v>350</v>
      </c>
      <c r="P54" s="696">
        <v>350</v>
      </c>
      <c r="Q54" s="696">
        <v>350</v>
      </c>
      <c r="R54" s="696">
        <v>350</v>
      </c>
      <c r="S54" s="697">
        <f t="shared" si="4"/>
        <v>47670</v>
      </c>
      <c r="T54" s="693" t="s">
        <v>925</v>
      </c>
      <c r="V54" s="675">
        <v>47670</v>
      </c>
      <c r="W54" s="783">
        <f t="shared" si="1"/>
        <v>0</v>
      </c>
      <c r="X54" s="137">
        <v>47670</v>
      </c>
      <c r="Y54" s="783">
        <f t="shared" si="2"/>
        <v>0</v>
      </c>
    </row>
    <row r="55" spans="1:25" x14ac:dyDescent="0.2">
      <c r="A55" s="692">
        <v>11</v>
      </c>
      <c r="B55" s="693" t="s">
        <v>914</v>
      </c>
      <c r="C55" s="137" t="s">
        <v>800</v>
      </c>
      <c r="D55" s="137" t="s">
        <v>923</v>
      </c>
      <c r="E55" s="137" t="s">
        <v>932</v>
      </c>
      <c r="F55" s="694" t="s">
        <v>858</v>
      </c>
      <c r="G55" s="694" t="s">
        <v>885</v>
      </c>
      <c r="H55" s="137" t="s">
        <v>860</v>
      </c>
      <c r="I55" s="137" t="s">
        <v>861</v>
      </c>
      <c r="J55" s="137">
        <v>610</v>
      </c>
      <c r="K55" s="693" t="s">
        <v>917</v>
      </c>
      <c r="L55" s="693" t="s">
        <v>878</v>
      </c>
      <c r="M55" s="693" t="s">
        <v>15</v>
      </c>
      <c r="N55" s="695">
        <v>25</v>
      </c>
      <c r="O55" s="696">
        <v>350</v>
      </c>
      <c r="P55" s="696">
        <v>350</v>
      </c>
      <c r="Q55" s="696">
        <v>350</v>
      </c>
      <c r="R55" s="696">
        <v>350</v>
      </c>
      <c r="S55" s="697">
        <f t="shared" si="4"/>
        <v>47670</v>
      </c>
      <c r="T55" s="693" t="s">
        <v>925</v>
      </c>
      <c r="V55" s="675">
        <v>47670</v>
      </c>
      <c r="W55" s="783">
        <f t="shared" si="1"/>
        <v>0</v>
      </c>
      <c r="X55" s="137">
        <v>47670</v>
      </c>
      <c r="Y55" s="783">
        <f t="shared" si="2"/>
        <v>0</v>
      </c>
    </row>
    <row r="56" spans="1:25" x14ac:dyDescent="0.2">
      <c r="A56" s="692">
        <v>11</v>
      </c>
      <c r="B56" s="693" t="s">
        <v>914</v>
      </c>
      <c r="C56" s="137" t="s">
        <v>800</v>
      </c>
      <c r="D56" s="137" t="s">
        <v>923</v>
      </c>
      <c r="E56" s="137" t="s">
        <v>933</v>
      </c>
      <c r="F56" s="694" t="s">
        <v>858</v>
      </c>
      <c r="G56" s="694" t="s">
        <v>885</v>
      </c>
      <c r="H56" s="137" t="s">
        <v>860</v>
      </c>
      <c r="I56" s="137" t="s">
        <v>861</v>
      </c>
      <c r="J56" s="137">
        <v>610</v>
      </c>
      <c r="K56" s="693" t="s">
        <v>917</v>
      </c>
      <c r="L56" s="693" t="s">
        <v>878</v>
      </c>
      <c r="M56" s="693" t="s">
        <v>15</v>
      </c>
      <c r="N56" s="695">
        <v>25</v>
      </c>
      <c r="O56" s="696">
        <v>350</v>
      </c>
      <c r="P56" s="696">
        <v>350</v>
      </c>
      <c r="Q56" s="696">
        <v>350</v>
      </c>
      <c r="R56" s="696">
        <v>350</v>
      </c>
      <c r="S56" s="697">
        <f t="shared" si="4"/>
        <v>47670</v>
      </c>
      <c r="T56" s="693" t="s">
        <v>925</v>
      </c>
      <c r="V56" s="675">
        <v>47670</v>
      </c>
      <c r="W56" s="783">
        <f t="shared" si="1"/>
        <v>0</v>
      </c>
      <c r="X56" s="137">
        <v>47670</v>
      </c>
      <c r="Y56" s="783">
        <f t="shared" si="2"/>
        <v>0</v>
      </c>
    </row>
    <row r="57" spans="1:25" x14ac:dyDescent="0.2">
      <c r="A57" s="692">
        <v>11</v>
      </c>
      <c r="B57" s="693" t="s">
        <v>914</v>
      </c>
      <c r="C57" s="137" t="s">
        <v>800</v>
      </c>
      <c r="D57" s="137" t="s">
        <v>923</v>
      </c>
      <c r="E57" s="137" t="s">
        <v>934</v>
      </c>
      <c r="F57" s="694" t="s">
        <v>858</v>
      </c>
      <c r="G57" s="694" t="s">
        <v>885</v>
      </c>
      <c r="H57" s="137" t="s">
        <v>860</v>
      </c>
      <c r="I57" s="137" t="s">
        <v>861</v>
      </c>
      <c r="J57" s="137">
        <v>610</v>
      </c>
      <c r="K57" s="693" t="s">
        <v>917</v>
      </c>
      <c r="L57" s="693" t="s">
        <v>878</v>
      </c>
      <c r="M57" s="693" t="s">
        <v>15</v>
      </c>
      <c r="N57" s="695">
        <v>25</v>
      </c>
      <c r="O57" s="696">
        <v>350</v>
      </c>
      <c r="P57" s="696">
        <v>350</v>
      </c>
      <c r="Q57" s="696">
        <v>350</v>
      </c>
      <c r="R57" s="696">
        <v>350</v>
      </c>
      <c r="S57" s="697">
        <f t="shared" si="4"/>
        <v>47670</v>
      </c>
      <c r="T57" s="693" t="s">
        <v>925</v>
      </c>
      <c r="V57" s="675">
        <v>47670</v>
      </c>
      <c r="W57" s="783">
        <f t="shared" si="1"/>
        <v>0</v>
      </c>
      <c r="X57" s="137">
        <v>47670</v>
      </c>
      <c r="Y57" s="783">
        <f t="shared" si="2"/>
        <v>0</v>
      </c>
    </row>
    <row r="58" spans="1:25" x14ac:dyDescent="0.2">
      <c r="A58" s="692">
        <v>11</v>
      </c>
      <c r="B58" s="693" t="s">
        <v>914</v>
      </c>
      <c r="C58" s="137" t="s">
        <v>800</v>
      </c>
      <c r="D58" s="137" t="s">
        <v>923</v>
      </c>
      <c r="E58" s="137" t="s">
        <v>935</v>
      </c>
      <c r="F58" s="694" t="s">
        <v>858</v>
      </c>
      <c r="G58" s="694" t="s">
        <v>885</v>
      </c>
      <c r="H58" s="137" t="s">
        <v>860</v>
      </c>
      <c r="I58" s="137" t="s">
        <v>861</v>
      </c>
      <c r="J58" s="137">
        <v>610</v>
      </c>
      <c r="K58" s="693" t="s">
        <v>917</v>
      </c>
      <c r="L58" s="693" t="s">
        <v>878</v>
      </c>
      <c r="M58" s="693" t="s">
        <v>15</v>
      </c>
      <c r="N58" s="695">
        <v>25</v>
      </c>
      <c r="O58" s="696">
        <v>350</v>
      </c>
      <c r="P58" s="696">
        <v>350</v>
      </c>
      <c r="Q58" s="696">
        <v>350</v>
      </c>
      <c r="R58" s="696">
        <v>350</v>
      </c>
      <c r="S58" s="697">
        <f t="shared" si="4"/>
        <v>47670</v>
      </c>
      <c r="T58" s="693" t="s">
        <v>925</v>
      </c>
      <c r="V58" s="675">
        <v>47670</v>
      </c>
      <c r="W58" s="783">
        <f t="shared" si="1"/>
        <v>0</v>
      </c>
      <c r="X58" s="137">
        <v>47670</v>
      </c>
      <c r="Y58" s="783">
        <f t="shared" si="2"/>
        <v>0</v>
      </c>
    </row>
    <row r="59" spans="1:25" x14ac:dyDescent="0.2">
      <c r="A59" s="692">
        <v>11</v>
      </c>
      <c r="B59" s="693" t="s">
        <v>914</v>
      </c>
      <c r="C59" s="137" t="s">
        <v>800</v>
      </c>
      <c r="D59" s="137" t="s">
        <v>923</v>
      </c>
      <c r="E59" s="137" t="s">
        <v>936</v>
      </c>
      <c r="F59" s="694" t="s">
        <v>858</v>
      </c>
      <c r="G59" s="694" t="s">
        <v>885</v>
      </c>
      <c r="H59" s="137" t="s">
        <v>860</v>
      </c>
      <c r="I59" s="137" t="s">
        <v>861</v>
      </c>
      <c r="J59" s="137">
        <v>610</v>
      </c>
      <c r="K59" s="693" t="s">
        <v>917</v>
      </c>
      <c r="L59" s="693" t="s">
        <v>878</v>
      </c>
      <c r="M59" s="693" t="s">
        <v>15</v>
      </c>
      <c r="N59" s="695">
        <v>25</v>
      </c>
      <c r="O59" s="696">
        <v>350</v>
      </c>
      <c r="P59" s="696">
        <v>350</v>
      </c>
      <c r="Q59" s="696">
        <v>350</v>
      </c>
      <c r="R59" s="696">
        <v>350</v>
      </c>
      <c r="S59" s="697">
        <f t="shared" si="4"/>
        <v>47670</v>
      </c>
      <c r="T59" s="693" t="s">
        <v>925</v>
      </c>
      <c r="V59" s="675">
        <v>47670</v>
      </c>
      <c r="W59" s="783">
        <f t="shared" si="1"/>
        <v>0</v>
      </c>
      <c r="X59" s="137">
        <v>47670</v>
      </c>
      <c r="Y59" s="783">
        <f t="shared" si="2"/>
        <v>0</v>
      </c>
    </row>
    <row r="60" spans="1:25" x14ac:dyDescent="0.2">
      <c r="A60" s="692">
        <v>11</v>
      </c>
      <c r="B60" s="693" t="s">
        <v>914</v>
      </c>
      <c r="C60" s="137" t="s">
        <v>800</v>
      </c>
      <c r="D60" s="137" t="s">
        <v>923</v>
      </c>
      <c r="E60" s="137" t="s">
        <v>937</v>
      </c>
      <c r="F60" s="694" t="s">
        <v>858</v>
      </c>
      <c r="G60" s="694" t="s">
        <v>885</v>
      </c>
      <c r="H60" s="137" t="s">
        <v>860</v>
      </c>
      <c r="I60" s="137" t="s">
        <v>861</v>
      </c>
      <c r="J60" s="137">
        <v>610</v>
      </c>
      <c r="K60" s="693" t="s">
        <v>938</v>
      </c>
      <c r="L60" s="693" t="s">
        <v>878</v>
      </c>
      <c r="M60" s="693" t="s">
        <v>15</v>
      </c>
      <c r="N60" s="695">
        <v>25</v>
      </c>
      <c r="O60" s="696">
        <v>350</v>
      </c>
      <c r="P60" s="696">
        <v>350</v>
      </c>
      <c r="Q60" s="696">
        <v>350</v>
      </c>
      <c r="R60" s="696">
        <v>350</v>
      </c>
      <c r="S60" s="697">
        <f t="shared" si="4"/>
        <v>47670</v>
      </c>
      <c r="T60" s="693" t="s">
        <v>925</v>
      </c>
      <c r="V60" s="675">
        <v>47670</v>
      </c>
      <c r="W60" s="783">
        <f t="shared" si="1"/>
        <v>0</v>
      </c>
      <c r="X60" s="137">
        <v>47670</v>
      </c>
      <c r="Y60" s="783">
        <f t="shared" si="2"/>
        <v>0</v>
      </c>
    </row>
    <row r="61" spans="1:25" x14ac:dyDescent="0.2">
      <c r="A61" s="692">
        <v>11</v>
      </c>
      <c r="B61" s="693" t="s">
        <v>914</v>
      </c>
      <c r="C61" s="137" t="s">
        <v>800</v>
      </c>
      <c r="D61" s="137" t="s">
        <v>939</v>
      </c>
      <c r="E61" s="137" t="s">
        <v>940</v>
      </c>
      <c r="F61" s="694" t="s">
        <v>858</v>
      </c>
      <c r="G61" s="694" t="s">
        <v>885</v>
      </c>
      <c r="H61" s="137" t="s">
        <v>860</v>
      </c>
      <c r="I61" s="137" t="s">
        <v>861</v>
      </c>
      <c r="J61" s="137">
        <v>610</v>
      </c>
      <c r="K61" s="693" t="s">
        <v>938</v>
      </c>
      <c r="L61" s="693" t="s">
        <v>878</v>
      </c>
      <c r="M61" s="693" t="s">
        <v>15</v>
      </c>
      <c r="N61" s="695">
        <v>25</v>
      </c>
      <c r="O61" s="674">
        <v>350</v>
      </c>
      <c r="P61" s="674">
        <v>350</v>
      </c>
      <c r="Q61" s="674">
        <v>350</v>
      </c>
      <c r="R61" s="674">
        <v>350</v>
      </c>
      <c r="S61" s="697">
        <f t="shared" si="4"/>
        <v>47670</v>
      </c>
      <c r="T61" s="693" t="s">
        <v>941</v>
      </c>
      <c r="V61" s="675">
        <v>47670</v>
      </c>
      <c r="W61" s="783">
        <f t="shared" si="1"/>
        <v>0</v>
      </c>
      <c r="X61" s="137">
        <v>47670</v>
      </c>
      <c r="Y61" s="783">
        <f t="shared" si="2"/>
        <v>0</v>
      </c>
    </row>
    <row r="62" spans="1:25" x14ac:dyDescent="0.2">
      <c r="A62" s="692">
        <v>11</v>
      </c>
      <c r="B62" s="693" t="s">
        <v>914</v>
      </c>
      <c r="C62" s="137" t="s">
        <v>800</v>
      </c>
      <c r="D62" s="137" t="s">
        <v>939</v>
      </c>
      <c r="E62" s="137" t="s">
        <v>940</v>
      </c>
      <c r="F62" s="694" t="s">
        <v>858</v>
      </c>
      <c r="G62" s="694" t="s">
        <v>885</v>
      </c>
      <c r="H62" s="137" t="s">
        <v>860</v>
      </c>
      <c r="I62" s="137" t="s">
        <v>861</v>
      </c>
      <c r="J62" s="137">
        <v>610</v>
      </c>
      <c r="K62" s="693" t="s">
        <v>938</v>
      </c>
      <c r="L62" s="693" t="s">
        <v>878</v>
      </c>
      <c r="M62" s="693" t="s">
        <v>15</v>
      </c>
      <c r="N62" s="695">
        <v>25</v>
      </c>
      <c r="O62" s="674">
        <v>350</v>
      </c>
      <c r="P62" s="674">
        <v>350</v>
      </c>
      <c r="Q62" s="674">
        <v>350</v>
      </c>
      <c r="R62" s="674">
        <v>350</v>
      </c>
      <c r="S62" s="697">
        <f t="shared" si="4"/>
        <v>47670</v>
      </c>
      <c r="T62" s="693" t="s">
        <v>942</v>
      </c>
      <c r="V62" s="675">
        <v>47670</v>
      </c>
      <c r="W62" s="783">
        <f t="shared" si="1"/>
        <v>0</v>
      </c>
      <c r="X62" s="137">
        <v>47670</v>
      </c>
      <c r="Y62" s="783">
        <f t="shared" si="2"/>
        <v>0</v>
      </c>
    </row>
    <row r="63" spans="1:25" x14ac:dyDescent="0.2">
      <c r="A63" s="698">
        <v>11</v>
      </c>
      <c r="B63" s="693" t="s">
        <v>943</v>
      </c>
      <c r="C63" s="137" t="s">
        <v>800</v>
      </c>
      <c r="D63" s="137" t="s">
        <v>944</v>
      </c>
      <c r="E63" s="137" t="s">
        <v>945</v>
      </c>
      <c r="F63" s="694" t="s">
        <v>803</v>
      </c>
      <c r="G63" s="694" t="s">
        <v>946</v>
      </c>
      <c r="H63" s="137" t="s">
        <v>805</v>
      </c>
      <c r="I63" s="137" t="s">
        <v>76</v>
      </c>
      <c r="J63" s="137">
        <v>633013</v>
      </c>
      <c r="K63" s="693" t="s">
        <v>947</v>
      </c>
      <c r="L63" s="693" t="s">
        <v>807</v>
      </c>
      <c r="M63" s="693" t="s">
        <v>948</v>
      </c>
      <c r="N63" s="695">
        <v>430</v>
      </c>
      <c r="O63" s="696">
        <v>120</v>
      </c>
      <c r="P63" s="696">
        <v>36</v>
      </c>
      <c r="Q63" s="696">
        <v>20</v>
      </c>
      <c r="R63" s="696"/>
      <c r="S63" s="697">
        <f>SUM(O63:R63)*N63</f>
        <v>75680</v>
      </c>
      <c r="T63" s="693" t="s">
        <v>949</v>
      </c>
      <c r="V63" s="675">
        <v>75680</v>
      </c>
      <c r="W63" s="783">
        <f t="shared" si="1"/>
        <v>0</v>
      </c>
      <c r="X63" s="137">
        <v>75680</v>
      </c>
      <c r="Y63" s="783">
        <f t="shared" si="2"/>
        <v>0</v>
      </c>
    </row>
    <row r="64" spans="1:25" x14ac:dyDescent="0.2">
      <c r="A64" s="698">
        <v>11</v>
      </c>
      <c r="B64" s="693" t="s">
        <v>943</v>
      </c>
      <c r="C64" s="137" t="s">
        <v>800</v>
      </c>
      <c r="D64" s="137" t="s">
        <v>950</v>
      </c>
      <c r="E64" s="137" t="s">
        <v>951</v>
      </c>
      <c r="F64" s="694" t="s">
        <v>803</v>
      </c>
      <c r="G64" s="694" t="s">
        <v>946</v>
      </c>
      <c r="H64" s="137" t="s">
        <v>805</v>
      </c>
      <c r="I64" s="137" t="s">
        <v>76</v>
      </c>
      <c r="J64" s="137">
        <v>633013</v>
      </c>
      <c r="K64" s="693" t="s">
        <v>947</v>
      </c>
      <c r="L64" s="693" t="s">
        <v>807</v>
      </c>
      <c r="M64" s="693" t="s">
        <v>948</v>
      </c>
      <c r="N64" s="695">
        <v>430</v>
      </c>
      <c r="O64" s="696">
        <v>67</v>
      </c>
      <c r="P64" s="696">
        <v>120</v>
      </c>
      <c r="Q64" s="696">
        <v>120</v>
      </c>
      <c r="R64" s="696">
        <v>96</v>
      </c>
      <c r="S64" s="697">
        <f>SUM(O64:R64)*N64</f>
        <v>173290</v>
      </c>
      <c r="T64" s="693" t="s">
        <v>949</v>
      </c>
      <c r="V64" s="675">
        <v>173290</v>
      </c>
      <c r="W64" s="783">
        <f t="shared" si="1"/>
        <v>0</v>
      </c>
      <c r="X64" s="137">
        <v>171742</v>
      </c>
      <c r="Y64" s="783">
        <f t="shared" si="2"/>
        <v>1548</v>
      </c>
    </row>
    <row r="65" spans="1:25" x14ac:dyDescent="0.2">
      <c r="A65" s="698">
        <v>11</v>
      </c>
      <c r="B65" s="693" t="s">
        <v>943</v>
      </c>
      <c r="C65" s="137" t="s">
        <v>800</v>
      </c>
      <c r="D65" s="137" t="s">
        <v>952</v>
      </c>
      <c r="E65" s="137" t="s">
        <v>953</v>
      </c>
      <c r="F65" s="694" t="s">
        <v>803</v>
      </c>
      <c r="G65" s="694" t="s">
        <v>946</v>
      </c>
      <c r="H65" s="137" t="s">
        <v>805</v>
      </c>
      <c r="I65" s="137" t="s">
        <v>76</v>
      </c>
      <c r="J65" s="137">
        <v>633013</v>
      </c>
      <c r="K65" s="693" t="s">
        <v>947</v>
      </c>
      <c r="L65" s="693" t="s">
        <v>807</v>
      </c>
      <c r="M65" s="693" t="s">
        <v>948</v>
      </c>
      <c r="N65" s="695">
        <v>120</v>
      </c>
      <c r="O65" s="696">
        <v>33</v>
      </c>
      <c r="P65" s="696">
        <v>85</v>
      </c>
      <c r="Q65" s="696">
        <v>85</v>
      </c>
      <c r="R65" s="696">
        <v>44</v>
      </c>
      <c r="S65" s="697">
        <f>SUM(O65:R65)*N65</f>
        <v>29640</v>
      </c>
      <c r="T65" s="693" t="s">
        <v>949</v>
      </c>
      <c r="V65" s="675">
        <v>29640</v>
      </c>
      <c r="W65" s="783">
        <f t="shared" si="1"/>
        <v>0</v>
      </c>
      <c r="X65" s="137">
        <v>29640</v>
      </c>
      <c r="Y65" s="783">
        <f t="shared" si="2"/>
        <v>0</v>
      </c>
    </row>
    <row r="66" spans="1:25" x14ac:dyDescent="0.2">
      <c r="A66" s="698">
        <v>11</v>
      </c>
      <c r="B66" s="693" t="s">
        <v>943</v>
      </c>
      <c r="C66" s="137" t="s">
        <v>800</v>
      </c>
      <c r="D66" s="137" t="s">
        <v>954</v>
      </c>
      <c r="E66" s="137" t="s">
        <v>955</v>
      </c>
      <c r="F66" s="694" t="s">
        <v>803</v>
      </c>
      <c r="G66" s="694" t="s">
        <v>946</v>
      </c>
      <c r="H66" s="137" t="s">
        <v>805</v>
      </c>
      <c r="I66" s="137" t="s">
        <v>76</v>
      </c>
      <c r="J66" s="137">
        <v>633013</v>
      </c>
      <c r="K66" s="693" t="s">
        <v>947</v>
      </c>
      <c r="L66" s="693" t="s">
        <v>807</v>
      </c>
      <c r="M66" s="693" t="s">
        <v>948</v>
      </c>
      <c r="N66" s="695">
        <v>360</v>
      </c>
      <c r="O66" s="696">
        <v>63</v>
      </c>
      <c r="P66" s="696">
        <v>90</v>
      </c>
      <c r="Q66" s="696">
        <v>90</v>
      </c>
      <c r="R66" s="696">
        <v>60</v>
      </c>
      <c r="S66" s="697">
        <f>SUM(O66:R66)*N66</f>
        <v>109080</v>
      </c>
      <c r="T66" s="693" t="s">
        <v>949</v>
      </c>
      <c r="V66" s="675">
        <v>109080</v>
      </c>
      <c r="W66" s="783">
        <f t="shared" si="1"/>
        <v>0</v>
      </c>
      <c r="X66" s="137">
        <v>109080</v>
      </c>
      <c r="Y66" s="783">
        <f t="shared" si="2"/>
        <v>0</v>
      </c>
    </row>
    <row r="67" spans="1:25" x14ac:dyDescent="0.2">
      <c r="A67" s="698">
        <v>11</v>
      </c>
      <c r="B67" s="693" t="s">
        <v>943</v>
      </c>
      <c r="C67" s="137" t="s">
        <v>800</v>
      </c>
      <c r="D67" s="137" t="s">
        <v>956</v>
      </c>
      <c r="E67" s="137" t="s">
        <v>957</v>
      </c>
      <c r="F67" s="694" t="s">
        <v>803</v>
      </c>
      <c r="G67" s="694" t="s">
        <v>946</v>
      </c>
      <c r="H67" s="137" t="s">
        <v>805</v>
      </c>
      <c r="I67" s="137" t="s">
        <v>76</v>
      </c>
      <c r="J67" s="137">
        <v>633013</v>
      </c>
      <c r="K67" s="693" t="s">
        <v>947</v>
      </c>
      <c r="L67" s="693" t="s">
        <v>807</v>
      </c>
      <c r="M67" s="693" t="s">
        <v>948</v>
      </c>
      <c r="N67" s="695">
        <v>120</v>
      </c>
      <c r="O67" s="696">
        <v>50</v>
      </c>
      <c r="P67" s="696">
        <v>61</v>
      </c>
      <c r="Q67" s="696">
        <v>61</v>
      </c>
      <c r="R67" s="696">
        <v>44</v>
      </c>
      <c r="S67" s="697">
        <f>SUM(O67:R67)*N67</f>
        <v>25920</v>
      </c>
      <c r="T67" s="693" t="s">
        <v>949</v>
      </c>
      <c r="V67" s="675">
        <v>25920</v>
      </c>
      <c r="W67" s="783">
        <f t="shared" si="1"/>
        <v>0</v>
      </c>
      <c r="X67" s="137">
        <v>25920</v>
      </c>
      <c r="Y67" s="783">
        <f t="shared" si="2"/>
        <v>0</v>
      </c>
    </row>
    <row r="68" spans="1:25" x14ac:dyDescent="0.2">
      <c r="A68" s="698">
        <v>11</v>
      </c>
      <c r="B68" s="693" t="s">
        <v>943</v>
      </c>
      <c r="C68" s="699" t="s">
        <v>855</v>
      </c>
      <c r="D68" s="700" t="s">
        <v>958</v>
      </c>
      <c r="E68" s="700" t="s">
        <v>959</v>
      </c>
      <c r="F68" s="718" t="s">
        <v>858</v>
      </c>
      <c r="G68" s="718" t="s">
        <v>885</v>
      </c>
      <c r="H68" s="700" t="s">
        <v>805</v>
      </c>
      <c r="I68" s="700" t="s">
        <v>76</v>
      </c>
      <c r="J68" s="700">
        <v>633013</v>
      </c>
      <c r="K68" s="702" t="s">
        <v>960</v>
      </c>
      <c r="L68" s="693" t="s">
        <v>807</v>
      </c>
      <c r="M68" s="693" t="s">
        <v>961</v>
      </c>
      <c r="N68" s="695">
        <v>500</v>
      </c>
      <c r="O68" s="696">
        <v>10</v>
      </c>
      <c r="P68" s="696">
        <v>10</v>
      </c>
      <c r="Q68" s="696">
        <v>10</v>
      </c>
      <c r="R68" s="696">
        <v>10</v>
      </c>
      <c r="S68" s="703">
        <f>SUM(O68:R68)*N68*$B$3</f>
        <v>24600</v>
      </c>
      <c r="T68" s="702" t="s">
        <v>962</v>
      </c>
      <c r="V68" s="743">
        <v>24600</v>
      </c>
      <c r="W68" s="783">
        <f t="shared" si="1"/>
        <v>0</v>
      </c>
      <c r="X68" s="137">
        <v>24600</v>
      </c>
      <c r="Y68" s="783">
        <f t="shared" si="2"/>
        <v>0</v>
      </c>
    </row>
    <row r="69" spans="1:25" x14ac:dyDescent="0.2">
      <c r="A69" s="698">
        <v>11</v>
      </c>
      <c r="B69" s="693" t="s">
        <v>943</v>
      </c>
      <c r="C69" s="699" t="s">
        <v>855</v>
      </c>
      <c r="D69" s="700" t="s">
        <v>963</v>
      </c>
      <c r="E69" s="700" t="s">
        <v>964</v>
      </c>
      <c r="F69" s="718" t="s">
        <v>858</v>
      </c>
      <c r="G69" s="718" t="s">
        <v>965</v>
      </c>
      <c r="H69" s="718" t="s">
        <v>805</v>
      </c>
      <c r="I69" s="718" t="s">
        <v>76</v>
      </c>
      <c r="J69" s="718">
        <v>633013</v>
      </c>
      <c r="K69" s="702" t="s">
        <v>966</v>
      </c>
      <c r="L69" s="693" t="s">
        <v>807</v>
      </c>
      <c r="M69" s="693" t="s">
        <v>967</v>
      </c>
      <c r="N69" s="695">
        <v>2500</v>
      </c>
      <c r="O69" s="696">
        <v>8</v>
      </c>
      <c r="P69" s="696">
        <v>8</v>
      </c>
      <c r="Q69" s="696"/>
      <c r="R69" s="696"/>
      <c r="S69" s="703">
        <f>SUM(O69:R69)*N69*$B$3</f>
        <v>49200</v>
      </c>
      <c r="T69" s="702" t="s">
        <v>968</v>
      </c>
      <c r="V69" s="743">
        <v>49200</v>
      </c>
      <c r="W69" s="783">
        <f t="shared" si="1"/>
        <v>0</v>
      </c>
      <c r="X69" s="137">
        <v>49200</v>
      </c>
      <c r="Y69" s="783">
        <f t="shared" si="2"/>
        <v>0</v>
      </c>
    </row>
    <row r="70" spans="1:25" x14ac:dyDescent="0.2">
      <c r="A70" s="698">
        <v>11</v>
      </c>
      <c r="B70" s="693" t="s">
        <v>943</v>
      </c>
      <c r="C70" s="713" t="s">
        <v>901</v>
      </c>
      <c r="D70" s="713" t="s">
        <v>969</v>
      </c>
      <c r="E70" s="713" t="s">
        <v>970</v>
      </c>
      <c r="F70" s="714" t="s">
        <v>971</v>
      </c>
      <c r="G70" s="714" t="s">
        <v>965</v>
      </c>
      <c r="H70" s="713" t="s">
        <v>805</v>
      </c>
      <c r="I70" s="713" t="s">
        <v>76</v>
      </c>
      <c r="J70" s="713">
        <v>633013</v>
      </c>
      <c r="K70" s="715" t="s">
        <v>966</v>
      </c>
      <c r="L70" s="693" t="s">
        <v>807</v>
      </c>
      <c r="M70" s="693" t="s">
        <v>967</v>
      </c>
      <c r="N70" s="695">
        <v>2500</v>
      </c>
      <c r="O70" s="696">
        <v>8</v>
      </c>
      <c r="P70" s="696">
        <v>8</v>
      </c>
      <c r="Q70" s="696">
        <v>8</v>
      </c>
      <c r="R70" s="696"/>
      <c r="S70" s="716">
        <f>SUM(O70:R70)*N70*$B$3</f>
        <v>73800</v>
      </c>
      <c r="T70" s="715" t="s">
        <v>972</v>
      </c>
      <c r="V70" s="746">
        <v>73800</v>
      </c>
      <c r="W70" s="783">
        <f t="shared" si="1"/>
        <v>0</v>
      </c>
      <c r="X70" s="137">
        <v>73800</v>
      </c>
      <c r="Y70" s="783">
        <f t="shared" si="2"/>
        <v>0</v>
      </c>
    </row>
    <row r="71" spans="1:25" x14ac:dyDescent="0.2">
      <c r="A71" s="698">
        <v>11</v>
      </c>
      <c r="B71" s="693" t="s">
        <v>943</v>
      </c>
      <c r="C71" s="709" t="s">
        <v>895</v>
      </c>
      <c r="D71" s="709" t="s">
        <v>973</v>
      </c>
      <c r="E71" s="709" t="s">
        <v>974</v>
      </c>
      <c r="F71" s="710" t="s">
        <v>971</v>
      </c>
      <c r="G71" s="710" t="s">
        <v>965</v>
      </c>
      <c r="H71" s="709" t="s">
        <v>805</v>
      </c>
      <c r="I71" s="709" t="s">
        <v>76</v>
      </c>
      <c r="J71" s="709">
        <v>633013</v>
      </c>
      <c r="K71" s="711" t="s">
        <v>966</v>
      </c>
      <c r="L71" s="693" t="s">
        <v>807</v>
      </c>
      <c r="M71" s="693" t="s">
        <v>967</v>
      </c>
      <c r="N71" s="695">
        <v>2500</v>
      </c>
      <c r="O71" s="696">
        <v>4</v>
      </c>
      <c r="P71" s="696">
        <v>4</v>
      </c>
      <c r="Q71" s="696">
        <v>4</v>
      </c>
      <c r="R71" s="696"/>
      <c r="S71" s="712">
        <f>SUM(O71:R71)*N71*$B$3</f>
        <v>36900</v>
      </c>
      <c r="T71" s="711" t="s">
        <v>975</v>
      </c>
      <c r="V71" s="745">
        <v>36900</v>
      </c>
      <c r="W71" s="783">
        <f t="shared" si="1"/>
        <v>0</v>
      </c>
      <c r="X71" s="137">
        <v>36900</v>
      </c>
      <c r="Y71" s="783">
        <f t="shared" si="2"/>
        <v>0</v>
      </c>
    </row>
    <row r="72" spans="1:25" x14ac:dyDescent="0.2">
      <c r="A72" s="692">
        <v>11</v>
      </c>
      <c r="B72" s="693" t="s">
        <v>865</v>
      </c>
      <c r="C72" s="704" t="s">
        <v>866</v>
      </c>
      <c r="D72" s="704" t="s">
        <v>976</v>
      </c>
      <c r="E72" s="704" t="s">
        <v>977</v>
      </c>
      <c r="F72" s="705" t="s">
        <v>858</v>
      </c>
      <c r="G72" s="705" t="s">
        <v>885</v>
      </c>
      <c r="H72" s="704" t="s">
        <v>860</v>
      </c>
      <c r="I72" s="704" t="s">
        <v>861</v>
      </c>
      <c r="J72" s="704">
        <v>610</v>
      </c>
      <c r="K72" s="707" t="s">
        <v>917</v>
      </c>
      <c r="L72" s="693" t="s">
        <v>878</v>
      </c>
      <c r="M72" s="693" t="s">
        <v>15</v>
      </c>
      <c r="N72" s="695">
        <v>25</v>
      </c>
      <c r="O72" s="696">
        <v>500</v>
      </c>
      <c r="P72" s="696">
        <v>500</v>
      </c>
      <c r="Q72" s="696"/>
      <c r="R72" s="696"/>
      <c r="S72" s="708">
        <f>SUM(O72:R72)*N72*$B$2</f>
        <v>34050</v>
      </c>
      <c r="T72" s="707" t="s">
        <v>978</v>
      </c>
      <c r="V72" s="744">
        <v>34050</v>
      </c>
      <c r="W72" s="783">
        <f t="shared" ref="W72:W123" si="7">V72-S72</f>
        <v>0</v>
      </c>
      <c r="X72" s="137">
        <v>34050</v>
      </c>
      <c r="Y72" s="783">
        <f t="shared" ref="Y72:Y123" si="8">S72-X72</f>
        <v>0</v>
      </c>
    </row>
    <row r="73" spans="1:25" x14ac:dyDescent="0.2">
      <c r="A73" s="692">
        <v>11</v>
      </c>
      <c r="B73" s="693" t="s">
        <v>865</v>
      </c>
      <c r="C73" s="704" t="s">
        <v>866</v>
      </c>
      <c r="D73" s="704" t="s">
        <v>979</v>
      </c>
      <c r="E73" s="704" t="s">
        <v>980</v>
      </c>
      <c r="F73" s="705" t="s">
        <v>971</v>
      </c>
      <c r="G73" s="705" t="s">
        <v>981</v>
      </c>
      <c r="H73" s="704" t="s">
        <v>805</v>
      </c>
      <c r="I73" s="704" t="s">
        <v>76</v>
      </c>
      <c r="J73" s="704">
        <v>633013</v>
      </c>
      <c r="K73" s="707" t="s">
        <v>982</v>
      </c>
      <c r="L73" s="693" t="s">
        <v>807</v>
      </c>
      <c r="M73" s="693" t="s">
        <v>983</v>
      </c>
      <c r="N73" s="695">
        <v>4500</v>
      </c>
      <c r="O73" s="696"/>
      <c r="P73" s="696">
        <v>5</v>
      </c>
      <c r="Q73" s="696">
        <v>5</v>
      </c>
      <c r="R73" s="696"/>
      <c r="S73" s="708">
        <f>SUM(O73:R73)*N73*$B$3</f>
        <v>55350</v>
      </c>
      <c r="T73" s="707" t="s">
        <v>984</v>
      </c>
      <c r="V73" s="744">
        <v>55350</v>
      </c>
      <c r="W73" s="783">
        <f t="shared" si="7"/>
        <v>0</v>
      </c>
      <c r="X73" s="137">
        <v>55350</v>
      </c>
      <c r="Y73" s="783">
        <f t="shared" si="8"/>
        <v>0</v>
      </c>
    </row>
    <row r="74" spans="1:25" x14ac:dyDescent="0.2">
      <c r="A74" s="692">
        <v>11</v>
      </c>
      <c r="B74" s="137" t="s">
        <v>985</v>
      </c>
      <c r="C74" s="699" t="s">
        <v>855</v>
      </c>
      <c r="D74" s="700" t="s">
        <v>986</v>
      </c>
      <c r="E74" s="700" t="s">
        <v>987</v>
      </c>
      <c r="F74" s="701" t="s">
        <v>971</v>
      </c>
      <c r="G74" s="701" t="s">
        <v>988</v>
      </c>
      <c r="H74" s="700" t="s">
        <v>805</v>
      </c>
      <c r="I74" s="700" t="s">
        <v>76</v>
      </c>
      <c r="J74" s="700">
        <v>633013</v>
      </c>
      <c r="K74" s="702" t="s">
        <v>989</v>
      </c>
      <c r="L74" s="693" t="s">
        <v>807</v>
      </c>
      <c r="M74" s="693" t="s">
        <v>990</v>
      </c>
      <c r="N74" s="695">
        <v>2000</v>
      </c>
      <c r="O74" s="696">
        <v>1</v>
      </c>
      <c r="P74" s="696">
        <v>1</v>
      </c>
      <c r="Q74" s="696">
        <v>1</v>
      </c>
      <c r="R74" s="696">
        <v>1</v>
      </c>
      <c r="S74" s="703">
        <f>SUM(O74:R74)*N74*$B$2*$B$3</f>
        <v>13402.08</v>
      </c>
      <c r="T74" s="702" t="s">
        <v>962</v>
      </c>
      <c r="V74" s="743">
        <v>13402.08</v>
      </c>
      <c r="W74" s="783">
        <f t="shared" si="7"/>
        <v>0</v>
      </c>
      <c r="X74" s="137">
        <v>13402.08</v>
      </c>
      <c r="Y74" s="783">
        <f t="shared" si="8"/>
        <v>0</v>
      </c>
    </row>
    <row r="75" spans="1:25" x14ac:dyDescent="0.2">
      <c r="A75" s="692">
        <v>11</v>
      </c>
      <c r="B75" s="137" t="s">
        <v>985</v>
      </c>
      <c r="C75" s="699" t="s">
        <v>855</v>
      </c>
      <c r="D75" s="700" t="s">
        <v>991</v>
      </c>
      <c r="E75" s="700" t="s">
        <v>992</v>
      </c>
      <c r="F75" s="701" t="s">
        <v>971</v>
      </c>
      <c r="G75" s="701" t="s">
        <v>988</v>
      </c>
      <c r="H75" s="700" t="s">
        <v>805</v>
      </c>
      <c r="I75" s="700" t="s">
        <v>76</v>
      </c>
      <c r="J75" s="700">
        <v>633013</v>
      </c>
      <c r="K75" s="702" t="s">
        <v>989</v>
      </c>
      <c r="L75" s="693" t="s">
        <v>807</v>
      </c>
      <c r="M75" s="693" t="s">
        <v>990</v>
      </c>
      <c r="N75" s="695">
        <v>7000</v>
      </c>
      <c r="O75" s="696">
        <v>1</v>
      </c>
      <c r="P75" s="696">
        <v>1</v>
      </c>
      <c r="Q75" s="696">
        <v>1</v>
      </c>
      <c r="R75" s="696">
        <v>1</v>
      </c>
      <c r="S75" s="703">
        <f>SUM(O75:R75)*N75*$B$2*$B$3</f>
        <v>46907.28</v>
      </c>
      <c r="T75" s="702" t="s">
        <v>962</v>
      </c>
      <c r="V75" s="743">
        <v>46907.28</v>
      </c>
      <c r="W75" s="783">
        <f t="shared" si="7"/>
        <v>0</v>
      </c>
      <c r="X75" s="137">
        <v>46907.28</v>
      </c>
      <c r="Y75" s="783">
        <f t="shared" si="8"/>
        <v>0</v>
      </c>
    </row>
    <row r="76" spans="1:25" x14ac:dyDescent="0.2">
      <c r="A76" s="692">
        <v>11</v>
      </c>
      <c r="B76" s="137" t="s">
        <v>985</v>
      </c>
      <c r="C76" s="699" t="s">
        <v>855</v>
      </c>
      <c r="D76" s="700" t="s">
        <v>991</v>
      </c>
      <c r="E76" s="700" t="s">
        <v>993</v>
      </c>
      <c r="F76" s="701" t="s">
        <v>971</v>
      </c>
      <c r="G76" s="701" t="s">
        <v>988</v>
      </c>
      <c r="H76" s="700" t="s">
        <v>805</v>
      </c>
      <c r="I76" s="700" t="s">
        <v>76</v>
      </c>
      <c r="J76" s="700">
        <v>633013</v>
      </c>
      <c r="K76" s="702" t="s">
        <v>989</v>
      </c>
      <c r="L76" s="693" t="s">
        <v>807</v>
      </c>
      <c r="M76" s="693" t="s">
        <v>994</v>
      </c>
      <c r="N76" s="695">
        <v>90</v>
      </c>
      <c r="O76" s="696">
        <v>30</v>
      </c>
      <c r="P76" s="696">
        <v>30</v>
      </c>
      <c r="Q76" s="696">
        <v>30</v>
      </c>
      <c r="R76" s="696">
        <v>30</v>
      </c>
      <c r="S76" s="703">
        <f>SUM(O76:R76)*N76*$B$2*$B$3</f>
        <v>18092.808000000001</v>
      </c>
      <c r="T76" s="702" t="s">
        <v>962</v>
      </c>
      <c r="V76" s="743">
        <v>18092.808000000001</v>
      </c>
      <c r="W76" s="783">
        <f t="shared" si="7"/>
        <v>0</v>
      </c>
      <c r="X76" s="137">
        <v>18092.808000000001</v>
      </c>
      <c r="Y76" s="783">
        <f t="shared" si="8"/>
        <v>0</v>
      </c>
    </row>
    <row r="77" spans="1:25" x14ac:dyDescent="0.2">
      <c r="A77" s="692">
        <v>11</v>
      </c>
      <c r="B77" s="137" t="s">
        <v>985</v>
      </c>
      <c r="C77" s="699" t="s">
        <v>855</v>
      </c>
      <c r="D77" s="700" t="s">
        <v>991</v>
      </c>
      <c r="E77" s="700" t="s">
        <v>995</v>
      </c>
      <c r="F77" s="701" t="s">
        <v>971</v>
      </c>
      <c r="G77" s="701" t="s">
        <v>988</v>
      </c>
      <c r="H77" s="700" t="s">
        <v>805</v>
      </c>
      <c r="I77" s="700" t="s">
        <v>76</v>
      </c>
      <c r="J77" s="700">
        <v>633013</v>
      </c>
      <c r="K77" s="702" t="s">
        <v>996</v>
      </c>
      <c r="L77" s="693" t="s">
        <v>807</v>
      </c>
      <c r="M77" s="693" t="s">
        <v>990</v>
      </c>
      <c r="N77" s="673">
        <v>5300</v>
      </c>
      <c r="O77" s="696">
        <v>1</v>
      </c>
      <c r="P77" s="696">
        <v>1</v>
      </c>
      <c r="Q77" s="696">
        <v>1</v>
      </c>
      <c r="R77" s="696">
        <v>1</v>
      </c>
      <c r="S77" s="703">
        <f>SUM(O77:R77)*N77*$B$2*$B$3</f>
        <v>35515.512000000002</v>
      </c>
      <c r="T77" s="702" t="s">
        <v>962</v>
      </c>
      <c r="V77" s="743">
        <v>35515.512000000002</v>
      </c>
      <c r="W77" s="783">
        <f t="shared" si="7"/>
        <v>0</v>
      </c>
      <c r="X77" s="137">
        <v>35515.512000000002</v>
      </c>
      <c r="Y77" s="783">
        <f t="shared" si="8"/>
        <v>0</v>
      </c>
    </row>
    <row r="78" spans="1:25" x14ac:dyDescent="0.2">
      <c r="A78" s="692">
        <v>11</v>
      </c>
      <c r="B78" s="693" t="s">
        <v>997</v>
      </c>
      <c r="C78" s="704" t="s">
        <v>866</v>
      </c>
      <c r="D78" s="704" t="s">
        <v>998</v>
      </c>
      <c r="E78" s="704" t="s">
        <v>999</v>
      </c>
      <c r="F78" s="705" t="s">
        <v>858</v>
      </c>
      <c r="G78" s="705" t="s">
        <v>885</v>
      </c>
      <c r="H78" s="704" t="s">
        <v>860</v>
      </c>
      <c r="I78" s="704" t="s">
        <v>861</v>
      </c>
      <c r="J78" s="704">
        <v>610</v>
      </c>
      <c r="K78" s="693" t="s">
        <v>1000</v>
      </c>
      <c r="L78" s="693" t="s">
        <v>878</v>
      </c>
      <c r="M78" s="693" t="s">
        <v>15</v>
      </c>
      <c r="N78" s="695">
        <v>20</v>
      </c>
      <c r="O78" s="696">
        <v>350</v>
      </c>
      <c r="P78" s="696">
        <v>350</v>
      </c>
      <c r="Q78" s="696">
        <v>350</v>
      </c>
      <c r="R78" s="696">
        <v>350</v>
      </c>
      <c r="S78" s="697">
        <f>SUM(O78:R78)*N78*$B$2</f>
        <v>38136</v>
      </c>
      <c r="T78" s="693" t="s">
        <v>925</v>
      </c>
      <c r="V78" s="744">
        <v>38136</v>
      </c>
      <c r="W78" s="783">
        <f t="shared" si="7"/>
        <v>0</v>
      </c>
      <c r="X78" s="137">
        <v>38136</v>
      </c>
      <c r="Y78" s="783">
        <f t="shared" si="8"/>
        <v>0</v>
      </c>
    </row>
    <row r="79" spans="1:25" x14ac:dyDescent="0.2">
      <c r="A79" s="692">
        <v>11</v>
      </c>
      <c r="B79" s="693" t="s">
        <v>997</v>
      </c>
      <c r="C79" s="704" t="s">
        <v>866</v>
      </c>
      <c r="D79" s="704" t="s">
        <v>998</v>
      </c>
      <c r="E79" s="704" t="s">
        <v>999</v>
      </c>
      <c r="F79" s="705" t="s">
        <v>858</v>
      </c>
      <c r="G79" s="705" t="s">
        <v>885</v>
      </c>
      <c r="H79" s="704" t="s">
        <v>860</v>
      </c>
      <c r="I79" s="704" t="s">
        <v>861</v>
      </c>
      <c r="J79" s="704">
        <v>610</v>
      </c>
      <c r="K79" s="693" t="s">
        <v>1000</v>
      </c>
      <c r="L79" s="693" t="s">
        <v>878</v>
      </c>
      <c r="M79" s="693" t="s">
        <v>15</v>
      </c>
      <c r="N79" s="695">
        <v>20</v>
      </c>
      <c r="O79" s="696">
        <v>350</v>
      </c>
      <c r="P79" s="696">
        <v>350</v>
      </c>
      <c r="Q79" s="696">
        <v>350</v>
      </c>
      <c r="R79" s="696">
        <v>350</v>
      </c>
      <c r="S79" s="697">
        <f>SUM(O79:R79)*N79*$B$2</f>
        <v>38136</v>
      </c>
      <c r="T79" s="693" t="s">
        <v>1001</v>
      </c>
      <c r="V79" s="744">
        <v>38136</v>
      </c>
      <c r="W79" s="783">
        <f t="shared" si="7"/>
        <v>0</v>
      </c>
      <c r="X79" s="137">
        <v>38136</v>
      </c>
      <c r="Y79" s="783">
        <f t="shared" si="8"/>
        <v>0</v>
      </c>
    </row>
    <row r="80" spans="1:25" x14ac:dyDescent="0.2">
      <c r="A80" s="692">
        <v>11</v>
      </c>
      <c r="B80" s="693" t="s">
        <v>997</v>
      </c>
      <c r="C80" s="704" t="s">
        <v>866</v>
      </c>
      <c r="D80" s="704" t="s">
        <v>998</v>
      </c>
      <c r="E80" s="704" t="s">
        <v>1002</v>
      </c>
      <c r="F80" s="705" t="s">
        <v>803</v>
      </c>
      <c r="G80" s="705" t="s">
        <v>988</v>
      </c>
      <c r="H80" s="704" t="s">
        <v>805</v>
      </c>
      <c r="I80" s="704" t="s">
        <v>111</v>
      </c>
      <c r="J80" s="704">
        <v>633002</v>
      </c>
      <c r="K80" s="693" t="s">
        <v>996</v>
      </c>
      <c r="L80" s="693" t="s">
        <v>1003</v>
      </c>
      <c r="M80" s="693" t="s">
        <v>15</v>
      </c>
      <c r="N80" s="695">
        <v>37000</v>
      </c>
      <c r="O80" s="697"/>
      <c r="P80" s="697">
        <v>0.33333333333333331</v>
      </c>
      <c r="Q80" s="697">
        <v>0.33333333333333331</v>
      </c>
      <c r="R80" s="697">
        <v>0.33333333333333331</v>
      </c>
      <c r="S80" s="697">
        <f>SUM(O80:R80)*N80*$B$3</f>
        <v>45510</v>
      </c>
      <c r="T80" s="693" t="s">
        <v>1004</v>
      </c>
      <c r="V80" s="744">
        <v>45510</v>
      </c>
      <c r="W80" s="783">
        <f t="shared" si="7"/>
        <v>0</v>
      </c>
      <c r="X80" s="137">
        <v>45510</v>
      </c>
      <c r="Y80" s="783">
        <f t="shared" si="8"/>
        <v>0</v>
      </c>
    </row>
    <row r="81" spans="1:27" x14ac:dyDescent="0.2">
      <c r="A81" s="692">
        <v>11</v>
      </c>
      <c r="B81" s="693" t="s">
        <v>997</v>
      </c>
      <c r="C81" s="704" t="s">
        <v>866</v>
      </c>
      <c r="D81" s="704" t="s">
        <v>998</v>
      </c>
      <c r="E81" s="704" t="s">
        <v>1005</v>
      </c>
      <c r="F81" s="705" t="s">
        <v>803</v>
      </c>
      <c r="G81" s="705" t="s">
        <v>885</v>
      </c>
      <c r="H81" s="704" t="s">
        <v>860</v>
      </c>
      <c r="I81" s="704" t="s">
        <v>861</v>
      </c>
      <c r="J81" s="704">
        <v>610</v>
      </c>
      <c r="K81" s="693" t="s">
        <v>1006</v>
      </c>
      <c r="L81" s="790" t="s">
        <v>878</v>
      </c>
      <c r="M81" s="791" t="s">
        <v>15</v>
      </c>
      <c r="N81" s="792">
        <v>25</v>
      </c>
      <c r="O81" s="793">
        <v>30</v>
      </c>
      <c r="P81" s="793">
        <v>350</v>
      </c>
      <c r="Q81" s="793">
        <v>350</v>
      </c>
      <c r="R81" s="793">
        <v>350</v>
      </c>
      <c r="S81" s="697">
        <f t="shared" ref="S81:S85" si="9">SUM(O81:R81)*N81*$B$2</f>
        <v>36774</v>
      </c>
      <c r="T81" s="693" t="s">
        <v>1007</v>
      </c>
      <c r="V81" s="744">
        <v>36774</v>
      </c>
      <c r="W81" s="783">
        <f t="shared" si="7"/>
        <v>0</v>
      </c>
      <c r="X81" s="137">
        <v>32718</v>
      </c>
      <c r="Y81" s="783">
        <f t="shared" si="8"/>
        <v>4056</v>
      </c>
    </row>
    <row r="82" spans="1:27" x14ac:dyDescent="0.2">
      <c r="A82" s="692">
        <v>11</v>
      </c>
      <c r="B82" s="693" t="s">
        <v>997</v>
      </c>
      <c r="C82" s="704" t="s">
        <v>866</v>
      </c>
      <c r="D82" s="704" t="s">
        <v>998</v>
      </c>
      <c r="E82" s="704" t="s">
        <v>1008</v>
      </c>
      <c r="F82" s="705" t="s">
        <v>803</v>
      </c>
      <c r="G82" s="705" t="s">
        <v>885</v>
      </c>
      <c r="H82" s="704" t="s">
        <v>860</v>
      </c>
      <c r="I82" s="704" t="s">
        <v>861</v>
      </c>
      <c r="J82" s="704">
        <v>610</v>
      </c>
      <c r="K82" s="693" t="s">
        <v>1009</v>
      </c>
      <c r="L82" s="790" t="s">
        <v>878</v>
      </c>
      <c r="M82" s="791" t="s">
        <v>15</v>
      </c>
      <c r="N82" s="792">
        <v>25</v>
      </c>
      <c r="O82" s="793">
        <v>30</v>
      </c>
      <c r="P82" s="793">
        <v>350</v>
      </c>
      <c r="Q82" s="793">
        <v>350</v>
      </c>
      <c r="R82" s="793">
        <v>350</v>
      </c>
      <c r="S82" s="697">
        <f t="shared" si="9"/>
        <v>36774</v>
      </c>
      <c r="T82" s="693" t="s">
        <v>1010</v>
      </c>
      <c r="V82" s="744">
        <v>36774</v>
      </c>
      <c r="W82" s="783">
        <f t="shared" si="7"/>
        <v>0</v>
      </c>
      <c r="X82" s="137">
        <v>32718</v>
      </c>
      <c r="Y82" s="783">
        <f t="shared" si="8"/>
        <v>4056</v>
      </c>
    </row>
    <row r="83" spans="1:27" x14ac:dyDescent="0.2">
      <c r="A83" s="692">
        <v>11</v>
      </c>
      <c r="B83" s="693" t="s">
        <v>882</v>
      </c>
      <c r="C83" s="137" t="s">
        <v>800</v>
      </c>
      <c r="D83" s="137" t="s">
        <v>1011</v>
      </c>
      <c r="E83" s="137" t="s">
        <v>1012</v>
      </c>
      <c r="F83" s="694" t="s">
        <v>858</v>
      </c>
      <c r="G83" s="694" t="s">
        <v>885</v>
      </c>
      <c r="H83" s="137" t="s">
        <v>860</v>
      </c>
      <c r="I83" s="137" t="s">
        <v>861</v>
      </c>
      <c r="J83" s="137">
        <v>610</v>
      </c>
      <c r="K83" s="693" t="s">
        <v>1014</v>
      </c>
      <c r="L83" s="693" t="s">
        <v>878</v>
      </c>
      <c r="M83" s="693" t="s">
        <v>15</v>
      </c>
      <c r="N83" s="695">
        <v>15</v>
      </c>
      <c r="O83" s="696">
        <v>200</v>
      </c>
      <c r="P83" s="696">
        <v>100</v>
      </c>
      <c r="Q83" s="696">
        <v>100</v>
      </c>
      <c r="R83" s="696">
        <v>100</v>
      </c>
      <c r="S83" s="697">
        <f t="shared" si="9"/>
        <v>10215</v>
      </c>
      <c r="T83" s="693" t="s">
        <v>1015</v>
      </c>
      <c r="V83" s="675">
        <v>10215</v>
      </c>
      <c r="W83" s="783">
        <f t="shared" si="7"/>
        <v>0</v>
      </c>
      <c r="X83" s="137">
        <v>10215</v>
      </c>
      <c r="Y83" s="783">
        <f t="shared" si="8"/>
        <v>0</v>
      </c>
    </row>
    <row r="84" spans="1:27" x14ac:dyDescent="0.2">
      <c r="A84" s="692">
        <v>11</v>
      </c>
      <c r="B84" s="693" t="s">
        <v>882</v>
      </c>
      <c r="C84" s="137" t="s">
        <v>800</v>
      </c>
      <c r="D84" s="137" t="s">
        <v>1016</v>
      </c>
      <c r="E84" s="137" t="s">
        <v>1017</v>
      </c>
      <c r="F84" s="694" t="s">
        <v>1018</v>
      </c>
      <c r="G84" s="694" t="s">
        <v>885</v>
      </c>
      <c r="H84" s="137" t="s">
        <v>860</v>
      </c>
      <c r="I84" s="137" t="s">
        <v>861</v>
      </c>
      <c r="J84" s="137">
        <v>610</v>
      </c>
      <c r="K84" s="693" t="s">
        <v>1019</v>
      </c>
      <c r="L84" s="693" t="s">
        <v>878</v>
      </c>
      <c r="M84" s="693" t="s">
        <v>15</v>
      </c>
      <c r="N84" s="695">
        <v>8</v>
      </c>
      <c r="O84" s="696">
        <v>240</v>
      </c>
      <c r="P84" s="696">
        <v>240</v>
      </c>
      <c r="Q84" s="696">
        <v>240</v>
      </c>
      <c r="R84" s="696">
        <v>240</v>
      </c>
      <c r="S84" s="697">
        <f t="shared" si="9"/>
        <v>10460.16</v>
      </c>
      <c r="T84" s="693" t="s">
        <v>1020</v>
      </c>
      <c r="V84" s="675">
        <v>10460.16</v>
      </c>
      <c r="W84" s="783">
        <f t="shared" si="7"/>
        <v>0</v>
      </c>
      <c r="X84" s="137">
        <v>10460.16</v>
      </c>
      <c r="Y84" s="783">
        <f t="shared" si="8"/>
        <v>0</v>
      </c>
    </row>
    <row r="85" spans="1:27" x14ac:dyDescent="0.2">
      <c r="A85" s="692">
        <v>11</v>
      </c>
      <c r="B85" s="693" t="s">
        <v>882</v>
      </c>
      <c r="C85" s="137" t="s">
        <v>800</v>
      </c>
      <c r="D85" s="137" t="s">
        <v>1016</v>
      </c>
      <c r="E85" s="137" t="s">
        <v>1017</v>
      </c>
      <c r="F85" s="694" t="s">
        <v>1018</v>
      </c>
      <c r="G85" s="694" t="s">
        <v>885</v>
      </c>
      <c r="H85" s="137" t="s">
        <v>860</v>
      </c>
      <c r="I85" s="137" t="s">
        <v>861</v>
      </c>
      <c r="J85" s="137">
        <v>610</v>
      </c>
      <c r="K85" s="693" t="s">
        <v>1019</v>
      </c>
      <c r="L85" s="693" t="s">
        <v>878</v>
      </c>
      <c r="M85" s="693" t="s">
        <v>15</v>
      </c>
      <c r="N85" s="695">
        <v>8</v>
      </c>
      <c r="O85" s="696">
        <v>240</v>
      </c>
      <c r="P85" s="696">
        <v>240</v>
      </c>
      <c r="Q85" s="696">
        <v>240</v>
      </c>
      <c r="R85" s="696">
        <v>240</v>
      </c>
      <c r="S85" s="697">
        <f t="shared" si="9"/>
        <v>10460.16</v>
      </c>
      <c r="T85" s="693" t="s">
        <v>1021</v>
      </c>
      <c r="V85" s="675">
        <v>10460.16</v>
      </c>
      <c r="W85" s="783">
        <f t="shared" si="7"/>
        <v>0</v>
      </c>
      <c r="X85" s="137">
        <v>10460.16</v>
      </c>
      <c r="Y85" s="783">
        <f t="shared" si="8"/>
        <v>0</v>
      </c>
    </row>
    <row r="86" spans="1:27" x14ac:dyDescent="0.2">
      <c r="A86" s="698">
        <v>11</v>
      </c>
      <c r="B86" s="693" t="s">
        <v>1022</v>
      </c>
      <c r="C86" s="720" t="s">
        <v>1023</v>
      </c>
      <c r="D86" s="137" t="s">
        <v>1024</v>
      </c>
      <c r="E86" s="137" t="s">
        <v>1025</v>
      </c>
      <c r="F86" s="694" t="s">
        <v>803</v>
      </c>
      <c r="G86" s="694" t="s">
        <v>946</v>
      </c>
      <c r="H86" s="137" t="s">
        <v>805</v>
      </c>
      <c r="I86" s="137" t="s">
        <v>76</v>
      </c>
      <c r="J86" s="137">
        <v>637003</v>
      </c>
      <c r="K86" s="693" t="s">
        <v>1026</v>
      </c>
      <c r="L86" s="693" t="s">
        <v>807</v>
      </c>
      <c r="M86" s="693" t="s">
        <v>1027</v>
      </c>
      <c r="N86" s="695">
        <v>245</v>
      </c>
      <c r="O86" s="696">
        <v>40</v>
      </c>
      <c r="P86" s="696">
        <v>40</v>
      </c>
      <c r="Q86" s="696"/>
      <c r="R86" s="696"/>
      <c r="S86" s="697">
        <f>SUM(O86:R86)*N86*$B$3</f>
        <v>24108</v>
      </c>
      <c r="T86" s="693" t="s">
        <v>1028</v>
      </c>
      <c r="V86" s="675">
        <v>24108</v>
      </c>
      <c r="W86" s="783">
        <f t="shared" si="7"/>
        <v>0</v>
      </c>
      <c r="X86" s="137">
        <v>24108</v>
      </c>
      <c r="Y86" s="783">
        <f t="shared" si="8"/>
        <v>0</v>
      </c>
    </row>
    <row r="87" spans="1:27" x14ac:dyDescent="0.2">
      <c r="A87" s="698">
        <v>11</v>
      </c>
      <c r="B87" s="693" t="s">
        <v>1022</v>
      </c>
      <c r="C87" s="720" t="s">
        <v>1023</v>
      </c>
      <c r="D87" s="137" t="s">
        <v>1029</v>
      </c>
      <c r="E87" s="137" t="s">
        <v>1030</v>
      </c>
      <c r="F87" s="694" t="s">
        <v>803</v>
      </c>
      <c r="G87" s="694" t="s">
        <v>946</v>
      </c>
      <c r="H87" s="137" t="s">
        <v>805</v>
      </c>
      <c r="I87" s="137" t="s">
        <v>76</v>
      </c>
      <c r="J87" s="137">
        <v>637003</v>
      </c>
      <c r="K87" s="693" t="s">
        <v>1026</v>
      </c>
      <c r="L87" s="693" t="s">
        <v>807</v>
      </c>
      <c r="M87" s="693" t="s">
        <v>1027</v>
      </c>
      <c r="N87" s="695">
        <v>976.25</v>
      </c>
      <c r="O87" s="696">
        <v>40</v>
      </c>
      <c r="P87" s="696">
        <v>40</v>
      </c>
      <c r="Q87" s="696"/>
      <c r="R87" s="696"/>
      <c r="S87" s="697">
        <f>SUM(O87:R87)*N87*$B$3</f>
        <v>96063</v>
      </c>
      <c r="T87" s="693" t="s">
        <v>1028</v>
      </c>
      <c r="V87" s="675">
        <v>96063</v>
      </c>
      <c r="W87" s="783">
        <f t="shared" si="7"/>
        <v>0</v>
      </c>
      <c r="X87" s="137">
        <v>96063</v>
      </c>
      <c r="Y87" s="783">
        <f t="shared" si="8"/>
        <v>0</v>
      </c>
    </row>
    <row r="88" spans="1:27" x14ac:dyDescent="0.2">
      <c r="A88" s="794" t="s">
        <v>1689</v>
      </c>
      <c r="B88" s="137" t="s">
        <v>894</v>
      </c>
      <c r="C88" s="137" t="s">
        <v>1692</v>
      </c>
      <c r="D88" s="717" t="s">
        <v>3756</v>
      </c>
      <c r="E88" s="717" t="s">
        <v>1697</v>
      </c>
      <c r="F88" s="694" t="s">
        <v>858</v>
      </c>
      <c r="G88" s="694" t="s">
        <v>898</v>
      </c>
      <c r="H88" s="694" t="s">
        <v>860</v>
      </c>
      <c r="I88" s="694" t="s">
        <v>861</v>
      </c>
      <c r="J88" s="694">
        <v>610</v>
      </c>
      <c r="K88" s="694" t="s">
        <v>899</v>
      </c>
      <c r="L88" s="795" t="s">
        <v>878</v>
      </c>
      <c r="M88" s="795" t="s">
        <v>15</v>
      </c>
      <c r="N88" s="796">
        <v>25</v>
      </c>
      <c r="O88" s="797">
        <v>350</v>
      </c>
      <c r="P88" s="797">
        <v>350</v>
      </c>
      <c r="Q88" s="797">
        <v>350</v>
      </c>
      <c r="R88" s="797">
        <v>350</v>
      </c>
      <c r="S88" s="675">
        <f>SUM(O88:R88)*N88*$B$2</f>
        <v>47670</v>
      </c>
      <c r="T88" s="137" t="s">
        <v>3757</v>
      </c>
      <c r="U88" s="798">
        <f>N88*AVERAGE(O88:R88)/12</f>
        <v>729.16666666666663</v>
      </c>
      <c r="V88" s="675">
        <v>47670</v>
      </c>
      <c r="W88" s="783">
        <f t="shared" si="7"/>
        <v>0</v>
      </c>
      <c r="X88" s="799" t="s">
        <v>861</v>
      </c>
      <c r="Y88" s="799" t="s">
        <v>3758</v>
      </c>
      <c r="Z88" s="800" t="s">
        <v>861</v>
      </c>
      <c r="AA88" s="800">
        <v>610</v>
      </c>
    </row>
    <row r="89" spans="1:27" x14ac:dyDescent="0.2">
      <c r="A89" s="794" t="s">
        <v>1689</v>
      </c>
      <c r="B89" s="137" t="s">
        <v>894</v>
      </c>
      <c r="C89" s="137" t="s">
        <v>1692</v>
      </c>
      <c r="D89" s="717" t="s">
        <v>3759</v>
      </c>
      <c r="E89" s="717" t="s">
        <v>3760</v>
      </c>
      <c r="F89" s="694" t="s">
        <v>858</v>
      </c>
      <c r="G89" s="694" t="s">
        <v>898</v>
      </c>
      <c r="H89" s="694" t="s">
        <v>860</v>
      </c>
      <c r="I89" s="694" t="s">
        <v>861</v>
      </c>
      <c r="J89" s="694">
        <v>610</v>
      </c>
      <c r="K89" s="694" t="s">
        <v>899</v>
      </c>
      <c r="L89" s="795" t="s">
        <v>878</v>
      </c>
      <c r="M89" s="795" t="s">
        <v>15</v>
      </c>
      <c r="N89" s="796">
        <v>25</v>
      </c>
      <c r="O89" s="797">
        <v>100</v>
      </c>
      <c r="P89" s="797">
        <v>350</v>
      </c>
      <c r="Q89" s="797">
        <v>350</v>
      </c>
      <c r="R89" s="797">
        <v>350</v>
      </c>
      <c r="S89" s="675">
        <f>SUM(O89:R89)*N89*$B$2</f>
        <v>39157.5</v>
      </c>
      <c r="T89" s="137" t="s">
        <v>3757</v>
      </c>
      <c r="U89" s="798">
        <f>N89*AVERAGE(O89:R89)/12</f>
        <v>598.95833333333337</v>
      </c>
      <c r="V89" s="675">
        <v>47670</v>
      </c>
      <c r="W89" s="783">
        <f t="shared" si="7"/>
        <v>8512.5</v>
      </c>
      <c r="X89" s="799" t="s">
        <v>861</v>
      </c>
      <c r="Y89" s="799" t="s">
        <v>3758</v>
      </c>
      <c r="Z89" s="800" t="s">
        <v>861</v>
      </c>
      <c r="AA89" s="800">
        <v>610</v>
      </c>
    </row>
    <row r="90" spans="1:27" x14ac:dyDescent="0.2">
      <c r="A90" s="794" t="s">
        <v>1689</v>
      </c>
      <c r="B90" s="137" t="s">
        <v>894</v>
      </c>
      <c r="C90" s="137" t="s">
        <v>1692</v>
      </c>
      <c r="D90" s="717" t="s">
        <v>3759</v>
      </c>
      <c r="E90" s="717" t="s">
        <v>3760</v>
      </c>
      <c r="F90" s="694" t="s">
        <v>858</v>
      </c>
      <c r="G90" s="694" t="s">
        <v>898</v>
      </c>
      <c r="H90" s="694" t="s">
        <v>860</v>
      </c>
      <c r="I90" s="694" t="s">
        <v>861</v>
      </c>
      <c r="J90" s="694">
        <v>610</v>
      </c>
      <c r="K90" s="694" t="s">
        <v>899</v>
      </c>
      <c r="L90" s="795" t="s">
        <v>878</v>
      </c>
      <c r="M90" s="795" t="s">
        <v>15</v>
      </c>
      <c r="N90" s="796">
        <v>25</v>
      </c>
      <c r="O90" s="797">
        <v>7</v>
      </c>
      <c r="P90" s="797">
        <v>10</v>
      </c>
      <c r="Q90" s="797">
        <v>10</v>
      </c>
      <c r="R90" s="797">
        <v>10</v>
      </c>
      <c r="S90" s="675">
        <f>SUM(O90:R90)*N90*$B$2</f>
        <v>1259.8500000000001</v>
      </c>
      <c r="T90" s="137" t="s">
        <v>3757</v>
      </c>
      <c r="U90" s="798">
        <f>N90*AVERAGE(O90:R90)/12</f>
        <v>19.270833333333332</v>
      </c>
      <c r="V90" s="675">
        <v>1362</v>
      </c>
      <c r="W90" s="783">
        <f t="shared" si="7"/>
        <v>102.14999999999986</v>
      </c>
      <c r="X90" s="799" t="s">
        <v>861</v>
      </c>
      <c r="Y90" s="799" t="s">
        <v>3758</v>
      </c>
      <c r="Z90" s="800" t="s">
        <v>861</v>
      </c>
      <c r="AA90" s="800">
        <v>610</v>
      </c>
    </row>
    <row r="91" spans="1:27" x14ac:dyDescent="0.2">
      <c r="A91" s="794" t="s">
        <v>1699</v>
      </c>
      <c r="B91" s="137" t="s">
        <v>894</v>
      </c>
      <c r="C91" s="137" t="s">
        <v>1692</v>
      </c>
      <c r="D91" s="717" t="s">
        <v>3759</v>
      </c>
      <c r="E91" s="717" t="s">
        <v>3760</v>
      </c>
      <c r="F91" s="694" t="s">
        <v>858</v>
      </c>
      <c r="G91" s="694" t="s">
        <v>898</v>
      </c>
      <c r="H91" s="694" t="s">
        <v>860</v>
      </c>
      <c r="I91" s="694" t="s">
        <v>861</v>
      </c>
      <c r="J91" s="694">
        <v>610</v>
      </c>
      <c r="K91" s="694" t="s">
        <v>899</v>
      </c>
      <c r="L91" s="795" t="s">
        <v>878</v>
      </c>
      <c r="M91" s="795" t="s">
        <v>15</v>
      </c>
      <c r="N91" s="796">
        <v>25</v>
      </c>
      <c r="O91" s="797">
        <v>35</v>
      </c>
      <c r="P91" s="797">
        <v>60</v>
      </c>
      <c r="Q91" s="797">
        <v>60</v>
      </c>
      <c r="R91" s="797">
        <v>60</v>
      </c>
      <c r="S91" s="675">
        <f>SUM(O91:R91)*N91*$B$2</f>
        <v>7320.7500000000009</v>
      </c>
      <c r="T91" s="137" t="s">
        <v>3757</v>
      </c>
      <c r="U91" s="798">
        <f>N91*AVERAGE(O91:R91)/12</f>
        <v>111.97916666666667</v>
      </c>
      <c r="V91" s="675">
        <v>7320.7500000000009</v>
      </c>
      <c r="W91" s="783">
        <f t="shared" si="7"/>
        <v>0</v>
      </c>
      <c r="X91" s="799" t="s">
        <v>861</v>
      </c>
      <c r="Y91" s="799" t="s">
        <v>3758</v>
      </c>
      <c r="Z91" s="800" t="s">
        <v>861</v>
      </c>
      <c r="AA91" s="800">
        <v>610</v>
      </c>
    </row>
    <row r="92" spans="1:27" x14ac:dyDescent="0.2">
      <c r="A92" s="692">
        <v>12</v>
      </c>
      <c r="B92" s="693" t="s">
        <v>914</v>
      </c>
      <c r="C92" s="137" t="s">
        <v>800</v>
      </c>
      <c r="D92" s="137" t="s">
        <v>939</v>
      </c>
      <c r="E92" s="137" t="s">
        <v>1031</v>
      </c>
      <c r="F92" s="694" t="s">
        <v>803</v>
      </c>
      <c r="G92" s="694" t="s">
        <v>1032</v>
      </c>
      <c r="H92" s="137" t="s">
        <v>1033</v>
      </c>
      <c r="I92" s="137" t="s">
        <v>1034</v>
      </c>
      <c r="J92" s="137">
        <v>637003</v>
      </c>
      <c r="K92" s="693" t="s">
        <v>1035</v>
      </c>
      <c r="L92" s="693" t="s">
        <v>807</v>
      </c>
      <c r="M92" s="693" t="s">
        <v>1036</v>
      </c>
      <c r="N92" s="695">
        <v>460</v>
      </c>
      <c r="O92" s="696">
        <v>4</v>
      </c>
      <c r="P92" s="696">
        <v>4</v>
      </c>
      <c r="Q92" s="696">
        <v>4</v>
      </c>
      <c r="R92" s="696">
        <v>4</v>
      </c>
      <c r="S92" s="697">
        <f>SUM(O92:R92)*N92*$B$3</f>
        <v>9052.7999999999993</v>
      </c>
      <c r="T92" s="693" t="s">
        <v>1037</v>
      </c>
      <c r="V92" s="675">
        <v>9052.7999999999993</v>
      </c>
      <c r="W92" s="783">
        <f t="shared" si="7"/>
        <v>0</v>
      </c>
      <c r="X92" s="137">
        <v>9052.7999999999993</v>
      </c>
      <c r="Y92" s="783">
        <f t="shared" si="8"/>
        <v>0</v>
      </c>
    </row>
    <row r="93" spans="1:27" x14ac:dyDescent="0.2">
      <c r="A93" s="692">
        <v>12</v>
      </c>
      <c r="B93" s="693" t="s">
        <v>1038</v>
      </c>
      <c r="C93" s="137" t="s">
        <v>800</v>
      </c>
      <c r="D93" s="137" t="s">
        <v>1039</v>
      </c>
      <c r="E93" s="137" t="s">
        <v>1040</v>
      </c>
      <c r="F93" s="694" t="s">
        <v>803</v>
      </c>
      <c r="G93" s="694" t="s">
        <v>1041</v>
      </c>
      <c r="H93" s="137" t="s">
        <v>805</v>
      </c>
      <c r="I93" s="137" t="s">
        <v>1034</v>
      </c>
      <c r="J93" s="137">
        <v>633002</v>
      </c>
      <c r="K93" s="693" t="s">
        <v>1042</v>
      </c>
      <c r="L93" s="693" t="s">
        <v>1003</v>
      </c>
      <c r="M93" s="693" t="s">
        <v>15</v>
      </c>
      <c r="N93" s="695">
        <v>1317</v>
      </c>
      <c r="O93" s="696"/>
      <c r="P93" s="696">
        <v>3</v>
      </c>
      <c r="Q93" s="696"/>
      <c r="R93" s="696"/>
      <c r="S93" s="697">
        <f>SUM(O93:R93)*N93*$B$3</f>
        <v>4859.7299999999996</v>
      </c>
      <c r="T93" s="693" t="s">
        <v>1043</v>
      </c>
      <c r="V93" s="675">
        <v>4859.7299999999996</v>
      </c>
      <c r="W93" s="783">
        <f t="shared" si="7"/>
        <v>0</v>
      </c>
      <c r="X93" s="137">
        <v>4859.7299999999996</v>
      </c>
      <c r="Y93" s="783">
        <f t="shared" si="8"/>
        <v>0</v>
      </c>
    </row>
    <row r="94" spans="1:27" x14ac:dyDescent="0.2">
      <c r="A94" s="692">
        <v>12</v>
      </c>
      <c r="B94" s="693" t="s">
        <v>1044</v>
      </c>
      <c r="C94" s="720" t="s">
        <v>1045</v>
      </c>
      <c r="D94" s="137" t="s">
        <v>1046</v>
      </c>
      <c r="E94" s="137" t="s">
        <v>1047</v>
      </c>
      <c r="F94" s="694" t="s">
        <v>803</v>
      </c>
      <c r="G94" s="694" t="s">
        <v>946</v>
      </c>
      <c r="H94" s="137" t="s">
        <v>805</v>
      </c>
      <c r="I94" s="137" t="s">
        <v>1034</v>
      </c>
      <c r="J94" s="137">
        <v>637003</v>
      </c>
      <c r="K94" s="693" t="s">
        <v>1026</v>
      </c>
      <c r="L94" s="693" t="s">
        <v>807</v>
      </c>
      <c r="M94" s="693" t="s">
        <v>1048</v>
      </c>
      <c r="N94" s="695">
        <v>826.06315789473683</v>
      </c>
      <c r="O94" s="696">
        <v>120</v>
      </c>
      <c r="P94" s="696">
        <v>140</v>
      </c>
      <c r="Q94" s="696">
        <v>120</v>
      </c>
      <c r="R94" s="696"/>
      <c r="S94" s="697">
        <f>SUM(O94:R94)*N94</f>
        <v>313904</v>
      </c>
      <c r="T94" s="693" t="s">
        <v>1049</v>
      </c>
      <c r="V94" s="744">
        <v>313904</v>
      </c>
      <c r="W94" s="783">
        <f t="shared" si="7"/>
        <v>0</v>
      </c>
      <c r="X94" s="137">
        <v>313904</v>
      </c>
      <c r="Y94" s="783">
        <f t="shared" si="8"/>
        <v>0</v>
      </c>
    </row>
    <row r="95" spans="1:27" x14ac:dyDescent="0.2">
      <c r="A95" s="692">
        <v>12</v>
      </c>
      <c r="B95" s="693" t="s">
        <v>1044</v>
      </c>
      <c r="C95" s="720" t="s">
        <v>1045</v>
      </c>
      <c r="D95" s="137" t="s">
        <v>1050</v>
      </c>
      <c r="E95" s="137" t="s">
        <v>1051</v>
      </c>
      <c r="F95" s="694" t="s">
        <v>803</v>
      </c>
      <c r="G95" s="694" t="s">
        <v>1041</v>
      </c>
      <c r="H95" s="137" t="s">
        <v>805</v>
      </c>
      <c r="I95" s="137" t="s">
        <v>1034</v>
      </c>
      <c r="J95" s="137">
        <v>633002</v>
      </c>
      <c r="K95" s="693" t="s">
        <v>1052</v>
      </c>
      <c r="L95" s="693" t="s">
        <v>807</v>
      </c>
      <c r="M95" s="693" t="s">
        <v>13</v>
      </c>
      <c r="N95" s="695">
        <v>9430</v>
      </c>
      <c r="O95" s="696">
        <v>1</v>
      </c>
      <c r="P95" s="696"/>
      <c r="Q95" s="696"/>
      <c r="R95" s="696"/>
      <c r="S95" s="697">
        <f>SUM(O95:R95)*N95</f>
        <v>9430</v>
      </c>
      <c r="T95" s="693" t="s">
        <v>1053</v>
      </c>
      <c r="V95" s="744">
        <v>9430</v>
      </c>
      <c r="W95" s="783">
        <f t="shared" si="7"/>
        <v>0</v>
      </c>
      <c r="X95" s="137">
        <v>9430</v>
      </c>
      <c r="Y95" s="783">
        <f t="shared" si="8"/>
        <v>0</v>
      </c>
    </row>
    <row r="96" spans="1:27" x14ac:dyDescent="0.2">
      <c r="A96" s="692">
        <v>12</v>
      </c>
      <c r="B96" s="693" t="s">
        <v>882</v>
      </c>
      <c r="C96" s="137" t="s">
        <v>800</v>
      </c>
      <c r="D96" s="137" t="s">
        <v>1054</v>
      </c>
      <c r="E96" s="137" t="s">
        <v>1055</v>
      </c>
      <c r="F96" s="694" t="s">
        <v>858</v>
      </c>
      <c r="G96" s="694" t="s">
        <v>1056</v>
      </c>
      <c r="H96" s="137" t="s">
        <v>1013</v>
      </c>
      <c r="I96" s="137" t="s">
        <v>1034</v>
      </c>
      <c r="J96" s="137">
        <v>610</v>
      </c>
      <c r="K96" s="693" t="s">
        <v>1057</v>
      </c>
      <c r="L96" s="693" t="s">
        <v>863</v>
      </c>
      <c r="M96" s="693" t="s">
        <v>15</v>
      </c>
      <c r="N96" s="695">
        <v>15</v>
      </c>
      <c r="O96" s="696">
        <v>2088</v>
      </c>
      <c r="P96" s="696">
        <v>2088</v>
      </c>
      <c r="Q96" s="696">
        <v>2080</v>
      </c>
      <c r="R96" s="696">
        <v>2088</v>
      </c>
      <c r="S96" s="697">
        <f>SUM(O96:R96)*N96*$B$2</f>
        <v>170467.92</v>
      </c>
      <c r="T96" s="693" t="s">
        <v>1058</v>
      </c>
      <c r="V96" s="675">
        <v>170467.92</v>
      </c>
      <c r="W96" s="783">
        <f t="shared" si="7"/>
        <v>0</v>
      </c>
      <c r="X96" s="137">
        <v>170467.92</v>
      </c>
      <c r="Y96" s="783">
        <f t="shared" si="8"/>
        <v>0</v>
      </c>
    </row>
    <row r="97" spans="1:25" x14ac:dyDescent="0.2">
      <c r="A97" s="692">
        <v>12</v>
      </c>
      <c r="B97" s="693" t="s">
        <v>882</v>
      </c>
      <c r="C97" s="137" t="s">
        <v>800</v>
      </c>
      <c r="D97" s="137" t="s">
        <v>1054</v>
      </c>
      <c r="E97" s="137" t="s">
        <v>1055</v>
      </c>
      <c r="F97" s="694" t="s">
        <v>858</v>
      </c>
      <c r="G97" s="694" t="s">
        <v>1056</v>
      </c>
      <c r="H97" s="137" t="s">
        <v>1013</v>
      </c>
      <c r="I97" s="137" t="s">
        <v>1034</v>
      </c>
      <c r="J97" s="137">
        <v>610</v>
      </c>
      <c r="K97" s="693" t="s">
        <v>1059</v>
      </c>
      <c r="L97" s="805" t="s">
        <v>1695</v>
      </c>
      <c r="M97" s="805" t="s">
        <v>15</v>
      </c>
      <c r="N97" s="806">
        <v>15</v>
      </c>
      <c r="O97" s="807">
        <f>O$3/8</f>
        <v>261</v>
      </c>
      <c r="P97" s="807">
        <f>P$3/8</f>
        <v>261</v>
      </c>
      <c r="Q97" s="807">
        <f>Q$3/8</f>
        <v>260</v>
      </c>
      <c r="R97" s="807">
        <f>R$3/8</f>
        <v>261</v>
      </c>
      <c r="S97" s="697">
        <f>SUM(O97:R97)*N97*$B$2</f>
        <v>21308.49</v>
      </c>
      <c r="T97" s="693" t="s">
        <v>1058</v>
      </c>
      <c r="V97" s="675">
        <v>21308.49</v>
      </c>
      <c r="W97" s="783">
        <f t="shared" si="7"/>
        <v>0</v>
      </c>
      <c r="X97" s="137">
        <v>170467.92</v>
      </c>
      <c r="Y97" s="783">
        <f t="shared" si="8"/>
        <v>-149159.43000000002</v>
      </c>
    </row>
    <row r="98" spans="1:25" x14ac:dyDescent="0.2">
      <c r="A98" s="698">
        <v>12</v>
      </c>
      <c r="B98" s="693" t="s">
        <v>1060</v>
      </c>
      <c r="C98" s="137" t="s">
        <v>800</v>
      </c>
      <c r="D98" s="137" t="s">
        <v>1061</v>
      </c>
      <c r="E98" s="137" t="s">
        <v>1062</v>
      </c>
      <c r="F98" s="694" t="s">
        <v>1018</v>
      </c>
      <c r="G98" s="694" t="s">
        <v>1063</v>
      </c>
      <c r="H98" s="137" t="s">
        <v>805</v>
      </c>
      <c r="I98" s="137" t="s">
        <v>1034</v>
      </c>
      <c r="J98" s="137">
        <v>633009</v>
      </c>
      <c r="K98" s="693" t="s">
        <v>1064</v>
      </c>
      <c r="L98" s="693" t="s">
        <v>807</v>
      </c>
      <c r="M98" s="693" t="s">
        <v>1065</v>
      </c>
      <c r="N98" s="695">
        <v>21.4</v>
      </c>
      <c r="O98" s="696">
        <v>250</v>
      </c>
      <c r="P98" s="696">
        <v>250</v>
      </c>
      <c r="Q98" s="696"/>
      <c r="R98" s="696"/>
      <c r="S98" s="697">
        <f>SUM(O98:R98)*N98</f>
        <v>10700</v>
      </c>
      <c r="T98" s="693" t="s">
        <v>1066</v>
      </c>
      <c r="V98" s="675">
        <v>10700</v>
      </c>
      <c r="W98" s="783">
        <f t="shared" si="7"/>
        <v>0</v>
      </c>
      <c r="X98" s="137">
        <v>10700</v>
      </c>
      <c r="Y98" s="783">
        <f t="shared" si="8"/>
        <v>0</v>
      </c>
    </row>
    <row r="99" spans="1:25" x14ac:dyDescent="0.2">
      <c r="A99" s="698">
        <v>12</v>
      </c>
      <c r="B99" s="693" t="s">
        <v>1060</v>
      </c>
      <c r="C99" s="137" t="s">
        <v>800</v>
      </c>
      <c r="D99" s="137" t="s">
        <v>1067</v>
      </c>
      <c r="E99" s="137" t="s">
        <v>1068</v>
      </c>
      <c r="F99" s="694" t="s">
        <v>1018</v>
      </c>
      <c r="G99" s="694" t="s">
        <v>1063</v>
      </c>
      <c r="H99" s="137" t="s">
        <v>805</v>
      </c>
      <c r="I99" s="137" t="s">
        <v>1034</v>
      </c>
      <c r="J99" s="137">
        <v>632003</v>
      </c>
      <c r="K99" s="693" t="s">
        <v>1064</v>
      </c>
      <c r="L99" s="693" t="s">
        <v>807</v>
      </c>
      <c r="M99" s="693" t="s">
        <v>1069</v>
      </c>
      <c r="N99" s="695">
        <v>100</v>
      </c>
      <c r="O99" s="696">
        <v>1</v>
      </c>
      <c r="P99" s="696">
        <v>1</v>
      </c>
      <c r="Q99" s="696"/>
      <c r="R99" s="696"/>
      <c r="S99" s="697">
        <f>SUM(O99:R99)*N99</f>
        <v>200</v>
      </c>
      <c r="T99" s="693" t="s">
        <v>1070</v>
      </c>
      <c r="V99" s="675">
        <v>200</v>
      </c>
      <c r="W99" s="783">
        <f t="shared" si="7"/>
        <v>0</v>
      </c>
      <c r="X99" s="137">
        <v>200</v>
      </c>
      <c r="Y99" s="783">
        <f t="shared" si="8"/>
        <v>0</v>
      </c>
    </row>
    <row r="100" spans="1:25" x14ac:dyDescent="0.2">
      <c r="A100" s="692">
        <v>12</v>
      </c>
      <c r="B100" s="693" t="s">
        <v>1071</v>
      </c>
      <c r="C100" s="137" t="s">
        <v>800</v>
      </c>
      <c r="D100" s="137" t="s">
        <v>1072</v>
      </c>
      <c r="E100" s="137" t="s">
        <v>1073</v>
      </c>
      <c r="F100" s="694" t="s">
        <v>1018</v>
      </c>
      <c r="G100" s="694" t="s">
        <v>1074</v>
      </c>
      <c r="H100" s="137" t="s">
        <v>1013</v>
      </c>
      <c r="I100" s="137" t="s">
        <v>1034</v>
      </c>
      <c r="J100" s="137">
        <v>610</v>
      </c>
      <c r="K100" s="693" t="s">
        <v>1075</v>
      </c>
      <c r="L100" s="693" t="s">
        <v>863</v>
      </c>
      <c r="M100" s="693" t="s">
        <v>15</v>
      </c>
      <c r="N100" s="695">
        <v>23</v>
      </c>
      <c r="O100" s="696">
        <v>2088</v>
      </c>
      <c r="P100" s="696">
        <v>2088</v>
      </c>
      <c r="Q100" s="696">
        <v>2080</v>
      </c>
      <c r="R100" s="696">
        <v>2088</v>
      </c>
      <c r="S100" s="697">
        <f t="shared" ref="S100:S110" si="10">SUM(O100:R100)*N100*$B$2</f>
        <v>261384.14400000003</v>
      </c>
      <c r="T100" s="693" t="s">
        <v>1076</v>
      </c>
      <c r="V100" s="675">
        <v>261384.14400000003</v>
      </c>
      <c r="W100" s="783">
        <f t="shared" si="7"/>
        <v>0</v>
      </c>
      <c r="X100" s="137">
        <v>261384.14400000003</v>
      </c>
      <c r="Y100" s="783">
        <f t="shared" si="8"/>
        <v>0</v>
      </c>
    </row>
    <row r="101" spans="1:25" x14ac:dyDescent="0.2">
      <c r="A101" s="692">
        <v>12</v>
      </c>
      <c r="B101" s="693" t="s">
        <v>1071</v>
      </c>
      <c r="C101" s="137" t="s">
        <v>800</v>
      </c>
      <c r="D101" s="137" t="s">
        <v>1077</v>
      </c>
      <c r="E101" s="137" t="s">
        <v>1078</v>
      </c>
      <c r="F101" s="694" t="s">
        <v>1018</v>
      </c>
      <c r="G101" s="694" t="s">
        <v>1074</v>
      </c>
      <c r="H101" s="137" t="s">
        <v>1013</v>
      </c>
      <c r="I101" s="137" t="s">
        <v>1034</v>
      </c>
      <c r="J101" s="137">
        <v>610</v>
      </c>
      <c r="K101" s="693" t="s">
        <v>1079</v>
      </c>
      <c r="L101" s="693" t="s">
        <v>863</v>
      </c>
      <c r="M101" s="693" t="s">
        <v>15</v>
      </c>
      <c r="N101" s="756">
        <v>15</v>
      </c>
      <c r="O101" s="674">
        <f>O$3</f>
        <v>2088</v>
      </c>
      <c r="P101" s="674">
        <f t="shared" ref="P101:R101" si="11">P$3</f>
        <v>2088</v>
      </c>
      <c r="Q101" s="674">
        <f t="shared" si="11"/>
        <v>2080</v>
      </c>
      <c r="R101" s="674">
        <f t="shared" si="11"/>
        <v>2088</v>
      </c>
      <c r="S101" s="697">
        <f t="shared" si="10"/>
        <v>170467.92</v>
      </c>
      <c r="T101" s="137" t="s">
        <v>1703</v>
      </c>
      <c r="V101" s="675">
        <v>170467.92</v>
      </c>
      <c r="W101" s="783">
        <f t="shared" si="7"/>
        <v>0</v>
      </c>
      <c r="Y101" s="783">
        <f t="shared" si="8"/>
        <v>170467.92</v>
      </c>
    </row>
    <row r="102" spans="1:25" x14ac:dyDescent="0.2">
      <c r="A102" s="692">
        <v>12</v>
      </c>
      <c r="B102" s="693" t="s">
        <v>1071</v>
      </c>
      <c r="C102" s="137" t="s">
        <v>800</v>
      </c>
      <c r="D102" s="137" t="s">
        <v>1080</v>
      </c>
      <c r="E102" s="137" t="s">
        <v>1081</v>
      </c>
      <c r="F102" s="694" t="s">
        <v>1018</v>
      </c>
      <c r="G102" s="694" t="s">
        <v>1074</v>
      </c>
      <c r="H102" s="137" t="s">
        <v>1013</v>
      </c>
      <c r="I102" s="137" t="s">
        <v>1034</v>
      </c>
      <c r="J102" s="137">
        <v>610</v>
      </c>
      <c r="K102" s="693" t="s">
        <v>1082</v>
      </c>
      <c r="L102" s="693" t="s">
        <v>863</v>
      </c>
      <c r="M102" s="693" t="s">
        <v>15</v>
      </c>
      <c r="N102" s="695">
        <v>17</v>
      </c>
      <c r="O102" s="696">
        <v>2088</v>
      </c>
      <c r="P102" s="696">
        <v>2088</v>
      </c>
      <c r="Q102" s="696">
        <v>2080</v>
      </c>
      <c r="R102" s="696">
        <v>2088</v>
      </c>
      <c r="S102" s="697">
        <f t="shared" si="10"/>
        <v>193196.97600000002</v>
      </c>
      <c r="T102" s="693" t="s">
        <v>1083</v>
      </c>
      <c r="V102" s="675">
        <v>193196.97600000002</v>
      </c>
      <c r="W102" s="783">
        <f t="shared" si="7"/>
        <v>0</v>
      </c>
      <c r="X102" s="137">
        <v>193196.97600000002</v>
      </c>
      <c r="Y102" s="783">
        <f t="shared" si="8"/>
        <v>0</v>
      </c>
    </row>
    <row r="103" spans="1:25" x14ac:dyDescent="0.2">
      <c r="A103" s="692">
        <v>12</v>
      </c>
      <c r="B103" s="693" t="s">
        <v>1071</v>
      </c>
      <c r="C103" s="137" t="s">
        <v>800</v>
      </c>
      <c r="D103" s="137" t="s">
        <v>1084</v>
      </c>
      <c r="E103" s="137" t="s">
        <v>1085</v>
      </c>
      <c r="F103" s="694" t="s">
        <v>1018</v>
      </c>
      <c r="G103" s="694" t="s">
        <v>1074</v>
      </c>
      <c r="H103" s="137" t="s">
        <v>1013</v>
      </c>
      <c r="I103" s="137" t="s">
        <v>1034</v>
      </c>
      <c r="J103" s="137">
        <v>610</v>
      </c>
      <c r="K103" s="693" t="s">
        <v>425</v>
      </c>
      <c r="L103" s="693" t="s">
        <v>1086</v>
      </c>
      <c r="M103" s="693" t="s">
        <v>15</v>
      </c>
      <c r="N103" s="695">
        <v>12</v>
      </c>
      <c r="O103" s="696">
        <v>540</v>
      </c>
      <c r="P103" s="696">
        <v>540</v>
      </c>
      <c r="Q103" s="696">
        <v>540</v>
      </c>
      <c r="R103" s="696">
        <v>540</v>
      </c>
      <c r="S103" s="697">
        <f t="shared" si="10"/>
        <v>35303.040000000001</v>
      </c>
      <c r="T103" s="693" t="s">
        <v>1087</v>
      </c>
      <c r="V103" s="675">
        <v>35303.040000000001</v>
      </c>
      <c r="W103" s="783">
        <f t="shared" si="7"/>
        <v>0</v>
      </c>
      <c r="X103" s="137">
        <v>35303.040000000001</v>
      </c>
      <c r="Y103" s="783">
        <f t="shared" si="8"/>
        <v>0</v>
      </c>
    </row>
    <row r="104" spans="1:25" x14ac:dyDescent="0.2">
      <c r="A104" s="692">
        <v>12</v>
      </c>
      <c r="B104" s="693" t="s">
        <v>1071</v>
      </c>
      <c r="C104" s="137" t="s">
        <v>800</v>
      </c>
      <c r="D104" s="137" t="s">
        <v>1084</v>
      </c>
      <c r="E104" s="137" t="s">
        <v>1085</v>
      </c>
      <c r="F104" s="694" t="s">
        <v>1018</v>
      </c>
      <c r="G104" s="694" t="s">
        <v>1074</v>
      </c>
      <c r="H104" s="137" t="s">
        <v>1013</v>
      </c>
      <c r="I104" s="137" t="s">
        <v>1034</v>
      </c>
      <c r="J104" s="137">
        <v>610</v>
      </c>
      <c r="K104" s="693" t="s">
        <v>425</v>
      </c>
      <c r="L104" s="693" t="s">
        <v>1086</v>
      </c>
      <c r="M104" s="693" t="s">
        <v>15</v>
      </c>
      <c r="N104" s="695">
        <v>12</v>
      </c>
      <c r="O104" s="696">
        <v>540</v>
      </c>
      <c r="P104" s="696">
        <v>540</v>
      </c>
      <c r="Q104" s="696">
        <v>540</v>
      </c>
      <c r="R104" s="696">
        <v>540</v>
      </c>
      <c r="S104" s="697">
        <f t="shared" si="10"/>
        <v>35303.040000000001</v>
      </c>
      <c r="T104" s="693" t="s">
        <v>1087</v>
      </c>
      <c r="V104" s="675">
        <v>35303.040000000001</v>
      </c>
      <c r="W104" s="783">
        <f t="shared" si="7"/>
        <v>0</v>
      </c>
      <c r="X104" s="137">
        <v>35303.040000000001</v>
      </c>
      <c r="Y104" s="783">
        <f t="shared" si="8"/>
        <v>0</v>
      </c>
    </row>
    <row r="105" spans="1:25" x14ac:dyDescent="0.2">
      <c r="A105" s="692">
        <v>12</v>
      </c>
      <c r="B105" s="693" t="s">
        <v>1071</v>
      </c>
      <c r="C105" s="137" t="s">
        <v>800</v>
      </c>
      <c r="D105" s="137" t="s">
        <v>1088</v>
      </c>
      <c r="E105" s="137" t="s">
        <v>1089</v>
      </c>
      <c r="F105" s="694" t="s">
        <v>1018</v>
      </c>
      <c r="G105" s="694" t="s">
        <v>1074</v>
      </c>
      <c r="H105" s="137" t="s">
        <v>1013</v>
      </c>
      <c r="I105" s="137" t="s">
        <v>1034</v>
      </c>
      <c r="J105" s="137">
        <v>610</v>
      </c>
      <c r="K105" s="693" t="s">
        <v>1090</v>
      </c>
      <c r="L105" s="693" t="s">
        <v>1091</v>
      </c>
      <c r="M105" s="693" t="s">
        <v>15</v>
      </c>
      <c r="N105" s="695">
        <v>12</v>
      </c>
      <c r="O105" s="696">
        <v>1044</v>
      </c>
      <c r="P105" s="696">
        <v>1044</v>
      </c>
      <c r="Q105" s="696">
        <v>1040</v>
      </c>
      <c r="R105" s="696">
        <v>1044</v>
      </c>
      <c r="S105" s="697">
        <f t="shared" si="10"/>
        <v>68187.168000000005</v>
      </c>
      <c r="T105" s="693" t="s">
        <v>1087</v>
      </c>
      <c r="V105" s="675">
        <v>68187.168000000005</v>
      </c>
      <c r="W105" s="783">
        <f t="shared" si="7"/>
        <v>0</v>
      </c>
      <c r="X105" s="137">
        <v>68187.168000000005</v>
      </c>
      <c r="Y105" s="783">
        <f t="shared" si="8"/>
        <v>0</v>
      </c>
    </row>
    <row r="106" spans="1:25" x14ac:dyDescent="0.2">
      <c r="A106" s="692">
        <v>12</v>
      </c>
      <c r="B106" s="693" t="s">
        <v>1071</v>
      </c>
      <c r="C106" s="137" t="s">
        <v>800</v>
      </c>
      <c r="D106" s="137" t="s">
        <v>1092</v>
      </c>
      <c r="E106" s="137" t="s">
        <v>1089</v>
      </c>
      <c r="F106" s="694" t="s">
        <v>1018</v>
      </c>
      <c r="G106" s="694" t="s">
        <v>1074</v>
      </c>
      <c r="H106" s="137" t="s">
        <v>1013</v>
      </c>
      <c r="I106" s="137" t="s">
        <v>1034</v>
      </c>
      <c r="J106" s="137">
        <v>610</v>
      </c>
      <c r="K106" s="693" t="s">
        <v>1093</v>
      </c>
      <c r="L106" s="693" t="s">
        <v>1091</v>
      </c>
      <c r="M106" s="693" t="s">
        <v>15</v>
      </c>
      <c r="N106" s="695">
        <v>12</v>
      </c>
      <c r="O106" s="696">
        <v>1044</v>
      </c>
      <c r="P106" s="696">
        <v>1044</v>
      </c>
      <c r="Q106" s="696">
        <v>1040</v>
      </c>
      <c r="R106" s="696">
        <v>1044</v>
      </c>
      <c r="S106" s="697">
        <f t="shared" si="10"/>
        <v>68187.168000000005</v>
      </c>
      <c r="T106" s="693" t="s">
        <v>1087</v>
      </c>
      <c r="V106" s="675">
        <v>68187.168000000005</v>
      </c>
      <c r="W106" s="783">
        <f t="shared" si="7"/>
        <v>0</v>
      </c>
      <c r="X106" s="137">
        <v>68187.168000000005</v>
      </c>
      <c r="Y106" s="783">
        <f t="shared" si="8"/>
        <v>0</v>
      </c>
    </row>
    <row r="107" spans="1:25" x14ac:dyDescent="0.2">
      <c r="A107" s="692">
        <v>12</v>
      </c>
      <c r="B107" s="693" t="s">
        <v>1071</v>
      </c>
      <c r="C107" s="137" t="s">
        <v>800</v>
      </c>
      <c r="D107" s="137" t="s">
        <v>1094</v>
      </c>
      <c r="E107" s="137" t="s">
        <v>1089</v>
      </c>
      <c r="F107" s="694" t="s">
        <v>1018</v>
      </c>
      <c r="G107" s="694" t="s">
        <v>1074</v>
      </c>
      <c r="H107" s="137" t="s">
        <v>1013</v>
      </c>
      <c r="I107" s="137" t="s">
        <v>1034</v>
      </c>
      <c r="J107" s="137">
        <v>610</v>
      </c>
      <c r="K107" s="693" t="s">
        <v>1095</v>
      </c>
      <c r="L107" s="693" t="s">
        <v>1091</v>
      </c>
      <c r="M107" s="693" t="s">
        <v>15</v>
      </c>
      <c r="N107" s="695">
        <v>12</v>
      </c>
      <c r="O107" s="696">
        <v>1044</v>
      </c>
      <c r="P107" s="696">
        <v>1044</v>
      </c>
      <c r="Q107" s="696">
        <v>1040</v>
      </c>
      <c r="R107" s="696">
        <v>1044</v>
      </c>
      <c r="S107" s="697">
        <f t="shared" si="10"/>
        <v>68187.168000000005</v>
      </c>
      <c r="T107" s="693" t="s">
        <v>1087</v>
      </c>
      <c r="V107" s="675">
        <v>68187.168000000005</v>
      </c>
      <c r="W107" s="783">
        <f t="shared" si="7"/>
        <v>0</v>
      </c>
      <c r="X107" s="137">
        <v>68187.168000000005</v>
      </c>
      <c r="Y107" s="783">
        <f t="shared" si="8"/>
        <v>0</v>
      </c>
    </row>
    <row r="108" spans="1:25" x14ac:dyDescent="0.2">
      <c r="A108" s="692">
        <v>12</v>
      </c>
      <c r="B108" s="693" t="s">
        <v>1071</v>
      </c>
      <c r="C108" s="137" t="s">
        <v>800</v>
      </c>
      <c r="D108" s="137" t="s">
        <v>1096</v>
      </c>
      <c r="E108" s="137" t="s">
        <v>1097</v>
      </c>
      <c r="F108" s="694" t="s">
        <v>1018</v>
      </c>
      <c r="G108" s="694" t="s">
        <v>1074</v>
      </c>
      <c r="H108" s="137" t="s">
        <v>1013</v>
      </c>
      <c r="I108" s="137" t="s">
        <v>1034</v>
      </c>
      <c r="J108" s="137">
        <v>610</v>
      </c>
      <c r="K108" s="693" t="s">
        <v>662</v>
      </c>
      <c r="L108" s="693" t="s">
        <v>1098</v>
      </c>
      <c r="M108" s="693" t="s">
        <v>15</v>
      </c>
      <c r="N108" s="695">
        <v>15</v>
      </c>
      <c r="O108" s="696">
        <v>522</v>
      </c>
      <c r="P108" s="696">
        <v>522</v>
      </c>
      <c r="Q108" s="696">
        <v>520</v>
      </c>
      <c r="R108" s="696">
        <v>522</v>
      </c>
      <c r="S108" s="697">
        <f t="shared" si="10"/>
        <v>42616.98</v>
      </c>
      <c r="T108" s="693" t="s">
        <v>1087</v>
      </c>
      <c r="V108" s="675">
        <v>42616.98</v>
      </c>
      <c r="W108" s="783">
        <f t="shared" si="7"/>
        <v>0</v>
      </c>
      <c r="X108" s="137">
        <v>42616.98</v>
      </c>
      <c r="Y108" s="783">
        <f t="shared" si="8"/>
        <v>0</v>
      </c>
    </row>
    <row r="109" spans="1:25" x14ac:dyDescent="0.2">
      <c r="A109" s="692">
        <v>12</v>
      </c>
      <c r="B109" s="693" t="s">
        <v>1071</v>
      </c>
      <c r="C109" s="137" t="s">
        <v>800</v>
      </c>
      <c r="D109" s="137" t="s">
        <v>1099</v>
      </c>
      <c r="E109" s="137" t="s">
        <v>1089</v>
      </c>
      <c r="F109" s="694" t="s">
        <v>1018</v>
      </c>
      <c r="G109" s="694" t="s">
        <v>1074</v>
      </c>
      <c r="H109" s="137" t="s">
        <v>1013</v>
      </c>
      <c r="I109" s="137" t="s">
        <v>1034</v>
      </c>
      <c r="J109" s="137">
        <v>610</v>
      </c>
      <c r="K109" s="693" t="s">
        <v>1100</v>
      </c>
      <c r="L109" s="693" t="s">
        <v>878</v>
      </c>
      <c r="M109" s="693" t="s">
        <v>15</v>
      </c>
      <c r="N109" s="695">
        <v>25</v>
      </c>
      <c r="O109" s="696">
        <v>350</v>
      </c>
      <c r="P109" s="696">
        <v>350</v>
      </c>
      <c r="Q109" s="696">
        <v>100</v>
      </c>
      <c r="R109" s="696"/>
      <c r="S109" s="697">
        <f>SUM(O109:R109)*N109*$B$2</f>
        <v>27240.000000000004</v>
      </c>
      <c r="T109" s="693" t="s">
        <v>1087</v>
      </c>
      <c r="V109" s="675">
        <v>27240.000000000004</v>
      </c>
      <c r="W109" s="783">
        <f t="shared" si="7"/>
        <v>0</v>
      </c>
      <c r="X109" s="137">
        <v>27240.000000000004</v>
      </c>
      <c r="Y109" s="783">
        <f t="shared" si="8"/>
        <v>0</v>
      </c>
    </row>
    <row r="110" spans="1:25" x14ac:dyDescent="0.2">
      <c r="A110" s="692">
        <v>12</v>
      </c>
      <c r="B110" s="693" t="s">
        <v>1071</v>
      </c>
      <c r="C110" s="137" t="s">
        <v>800</v>
      </c>
      <c r="D110" s="137" t="s">
        <v>1101</v>
      </c>
      <c r="E110" s="137" t="s">
        <v>1102</v>
      </c>
      <c r="F110" s="694" t="s">
        <v>1018</v>
      </c>
      <c r="G110" s="694" t="s">
        <v>1074</v>
      </c>
      <c r="H110" s="137" t="s">
        <v>1103</v>
      </c>
      <c r="I110" s="137" t="s">
        <v>1034</v>
      </c>
      <c r="J110" s="137">
        <v>637004</v>
      </c>
      <c r="K110" s="693" t="s">
        <v>966</v>
      </c>
      <c r="L110" s="693" t="s">
        <v>807</v>
      </c>
      <c r="M110" s="693" t="s">
        <v>1104</v>
      </c>
      <c r="N110" s="695">
        <v>1195</v>
      </c>
      <c r="O110" s="696">
        <v>8</v>
      </c>
      <c r="P110" s="696"/>
      <c r="Q110" s="696"/>
      <c r="R110" s="696"/>
      <c r="S110" s="697">
        <f t="shared" si="10"/>
        <v>13020.720000000001</v>
      </c>
      <c r="T110" s="693" t="s">
        <v>1105</v>
      </c>
      <c r="V110" s="675">
        <v>13020.720000000001</v>
      </c>
      <c r="W110" s="783">
        <f t="shared" si="7"/>
        <v>0</v>
      </c>
      <c r="X110" s="137">
        <v>13020.720000000001</v>
      </c>
      <c r="Y110" s="783">
        <f t="shared" si="8"/>
        <v>0</v>
      </c>
    </row>
    <row r="111" spans="1:25" x14ac:dyDescent="0.2">
      <c r="A111" s="692">
        <v>12</v>
      </c>
      <c r="B111" s="693" t="s">
        <v>1071</v>
      </c>
      <c r="C111" s="137" t="s">
        <v>800</v>
      </c>
      <c r="D111" s="137" t="s">
        <v>1106</v>
      </c>
      <c r="E111" s="137" t="s">
        <v>1107</v>
      </c>
      <c r="F111" s="694" t="s">
        <v>1018</v>
      </c>
      <c r="G111" s="694" t="s">
        <v>1074</v>
      </c>
      <c r="H111" s="137" t="s">
        <v>1013</v>
      </c>
      <c r="I111" s="137" t="s">
        <v>1034</v>
      </c>
      <c r="J111" s="137">
        <v>637004</v>
      </c>
      <c r="K111" s="693" t="s">
        <v>1108</v>
      </c>
      <c r="L111" s="693" t="s">
        <v>1109</v>
      </c>
      <c r="M111" s="693" t="s">
        <v>1110</v>
      </c>
      <c r="N111" s="756">
        <v>7915</v>
      </c>
      <c r="O111" s="696">
        <v>1</v>
      </c>
      <c r="P111" s="696">
        <v>1</v>
      </c>
      <c r="Q111" s="696">
        <v>1</v>
      </c>
      <c r="R111" s="696">
        <v>1</v>
      </c>
      <c r="S111" s="697">
        <f>SUM(O111:R111)*N111</f>
        <v>31660</v>
      </c>
      <c r="T111" s="693"/>
      <c r="V111" s="757">
        <v>31660</v>
      </c>
      <c r="W111" s="783">
        <f t="shared" si="7"/>
        <v>0</v>
      </c>
      <c r="X111" s="137">
        <v>31660</v>
      </c>
      <c r="Y111" s="783">
        <f t="shared" si="8"/>
        <v>0</v>
      </c>
    </row>
    <row r="112" spans="1:25" x14ac:dyDescent="0.2">
      <c r="A112" s="698">
        <v>12</v>
      </c>
      <c r="B112" s="693" t="s">
        <v>1071</v>
      </c>
      <c r="C112" s="137" t="s">
        <v>800</v>
      </c>
      <c r="D112" s="137" t="s">
        <v>1111</v>
      </c>
      <c r="E112" s="137" t="s">
        <v>1112</v>
      </c>
      <c r="F112" s="694" t="s">
        <v>1018</v>
      </c>
      <c r="G112" s="694" t="s">
        <v>1074</v>
      </c>
      <c r="H112" s="137" t="s">
        <v>1013</v>
      </c>
      <c r="I112" s="137" t="s">
        <v>1034</v>
      </c>
      <c r="J112" s="137">
        <v>610</v>
      </c>
      <c r="K112" s="693" t="s">
        <v>1113</v>
      </c>
      <c r="L112" s="693" t="s">
        <v>878</v>
      </c>
      <c r="M112" s="693" t="s">
        <v>15</v>
      </c>
      <c r="N112" s="695">
        <v>25</v>
      </c>
      <c r="O112" s="696"/>
      <c r="P112" s="696"/>
      <c r="Q112" s="696"/>
      <c r="R112" s="696"/>
      <c r="S112" s="697">
        <f>350*N112*$B$2</f>
        <v>11917.5</v>
      </c>
      <c r="T112" s="693" t="s">
        <v>1114</v>
      </c>
      <c r="V112" s="675">
        <v>11917.5</v>
      </c>
      <c r="W112" s="783">
        <f t="shared" si="7"/>
        <v>0</v>
      </c>
      <c r="X112" s="137">
        <v>11917.5</v>
      </c>
      <c r="Y112" s="783">
        <f t="shared" si="8"/>
        <v>0</v>
      </c>
    </row>
    <row r="113" spans="1:25" x14ac:dyDescent="0.2">
      <c r="A113" s="698">
        <v>12</v>
      </c>
      <c r="B113" s="693" t="s">
        <v>1071</v>
      </c>
      <c r="C113" s="137" t="s">
        <v>800</v>
      </c>
      <c r="D113" s="137" t="s">
        <v>1111</v>
      </c>
      <c r="E113" s="137" t="s">
        <v>1115</v>
      </c>
      <c r="F113" s="694" t="s">
        <v>1018</v>
      </c>
      <c r="G113" s="694" t="s">
        <v>1074</v>
      </c>
      <c r="H113" s="137" t="s">
        <v>1013</v>
      </c>
      <c r="I113" s="137" t="s">
        <v>1034</v>
      </c>
      <c r="J113" s="137">
        <v>610</v>
      </c>
      <c r="K113" s="693" t="s">
        <v>1113</v>
      </c>
      <c r="L113" s="693" t="s">
        <v>878</v>
      </c>
      <c r="M113" s="693" t="s">
        <v>15</v>
      </c>
      <c r="N113" s="695">
        <v>25</v>
      </c>
      <c r="O113" s="696"/>
      <c r="P113" s="696"/>
      <c r="Q113" s="696"/>
      <c r="R113" s="696"/>
      <c r="S113" s="697">
        <f>350*N113*$B$2</f>
        <v>11917.5</v>
      </c>
      <c r="T113" s="693" t="s">
        <v>1114</v>
      </c>
      <c r="V113" s="675">
        <v>11917.5</v>
      </c>
      <c r="W113" s="783">
        <f t="shared" si="7"/>
        <v>0</v>
      </c>
      <c r="X113" s="137">
        <v>11917.5</v>
      </c>
      <c r="Y113" s="783">
        <f t="shared" si="8"/>
        <v>0</v>
      </c>
    </row>
    <row r="114" spans="1:25" x14ac:dyDescent="0.2">
      <c r="A114" s="698">
        <v>12</v>
      </c>
      <c r="B114" s="693" t="s">
        <v>1071</v>
      </c>
      <c r="C114" s="137" t="s">
        <v>800</v>
      </c>
      <c r="D114" s="137" t="s">
        <v>1116</v>
      </c>
      <c r="E114" s="137" t="s">
        <v>1117</v>
      </c>
      <c r="F114" s="694" t="s">
        <v>1018</v>
      </c>
      <c r="G114" s="694" t="s">
        <v>1074</v>
      </c>
      <c r="H114" s="137" t="s">
        <v>1013</v>
      </c>
      <c r="I114" s="137" t="s">
        <v>1034</v>
      </c>
      <c r="J114" s="137">
        <v>631001</v>
      </c>
      <c r="K114" s="693" t="s">
        <v>1113</v>
      </c>
      <c r="L114" s="693" t="s">
        <v>1109</v>
      </c>
      <c r="M114" s="693" t="s">
        <v>13</v>
      </c>
      <c r="N114" s="675">
        <v>1200</v>
      </c>
      <c r="O114" s="696"/>
      <c r="P114" s="696"/>
      <c r="Q114" s="696"/>
      <c r="R114" s="696"/>
      <c r="S114" s="675">
        <v>1200</v>
      </c>
      <c r="T114" s="693" t="s">
        <v>1118</v>
      </c>
      <c r="V114" s="675">
        <v>1200</v>
      </c>
      <c r="W114" s="783">
        <f t="shared" si="7"/>
        <v>0</v>
      </c>
      <c r="X114" s="137">
        <v>830</v>
      </c>
      <c r="Y114" s="783">
        <f t="shared" si="8"/>
        <v>370</v>
      </c>
    </row>
    <row r="115" spans="1:25" x14ac:dyDescent="0.2">
      <c r="A115" s="692">
        <v>12</v>
      </c>
      <c r="B115" s="693" t="s">
        <v>1071</v>
      </c>
      <c r="C115" s="137" t="s">
        <v>800</v>
      </c>
      <c r="D115" s="137" t="s">
        <v>1119</v>
      </c>
      <c r="E115" s="137" t="s">
        <v>1120</v>
      </c>
      <c r="F115" s="694" t="s">
        <v>803</v>
      </c>
      <c r="G115" s="694" t="s">
        <v>1121</v>
      </c>
      <c r="H115" s="137" t="s">
        <v>1103</v>
      </c>
      <c r="I115" s="137" t="s">
        <v>1034</v>
      </c>
      <c r="J115" s="137">
        <v>637003</v>
      </c>
      <c r="K115" s="693" t="s">
        <v>1122</v>
      </c>
      <c r="L115" s="693" t="s">
        <v>807</v>
      </c>
      <c r="M115" s="693" t="s">
        <v>1123</v>
      </c>
      <c r="N115" s="695">
        <v>400</v>
      </c>
      <c r="O115" s="696">
        <v>9</v>
      </c>
      <c r="P115" s="696">
        <v>12</v>
      </c>
      <c r="Q115" s="696">
        <v>12</v>
      </c>
      <c r="R115" s="696">
        <v>11</v>
      </c>
      <c r="S115" s="697">
        <f>SUM(O115:R115)*N115*$B$3</f>
        <v>21648</v>
      </c>
      <c r="T115" s="693" t="s">
        <v>1124</v>
      </c>
      <c r="V115" s="675">
        <v>21648</v>
      </c>
      <c r="W115" s="783">
        <f t="shared" si="7"/>
        <v>0</v>
      </c>
      <c r="X115" s="137">
        <v>21648</v>
      </c>
      <c r="Y115" s="783">
        <f t="shared" si="8"/>
        <v>0</v>
      </c>
    </row>
    <row r="116" spans="1:25" x14ac:dyDescent="0.2">
      <c r="A116" s="692">
        <v>12</v>
      </c>
      <c r="B116" s="693" t="s">
        <v>1071</v>
      </c>
      <c r="C116" s="137" t="s">
        <v>800</v>
      </c>
      <c r="D116" s="137" t="s">
        <v>1119</v>
      </c>
      <c r="E116" s="137" t="s">
        <v>1125</v>
      </c>
      <c r="F116" s="694" t="s">
        <v>803</v>
      </c>
      <c r="G116" s="694" t="s">
        <v>1121</v>
      </c>
      <c r="H116" s="137" t="s">
        <v>1103</v>
      </c>
      <c r="I116" s="137" t="s">
        <v>1034</v>
      </c>
      <c r="J116" s="137">
        <v>637003</v>
      </c>
      <c r="K116" s="693" t="s">
        <v>1122</v>
      </c>
      <c r="L116" s="693" t="s">
        <v>807</v>
      </c>
      <c r="M116" s="693" t="s">
        <v>1123</v>
      </c>
      <c r="N116" s="695">
        <v>400</v>
      </c>
      <c r="O116" s="696">
        <v>9</v>
      </c>
      <c r="P116" s="696">
        <v>12</v>
      </c>
      <c r="Q116" s="696">
        <v>12</v>
      </c>
      <c r="R116" s="696">
        <v>11</v>
      </c>
      <c r="S116" s="697">
        <f>SUM(O116:R116)*N116*$B$3</f>
        <v>21648</v>
      </c>
      <c r="T116" s="693" t="s">
        <v>1124</v>
      </c>
      <c r="V116" s="675">
        <v>21648</v>
      </c>
      <c r="W116" s="783">
        <f t="shared" si="7"/>
        <v>0</v>
      </c>
      <c r="X116" s="137">
        <v>21648</v>
      </c>
      <c r="Y116" s="783">
        <f t="shared" si="8"/>
        <v>0</v>
      </c>
    </row>
    <row r="117" spans="1:25" x14ac:dyDescent="0.2">
      <c r="A117" s="692">
        <v>12</v>
      </c>
      <c r="B117" s="693" t="s">
        <v>1071</v>
      </c>
      <c r="C117" s="137" t="s">
        <v>800</v>
      </c>
      <c r="D117" s="137" t="s">
        <v>1126</v>
      </c>
      <c r="E117" s="137" t="s">
        <v>1127</v>
      </c>
      <c r="F117" s="694" t="s">
        <v>858</v>
      </c>
      <c r="G117" s="694" t="s">
        <v>1074</v>
      </c>
      <c r="H117" s="137" t="s">
        <v>1128</v>
      </c>
      <c r="I117" s="137" t="s">
        <v>1034</v>
      </c>
      <c r="J117" s="137">
        <v>631001</v>
      </c>
      <c r="K117" s="693" t="s">
        <v>989</v>
      </c>
      <c r="L117" s="693" t="s">
        <v>1109</v>
      </c>
      <c r="M117" s="693" t="s">
        <v>1110</v>
      </c>
      <c r="N117" s="808">
        <v>7550</v>
      </c>
      <c r="O117" s="674">
        <v>1</v>
      </c>
      <c r="P117" s="674">
        <v>1</v>
      </c>
      <c r="Q117" s="674">
        <v>1</v>
      </c>
      <c r="R117" s="674">
        <v>1</v>
      </c>
      <c r="S117" s="697">
        <f>SUM(O117:R117)*N117</f>
        <v>30200</v>
      </c>
      <c r="T117" s="693" t="s">
        <v>1129</v>
      </c>
      <c r="V117" s="675">
        <v>30040</v>
      </c>
      <c r="W117" s="783">
        <f t="shared" si="7"/>
        <v>-160</v>
      </c>
      <c r="X117" s="137">
        <v>30040</v>
      </c>
      <c r="Y117" s="783">
        <f t="shared" si="8"/>
        <v>160</v>
      </c>
    </row>
    <row r="118" spans="1:25" x14ac:dyDescent="0.2">
      <c r="A118" s="692">
        <v>12</v>
      </c>
      <c r="B118" s="693" t="s">
        <v>1071</v>
      </c>
      <c r="C118" s="137" t="s">
        <v>800</v>
      </c>
      <c r="D118" s="137" t="s">
        <v>1130</v>
      </c>
      <c r="E118" s="137" t="s">
        <v>1127</v>
      </c>
      <c r="F118" s="694" t="s">
        <v>803</v>
      </c>
      <c r="G118" s="694" t="s">
        <v>1074</v>
      </c>
      <c r="H118" s="137" t="s">
        <v>1103</v>
      </c>
      <c r="I118" s="137" t="s">
        <v>1034</v>
      </c>
      <c r="J118" s="137">
        <v>633002</v>
      </c>
      <c r="K118" s="693" t="s">
        <v>1131</v>
      </c>
      <c r="L118" s="693" t="s">
        <v>1109</v>
      </c>
      <c r="M118" s="693" t="s">
        <v>1110</v>
      </c>
      <c r="N118" s="721">
        <v>9600</v>
      </c>
      <c r="O118" s="674">
        <v>1</v>
      </c>
      <c r="P118" s="674">
        <v>1</v>
      </c>
      <c r="Q118" s="674">
        <v>1</v>
      </c>
      <c r="R118" s="674">
        <v>1</v>
      </c>
      <c r="S118" s="697">
        <f>SUM(O118:R118)*N118*$B$3</f>
        <v>47232</v>
      </c>
      <c r="T118" s="693" t="s">
        <v>1129</v>
      </c>
      <c r="V118" s="675">
        <v>47232</v>
      </c>
      <c r="W118" s="783">
        <f t="shared" si="7"/>
        <v>0</v>
      </c>
      <c r="X118" s="137">
        <v>47232</v>
      </c>
      <c r="Y118" s="783">
        <f t="shared" si="8"/>
        <v>0</v>
      </c>
    </row>
    <row r="119" spans="1:25" x14ac:dyDescent="0.2">
      <c r="A119" s="692">
        <v>12</v>
      </c>
      <c r="B119" s="693" t="s">
        <v>1071</v>
      </c>
      <c r="C119" s="137" t="s">
        <v>800</v>
      </c>
      <c r="D119" s="137" t="s">
        <v>1132</v>
      </c>
      <c r="E119" s="137" t="s">
        <v>1133</v>
      </c>
      <c r="F119" s="694" t="s">
        <v>803</v>
      </c>
      <c r="G119" s="694" t="s">
        <v>1074</v>
      </c>
      <c r="H119" s="137" t="s">
        <v>1103</v>
      </c>
      <c r="I119" s="137" t="s">
        <v>1034</v>
      </c>
      <c r="J119" s="137">
        <v>633002</v>
      </c>
      <c r="K119" s="693" t="s">
        <v>1108</v>
      </c>
      <c r="L119" s="693" t="s">
        <v>807</v>
      </c>
      <c r="M119" s="693" t="s">
        <v>13</v>
      </c>
      <c r="N119" s="673">
        <f>2*(1200+500+2000+791)-1230+50.43</f>
        <v>7802.43</v>
      </c>
      <c r="O119" s="674">
        <v>2</v>
      </c>
      <c r="S119" s="697">
        <f>N119*O119</f>
        <v>15604.86</v>
      </c>
      <c r="T119" s="693"/>
      <c r="V119" s="675">
        <v>15504</v>
      </c>
      <c r="W119" s="783">
        <f t="shared" si="7"/>
        <v>-100.86000000000058</v>
      </c>
      <c r="X119" s="137">
        <v>15504</v>
      </c>
      <c r="Y119" s="783">
        <f t="shared" si="8"/>
        <v>100.86000000000058</v>
      </c>
    </row>
    <row r="120" spans="1:25" x14ac:dyDescent="0.2">
      <c r="A120" s="692">
        <v>12</v>
      </c>
      <c r="B120" s="693" t="s">
        <v>1134</v>
      </c>
      <c r="C120" s="704" t="s">
        <v>866</v>
      </c>
      <c r="D120" s="704" t="s">
        <v>1135</v>
      </c>
      <c r="E120" s="704" t="s">
        <v>1136</v>
      </c>
      <c r="F120" s="705" t="s">
        <v>1018</v>
      </c>
      <c r="G120" s="705" t="s">
        <v>1137</v>
      </c>
      <c r="H120" s="704" t="s">
        <v>1128</v>
      </c>
      <c r="I120" s="704" t="s">
        <v>1034</v>
      </c>
      <c r="J120" s="704">
        <v>631001</v>
      </c>
      <c r="K120" s="707" t="s">
        <v>1138</v>
      </c>
      <c r="L120" s="693" t="s">
        <v>1109</v>
      </c>
      <c r="M120" s="693" t="s">
        <v>1139</v>
      </c>
      <c r="N120" s="673">
        <f>S30+S32+S72+S73+S78+S79+S80+S81+S82</f>
        <v>489291.50400000002</v>
      </c>
      <c r="O120" s="675">
        <f t="shared" ref="O120:R123" si="12">0.07*0.25</f>
        <v>1.7500000000000002E-2</v>
      </c>
      <c r="P120" s="675">
        <f t="shared" si="12"/>
        <v>1.7500000000000002E-2</v>
      </c>
      <c r="Q120" s="675">
        <f t="shared" si="12"/>
        <v>1.7500000000000002E-2</v>
      </c>
      <c r="R120" s="675">
        <f t="shared" si="12"/>
        <v>1.7500000000000002E-2</v>
      </c>
      <c r="S120" s="708">
        <f>SUM(O120:R120)*N120</f>
        <v>34250.405280000006</v>
      </c>
      <c r="T120" s="707" t="s">
        <v>1140</v>
      </c>
      <c r="V120" s="758">
        <v>34250.405280000006</v>
      </c>
      <c r="W120" s="783">
        <f t="shared" si="7"/>
        <v>0</v>
      </c>
      <c r="X120" s="137">
        <v>33682.565280000003</v>
      </c>
      <c r="Y120" s="783">
        <f t="shared" si="8"/>
        <v>567.84000000000378</v>
      </c>
    </row>
    <row r="121" spans="1:25" x14ac:dyDescent="0.2">
      <c r="A121" s="692">
        <v>12</v>
      </c>
      <c r="B121" s="693" t="s">
        <v>1141</v>
      </c>
      <c r="C121" s="699" t="s">
        <v>855</v>
      </c>
      <c r="D121" s="700" t="s">
        <v>1142</v>
      </c>
      <c r="E121" s="700" t="s">
        <v>1143</v>
      </c>
      <c r="F121" s="701" t="s">
        <v>1018</v>
      </c>
      <c r="G121" s="701" t="s">
        <v>1137</v>
      </c>
      <c r="H121" s="700" t="s">
        <v>1128</v>
      </c>
      <c r="I121" s="700" t="s">
        <v>1034</v>
      </c>
      <c r="J121" s="700">
        <v>631001</v>
      </c>
      <c r="K121" s="702" t="s">
        <v>1138</v>
      </c>
      <c r="L121" s="693" t="s">
        <v>1109</v>
      </c>
      <c r="M121" s="693" t="s">
        <v>1139</v>
      </c>
      <c r="N121" s="673">
        <f>S29+S31+S33+S40+S68+S69+S74+S75+S76+S77</f>
        <v>629858.29200000002</v>
      </c>
      <c r="O121" s="675">
        <f t="shared" si="12"/>
        <v>1.7500000000000002E-2</v>
      </c>
      <c r="P121" s="675">
        <f t="shared" si="12"/>
        <v>1.7500000000000002E-2</v>
      </c>
      <c r="Q121" s="675">
        <f t="shared" si="12"/>
        <v>1.7500000000000002E-2</v>
      </c>
      <c r="R121" s="675">
        <f t="shared" si="12"/>
        <v>1.7500000000000002E-2</v>
      </c>
      <c r="S121" s="703">
        <f>SUM(O121:R121)*N121</f>
        <v>44090.080440000005</v>
      </c>
      <c r="T121" s="702" t="s">
        <v>962</v>
      </c>
      <c r="V121" s="760">
        <v>43542.066120000003</v>
      </c>
      <c r="W121" s="783">
        <f t="shared" si="7"/>
        <v>-548.01432000000204</v>
      </c>
      <c r="X121" s="137">
        <v>38371.205880000009</v>
      </c>
      <c r="Y121" s="783">
        <f t="shared" si="8"/>
        <v>5718.8745599999966</v>
      </c>
    </row>
    <row r="122" spans="1:25" x14ac:dyDescent="0.2">
      <c r="A122" s="692">
        <v>12</v>
      </c>
      <c r="B122" s="693" t="s">
        <v>1144</v>
      </c>
      <c r="C122" s="713" t="s">
        <v>901</v>
      </c>
      <c r="D122" s="713" t="s">
        <v>1135</v>
      </c>
      <c r="E122" s="713" t="s">
        <v>1145</v>
      </c>
      <c r="F122" s="714" t="s">
        <v>1018</v>
      </c>
      <c r="G122" s="714" t="s">
        <v>1137</v>
      </c>
      <c r="H122" s="713" t="s">
        <v>1128</v>
      </c>
      <c r="I122" s="713" t="s">
        <v>1034</v>
      </c>
      <c r="J122" s="713">
        <v>631001</v>
      </c>
      <c r="K122" s="715" t="s">
        <v>1138</v>
      </c>
      <c r="L122" s="693" t="s">
        <v>1109</v>
      </c>
      <c r="M122" s="693" t="s">
        <v>1139</v>
      </c>
      <c r="N122" s="673">
        <f>S70+S43+S44+S48+S39</f>
        <v>574841.66400000011</v>
      </c>
      <c r="O122" s="675">
        <f t="shared" si="12"/>
        <v>1.7500000000000002E-2</v>
      </c>
      <c r="P122" s="675">
        <f t="shared" si="12"/>
        <v>1.7500000000000002E-2</v>
      </c>
      <c r="Q122" s="675">
        <f t="shared" si="12"/>
        <v>1.7500000000000002E-2</v>
      </c>
      <c r="R122" s="675">
        <f t="shared" si="12"/>
        <v>1.7500000000000002E-2</v>
      </c>
      <c r="S122" s="716">
        <f>SUM(O122:R122)*N122</f>
        <v>40238.916480000014</v>
      </c>
      <c r="T122" s="715" t="s">
        <v>1146</v>
      </c>
      <c r="V122" s="748">
        <v>40238.916480000014</v>
      </c>
      <c r="W122" s="783">
        <f t="shared" si="7"/>
        <v>0</v>
      </c>
      <c r="X122" s="137">
        <v>40238.916480000014</v>
      </c>
      <c r="Y122" s="783">
        <f t="shared" si="8"/>
        <v>0</v>
      </c>
    </row>
    <row r="123" spans="1:25" x14ac:dyDescent="0.2">
      <c r="A123" s="692">
        <v>12</v>
      </c>
      <c r="B123" s="693" t="s">
        <v>1147</v>
      </c>
      <c r="C123" s="709" t="s">
        <v>895</v>
      </c>
      <c r="D123" s="709" t="s">
        <v>1135</v>
      </c>
      <c r="E123" s="709" t="s">
        <v>1148</v>
      </c>
      <c r="F123" s="710" t="s">
        <v>1018</v>
      </c>
      <c r="G123" s="710" t="s">
        <v>1137</v>
      </c>
      <c r="H123" s="709" t="s">
        <v>1128</v>
      </c>
      <c r="I123" s="709" t="s">
        <v>1034</v>
      </c>
      <c r="J123" s="709">
        <v>631001</v>
      </c>
      <c r="K123" s="711" t="s">
        <v>1138</v>
      </c>
      <c r="L123" s="693" t="s">
        <v>1109</v>
      </c>
      <c r="M123" s="693" t="s">
        <v>1139</v>
      </c>
      <c r="N123" s="673">
        <f>S38+S41+S45+S46+S47+S71</f>
        <v>321966.59999999998</v>
      </c>
      <c r="O123" s="675">
        <f t="shared" si="12"/>
        <v>1.7500000000000002E-2</v>
      </c>
      <c r="P123" s="675">
        <f t="shared" si="12"/>
        <v>1.7500000000000002E-2</v>
      </c>
      <c r="Q123" s="675">
        <f t="shared" si="12"/>
        <v>1.7500000000000002E-2</v>
      </c>
      <c r="R123" s="675">
        <f t="shared" si="12"/>
        <v>1.7500000000000002E-2</v>
      </c>
      <c r="S123" s="712">
        <f>SUM(O123:R123)*N123</f>
        <v>22537.662</v>
      </c>
      <c r="T123" s="711" t="s">
        <v>1149</v>
      </c>
      <c r="V123" s="761">
        <v>22537.662</v>
      </c>
      <c r="W123" s="783">
        <f t="shared" si="7"/>
        <v>0</v>
      </c>
      <c r="X123" s="137">
        <v>22537.662</v>
      </c>
      <c r="Y123" s="783">
        <f t="shared" si="8"/>
        <v>0</v>
      </c>
    </row>
    <row r="124" spans="1:25" x14ac:dyDescent="0.2">
      <c r="L124" s="672"/>
      <c r="S124" s="722"/>
      <c r="V124" s="722"/>
    </row>
    <row r="125" spans="1:25" x14ac:dyDescent="0.2">
      <c r="A125"/>
      <c r="B125"/>
      <c r="C125"/>
      <c r="D125"/>
    </row>
    <row r="126" spans="1:25" x14ac:dyDescent="0.2">
      <c r="A126"/>
      <c r="B126"/>
      <c r="C126"/>
      <c r="D126"/>
      <c r="N126" s="723"/>
    </row>
    <row r="127" spans="1:25" x14ac:dyDescent="0.2">
      <c r="A127"/>
      <c r="B127"/>
      <c r="C127"/>
      <c r="D127"/>
      <c r="S127" s="675">
        <v>1864382.0782000003</v>
      </c>
    </row>
    <row r="128" spans="1:25" x14ac:dyDescent="0.2">
      <c r="S128" s="685">
        <v>26635572.693295218</v>
      </c>
      <c r="V128" s="722"/>
    </row>
    <row r="129" spans="19:22" x14ac:dyDescent="0.2">
      <c r="S129" s="809">
        <f>S127/S128</f>
        <v>6.9995944884237757E-2</v>
      </c>
    </row>
    <row r="130" spans="19:22" x14ac:dyDescent="0.2">
      <c r="V130" s="804"/>
    </row>
    <row r="131" spans="19:22" x14ac:dyDescent="0.2">
      <c r="V131" s="804"/>
    </row>
    <row r="141" spans="19:22" x14ac:dyDescent="0.2">
      <c r="V141" s="722"/>
    </row>
  </sheetData>
  <autoFilter ref="A6:T124" xr:uid="{28FB540E-1402-4987-B9F2-B25B2ADF3487}"/>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23">
    <tabColor theme="0" tint="-0.34998626667073579"/>
  </sheetPr>
  <dimension ref="A1:V22"/>
  <sheetViews>
    <sheetView workbookViewId="0">
      <pane xSplit="6" ySplit="2" topLeftCell="G3" activePane="bottomRight" state="frozen"/>
      <selection pane="topRight" activeCell="G1" sqref="G1"/>
      <selection pane="bottomLeft" activeCell="A3" sqref="A3"/>
      <selection pane="bottomRight" activeCell="K12" sqref="K12"/>
    </sheetView>
  </sheetViews>
  <sheetFormatPr baseColWidth="10" defaultColWidth="8.83203125" defaultRowHeight="14" x14ac:dyDescent="0.2"/>
  <cols>
    <col min="1" max="1" width="15.33203125" style="518" bestFit="1" customWidth="1"/>
    <col min="2" max="2" width="19.33203125" style="518" bestFit="1" customWidth="1"/>
    <col min="3" max="4" width="12.83203125" style="518" customWidth="1"/>
    <col min="5" max="5" width="12.6640625" style="518" bestFit="1" customWidth="1"/>
    <col min="6" max="6" width="6.6640625" style="518" customWidth="1"/>
    <col min="7" max="7" width="13.1640625" style="518" customWidth="1"/>
    <col min="8" max="8" width="11.6640625" style="518" customWidth="1"/>
    <col min="9" max="13" width="8.5" style="518" customWidth="1"/>
    <col min="14" max="14" width="10.5" style="518" customWidth="1"/>
    <col min="15" max="15" width="13.6640625" style="518" customWidth="1"/>
    <col min="16" max="16" width="12.5" style="518" customWidth="1"/>
    <col min="17" max="17" width="13.6640625" style="518" customWidth="1"/>
    <col min="18" max="19" width="12.5" style="518" customWidth="1"/>
    <col min="20" max="20" width="13.6640625" style="518" customWidth="1"/>
    <col min="21" max="22" width="13.5" style="518" customWidth="1"/>
    <col min="23" max="16384" width="8.83203125" style="518"/>
  </cols>
  <sheetData>
    <row r="1" spans="1:22" s="511" customFormat="1" ht="14.5" customHeight="1" x14ac:dyDescent="0.2">
      <c r="A1" s="1294" t="s">
        <v>451</v>
      </c>
      <c r="B1" s="1294" t="s">
        <v>452</v>
      </c>
      <c r="C1" s="1294" t="s">
        <v>413</v>
      </c>
      <c r="D1" s="1302" t="s">
        <v>725</v>
      </c>
      <c r="E1" s="1298" t="s">
        <v>454</v>
      </c>
      <c r="F1" s="1299"/>
      <c r="G1" s="1294" t="s">
        <v>413</v>
      </c>
      <c r="H1" s="1295" t="s">
        <v>461</v>
      </c>
      <c r="I1" s="1296"/>
      <c r="J1" s="1296"/>
      <c r="K1" s="1296"/>
      <c r="L1" s="1297"/>
      <c r="M1" s="665"/>
      <c r="N1" s="665"/>
      <c r="O1" s="1293" t="s">
        <v>462</v>
      </c>
      <c r="P1" s="1293"/>
      <c r="Q1" s="1293"/>
      <c r="R1" s="1293"/>
      <c r="S1" s="1293"/>
      <c r="T1" s="1293"/>
      <c r="U1" s="1291" t="s">
        <v>666</v>
      </c>
      <c r="V1" s="1292"/>
    </row>
    <row r="2" spans="1:22" s="511" customFormat="1" ht="45" x14ac:dyDescent="0.2">
      <c r="A2" s="1294"/>
      <c r="B2" s="1294"/>
      <c r="C2" s="1294"/>
      <c r="D2" s="1303"/>
      <c r="E2" s="1300"/>
      <c r="F2" s="1301"/>
      <c r="G2" s="1294"/>
      <c r="H2" s="512" t="s">
        <v>463</v>
      </c>
      <c r="I2" s="513" t="s">
        <v>659</v>
      </c>
      <c r="J2" s="513" t="s">
        <v>660</v>
      </c>
      <c r="K2" s="513" t="s">
        <v>726</v>
      </c>
      <c r="L2" s="513" t="s">
        <v>727</v>
      </c>
      <c r="M2" s="513" t="s">
        <v>749</v>
      </c>
      <c r="N2" s="513" t="s">
        <v>750</v>
      </c>
      <c r="O2" s="513" t="s">
        <v>659</v>
      </c>
      <c r="P2" s="513" t="s">
        <v>665</v>
      </c>
      <c r="Q2" s="513" t="s">
        <v>660</v>
      </c>
      <c r="R2" s="513" t="s">
        <v>665</v>
      </c>
      <c r="S2" s="513" t="s">
        <v>726</v>
      </c>
      <c r="T2" s="513" t="s">
        <v>727</v>
      </c>
      <c r="U2" s="513" t="s">
        <v>659</v>
      </c>
      <c r="V2" s="513" t="s">
        <v>660</v>
      </c>
    </row>
    <row r="3" spans="1:22" x14ac:dyDescent="0.2">
      <c r="A3" s="1285" t="s">
        <v>755</v>
      </c>
      <c r="B3" s="1285" t="s">
        <v>453</v>
      </c>
      <c r="C3" s="1274">
        <f>'TCO TO BE- SW'!E36</f>
        <v>3972444.5699999994</v>
      </c>
      <c r="D3" s="651" t="s">
        <v>728</v>
      </c>
      <c r="E3" s="1275" t="s">
        <v>459</v>
      </c>
      <c r="F3" s="1276"/>
      <c r="G3" s="515">
        <f>SUM('TCO TO BE- SW'!E47:E56,'TCO TO BE- SW'!E67:E76)</f>
        <v>0</v>
      </c>
      <c r="H3" s="516" t="str">
        <f t="shared" ref="H3:H21" si="0">IF(SUM(I3:L3)=0,"",SUM(I3:L3))</f>
        <v/>
      </c>
      <c r="I3" s="626"/>
      <c r="J3" s="626"/>
      <c r="K3" s="626"/>
      <c r="L3" s="626"/>
      <c r="M3" s="626"/>
      <c r="N3" s="626"/>
      <c r="O3" s="517">
        <f>$G3*I3</f>
        <v>0</v>
      </c>
      <c r="P3" s="630"/>
      <c r="Q3" s="517">
        <f t="shared" ref="Q3:Q21" si="1">$G3*J3</f>
        <v>0</v>
      </c>
      <c r="R3" s="630"/>
      <c r="S3" s="517">
        <f>$G3*K3</f>
        <v>0</v>
      </c>
      <c r="T3" s="517">
        <f>$G3*L3</f>
        <v>0</v>
      </c>
      <c r="U3" s="516">
        <f>IFERROR(P3/O3,0)</f>
        <v>0</v>
      </c>
      <c r="V3" s="516">
        <f>IFERROR(R3/Q3,0)</f>
        <v>0</v>
      </c>
    </row>
    <row r="4" spans="1:22" x14ac:dyDescent="0.2">
      <c r="A4" s="1290"/>
      <c r="B4" s="1290"/>
      <c r="C4" s="1274"/>
      <c r="D4" s="651" t="s">
        <v>729</v>
      </c>
      <c r="E4" s="1275" t="s">
        <v>459</v>
      </c>
      <c r="F4" s="1276"/>
      <c r="G4" s="515">
        <f>SUM('TCO TO BE- SW'!E37:E46)</f>
        <v>1298872.6200000001</v>
      </c>
      <c r="H4" s="516">
        <f t="shared" si="0"/>
        <v>1</v>
      </c>
      <c r="I4" s="626"/>
      <c r="J4" s="626"/>
      <c r="K4" s="626"/>
      <c r="L4" s="626">
        <v>1</v>
      </c>
      <c r="M4" s="626"/>
      <c r="N4" s="626"/>
      <c r="O4" s="517">
        <f t="shared" ref="O4:O21" si="2">$G4*I4</f>
        <v>0</v>
      </c>
      <c r="P4" s="630"/>
      <c r="Q4" s="517">
        <f t="shared" si="1"/>
        <v>0</v>
      </c>
      <c r="R4" s="630"/>
      <c r="S4" s="517">
        <f t="shared" ref="S4:S21" si="3">$G4*K4</f>
        <v>0</v>
      </c>
      <c r="T4" s="517">
        <f t="shared" ref="T4:T21" si="4">$G4*L4</f>
        <v>1298872.6200000001</v>
      </c>
      <c r="U4" s="516">
        <f t="shared" ref="U4:U21" si="5">IFERROR(P4/O4,0)</f>
        <v>0</v>
      </c>
      <c r="V4" s="516">
        <f t="shared" ref="V4:V21" si="6">IFERROR(R4/Q4,0)</f>
        <v>0</v>
      </c>
    </row>
    <row r="5" spans="1:22" x14ac:dyDescent="0.2">
      <c r="A5" s="1290"/>
      <c r="B5" s="1286"/>
      <c r="C5" s="1274"/>
      <c r="D5" s="651" t="s">
        <v>728</v>
      </c>
      <c r="E5" s="1275" t="s">
        <v>460</v>
      </c>
      <c r="F5" s="1276"/>
      <c r="G5" s="515">
        <f>SUM('TCO TO BE- SW'!E57:E66)</f>
        <v>2673571.9499999993</v>
      </c>
      <c r="H5" s="516">
        <f t="shared" si="0"/>
        <v>1</v>
      </c>
      <c r="I5" s="626"/>
      <c r="J5" s="626"/>
      <c r="K5" s="626">
        <v>1</v>
      </c>
      <c r="L5" s="626"/>
      <c r="M5" s="626"/>
      <c r="N5" s="626"/>
      <c r="O5" s="517">
        <f t="shared" si="2"/>
        <v>0</v>
      </c>
      <c r="P5" s="630"/>
      <c r="Q5" s="517">
        <f t="shared" si="1"/>
        <v>0</v>
      </c>
      <c r="R5" s="630"/>
      <c r="S5" s="517">
        <f t="shared" si="3"/>
        <v>2673571.9499999993</v>
      </c>
      <c r="T5" s="517">
        <f t="shared" si="4"/>
        <v>0</v>
      </c>
      <c r="U5" s="516">
        <f t="shared" si="5"/>
        <v>0</v>
      </c>
      <c r="V5" s="516">
        <f t="shared" si="6"/>
        <v>0</v>
      </c>
    </row>
    <row r="6" spans="1:22" x14ac:dyDescent="0.2">
      <c r="A6" s="1290"/>
      <c r="B6" s="1285" t="s">
        <v>458</v>
      </c>
      <c r="C6" s="1274">
        <f>'TCO TO BE - HW'!E4+'TCO TO BE- SW'!E5</f>
        <v>22663025.973295216</v>
      </c>
      <c r="D6" s="651" t="s">
        <v>728</v>
      </c>
      <c r="E6" s="1275" t="s">
        <v>459</v>
      </c>
      <c r="F6" s="1276"/>
      <c r="G6" s="515">
        <f>SUM('TCO TO BE- SW'!E26:E35)+SUM('TCO TO BE - HW'!E15:E34)+SUM('TCO TO BE - HW'!E45:E54)</f>
        <v>45510</v>
      </c>
      <c r="H6" s="516">
        <f t="shared" si="0"/>
        <v>1</v>
      </c>
      <c r="I6" s="626"/>
      <c r="J6" s="626"/>
      <c r="K6" s="626">
        <v>1</v>
      </c>
      <c r="L6" s="626"/>
      <c r="M6" s="626"/>
      <c r="N6" s="626"/>
      <c r="O6" s="517">
        <f t="shared" si="2"/>
        <v>0</v>
      </c>
      <c r="P6" s="630"/>
      <c r="Q6" s="517">
        <f t="shared" si="1"/>
        <v>0</v>
      </c>
      <c r="R6" s="630"/>
      <c r="S6" s="517">
        <f t="shared" si="3"/>
        <v>45510</v>
      </c>
      <c r="T6" s="517">
        <f t="shared" si="4"/>
        <v>0</v>
      </c>
      <c r="U6" s="516">
        <f t="shared" si="5"/>
        <v>0</v>
      </c>
      <c r="V6" s="516">
        <f t="shared" si="6"/>
        <v>0</v>
      </c>
    </row>
    <row r="7" spans="1:22" x14ac:dyDescent="0.2">
      <c r="A7" s="1290"/>
      <c r="B7" s="1290"/>
      <c r="C7" s="1274"/>
      <c r="D7" s="651" t="s">
        <v>729</v>
      </c>
      <c r="E7" s="1275" t="s">
        <v>459</v>
      </c>
      <c r="F7" s="1276"/>
      <c r="G7" s="515">
        <f>SUM('TCO TO BE- SW'!E6:E15)+SUM('TCO TO BE - HW'!E5:E14)</f>
        <v>22617515.973295216</v>
      </c>
      <c r="H7" s="516">
        <f t="shared" si="0"/>
        <v>1</v>
      </c>
      <c r="I7" s="626"/>
      <c r="J7" s="626"/>
      <c r="K7" s="626"/>
      <c r="L7" s="626">
        <v>1</v>
      </c>
      <c r="M7" s="626"/>
      <c r="N7" s="626"/>
      <c r="O7" s="517">
        <f t="shared" si="2"/>
        <v>0</v>
      </c>
      <c r="P7" s="630"/>
      <c r="Q7" s="517">
        <f t="shared" si="1"/>
        <v>0</v>
      </c>
      <c r="R7" s="630"/>
      <c r="S7" s="517">
        <f t="shared" si="3"/>
        <v>0</v>
      </c>
      <c r="T7" s="517">
        <f t="shared" si="4"/>
        <v>22617515.973295216</v>
      </c>
      <c r="U7" s="516">
        <f t="shared" si="5"/>
        <v>0</v>
      </c>
      <c r="V7" s="516">
        <f t="shared" si="6"/>
        <v>0</v>
      </c>
    </row>
    <row r="8" spans="1:22" x14ac:dyDescent="0.2">
      <c r="A8" s="1286"/>
      <c r="B8" s="1286"/>
      <c r="C8" s="1274"/>
      <c r="D8" s="651" t="s">
        <v>728</v>
      </c>
      <c r="E8" s="1275" t="s">
        <v>460</v>
      </c>
      <c r="F8" s="1276"/>
      <c r="G8" s="515">
        <f>SUM('TCO TO BE- SW'!E16:E25)+SUM('TCO TO BE - HW'!E35:E44)</f>
        <v>0</v>
      </c>
      <c r="H8" s="516" t="str">
        <f t="shared" si="0"/>
        <v/>
      </c>
      <c r="I8" s="626"/>
      <c r="J8" s="626"/>
      <c r="K8" s="626"/>
      <c r="L8" s="626"/>
      <c r="M8" s="626"/>
      <c r="N8" s="626"/>
      <c r="O8" s="517">
        <f t="shared" si="2"/>
        <v>0</v>
      </c>
      <c r="P8" s="630"/>
      <c r="Q8" s="517">
        <f t="shared" si="1"/>
        <v>0</v>
      </c>
      <c r="R8" s="630"/>
      <c r="S8" s="517">
        <f t="shared" si="3"/>
        <v>0</v>
      </c>
      <c r="T8" s="517">
        <f t="shared" si="4"/>
        <v>0</v>
      </c>
      <c r="U8" s="516">
        <f t="shared" si="5"/>
        <v>0</v>
      </c>
      <c r="V8" s="516">
        <f t="shared" si="6"/>
        <v>0</v>
      </c>
    </row>
    <row r="9" spans="1:22" x14ac:dyDescent="0.2">
      <c r="A9" s="1285" t="s">
        <v>457</v>
      </c>
      <c r="B9" s="1285" t="s">
        <v>104</v>
      </c>
      <c r="C9" s="1274">
        <f>'TCO TO BE- SW'!E99</f>
        <v>103909.80960000001</v>
      </c>
      <c r="D9" s="651" t="s">
        <v>728</v>
      </c>
      <c r="E9" s="1275" t="s">
        <v>459</v>
      </c>
      <c r="F9" s="1276"/>
      <c r="G9" s="515">
        <f>SUM('TCO TO BE- SW'!E100:E119,'TCO TO BE- SW'!E140:E149)</f>
        <v>103909.80960000001</v>
      </c>
      <c r="H9" s="516">
        <f t="shared" si="0"/>
        <v>1</v>
      </c>
      <c r="I9" s="626">
        <v>1</v>
      </c>
      <c r="J9" s="626"/>
      <c r="K9" s="626"/>
      <c r="L9" s="626"/>
      <c r="M9" s="626"/>
      <c r="N9" s="626"/>
      <c r="O9" s="517">
        <f t="shared" si="2"/>
        <v>103909.80960000001</v>
      </c>
      <c r="P9" s="630"/>
      <c r="Q9" s="517">
        <f t="shared" si="1"/>
        <v>0</v>
      </c>
      <c r="R9" s="630"/>
      <c r="S9" s="517">
        <f t="shared" si="3"/>
        <v>0</v>
      </c>
      <c r="T9" s="517">
        <f t="shared" si="4"/>
        <v>0</v>
      </c>
      <c r="U9" s="516">
        <f t="shared" si="5"/>
        <v>0</v>
      </c>
      <c r="V9" s="516">
        <f t="shared" si="6"/>
        <v>0</v>
      </c>
    </row>
    <row r="10" spans="1:22" x14ac:dyDescent="0.2">
      <c r="A10" s="1290"/>
      <c r="B10" s="1290"/>
      <c r="C10" s="1274"/>
      <c r="D10" s="651" t="s">
        <v>729</v>
      </c>
      <c r="E10" s="1275" t="s">
        <v>459</v>
      </c>
      <c r="F10" s="1276"/>
      <c r="G10" s="515">
        <f>SUM('TCO TO BE- SW'!E120:E129)</f>
        <v>0</v>
      </c>
      <c r="H10" s="516" t="str">
        <f t="shared" si="0"/>
        <v/>
      </c>
      <c r="I10" s="626"/>
      <c r="J10" s="626"/>
      <c r="K10" s="626"/>
      <c r="L10" s="626"/>
      <c r="M10" s="626"/>
      <c r="N10" s="626"/>
      <c r="O10" s="517">
        <f t="shared" si="2"/>
        <v>0</v>
      </c>
      <c r="P10" s="630"/>
      <c r="Q10" s="517">
        <f t="shared" si="1"/>
        <v>0</v>
      </c>
      <c r="R10" s="630"/>
      <c r="S10" s="517">
        <f t="shared" si="3"/>
        <v>0</v>
      </c>
      <c r="T10" s="517">
        <f t="shared" si="4"/>
        <v>0</v>
      </c>
      <c r="U10" s="516">
        <f t="shared" si="5"/>
        <v>0</v>
      </c>
      <c r="V10" s="516">
        <f t="shared" si="6"/>
        <v>0</v>
      </c>
    </row>
    <row r="11" spans="1:22" x14ac:dyDescent="0.2">
      <c r="A11" s="1290"/>
      <c r="B11" s="1286"/>
      <c r="C11" s="1274"/>
      <c r="D11" s="651" t="s">
        <v>728</v>
      </c>
      <c r="E11" s="1275" t="s">
        <v>460</v>
      </c>
      <c r="F11" s="1276"/>
      <c r="G11" s="515">
        <f>SUM('TCO TO BE- SW'!E130:E139)</f>
        <v>0</v>
      </c>
      <c r="H11" s="516" t="str">
        <f t="shared" si="0"/>
        <v/>
      </c>
      <c r="I11" s="626"/>
      <c r="J11" s="626"/>
      <c r="K11" s="626"/>
      <c r="L11" s="626"/>
      <c r="M11" s="626"/>
      <c r="N11" s="626"/>
      <c r="O11" s="517">
        <f t="shared" si="2"/>
        <v>0</v>
      </c>
      <c r="P11" s="630"/>
      <c r="Q11" s="517">
        <f t="shared" si="1"/>
        <v>0</v>
      </c>
      <c r="R11" s="630"/>
      <c r="S11" s="517">
        <f t="shared" si="3"/>
        <v>0</v>
      </c>
      <c r="T11" s="517">
        <f t="shared" si="4"/>
        <v>0</v>
      </c>
      <c r="U11" s="516">
        <f t="shared" si="5"/>
        <v>0</v>
      </c>
      <c r="V11" s="516">
        <f t="shared" si="6"/>
        <v>0</v>
      </c>
    </row>
    <row r="12" spans="1:22" x14ac:dyDescent="0.2">
      <c r="A12" s="1290"/>
      <c r="B12" s="1285" t="s">
        <v>450</v>
      </c>
      <c r="C12" s="1274">
        <f>'TCO TO BE - HW'!E55+'TCO TO BE- SW'!E78</f>
        <v>2714101.9167954251</v>
      </c>
      <c r="D12" s="651" t="s">
        <v>728</v>
      </c>
      <c r="E12" s="1275" t="s">
        <v>459</v>
      </c>
      <c r="F12" s="1276"/>
      <c r="G12" s="515">
        <f>SUM('TCO TO BE- SW'!E79:E88)+SUM('TCO TO BE - HW'!E56:E65,'TCO TO BE - HW'!E76:E85,'TCO TO BE - HW'!E96:E105)</f>
        <v>0</v>
      </c>
      <c r="H12" s="516" t="str">
        <f t="shared" si="0"/>
        <v/>
      </c>
      <c r="I12" s="626"/>
      <c r="J12" s="626"/>
      <c r="K12" s="626"/>
      <c r="L12" s="626"/>
      <c r="M12" s="626"/>
      <c r="N12" s="626"/>
      <c r="O12" s="517">
        <f t="shared" si="2"/>
        <v>0</v>
      </c>
      <c r="P12" s="630"/>
      <c r="Q12" s="517">
        <f t="shared" si="1"/>
        <v>0</v>
      </c>
      <c r="R12" s="630"/>
      <c r="S12" s="517">
        <f t="shared" si="3"/>
        <v>0</v>
      </c>
      <c r="T12" s="517">
        <f t="shared" si="4"/>
        <v>0</v>
      </c>
      <c r="U12" s="516">
        <f t="shared" si="5"/>
        <v>0</v>
      </c>
      <c r="V12" s="516">
        <f t="shared" si="6"/>
        <v>0</v>
      </c>
    </row>
    <row r="13" spans="1:22" x14ac:dyDescent="0.2">
      <c r="A13" s="1290"/>
      <c r="B13" s="1290"/>
      <c r="C13" s="1274"/>
      <c r="D13" s="651" t="s">
        <v>729</v>
      </c>
      <c r="E13" s="1275" t="s">
        <v>459</v>
      </c>
      <c r="F13" s="1276"/>
      <c r="G13" s="515">
        <f>SUM('TCO TO BE- SW'!E89:E98)+SUM('TCO TO BE - HW'!E66:E75)</f>
        <v>2714101.9167954251</v>
      </c>
      <c r="H13" s="516">
        <f t="shared" si="0"/>
        <v>1</v>
      </c>
      <c r="I13" s="626"/>
      <c r="J13" s="626">
        <v>1</v>
      </c>
      <c r="K13" s="626"/>
      <c r="L13" s="626"/>
      <c r="M13" s="626"/>
      <c r="N13" s="626"/>
      <c r="O13" s="517">
        <f t="shared" si="2"/>
        <v>0</v>
      </c>
      <c r="P13" s="630"/>
      <c r="Q13" s="517">
        <f t="shared" si="1"/>
        <v>2714101.9167954251</v>
      </c>
      <c r="R13" s="630"/>
      <c r="S13" s="517">
        <f t="shared" si="3"/>
        <v>0</v>
      </c>
      <c r="T13" s="517">
        <f t="shared" si="4"/>
        <v>0</v>
      </c>
      <c r="U13" s="516">
        <f t="shared" si="5"/>
        <v>0</v>
      </c>
      <c r="V13" s="516">
        <f t="shared" si="6"/>
        <v>0</v>
      </c>
    </row>
    <row r="14" spans="1:22" x14ac:dyDescent="0.2">
      <c r="A14" s="1286"/>
      <c r="B14" s="1286"/>
      <c r="C14" s="1274"/>
      <c r="D14" s="651" t="s">
        <v>728</v>
      </c>
      <c r="E14" s="1275" t="s">
        <v>460</v>
      </c>
      <c r="F14" s="1276"/>
      <c r="G14" s="515">
        <f>SUM('TCO TO BE - HW'!E86:E95)</f>
        <v>0</v>
      </c>
      <c r="H14" s="516" t="str">
        <f t="shared" si="0"/>
        <v/>
      </c>
      <c r="I14" s="626"/>
      <c r="J14" s="626"/>
      <c r="K14" s="626"/>
      <c r="L14" s="626"/>
      <c r="M14" s="626"/>
      <c r="N14" s="626"/>
      <c r="O14" s="517">
        <f t="shared" si="2"/>
        <v>0</v>
      </c>
      <c r="P14" s="630"/>
      <c r="Q14" s="517">
        <f t="shared" si="1"/>
        <v>0</v>
      </c>
      <c r="R14" s="630"/>
      <c r="S14" s="517">
        <f t="shared" si="3"/>
        <v>0</v>
      </c>
      <c r="T14" s="517">
        <f t="shared" si="4"/>
        <v>0</v>
      </c>
      <c r="U14" s="516">
        <f t="shared" si="5"/>
        <v>0</v>
      </c>
      <c r="V14" s="516">
        <f t="shared" si="6"/>
        <v>0</v>
      </c>
    </row>
    <row r="15" spans="1:22" ht="14.5" customHeight="1" x14ac:dyDescent="0.2">
      <c r="A15" s="1287" t="s">
        <v>756</v>
      </c>
      <c r="B15" s="1285" t="s">
        <v>455</v>
      </c>
      <c r="C15" s="1274">
        <f>SUM('TCO TO BE- SW'!E151:E160)</f>
        <v>0</v>
      </c>
      <c r="D15" s="651" t="s">
        <v>728</v>
      </c>
      <c r="E15" s="1275" t="s">
        <v>459</v>
      </c>
      <c r="F15" s="1276"/>
      <c r="G15" s="517">
        <f>SUM(EXTERNE_POZICIE!M41:M52)</f>
        <v>0</v>
      </c>
      <c r="H15" s="516" t="str">
        <f t="shared" si="0"/>
        <v/>
      </c>
      <c r="I15" s="626"/>
      <c r="J15" s="626"/>
      <c r="K15" s="626"/>
      <c r="L15" s="626"/>
      <c r="M15" s="626"/>
      <c r="N15" s="626"/>
      <c r="O15" s="517">
        <f t="shared" si="2"/>
        <v>0</v>
      </c>
      <c r="P15" s="630"/>
      <c r="Q15" s="517">
        <f t="shared" si="1"/>
        <v>0</v>
      </c>
      <c r="R15" s="630"/>
      <c r="S15" s="517">
        <f t="shared" si="3"/>
        <v>0</v>
      </c>
      <c r="T15" s="517">
        <f t="shared" si="4"/>
        <v>0</v>
      </c>
      <c r="U15" s="516">
        <f t="shared" si="5"/>
        <v>0</v>
      </c>
      <c r="V15" s="516">
        <f t="shared" si="6"/>
        <v>0</v>
      </c>
    </row>
    <row r="16" spans="1:22" x14ac:dyDescent="0.2">
      <c r="A16" s="1288"/>
      <c r="B16" s="1286"/>
      <c r="C16" s="1274"/>
      <c r="D16" s="651" t="s">
        <v>728</v>
      </c>
      <c r="E16" s="1275" t="s">
        <v>460</v>
      </c>
      <c r="F16" s="1276"/>
      <c r="G16" s="515">
        <f>SUM(POZICIE_INTERNE!I61:I72)</f>
        <v>0</v>
      </c>
      <c r="H16" s="516" t="str">
        <f t="shared" si="0"/>
        <v/>
      </c>
      <c r="I16" s="626"/>
      <c r="J16" s="626"/>
      <c r="K16" s="626"/>
      <c r="L16" s="626"/>
      <c r="M16" s="626"/>
      <c r="N16" s="626"/>
      <c r="O16" s="517">
        <f t="shared" si="2"/>
        <v>0</v>
      </c>
      <c r="P16" s="630"/>
      <c r="Q16" s="517">
        <f t="shared" si="1"/>
        <v>0</v>
      </c>
      <c r="R16" s="630"/>
      <c r="S16" s="517">
        <f t="shared" si="3"/>
        <v>0</v>
      </c>
      <c r="T16" s="517">
        <f t="shared" si="4"/>
        <v>0</v>
      </c>
      <c r="U16" s="516">
        <f t="shared" si="5"/>
        <v>0</v>
      </c>
      <c r="V16" s="516">
        <f t="shared" si="6"/>
        <v>0</v>
      </c>
    </row>
    <row r="17" spans="1:22" x14ac:dyDescent="0.2">
      <c r="A17" s="1288"/>
      <c r="B17" s="1285" t="s">
        <v>456</v>
      </c>
      <c r="C17" s="1274">
        <f>SUM('TCO TO BE- SW'!E161:E170)</f>
        <v>1864482.9380306648</v>
      </c>
      <c r="D17" s="651" t="s">
        <v>728</v>
      </c>
      <c r="E17" s="1275" t="s">
        <v>459</v>
      </c>
      <c r="F17" s="1276"/>
      <c r="G17" s="515">
        <f>SUM(EXTERNE_POZICIE!M53:M64)</f>
        <v>0</v>
      </c>
      <c r="H17" s="516" t="str">
        <f t="shared" si="0"/>
        <v/>
      </c>
      <c r="I17" s="626"/>
      <c r="J17" s="626"/>
      <c r="K17" s="626"/>
      <c r="L17" s="626"/>
      <c r="M17" s="626"/>
      <c r="N17" s="626"/>
      <c r="O17" s="517">
        <f t="shared" si="2"/>
        <v>0</v>
      </c>
      <c r="P17" s="630"/>
      <c r="Q17" s="517">
        <f t="shared" si="1"/>
        <v>0</v>
      </c>
      <c r="R17" s="630"/>
      <c r="S17" s="517">
        <f t="shared" si="3"/>
        <v>0</v>
      </c>
      <c r="T17" s="517">
        <f t="shared" si="4"/>
        <v>0</v>
      </c>
      <c r="U17" s="516">
        <f t="shared" si="5"/>
        <v>0</v>
      </c>
      <c r="V17" s="516">
        <f t="shared" si="6"/>
        <v>0</v>
      </c>
    </row>
    <row r="18" spans="1:22" x14ac:dyDescent="0.2">
      <c r="A18" s="1288"/>
      <c r="B18" s="1286"/>
      <c r="C18" s="1274"/>
      <c r="D18" s="651" t="s">
        <v>728</v>
      </c>
      <c r="E18" s="1275" t="s">
        <v>460</v>
      </c>
      <c r="F18" s="1276"/>
      <c r="G18" s="515">
        <f>SUM(POZICIE_INTERNE!I73:I83)</f>
        <v>0</v>
      </c>
      <c r="H18" s="516" t="str">
        <f t="shared" si="0"/>
        <v/>
      </c>
      <c r="I18" s="626"/>
      <c r="J18" s="626"/>
      <c r="K18" s="626"/>
      <c r="L18" s="626"/>
      <c r="M18" s="626"/>
      <c r="N18" s="626"/>
      <c r="O18" s="517">
        <f t="shared" si="2"/>
        <v>0</v>
      </c>
      <c r="P18" s="630"/>
      <c r="Q18" s="517">
        <f t="shared" si="1"/>
        <v>0</v>
      </c>
      <c r="R18" s="630"/>
      <c r="S18" s="517">
        <f t="shared" si="3"/>
        <v>0</v>
      </c>
      <c r="T18" s="517">
        <f t="shared" si="4"/>
        <v>0</v>
      </c>
      <c r="U18" s="516">
        <f t="shared" si="5"/>
        <v>0</v>
      </c>
      <c r="V18" s="516">
        <f t="shared" si="6"/>
        <v>0</v>
      </c>
    </row>
    <row r="19" spans="1:22" x14ac:dyDescent="0.2">
      <c r="A19" s="1289"/>
      <c r="B19" s="668" t="s">
        <v>751</v>
      </c>
      <c r="C19" s="650"/>
      <c r="D19" s="1277" t="s">
        <v>752</v>
      </c>
      <c r="E19" s="1278"/>
      <c r="F19" s="667"/>
      <c r="G19" s="515">
        <f>POZICIE_INTERNE!I84</f>
        <v>1864482.9380306653</v>
      </c>
      <c r="H19" s="516"/>
      <c r="I19" s="626"/>
      <c r="J19" s="626"/>
      <c r="K19" s="626">
        <v>1</v>
      </c>
      <c r="L19" s="626"/>
      <c r="M19" s="626"/>
      <c r="N19" s="626"/>
      <c r="O19" s="517">
        <f t="shared" si="2"/>
        <v>0</v>
      </c>
      <c r="P19" s="630"/>
      <c r="Q19" s="517">
        <f t="shared" si="1"/>
        <v>0</v>
      </c>
      <c r="R19" s="630"/>
      <c r="S19" s="517">
        <f t="shared" si="3"/>
        <v>1864482.9380306653</v>
      </c>
      <c r="T19" s="517">
        <f t="shared" ref="T19" si="7">$G19*L19</f>
        <v>0</v>
      </c>
      <c r="U19" s="516">
        <f t="shared" ref="U19" si="8">IFERROR(P19/O19,0)</f>
        <v>0</v>
      </c>
      <c r="V19" s="516">
        <f t="shared" ref="V19" si="9">IFERROR(R19/Q19,0)</f>
        <v>0</v>
      </c>
    </row>
    <row r="20" spans="1:22" x14ac:dyDescent="0.2">
      <c r="A20" s="1281" t="s">
        <v>245</v>
      </c>
      <c r="B20" s="1282"/>
      <c r="C20" s="1274">
        <f>'TCO TO BE- SW'!E171</f>
        <v>0</v>
      </c>
      <c r="D20" s="650"/>
      <c r="E20" s="514" t="s">
        <v>459</v>
      </c>
      <c r="F20" s="626"/>
      <c r="G20" s="515">
        <f>C20*F20</f>
        <v>0</v>
      </c>
      <c r="H20" s="516" t="str">
        <f t="shared" si="0"/>
        <v/>
      </c>
      <c r="I20" s="626"/>
      <c r="J20" s="626"/>
      <c r="K20" s="626"/>
      <c r="L20" s="626"/>
      <c r="M20" s="626"/>
      <c r="N20" s="626"/>
      <c r="O20" s="517">
        <f t="shared" si="2"/>
        <v>0</v>
      </c>
      <c r="P20" s="630"/>
      <c r="Q20" s="517">
        <f t="shared" si="1"/>
        <v>0</v>
      </c>
      <c r="R20" s="630"/>
      <c r="S20" s="517">
        <f t="shared" si="3"/>
        <v>0</v>
      </c>
      <c r="T20" s="517">
        <f t="shared" si="4"/>
        <v>0</v>
      </c>
      <c r="U20" s="516">
        <f t="shared" si="5"/>
        <v>0</v>
      </c>
      <c r="V20" s="516">
        <f t="shared" si="6"/>
        <v>0</v>
      </c>
    </row>
    <row r="21" spans="1:22" x14ac:dyDescent="0.2">
      <c r="A21" s="1283"/>
      <c r="B21" s="1284"/>
      <c r="C21" s="1274"/>
      <c r="D21" s="650"/>
      <c r="E21" s="514" t="s">
        <v>460</v>
      </c>
      <c r="F21" s="626"/>
      <c r="G21" s="515">
        <f>F21*C20</f>
        <v>0</v>
      </c>
      <c r="H21" s="516" t="str">
        <f t="shared" si="0"/>
        <v/>
      </c>
      <c r="I21" s="626"/>
      <c r="J21" s="626"/>
      <c r="K21" s="626"/>
      <c r="L21" s="626"/>
      <c r="M21" s="626"/>
      <c r="N21" s="626"/>
      <c r="O21" s="517">
        <f t="shared" si="2"/>
        <v>0</v>
      </c>
      <c r="P21" s="630"/>
      <c r="Q21" s="517">
        <f t="shared" si="1"/>
        <v>0</v>
      </c>
      <c r="R21" s="630"/>
      <c r="S21" s="517">
        <f t="shared" si="3"/>
        <v>0</v>
      </c>
      <c r="T21" s="517">
        <f t="shared" si="4"/>
        <v>0</v>
      </c>
      <c r="U21" s="516">
        <f t="shared" si="5"/>
        <v>0</v>
      </c>
      <c r="V21" s="516">
        <f t="shared" si="6"/>
        <v>0</v>
      </c>
    </row>
    <row r="22" spans="1:22" x14ac:dyDescent="0.2">
      <c r="A22" s="1279" t="s">
        <v>35</v>
      </c>
      <c r="B22" s="1280"/>
      <c r="C22" s="519">
        <f>SUM(C3:C21)</f>
        <v>31317965.207721304</v>
      </c>
      <c r="D22" s="519"/>
      <c r="E22" s="514" t="s">
        <v>449</v>
      </c>
      <c r="F22" s="514"/>
      <c r="G22" s="515">
        <f>SUM(G3:G21)</f>
        <v>31317965.207721304</v>
      </c>
      <c r="H22" s="520"/>
      <c r="I22" s="521"/>
      <c r="J22" s="521"/>
      <c r="K22" s="521"/>
      <c r="L22" s="521"/>
      <c r="M22" s="521"/>
      <c r="N22" s="521"/>
      <c r="O22" s="515">
        <f t="shared" ref="O22:T22" si="10">SUM(O3:O21)</f>
        <v>103909.80960000001</v>
      </c>
      <c r="P22" s="515">
        <f>SUM(P3:P21)</f>
        <v>0</v>
      </c>
      <c r="Q22" s="515">
        <f t="shared" si="10"/>
        <v>2714101.9167954251</v>
      </c>
      <c r="R22" s="515">
        <f>SUM(R3:R21)</f>
        <v>0</v>
      </c>
      <c r="S22" s="515">
        <f t="shared" si="10"/>
        <v>4583564.888030665</v>
      </c>
      <c r="T22" s="515">
        <f t="shared" si="10"/>
        <v>23916388.593295217</v>
      </c>
      <c r="U22" s="631"/>
      <c r="V22" s="631"/>
    </row>
  </sheetData>
  <mergeCells count="44">
    <mergeCell ref="U1:V1"/>
    <mergeCell ref="O1:T1"/>
    <mergeCell ref="E8:F8"/>
    <mergeCell ref="A1:A2"/>
    <mergeCell ref="B1:B2"/>
    <mergeCell ref="C1:C2"/>
    <mergeCell ref="G1:G2"/>
    <mergeCell ref="H1:L1"/>
    <mergeCell ref="E1:F2"/>
    <mergeCell ref="D1:D2"/>
    <mergeCell ref="B6:B8"/>
    <mergeCell ref="C3:C5"/>
    <mergeCell ref="C6:C8"/>
    <mergeCell ref="B9:B11"/>
    <mergeCell ref="B12:B14"/>
    <mergeCell ref="A9:A14"/>
    <mergeCell ref="A3:A8"/>
    <mergeCell ref="B3:B5"/>
    <mergeCell ref="C9:C11"/>
    <mergeCell ref="C12:C14"/>
    <mergeCell ref="E3:F3"/>
    <mergeCell ref="E5:F5"/>
    <mergeCell ref="E6:F6"/>
    <mergeCell ref="E9:F9"/>
    <mergeCell ref="E11:F11"/>
    <mergeCell ref="E12:F12"/>
    <mergeCell ref="E14:F14"/>
    <mergeCell ref="E4:F4"/>
    <mergeCell ref="E7:F7"/>
    <mergeCell ref="E10:F10"/>
    <mergeCell ref="E13:F13"/>
    <mergeCell ref="A22:B22"/>
    <mergeCell ref="A20:B21"/>
    <mergeCell ref="B15:B16"/>
    <mergeCell ref="B17:B18"/>
    <mergeCell ref="A15:A19"/>
    <mergeCell ref="C20:C21"/>
    <mergeCell ref="C15:C16"/>
    <mergeCell ref="C17:C18"/>
    <mergeCell ref="E15:F15"/>
    <mergeCell ref="E16:F16"/>
    <mergeCell ref="E17:F17"/>
    <mergeCell ref="E18:F18"/>
    <mergeCell ref="D19:E19"/>
  </mergeCells>
  <conditionalFormatting sqref="G22">
    <cfRule type="expression" dxfId="30" priority="6">
      <formula>$C$22=$G$22</formula>
    </cfRule>
    <cfRule type="expression" dxfId="29" priority="7">
      <formula>$C$22&lt;&gt;$G$22</formula>
    </cfRule>
  </conditionalFormatting>
  <conditionalFormatting sqref="H3:H21">
    <cfRule type="expression" dxfId="28" priority="10">
      <formula>H3=1</formula>
    </cfRule>
    <cfRule type="expression" dxfId="27" priority="11">
      <formula>H3&lt;&gt;1</formula>
    </cfRule>
  </conditionalFormatting>
  <conditionalFormatting sqref="O22 Q22">
    <cfRule type="expression" dxfId="26" priority="8">
      <formula>SUM($O$22,$Q$22,$S$22,$T$22)=$G$22</formula>
    </cfRule>
    <cfRule type="expression" dxfId="25" priority="9">
      <formula>SUM($O$22,$Q$22,$S$22,$T$22)&lt;&gt;$G$22</formula>
    </cfRule>
  </conditionalFormatting>
  <conditionalFormatting sqref="S22:T22">
    <cfRule type="expression" dxfId="24" priority="1">
      <formula>SUM($O$22,$Q$22,$S$22,$T$22)=$G$22</formula>
    </cfRule>
    <cfRule type="expression" dxfId="23" priority="2">
      <formula>SUM($O$22,$Q$22,$S$22,$T$22)&lt;&gt;$G$22</formula>
    </cfRule>
  </conditionalFormatting>
  <conditionalFormatting sqref="U3:V21">
    <cfRule type="cellIs" dxfId="22" priority="3" operator="greaterThan">
      <formula>0</formula>
    </cfRule>
  </conditionalFormatting>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0DF5-A0EC-4EE9-89BE-494552834433}">
  <dimension ref="A1:T120"/>
  <sheetViews>
    <sheetView zoomScale="85" zoomScaleNormal="85" workbookViewId="0">
      <pane xSplit="5" ySplit="6" topLeftCell="I7" activePane="bottomRight" state="frozen"/>
      <selection pane="topRight" activeCell="D1" sqref="D1"/>
      <selection pane="bottomLeft" activeCell="A5" sqref="A5"/>
      <selection pane="bottomRight" activeCell="N108" sqref="N108"/>
    </sheetView>
  </sheetViews>
  <sheetFormatPr baseColWidth="10" defaultColWidth="8.83203125" defaultRowHeight="15" x14ac:dyDescent="0.2"/>
  <cols>
    <col min="1" max="1" width="15.83203125" style="682" customWidth="1"/>
    <col min="2" max="2" width="20.5" style="137" bestFit="1" customWidth="1"/>
    <col min="3" max="3" width="11.6640625" style="137" bestFit="1" customWidth="1"/>
    <col min="4" max="4" width="22.6640625" style="137" customWidth="1"/>
    <col min="5" max="5" width="37.5" style="137" customWidth="1"/>
    <col min="6" max="6" width="9.1640625" style="137" customWidth="1"/>
    <col min="7" max="7" width="43.5" style="694" customWidth="1"/>
    <col min="8" max="8" width="12.1640625" style="137" customWidth="1"/>
    <col min="9" max="9" width="63.83203125" style="137" bestFit="1" customWidth="1"/>
    <col min="10" max="10" width="7.1640625" style="137" bestFit="1" customWidth="1"/>
    <col min="11" max="11" width="29.5" style="137" customWidth="1"/>
    <col min="12" max="12" width="14.5" style="137" bestFit="1" customWidth="1"/>
    <col min="13" max="13" width="8.83203125" style="137"/>
    <col min="14" max="14" width="15.33203125" style="673" customWidth="1"/>
    <col min="15" max="15" width="8" style="674" customWidth="1"/>
    <col min="16" max="18" width="8.83203125" style="674"/>
    <col min="19" max="19" width="15.33203125" style="675" customWidth="1"/>
    <col min="20" max="20" width="52.1640625" style="137" customWidth="1"/>
    <col min="21" max="16384" width="8.83203125" style="137"/>
  </cols>
  <sheetData>
    <row r="1" spans="1:20" x14ac:dyDescent="0.2">
      <c r="A1" s="671" t="s">
        <v>773</v>
      </c>
      <c r="B1" s="672"/>
      <c r="C1" s="672"/>
      <c r="D1" s="137" t="s">
        <v>1706</v>
      </c>
      <c r="E1" s="719"/>
    </row>
    <row r="2" spans="1:20" x14ac:dyDescent="0.2">
      <c r="A2" s="676" t="s">
        <v>1705</v>
      </c>
      <c r="B2" s="137">
        <v>1.3620000000000001</v>
      </c>
      <c r="N2" s="677" t="s">
        <v>776</v>
      </c>
      <c r="O2" s="678" t="s">
        <v>777</v>
      </c>
      <c r="P2" s="679"/>
      <c r="Q2" s="679"/>
      <c r="R2" s="679"/>
      <c r="S2" s="680" t="s">
        <v>778</v>
      </c>
      <c r="T2" s="681" t="s">
        <v>779</v>
      </c>
    </row>
    <row r="3" spans="1:20" x14ac:dyDescent="0.2">
      <c r="A3" s="676" t="s">
        <v>780</v>
      </c>
      <c r="B3" s="137">
        <v>1.23</v>
      </c>
      <c r="N3" s="677" t="s">
        <v>1673</v>
      </c>
      <c r="O3" s="679">
        <v>2088</v>
      </c>
      <c r="P3" s="679">
        <v>2088</v>
      </c>
      <c r="Q3" s="679">
        <v>2080</v>
      </c>
      <c r="R3" s="679">
        <v>2088</v>
      </c>
      <c r="S3" s="680"/>
      <c r="T3" s="681"/>
    </row>
    <row r="4" spans="1:20" x14ac:dyDescent="0.2">
      <c r="A4" s="676"/>
      <c r="N4" s="677" t="s">
        <v>1674</v>
      </c>
      <c r="O4" s="679">
        <f>2088-512</f>
        <v>1576</v>
      </c>
      <c r="P4" s="679">
        <v>2088</v>
      </c>
      <c r="Q4" s="679">
        <v>2080</v>
      </c>
      <c r="R4" s="679">
        <f>2088-168</f>
        <v>1920</v>
      </c>
      <c r="S4" s="680"/>
      <c r="T4" s="681"/>
    </row>
    <row r="5" spans="1:20" x14ac:dyDescent="0.2">
      <c r="L5" s="683"/>
      <c r="M5" s="683"/>
      <c r="N5" s="683" t="s">
        <v>781</v>
      </c>
      <c r="O5" s="684">
        <f>SUBTOTAL(9,O7:O1048576)</f>
        <v>40139.070000000007</v>
      </c>
      <c r="P5" s="684">
        <f>SUBTOTAL(9,P7:P1048576)</f>
        <v>40052.403333333335</v>
      </c>
      <c r="Q5" s="684">
        <f>SUBTOTAL(9,Q7:Q1048576)</f>
        <v>38817.403333333335</v>
      </c>
      <c r="R5" s="684">
        <f>SUBTOTAL(9,R7:R1048576)</f>
        <v>37879.403333333335</v>
      </c>
      <c r="S5" s="685">
        <f>SUBTOTAL(9,S7:S120)</f>
        <v>28523508.137956053</v>
      </c>
      <c r="T5" s="686"/>
    </row>
    <row r="6" spans="1:20" x14ac:dyDescent="0.2">
      <c r="A6" s="768" t="s">
        <v>1707</v>
      </c>
      <c r="B6" s="763" t="s">
        <v>782</v>
      </c>
      <c r="C6" s="763" t="s">
        <v>783</v>
      </c>
      <c r="D6" s="763" t="s">
        <v>784</v>
      </c>
      <c r="E6" s="763" t="s">
        <v>785</v>
      </c>
      <c r="F6" s="763" t="s">
        <v>786</v>
      </c>
      <c r="G6" s="764" t="s">
        <v>1</v>
      </c>
      <c r="H6" s="763" t="s">
        <v>787</v>
      </c>
      <c r="I6" s="763" t="s">
        <v>788</v>
      </c>
      <c r="J6" s="763" t="s">
        <v>789</v>
      </c>
      <c r="K6" s="763" t="s">
        <v>790</v>
      </c>
      <c r="L6" s="763" t="s">
        <v>791</v>
      </c>
      <c r="M6" s="763" t="s">
        <v>792</v>
      </c>
      <c r="N6" s="765" t="s">
        <v>793</v>
      </c>
      <c r="O6" s="766" t="s">
        <v>1675</v>
      </c>
      <c r="P6" s="766" t="s">
        <v>1676</v>
      </c>
      <c r="Q6" s="766" t="s">
        <v>1677</v>
      </c>
      <c r="R6" s="766" t="s">
        <v>1678</v>
      </c>
      <c r="S6" s="767" t="s">
        <v>798</v>
      </c>
      <c r="T6" s="763" t="s">
        <v>410</v>
      </c>
    </row>
    <row r="7" spans="1:20" x14ac:dyDescent="0.2">
      <c r="A7" s="739" t="s">
        <v>1679</v>
      </c>
      <c r="B7" s="137" t="s">
        <v>799</v>
      </c>
      <c r="C7" s="137" t="s">
        <v>800</v>
      </c>
      <c r="D7" s="137" t="s">
        <v>801</v>
      </c>
      <c r="E7" s="137" t="s">
        <v>802</v>
      </c>
      <c r="F7" s="694" t="s">
        <v>803</v>
      </c>
      <c r="G7" s="694" t="s">
        <v>804</v>
      </c>
      <c r="H7" s="137" t="s">
        <v>805</v>
      </c>
      <c r="I7" s="137" t="s">
        <v>307</v>
      </c>
      <c r="J7" s="137">
        <v>713002</v>
      </c>
      <c r="K7" s="137" t="s">
        <v>806</v>
      </c>
      <c r="L7" s="137" t="s">
        <v>807</v>
      </c>
      <c r="M7" s="137" t="s">
        <v>808</v>
      </c>
      <c r="N7" s="673">
        <v>4006.6688999999997</v>
      </c>
      <c r="O7" s="674">
        <v>868</v>
      </c>
      <c r="S7" s="675">
        <f t="shared" ref="S7:S28" si="0">SUM(O7:R7)*N7*$B$3</f>
        <v>4277679.9843959995</v>
      </c>
      <c r="T7" s="137" t="s">
        <v>729</v>
      </c>
    </row>
    <row r="8" spans="1:20" x14ac:dyDescent="0.2">
      <c r="A8" s="739" t="s">
        <v>1679</v>
      </c>
      <c r="B8" s="137" t="s">
        <v>799</v>
      </c>
      <c r="C8" s="137" t="s">
        <v>800</v>
      </c>
      <c r="D8" s="137" t="s">
        <v>809</v>
      </c>
      <c r="E8" s="137" t="s">
        <v>802</v>
      </c>
      <c r="F8" s="694" t="s">
        <v>803</v>
      </c>
      <c r="G8" s="694" t="s">
        <v>810</v>
      </c>
      <c r="H8" s="137" t="s">
        <v>805</v>
      </c>
      <c r="I8" s="137" t="s">
        <v>307</v>
      </c>
      <c r="J8" s="137">
        <v>713002</v>
      </c>
      <c r="K8" s="137" t="s">
        <v>806</v>
      </c>
      <c r="L8" s="137" t="s">
        <v>807</v>
      </c>
      <c r="M8" s="137" t="s">
        <v>808</v>
      </c>
      <c r="N8" s="673">
        <v>3152.06</v>
      </c>
      <c r="O8" s="674">
        <v>868</v>
      </c>
      <c r="S8" s="675">
        <f t="shared" si="0"/>
        <v>3365265.3384000002</v>
      </c>
      <c r="T8" s="137" t="s">
        <v>811</v>
      </c>
    </row>
    <row r="9" spans="1:20" x14ac:dyDescent="0.2">
      <c r="A9" s="739" t="s">
        <v>1679</v>
      </c>
      <c r="B9" s="137" t="s">
        <v>799</v>
      </c>
      <c r="C9" s="137" t="s">
        <v>800</v>
      </c>
      <c r="D9" s="137" t="s">
        <v>812</v>
      </c>
      <c r="E9" s="137" t="s">
        <v>802</v>
      </c>
      <c r="F9" s="694" t="s">
        <v>803</v>
      </c>
      <c r="G9" s="694" t="s">
        <v>810</v>
      </c>
      <c r="H9" s="137" t="s">
        <v>805</v>
      </c>
      <c r="I9" s="137" t="s">
        <v>307</v>
      </c>
      <c r="J9" s="137">
        <v>713002</v>
      </c>
      <c r="K9" s="137" t="s">
        <v>806</v>
      </c>
      <c r="L9" s="137" t="s">
        <v>807</v>
      </c>
      <c r="M9" s="137" t="s">
        <v>813</v>
      </c>
      <c r="N9" s="673">
        <v>4019.25</v>
      </c>
      <c r="O9" s="674">
        <v>48</v>
      </c>
      <c r="S9" s="675">
        <f t="shared" si="0"/>
        <v>237296.52</v>
      </c>
      <c r="T9" s="137" t="s">
        <v>814</v>
      </c>
    </row>
    <row r="10" spans="1:20" x14ac:dyDescent="0.2">
      <c r="A10" s="682" t="s">
        <v>1680</v>
      </c>
      <c r="B10" s="137" t="s">
        <v>815</v>
      </c>
      <c r="C10" s="137" t="s">
        <v>800</v>
      </c>
      <c r="D10" s="137" t="s">
        <v>801</v>
      </c>
      <c r="E10" s="137" t="s">
        <v>816</v>
      </c>
      <c r="F10" s="694" t="s">
        <v>803</v>
      </c>
      <c r="G10" s="694" t="s">
        <v>804</v>
      </c>
      <c r="H10" s="137" t="s">
        <v>805</v>
      </c>
      <c r="I10" s="137" t="s">
        <v>307</v>
      </c>
      <c r="J10" s="137">
        <v>713002</v>
      </c>
      <c r="K10" s="137" t="s">
        <v>806</v>
      </c>
      <c r="L10" s="137" t="s">
        <v>807</v>
      </c>
      <c r="M10" s="137" t="s">
        <v>808</v>
      </c>
      <c r="N10" s="673">
        <v>6517.8083700000007</v>
      </c>
      <c r="O10" s="674">
        <v>169</v>
      </c>
      <c r="S10" s="675">
        <f t="shared" si="0"/>
        <v>1354856.8258719002</v>
      </c>
      <c r="T10" s="137" t="s">
        <v>817</v>
      </c>
    </row>
    <row r="11" spans="1:20" x14ac:dyDescent="0.2">
      <c r="A11" s="682" t="s">
        <v>1680</v>
      </c>
      <c r="B11" s="137" t="s">
        <v>815</v>
      </c>
      <c r="C11" s="137" t="s">
        <v>800</v>
      </c>
      <c r="D11" s="137" t="s">
        <v>801</v>
      </c>
      <c r="E11" s="137" t="s">
        <v>816</v>
      </c>
      <c r="F11" s="694" t="s">
        <v>803</v>
      </c>
      <c r="G11" s="694" t="s">
        <v>804</v>
      </c>
      <c r="H11" s="137" t="s">
        <v>805</v>
      </c>
      <c r="I11" s="137" t="s">
        <v>307</v>
      </c>
      <c r="J11" s="137">
        <v>713002</v>
      </c>
      <c r="K11" s="137" t="s">
        <v>806</v>
      </c>
      <c r="L11" s="137" t="s">
        <v>807</v>
      </c>
      <c r="M11" s="137" t="s">
        <v>818</v>
      </c>
      <c r="N11" s="673">
        <v>5832.1949800000002</v>
      </c>
      <c r="O11" s="674">
        <v>15</v>
      </c>
      <c r="S11" s="675">
        <f t="shared" si="0"/>
        <v>107603.99738100001</v>
      </c>
      <c r="T11" s="137" t="s">
        <v>819</v>
      </c>
    </row>
    <row r="12" spans="1:20" x14ac:dyDescent="0.2">
      <c r="A12" s="682" t="s">
        <v>1680</v>
      </c>
      <c r="B12" s="137" t="s">
        <v>815</v>
      </c>
      <c r="C12" s="137" t="s">
        <v>800</v>
      </c>
      <c r="D12" s="137" t="s">
        <v>820</v>
      </c>
      <c r="E12" s="137" t="s">
        <v>816</v>
      </c>
      <c r="F12" s="694" t="s">
        <v>803</v>
      </c>
      <c r="G12" s="694" t="s">
        <v>810</v>
      </c>
      <c r="H12" s="137" t="s">
        <v>805</v>
      </c>
      <c r="I12" s="137" t="s">
        <v>307</v>
      </c>
      <c r="J12" s="137">
        <v>713002</v>
      </c>
      <c r="K12" s="137" t="s">
        <v>806</v>
      </c>
      <c r="L12" s="137" t="s">
        <v>807</v>
      </c>
      <c r="M12" s="137" t="s">
        <v>818</v>
      </c>
      <c r="N12" s="673">
        <v>1442.71775</v>
      </c>
      <c r="O12" s="674">
        <v>15</v>
      </c>
      <c r="S12" s="675">
        <f t="shared" si="0"/>
        <v>26618.142487500001</v>
      </c>
      <c r="T12" s="137" t="s">
        <v>811</v>
      </c>
    </row>
    <row r="13" spans="1:20" x14ac:dyDescent="0.2">
      <c r="A13" s="739" t="s">
        <v>1681</v>
      </c>
      <c r="B13" s="137" t="s">
        <v>821</v>
      </c>
      <c r="C13" s="137" t="s">
        <v>800</v>
      </c>
      <c r="D13" s="137" t="s">
        <v>801</v>
      </c>
      <c r="E13" s="137" t="s">
        <v>822</v>
      </c>
      <c r="F13" s="694" t="s">
        <v>803</v>
      </c>
      <c r="G13" s="694" t="s">
        <v>804</v>
      </c>
      <c r="H13" s="137" t="s">
        <v>805</v>
      </c>
      <c r="I13" s="137" t="s">
        <v>307</v>
      </c>
      <c r="J13" s="137">
        <v>713002</v>
      </c>
      <c r="K13" s="137" t="s">
        <v>806</v>
      </c>
      <c r="L13" s="137" t="s">
        <v>807</v>
      </c>
      <c r="M13" s="137" t="s">
        <v>813</v>
      </c>
      <c r="N13" s="673">
        <v>1211.6040955631399</v>
      </c>
      <c r="O13" s="674">
        <v>80</v>
      </c>
      <c r="S13" s="675">
        <f t="shared" si="0"/>
        <v>119221.84300341297</v>
      </c>
      <c r="T13" s="137" t="s">
        <v>823</v>
      </c>
    </row>
    <row r="14" spans="1:20" x14ac:dyDescent="0.2">
      <c r="A14" s="739" t="s">
        <v>1681</v>
      </c>
      <c r="B14" s="137" t="s">
        <v>821</v>
      </c>
      <c r="C14" s="137" t="s">
        <v>800</v>
      </c>
      <c r="D14" s="137" t="s">
        <v>820</v>
      </c>
      <c r="E14" s="137" t="s">
        <v>822</v>
      </c>
      <c r="F14" s="694" t="s">
        <v>803</v>
      </c>
      <c r="G14" s="694" t="s">
        <v>810</v>
      </c>
      <c r="H14" s="137" t="s">
        <v>805</v>
      </c>
      <c r="I14" s="137" t="s">
        <v>307</v>
      </c>
      <c r="J14" s="137">
        <v>713002</v>
      </c>
      <c r="K14" s="137" t="s">
        <v>806</v>
      </c>
      <c r="L14" s="137" t="s">
        <v>807</v>
      </c>
      <c r="M14" s="137" t="s">
        <v>813</v>
      </c>
      <c r="N14" s="673">
        <v>1279.8634812286691</v>
      </c>
      <c r="O14" s="674">
        <v>80</v>
      </c>
      <c r="S14" s="675">
        <f t="shared" si="0"/>
        <v>125938.56655290104</v>
      </c>
      <c r="T14" s="137" t="s">
        <v>814</v>
      </c>
    </row>
    <row r="15" spans="1:20" x14ac:dyDescent="0.2">
      <c r="A15" s="682" t="s">
        <v>1682</v>
      </c>
      <c r="B15" s="137" t="s">
        <v>824</v>
      </c>
      <c r="C15" s="137" t="s">
        <v>800</v>
      </c>
      <c r="D15" s="137" t="s">
        <v>825</v>
      </c>
      <c r="E15" s="137" t="s">
        <v>826</v>
      </c>
      <c r="F15" s="694" t="s">
        <v>803</v>
      </c>
      <c r="G15" s="694" t="s">
        <v>70</v>
      </c>
      <c r="H15" s="137" t="s">
        <v>805</v>
      </c>
      <c r="I15" s="137" t="s">
        <v>71</v>
      </c>
      <c r="J15" s="137">
        <v>711003</v>
      </c>
      <c r="K15" s="137" t="s">
        <v>827</v>
      </c>
      <c r="L15" s="137" t="s">
        <v>807</v>
      </c>
      <c r="M15" s="137" t="s">
        <v>828</v>
      </c>
      <c r="N15" s="673">
        <v>300000</v>
      </c>
      <c r="O15" s="674">
        <v>1</v>
      </c>
      <c r="S15" s="675">
        <f t="shared" si="0"/>
        <v>369000</v>
      </c>
      <c r="T15" s="137" t="s">
        <v>829</v>
      </c>
    </row>
    <row r="16" spans="1:20" x14ac:dyDescent="0.2">
      <c r="A16" s="739" t="s">
        <v>1683</v>
      </c>
      <c r="B16" s="137" t="s">
        <v>830</v>
      </c>
      <c r="C16" s="137" t="s">
        <v>800</v>
      </c>
      <c r="D16" s="137" t="s">
        <v>801</v>
      </c>
      <c r="E16" s="137" t="s">
        <v>831</v>
      </c>
      <c r="F16" s="694" t="s">
        <v>803</v>
      </c>
      <c r="G16" s="694" t="s">
        <v>70</v>
      </c>
      <c r="H16" s="137" t="s">
        <v>805</v>
      </c>
      <c r="I16" s="137" t="s">
        <v>76</v>
      </c>
      <c r="J16" s="137">
        <v>633013</v>
      </c>
      <c r="K16" s="137" t="s">
        <v>832</v>
      </c>
      <c r="L16" s="137" t="s">
        <v>807</v>
      </c>
      <c r="M16" s="137" t="s">
        <v>833</v>
      </c>
      <c r="N16" s="673">
        <v>100000</v>
      </c>
      <c r="O16" s="674">
        <v>1</v>
      </c>
      <c r="S16" s="675">
        <f t="shared" si="0"/>
        <v>123000</v>
      </c>
      <c r="T16" s="137" t="s">
        <v>834</v>
      </c>
    </row>
    <row r="17" spans="1:20" x14ac:dyDescent="0.2">
      <c r="A17" s="739" t="s">
        <v>1683</v>
      </c>
      <c r="B17" s="137" t="s">
        <v>830</v>
      </c>
      <c r="C17" s="137" t="s">
        <v>800</v>
      </c>
      <c r="D17" s="137" t="s">
        <v>820</v>
      </c>
      <c r="E17" s="137" t="s">
        <v>831</v>
      </c>
      <c r="F17" s="694" t="s">
        <v>803</v>
      </c>
      <c r="G17" s="694" t="s">
        <v>835</v>
      </c>
      <c r="H17" s="137" t="s">
        <v>805</v>
      </c>
      <c r="I17" s="137" t="s">
        <v>76</v>
      </c>
      <c r="J17" s="137">
        <v>633013</v>
      </c>
      <c r="K17" s="137" t="s">
        <v>832</v>
      </c>
      <c r="L17" s="137" t="s">
        <v>807</v>
      </c>
      <c r="M17" s="137" t="s">
        <v>833</v>
      </c>
      <c r="N17" s="673">
        <v>400000</v>
      </c>
      <c r="O17" s="674">
        <v>1</v>
      </c>
      <c r="S17" s="675">
        <f t="shared" si="0"/>
        <v>492000</v>
      </c>
      <c r="T17" s="137" t="s">
        <v>834</v>
      </c>
    </row>
    <row r="18" spans="1:20" x14ac:dyDescent="0.2">
      <c r="A18" s="682" t="s">
        <v>1684</v>
      </c>
      <c r="B18" s="137" t="s">
        <v>836</v>
      </c>
      <c r="C18" s="137" t="s">
        <v>800</v>
      </c>
      <c r="D18" s="137" t="s">
        <v>801</v>
      </c>
      <c r="E18" s="137" t="s">
        <v>831</v>
      </c>
      <c r="F18" s="694" t="s">
        <v>803</v>
      </c>
      <c r="G18" s="694" t="s">
        <v>804</v>
      </c>
      <c r="H18" s="137" t="s">
        <v>805</v>
      </c>
      <c r="I18" s="137" t="s">
        <v>307</v>
      </c>
      <c r="J18" s="137">
        <v>713002</v>
      </c>
      <c r="K18" s="137" t="s">
        <v>832</v>
      </c>
      <c r="L18" s="137" t="s">
        <v>807</v>
      </c>
      <c r="M18" s="137" t="s">
        <v>833</v>
      </c>
      <c r="N18" s="673">
        <v>2331806.7120000003</v>
      </c>
      <c r="O18" s="674">
        <v>1</v>
      </c>
      <c r="S18" s="675">
        <f t="shared" si="0"/>
        <v>2868122.2557600001</v>
      </c>
      <c r="T18" s="137" t="s">
        <v>837</v>
      </c>
    </row>
    <row r="19" spans="1:20" x14ac:dyDescent="0.2">
      <c r="A19" s="682" t="s">
        <v>1684</v>
      </c>
      <c r="B19" s="137" t="s">
        <v>836</v>
      </c>
      <c r="C19" s="137" t="s">
        <v>800</v>
      </c>
      <c r="D19" s="137" t="s">
        <v>820</v>
      </c>
      <c r="E19" s="137" t="s">
        <v>831</v>
      </c>
      <c r="F19" s="694" t="s">
        <v>803</v>
      </c>
      <c r="G19" s="694" t="s">
        <v>838</v>
      </c>
      <c r="H19" s="137" t="s">
        <v>805</v>
      </c>
      <c r="I19" s="137" t="s">
        <v>307</v>
      </c>
      <c r="J19" s="137">
        <v>713002</v>
      </c>
      <c r="K19" s="137" t="s">
        <v>832</v>
      </c>
      <c r="L19" s="137" t="s">
        <v>807</v>
      </c>
      <c r="M19" s="137" t="s">
        <v>833</v>
      </c>
      <c r="N19" s="673">
        <v>1580984.4700000002</v>
      </c>
      <c r="O19" s="674">
        <v>1</v>
      </c>
      <c r="S19" s="675">
        <f t="shared" si="0"/>
        <v>1944610.8981000001</v>
      </c>
      <c r="T19" s="137" t="s">
        <v>837</v>
      </c>
    </row>
    <row r="20" spans="1:20" x14ac:dyDescent="0.2">
      <c r="A20" s="682" t="s">
        <v>1684</v>
      </c>
      <c r="B20" s="137" t="s">
        <v>836</v>
      </c>
      <c r="C20" s="137" t="s">
        <v>800</v>
      </c>
      <c r="D20" s="137" t="s">
        <v>839</v>
      </c>
      <c r="E20" s="137" t="s">
        <v>831</v>
      </c>
      <c r="F20" s="694" t="s">
        <v>803</v>
      </c>
      <c r="G20" s="694" t="s">
        <v>804</v>
      </c>
      <c r="H20" s="137" t="s">
        <v>805</v>
      </c>
      <c r="I20" s="137" t="s">
        <v>307</v>
      </c>
      <c r="J20" s="137">
        <v>713002</v>
      </c>
      <c r="K20" s="137" t="s">
        <v>832</v>
      </c>
      <c r="L20" s="137" t="s">
        <v>807</v>
      </c>
      <c r="M20" s="137" t="s">
        <v>833</v>
      </c>
      <c r="N20" s="673">
        <v>1300000</v>
      </c>
      <c r="O20" s="674">
        <v>1</v>
      </c>
      <c r="S20" s="675">
        <f t="shared" si="0"/>
        <v>1599000</v>
      </c>
      <c r="T20" s="137" t="s">
        <v>837</v>
      </c>
    </row>
    <row r="21" spans="1:20" x14ac:dyDescent="0.2">
      <c r="A21" s="739" t="s">
        <v>1685</v>
      </c>
      <c r="B21" s="137" t="s">
        <v>840</v>
      </c>
      <c r="C21" s="137" t="s">
        <v>800</v>
      </c>
      <c r="D21" s="137" t="s">
        <v>801</v>
      </c>
      <c r="E21" s="137" t="s">
        <v>831</v>
      </c>
      <c r="F21" s="694" t="s">
        <v>803</v>
      </c>
      <c r="G21" s="694" t="s">
        <v>804</v>
      </c>
      <c r="H21" s="137" t="s">
        <v>805</v>
      </c>
      <c r="I21" s="137" t="s">
        <v>307</v>
      </c>
      <c r="J21" s="137">
        <v>713002</v>
      </c>
      <c r="K21" s="137" t="s">
        <v>832</v>
      </c>
      <c r="L21" s="137" t="s">
        <v>807</v>
      </c>
      <c r="M21" s="137" t="s">
        <v>833</v>
      </c>
      <c r="N21" s="673">
        <v>3131192</v>
      </c>
      <c r="O21" s="674">
        <v>1</v>
      </c>
      <c r="S21" s="675">
        <f t="shared" si="0"/>
        <v>3851366.16</v>
      </c>
      <c r="T21" s="137" t="s">
        <v>841</v>
      </c>
    </row>
    <row r="22" spans="1:20" x14ac:dyDescent="0.2">
      <c r="A22" s="682" t="s">
        <v>1686</v>
      </c>
      <c r="B22" s="137" t="s">
        <v>842</v>
      </c>
      <c r="C22" s="137" t="s">
        <v>800</v>
      </c>
      <c r="D22" s="137" t="s">
        <v>801</v>
      </c>
      <c r="E22" s="137" t="s">
        <v>831</v>
      </c>
      <c r="F22" s="694" t="s">
        <v>803</v>
      </c>
      <c r="G22" s="694" t="s">
        <v>70</v>
      </c>
      <c r="H22" s="137" t="s">
        <v>805</v>
      </c>
      <c r="I22" s="137" t="s">
        <v>76</v>
      </c>
      <c r="J22" s="137">
        <v>633013</v>
      </c>
      <c r="K22" s="137" t="s">
        <v>832</v>
      </c>
      <c r="L22" s="137" t="s">
        <v>807</v>
      </c>
      <c r="M22" s="137" t="s">
        <v>833</v>
      </c>
      <c r="N22" s="673">
        <v>700000</v>
      </c>
      <c r="O22" s="674">
        <v>1</v>
      </c>
      <c r="S22" s="675">
        <f t="shared" si="0"/>
        <v>861000</v>
      </c>
      <c r="T22" s="137" t="s">
        <v>843</v>
      </c>
    </row>
    <row r="23" spans="1:20" x14ac:dyDescent="0.2">
      <c r="A23" s="682" t="s">
        <v>1686</v>
      </c>
      <c r="B23" s="137" t="s">
        <v>842</v>
      </c>
      <c r="C23" s="137" t="s">
        <v>800</v>
      </c>
      <c r="D23" s="137" t="s">
        <v>820</v>
      </c>
      <c r="E23" s="137" t="s">
        <v>831</v>
      </c>
      <c r="F23" s="694" t="s">
        <v>803</v>
      </c>
      <c r="G23" s="694" t="s">
        <v>835</v>
      </c>
      <c r="H23" s="137" t="s">
        <v>805</v>
      </c>
      <c r="I23" s="137" t="s">
        <v>76</v>
      </c>
      <c r="J23" s="137">
        <v>633013</v>
      </c>
      <c r="K23" s="137" t="s">
        <v>832</v>
      </c>
      <c r="L23" s="137" t="s">
        <v>807</v>
      </c>
      <c r="M23" s="137" t="s">
        <v>833</v>
      </c>
      <c r="N23" s="673">
        <v>300000</v>
      </c>
      <c r="O23" s="674">
        <v>1</v>
      </c>
      <c r="S23" s="675">
        <f t="shared" si="0"/>
        <v>369000</v>
      </c>
      <c r="T23" s="137" t="s">
        <v>843</v>
      </c>
    </row>
    <row r="24" spans="1:20" x14ac:dyDescent="0.2">
      <c r="A24" s="739" t="s">
        <v>1687</v>
      </c>
      <c r="B24" s="137" t="s">
        <v>844</v>
      </c>
      <c r="C24" s="137" t="s">
        <v>800</v>
      </c>
      <c r="D24" s="137" t="s">
        <v>801</v>
      </c>
      <c r="E24" s="137" t="s">
        <v>845</v>
      </c>
      <c r="F24" s="694" t="s">
        <v>803</v>
      </c>
      <c r="G24" s="694" t="s">
        <v>804</v>
      </c>
      <c r="H24" s="137" t="s">
        <v>805</v>
      </c>
      <c r="I24" s="137" t="s">
        <v>307</v>
      </c>
      <c r="J24" s="137">
        <v>713002</v>
      </c>
      <c r="K24" s="137" t="s">
        <v>806</v>
      </c>
      <c r="L24" s="137" t="s">
        <v>807</v>
      </c>
      <c r="M24" s="137" t="s">
        <v>813</v>
      </c>
      <c r="N24" s="673">
        <f>'[6]09 Kvantove počítače'!G3</f>
        <v>11500</v>
      </c>
      <c r="O24" s="674">
        <f>'[6]09 Kvantove počítače'!F3</f>
        <v>23</v>
      </c>
      <c r="S24" s="675">
        <f t="shared" si="0"/>
        <v>325335</v>
      </c>
      <c r="T24" s="137" t="s">
        <v>846</v>
      </c>
    </row>
    <row r="25" spans="1:20" x14ac:dyDescent="0.2">
      <c r="A25" s="739" t="s">
        <v>1687</v>
      </c>
      <c r="B25" s="137" t="s">
        <v>844</v>
      </c>
      <c r="C25" s="137" t="s">
        <v>800</v>
      </c>
      <c r="D25" s="137" t="s">
        <v>801</v>
      </c>
      <c r="E25" s="137" t="s">
        <v>847</v>
      </c>
      <c r="F25" s="694" t="s">
        <v>803</v>
      </c>
      <c r="G25" s="694" t="s">
        <v>804</v>
      </c>
      <c r="H25" s="137" t="s">
        <v>805</v>
      </c>
      <c r="I25" s="137" t="s">
        <v>307</v>
      </c>
      <c r="J25" s="137">
        <v>713002</v>
      </c>
      <c r="K25" s="137" t="s">
        <v>806</v>
      </c>
      <c r="L25" s="137" t="s">
        <v>807</v>
      </c>
      <c r="M25" s="137" t="s">
        <v>813</v>
      </c>
      <c r="N25" s="673">
        <f>'[6]09 Kvantove počítače'!G6</f>
        <v>58000</v>
      </c>
      <c r="O25" s="674">
        <f>'[6]09 Kvantove počítače'!F6</f>
        <v>3</v>
      </c>
      <c r="S25" s="675">
        <f t="shared" si="0"/>
        <v>214020</v>
      </c>
      <c r="T25" s="137" t="s">
        <v>846</v>
      </c>
    </row>
    <row r="26" spans="1:20" x14ac:dyDescent="0.2">
      <c r="A26" s="739" t="s">
        <v>1687</v>
      </c>
      <c r="B26" s="137" t="s">
        <v>844</v>
      </c>
      <c r="C26" s="137" t="s">
        <v>800</v>
      </c>
      <c r="D26" s="137" t="s">
        <v>839</v>
      </c>
      <c r="E26" s="137" t="s">
        <v>848</v>
      </c>
      <c r="F26" s="694" t="s">
        <v>803</v>
      </c>
      <c r="G26" s="694" t="s">
        <v>70</v>
      </c>
      <c r="H26" s="137" t="s">
        <v>805</v>
      </c>
      <c r="I26" s="137" t="s">
        <v>76</v>
      </c>
      <c r="J26" s="137">
        <v>633013</v>
      </c>
      <c r="K26" s="137" t="s">
        <v>806</v>
      </c>
      <c r="L26" s="137" t="s">
        <v>807</v>
      </c>
      <c r="M26" s="137" t="s">
        <v>813</v>
      </c>
      <c r="N26" s="740">
        <f>'[6]09 Kvantove počítače'!G5</f>
        <v>2000</v>
      </c>
      <c r="O26" s="741">
        <f>'[6]09 Kvantove počítače'!F5</f>
        <v>23</v>
      </c>
      <c r="P26" s="741"/>
      <c r="Q26" s="741"/>
      <c r="R26" s="741"/>
      <c r="S26" s="742">
        <f t="shared" ref="S26" si="1">SUM(O26:R26)*N26*$B$3</f>
        <v>56580</v>
      </c>
      <c r="T26" s="137" t="s">
        <v>849</v>
      </c>
    </row>
    <row r="27" spans="1:20" x14ac:dyDescent="0.2">
      <c r="A27" s="739" t="s">
        <v>1687</v>
      </c>
      <c r="B27" s="137" t="s">
        <v>844</v>
      </c>
      <c r="C27" s="137" t="s">
        <v>800</v>
      </c>
      <c r="D27" s="137" t="s">
        <v>839</v>
      </c>
      <c r="E27" s="137" t="s">
        <v>848</v>
      </c>
      <c r="F27" s="694" t="s">
        <v>803</v>
      </c>
      <c r="G27" s="694" t="s">
        <v>70</v>
      </c>
      <c r="H27" s="137" t="s">
        <v>805</v>
      </c>
      <c r="I27" s="137" t="s">
        <v>76</v>
      </c>
      <c r="J27" s="137">
        <v>633013</v>
      </c>
      <c r="K27" s="137" t="s">
        <v>806</v>
      </c>
      <c r="L27" s="137" t="s">
        <v>807</v>
      </c>
      <c r="M27" s="137" t="s">
        <v>813</v>
      </c>
      <c r="N27" s="740">
        <f>'[6]09 Kvantove počítače'!G8</f>
        <v>4500</v>
      </c>
      <c r="O27" s="741">
        <f>'[6]09 Kvantove počítače'!F8</f>
        <v>3</v>
      </c>
      <c r="P27" s="741"/>
      <c r="Q27" s="741"/>
      <c r="R27" s="741"/>
      <c r="S27" s="742">
        <f t="shared" si="0"/>
        <v>16605</v>
      </c>
      <c r="T27" s="137" t="s">
        <v>849</v>
      </c>
    </row>
    <row r="28" spans="1:20" x14ac:dyDescent="0.2">
      <c r="A28" s="682" t="s">
        <v>1688</v>
      </c>
      <c r="B28" s="137" t="s">
        <v>850</v>
      </c>
      <c r="C28" s="137" t="s">
        <v>800</v>
      </c>
      <c r="D28" s="137" t="s">
        <v>851</v>
      </c>
      <c r="E28" s="137" t="s">
        <v>852</v>
      </c>
      <c r="F28" s="694" t="s">
        <v>803</v>
      </c>
      <c r="G28" s="694" t="s">
        <v>804</v>
      </c>
      <c r="H28" s="137" t="s">
        <v>805</v>
      </c>
      <c r="I28" s="137" t="s">
        <v>307</v>
      </c>
      <c r="J28" s="137">
        <v>713002</v>
      </c>
      <c r="K28" s="137" t="s">
        <v>806</v>
      </c>
      <c r="L28" s="137" t="s">
        <v>807</v>
      </c>
      <c r="M28" s="137" t="s">
        <v>828</v>
      </c>
      <c r="N28" s="673">
        <f>'[6]10 Rozširujúce lab UI'!J71</f>
        <v>351999.32936856372</v>
      </c>
      <c r="O28" s="674">
        <v>1</v>
      </c>
      <c r="S28" s="675">
        <f t="shared" si="0"/>
        <v>432959.17512333335</v>
      </c>
      <c r="T28" s="137" t="s">
        <v>853</v>
      </c>
    </row>
    <row r="29" spans="1:20" x14ac:dyDescent="0.2">
      <c r="A29" s="739" t="s">
        <v>1689</v>
      </c>
      <c r="B29" s="137" t="s">
        <v>1690</v>
      </c>
      <c r="C29" s="699" t="s">
        <v>855</v>
      </c>
      <c r="D29" s="700" t="s">
        <v>856</v>
      </c>
      <c r="E29" s="700" t="s">
        <v>857</v>
      </c>
      <c r="F29" s="701" t="s">
        <v>858</v>
      </c>
      <c r="G29" s="701" t="s">
        <v>859</v>
      </c>
      <c r="H29" s="699" t="s">
        <v>860</v>
      </c>
      <c r="I29" s="699" t="s">
        <v>861</v>
      </c>
      <c r="J29" s="699">
        <v>610</v>
      </c>
      <c r="K29" s="718" t="s">
        <v>862</v>
      </c>
      <c r="L29" s="137" t="s">
        <v>863</v>
      </c>
      <c r="M29" s="137" t="s">
        <v>15</v>
      </c>
      <c r="N29" s="673">
        <v>12</v>
      </c>
      <c r="O29" s="674">
        <f>O$3</f>
        <v>2088</v>
      </c>
      <c r="P29" s="674">
        <f t="shared" ref="P29:R30" si="2">P$3</f>
        <v>2088</v>
      </c>
      <c r="Q29" s="674">
        <f t="shared" si="2"/>
        <v>2080</v>
      </c>
      <c r="R29" s="674">
        <f t="shared" si="2"/>
        <v>2088</v>
      </c>
      <c r="S29" s="743">
        <f t="shared" ref="S29:S62" si="3">SUM(O29:R29)*N29*$B$2</f>
        <v>136374.33600000001</v>
      </c>
      <c r="T29" s="700" t="s">
        <v>864</v>
      </c>
    </row>
    <row r="30" spans="1:20" x14ac:dyDescent="0.2">
      <c r="A30" s="739" t="s">
        <v>1689</v>
      </c>
      <c r="B30" s="137" t="s">
        <v>865</v>
      </c>
      <c r="C30" s="704" t="s">
        <v>866</v>
      </c>
      <c r="D30" s="704" t="s">
        <v>867</v>
      </c>
      <c r="E30" s="704" t="s">
        <v>868</v>
      </c>
      <c r="F30" s="705" t="s">
        <v>858</v>
      </c>
      <c r="G30" s="706" t="s">
        <v>859</v>
      </c>
      <c r="H30" s="704" t="s">
        <v>860</v>
      </c>
      <c r="I30" s="704" t="s">
        <v>861</v>
      </c>
      <c r="J30" s="704">
        <v>610</v>
      </c>
      <c r="K30" s="705" t="s">
        <v>862</v>
      </c>
      <c r="L30" s="137" t="s">
        <v>863</v>
      </c>
      <c r="M30" s="137" t="s">
        <v>15</v>
      </c>
      <c r="N30" s="673">
        <v>12</v>
      </c>
      <c r="O30" s="674">
        <f>O$3</f>
        <v>2088</v>
      </c>
      <c r="P30" s="674">
        <f t="shared" si="2"/>
        <v>2088</v>
      </c>
      <c r="Q30" s="674">
        <f t="shared" si="2"/>
        <v>2080</v>
      </c>
      <c r="R30" s="674">
        <f t="shared" si="2"/>
        <v>2088</v>
      </c>
      <c r="S30" s="744">
        <f t="shared" si="3"/>
        <v>136374.33600000001</v>
      </c>
      <c r="T30" s="704" t="s">
        <v>869</v>
      </c>
    </row>
    <row r="31" spans="1:20" x14ac:dyDescent="0.2">
      <c r="A31" s="739" t="s">
        <v>1689</v>
      </c>
      <c r="B31" s="137" t="s">
        <v>1690</v>
      </c>
      <c r="C31" s="699" t="s">
        <v>855</v>
      </c>
      <c r="D31" s="700" t="s">
        <v>870</v>
      </c>
      <c r="E31" s="700" t="s">
        <v>871</v>
      </c>
      <c r="F31" s="701" t="s">
        <v>858</v>
      </c>
      <c r="G31" s="701" t="s">
        <v>872</v>
      </c>
      <c r="H31" s="699" t="s">
        <v>860</v>
      </c>
      <c r="I31" s="699" t="s">
        <v>861</v>
      </c>
      <c r="J31" s="699">
        <v>610</v>
      </c>
      <c r="K31" s="718" t="s">
        <v>873</v>
      </c>
      <c r="L31" s="137" t="s">
        <v>1098</v>
      </c>
      <c r="M31" s="137" t="s">
        <v>15</v>
      </c>
      <c r="N31" s="673">
        <v>22</v>
      </c>
      <c r="O31" s="674">
        <f>O$3/4</f>
        <v>522</v>
      </c>
      <c r="P31" s="674">
        <f>2088/4</f>
        <v>522</v>
      </c>
      <c r="Q31" s="674">
        <f>2080/4</f>
        <v>520</v>
      </c>
      <c r="R31" s="674">
        <f>2088/4</f>
        <v>522</v>
      </c>
      <c r="S31" s="743">
        <f t="shared" si="3"/>
        <v>62504.904000000002</v>
      </c>
      <c r="T31" s="700" t="s">
        <v>864</v>
      </c>
    </row>
    <row r="32" spans="1:20" x14ac:dyDescent="0.2">
      <c r="A32" s="739" t="s">
        <v>1689</v>
      </c>
      <c r="B32" s="137" t="s">
        <v>865</v>
      </c>
      <c r="C32" s="704" t="s">
        <v>866</v>
      </c>
      <c r="D32" s="704" t="s">
        <v>875</v>
      </c>
      <c r="E32" s="704" t="s">
        <v>876</v>
      </c>
      <c r="F32" s="705" t="s">
        <v>858</v>
      </c>
      <c r="G32" s="706" t="s">
        <v>872</v>
      </c>
      <c r="H32" s="704" t="s">
        <v>860</v>
      </c>
      <c r="I32" s="704" t="s">
        <v>861</v>
      </c>
      <c r="J32" s="704">
        <v>610</v>
      </c>
      <c r="K32" s="705" t="s">
        <v>877</v>
      </c>
      <c r="L32" s="137" t="s">
        <v>1098</v>
      </c>
      <c r="M32" s="137" t="s">
        <v>15</v>
      </c>
      <c r="N32" s="740">
        <v>24</v>
      </c>
      <c r="O32" s="674">
        <f>O$3/4</f>
        <v>522</v>
      </c>
      <c r="P32" s="674">
        <f>P$3/4</f>
        <v>522</v>
      </c>
      <c r="Q32" s="674">
        <f>Q$3/4</f>
        <v>520</v>
      </c>
      <c r="R32" s="674">
        <f>R$3/4</f>
        <v>522</v>
      </c>
      <c r="S32" s="744">
        <f t="shared" si="3"/>
        <v>68187.168000000005</v>
      </c>
      <c r="T32" s="704" t="s">
        <v>869</v>
      </c>
    </row>
    <row r="33" spans="1:20" x14ac:dyDescent="0.2">
      <c r="A33" s="739" t="s">
        <v>1689</v>
      </c>
      <c r="B33" s="137" t="s">
        <v>1690</v>
      </c>
      <c r="C33" s="699" t="s">
        <v>855</v>
      </c>
      <c r="D33" s="700" t="s">
        <v>879</v>
      </c>
      <c r="E33" s="700" t="s">
        <v>880</v>
      </c>
      <c r="F33" s="701" t="s">
        <v>858</v>
      </c>
      <c r="G33" s="701" t="s">
        <v>872</v>
      </c>
      <c r="H33" s="699" t="s">
        <v>860</v>
      </c>
      <c r="I33" s="699" t="s">
        <v>861</v>
      </c>
      <c r="J33" s="699">
        <v>610</v>
      </c>
      <c r="K33" s="718" t="s">
        <v>873</v>
      </c>
      <c r="L33" s="137" t="s">
        <v>1691</v>
      </c>
      <c r="M33" s="137" t="s">
        <v>15</v>
      </c>
      <c r="N33" s="673">
        <v>21</v>
      </c>
      <c r="O33" s="674">
        <f>O$4/4*3</f>
        <v>1182</v>
      </c>
      <c r="P33" s="674">
        <f>P$4/4*3</f>
        <v>1566</v>
      </c>
      <c r="Q33" s="674">
        <f>Q$4/4*3</f>
        <v>1560</v>
      </c>
      <c r="R33" s="674">
        <f>R$4/4*3</f>
        <v>1440</v>
      </c>
      <c r="S33" s="743">
        <f t="shared" si="3"/>
        <v>164404.296</v>
      </c>
      <c r="T33" s="700" t="s">
        <v>881</v>
      </c>
    </row>
    <row r="34" spans="1:20" x14ac:dyDescent="0.2">
      <c r="A34" s="739" t="s">
        <v>1689</v>
      </c>
      <c r="B34" s="137" t="s">
        <v>882</v>
      </c>
      <c r="C34" s="137" t="s">
        <v>800</v>
      </c>
      <c r="D34" s="137" t="s">
        <v>883</v>
      </c>
      <c r="E34" s="137" t="s">
        <v>884</v>
      </c>
      <c r="F34" s="694" t="s">
        <v>858</v>
      </c>
      <c r="G34" s="694" t="s">
        <v>885</v>
      </c>
      <c r="H34" s="137" t="s">
        <v>860</v>
      </c>
      <c r="I34" s="137" t="s">
        <v>861</v>
      </c>
      <c r="J34" s="137">
        <v>610</v>
      </c>
      <c r="K34" s="694" t="s">
        <v>886</v>
      </c>
      <c r="L34" s="137" t="s">
        <v>878</v>
      </c>
      <c r="M34" s="137" t="s">
        <v>15</v>
      </c>
      <c r="N34" s="673">
        <v>15</v>
      </c>
      <c r="O34" s="674">
        <v>350</v>
      </c>
      <c r="P34" s="674">
        <v>350</v>
      </c>
      <c r="Q34" s="674">
        <v>350</v>
      </c>
      <c r="R34" s="674">
        <v>350</v>
      </c>
      <c r="S34" s="675">
        <f t="shared" si="3"/>
        <v>28602.000000000004</v>
      </c>
      <c r="T34" s="137" t="s">
        <v>887</v>
      </c>
    </row>
    <row r="35" spans="1:20" x14ac:dyDescent="0.2">
      <c r="A35" s="739" t="s">
        <v>1689</v>
      </c>
      <c r="B35" s="137" t="s">
        <v>882</v>
      </c>
      <c r="C35" s="137" t="s">
        <v>800</v>
      </c>
      <c r="D35" s="137" t="s">
        <v>883</v>
      </c>
      <c r="E35" s="137" t="s">
        <v>884</v>
      </c>
      <c r="F35" s="694" t="s">
        <v>858</v>
      </c>
      <c r="G35" s="694" t="s">
        <v>885</v>
      </c>
      <c r="H35" s="137" t="s">
        <v>860</v>
      </c>
      <c r="I35" s="137" t="s">
        <v>861</v>
      </c>
      <c r="J35" s="137">
        <v>610</v>
      </c>
      <c r="K35" s="694" t="s">
        <v>886</v>
      </c>
      <c r="L35" s="137" t="s">
        <v>878</v>
      </c>
      <c r="M35" s="137" t="s">
        <v>15</v>
      </c>
      <c r="N35" s="673">
        <v>15</v>
      </c>
      <c r="O35" s="674">
        <v>350</v>
      </c>
      <c r="P35" s="674">
        <v>350</v>
      </c>
      <c r="Q35" s="674">
        <v>350</v>
      </c>
      <c r="R35" s="674">
        <v>350</v>
      </c>
      <c r="S35" s="675">
        <f t="shared" si="3"/>
        <v>28602.000000000004</v>
      </c>
      <c r="T35" s="137" t="s">
        <v>888</v>
      </c>
    </row>
    <row r="36" spans="1:20" x14ac:dyDescent="0.2">
      <c r="A36" s="739" t="s">
        <v>1689</v>
      </c>
      <c r="B36" s="137" t="s">
        <v>882</v>
      </c>
      <c r="C36" s="137" t="s">
        <v>800</v>
      </c>
      <c r="D36" s="694" t="s">
        <v>889</v>
      </c>
      <c r="E36" s="694" t="s">
        <v>890</v>
      </c>
      <c r="F36" s="694" t="s">
        <v>858</v>
      </c>
      <c r="G36" s="694" t="s">
        <v>885</v>
      </c>
      <c r="H36" s="694" t="s">
        <v>860</v>
      </c>
      <c r="I36" s="694" t="s">
        <v>861</v>
      </c>
      <c r="J36" s="694">
        <v>610</v>
      </c>
      <c r="K36" s="694" t="s">
        <v>891</v>
      </c>
      <c r="L36" s="137" t="s">
        <v>807</v>
      </c>
      <c r="M36" s="137" t="s">
        <v>15</v>
      </c>
      <c r="N36" s="740">
        <v>40</v>
      </c>
      <c r="O36" s="674">
        <v>350</v>
      </c>
      <c r="P36" s="674">
        <v>400</v>
      </c>
      <c r="Q36" s="674">
        <v>400</v>
      </c>
      <c r="R36" s="674">
        <v>400</v>
      </c>
      <c r="S36" s="675">
        <f>SUM(O36:R36)*N36*$B$2</f>
        <v>84444</v>
      </c>
      <c r="T36" s="137" t="s">
        <v>892</v>
      </c>
    </row>
    <row r="37" spans="1:20" x14ac:dyDescent="0.2">
      <c r="A37" s="739" t="s">
        <v>1689</v>
      </c>
      <c r="B37" s="137" t="s">
        <v>882</v>
      </c>
      <c r="C37" s="137" t="s">
        <v>800</v>
      </c>
      <c r="D37" s="694" t="s">
        <v>889</v>
      </c>
      <c r="E37" s="694" t="s">
        <v>890</v>
      </c>
      <c r="F37" s="694" t="s">
        <v>858</v>
      </c>
      <c r="G37" s="694" t="s">
        <v>885</v>
      </c>
      <c r="H37" s="694" t="s">
        <v>860</v>
      </c>
      <c r="I37" s="694" t="s">
        <v>861</v>
      </c>
      <c r="J37" s="694">
        <v>610</v>
      </c>
      <c r="K37" s="694" t="s">
        <v>893</v>
      </c>
      <c r="L37" s="137" t="s">
        <v>807</v>
      </c>
      <c r="M37" s="137" t="s">
        <v>15</v>
      </c>
      <c r="N37" s="740">
        <v>40</v>
      </c>
      <c r="O37" s="674">
        <v>350</v>
      </c>
      <c r="P37" s="674">
        <v>400</v>
      </c>
      <c r="Q37" s="674">
        <v>400</v>
      </c>
      <c r="R37" s="674">
        <v>400</v>
      </c>
      <c r="S37" s="675">
        <f>SUM(O37:R37)*N37*$B$2</f>
        <v>84444</v>
      </c>
      <c r="T37" s="137" t="s">
        <v>892</v>
      </c>
    </row>
    <row r="38" spans="1:20" x14ac:dyDescent="0.2">
      <c r="A38" s="682" t="s">
        <v>1689</v>
      </c>
      <c r="B38" s="137" t="s">
        <v>894</v>
      </c>
      <c r="C38" s="709" t="s">
        <v>895</v>
      </c>
      <c r="D38" s="709" t="s">
        <v>896</v>
      </c>
      <c r="E38" s="709" t="s">
        <v>897</v>
      </c>
      <c r="F38" s="710" t="s">
        <v>858</v>
      </c>
      <c r="G38" s="710" t="s">
        <v>898</v>
      </c>
      <c r="H38" s="709" t="s">
        <v>860</v>
      </c>
      <c r="I38" s="709" t="s">
        <v>861</v>
      </c>
      <c r="J38" s="709">
        <v>610</v>
      </c>
      <c r="K38" s="710" t="s">
        <v>899</v>
      </c>
      <c r="L38" s="137" t="s">
        <v>1098</v>
      </c>
      <c r="M38" s="137" t="s">
        <v>15</v>
      </c>
      <c r="N38" s="740">
        <v>25</v>
      </c>
      <c r="O38" s="674">
        <f>O$3/4</f>
        <v>522</v>
      </c>
      <c r="P38" s="674">
        <f>P$3/4</f>
        <v>522</v>
      </c>
      <c r="Q38" s="674">
        <f>Q$3/4</f>
        <v>520</v>
      </c>
      <c r="R38" s="674">
        <f>R$3/4</f>
        <v>522</v>
      </c>
      <c r="S38" s="745">
        <f t="shared" si="3"/>
        <v>71028.3</v>
      </c>
      <c r="T38" s="709" t="s">
        <v>900</v>
      </c>
    </row>
    <row r="39" spans="1:20" x14ac:dyDescent="0.2">
      <c r="A39" s="682" t="s">
        <v>1689</v>
      </c>
      <c r="B39" s="137" t="s">
        <v>894</v>
      </c>
      <c r="C39" s="713" t="s">
        <v>901</v>
      </c>
      <c r="D39" s="713" t="s">
        <v>896</v>
      </c>
      <c r="E39" s="713" t="s">
        <v>902</v>
      </c>
      <c r="F39" s="714" t="s">
        <v>858</v>
      </c>
      <c r="G39" s="714" t="s">
        <v>898</v>
      </c>
      <c r="H39" s="713" t="s">
        <v>860</v>
      </c>
      <c r="I39" s="713" t="s">
        <v>861</v>
      </c>
      <c r="J39" s="713">
        <v>610</v>
      </c>
      <c r="K39" s="714" t="s">
        <v>903</v>
      </c>
      <c r="L39" s="137" t="s">
        <v>863</v>
      </c>
      <c r="M39" s="137" t="s">
        <v>15</v>
      </c>
      <c r="N39" s="673">
        <v>25</v>
      </c>
      <c r="O39" s="674">
        <f>O$4</f>
        <v>1576</v>
      </c>
      <c r="P39" s="674">
        <f t="shared" ref="P39:R39" si="4">P$4</f>
        <v>2088</v>
      </c>
      <c r="Q39" s="674">
        <f t="shared" si="4"/>
        <v>2080</v>
      </c>
      <c r="R39" s="674">
        <f t="shared" si="4"/>
        <v>1920</v>
      </c>
      <c r="S39" s="746">
        <f t="shared" si="3"/>
        <v>260959.2</v>
      </c>
      <c r="T39" s="713" t="s">
        <v>904</v>
      </c>
    </row>
    <row r="40" spans="1:20" x14ac:dyDescent="0.2">
      <c r="A40" s="682" t="s">
        <v>1689</v>
      </c>
      <c r="B40" s="137" t="s">
        <v>894</v>
      </c>
      <c r="C40" s="137" t="s">
        <v>1692</v>
      </c>
      <c r="D40" s="137" t="s">
        <v>1693</v>
      </c>
      <c r="E40" s="137" t="s">
        <v>905</v>
      </c>
      <c r="F40" s="694" t="s">
        <v>858</v>
      </c>
      <c r="G40" s="694" t="s">
        <v>885</v>
      </c>
      <c r="H40" s="137" t="s">
        <v>860</v>
      </c>
      <c r="I40" s="137" t="s">
        <v>861</v>
      </c>
      <c r="J40" s="137">
        <v>610</v>
      </c>
      <c r="K40" s="694" t="s">
        <v>899</v>
      </c>
      <c r="L40" s="137" t="s">
        <v>1098</v>
      </c>
      <c r="M40" s="137" t="s">
        <v>15</v>
      </c>
      <c r="N40" s="740">
        <v>25</v>
      </c>
      <c r="O40" s="674">
        <f t="shared" ref="O40:R42" si="5">O$3/4</f>
        <v>522</v>
      </c>
      <c r="P40" s="674">
        <f t="shared" si="5"/>
        <v>522</v>
      </c>
      <c r="Q40" s="674">
        <f t="shared" si="5"/>
        <v>520</v>
      </c>
      <c r="R40" s="674">
        <f t="shared" si="5"/>
        <v>522</v>
      </c>
      <c r="S40" s="675">
        <f t="shared" si="3"/>
        <v>71028.3</v>
      </c>
      <c r="T40" s="137" t="s">
        <v>906</v>
      </c>
    </row>
    <row r="41" spans="1:20" x14ac:dyDescent="0.2">
      <c r="A41" s="682" t="s">
        <v>1689</v>
      </c>
      <c r="B41" s="137" t="s">
        <v>894</v>
      </c>
      <c r="C41" s="709" t="s">
        <v>895</v>
      </c>
      <c r="D41" s="709" t="s">
        <v>896</v>
      </c>
      <c r="E41" s="709" t="s">
        <v>907</v>
      </c>
      <c r="F41" s="710" t="s">
        <v>858</v>
      </c>
      <c r="G41" s="710" t="s">
        <v>898</v>
      </c>
      <c r="H41" s="709" t="s">
        <v>860</v>
      </c>
      <c r="I41" s="709" t="s">
        <v>861</v>
      </c>
      <c r="J41" s="709">
        <v>610</v>
      </c>
      <c r="K41" s="710" t="s">
        <v>899</v>
      </c>
      <c r="L41" s="137" t="s">
        <v>1098</v>
      </c>
      <c r="M41" s="137" t="s">
        <v>15</v>
      </c>
      <c r="N41" s="740">
        <v>25</v>
      </c>
      <c r="O41" s="674">
        <f t="shared" si="5"/>
        <v>522</v>
      </c>
      <c r="P41" s="674">
        <f t="shared" si="5"/>
        <v>522</v>
      </c>
      <c r="Q41" s="674">
        <f t="shared" si="5"/>
        <v>520</v>
      </c>
      <c r="R41" s="674">
        <f t="shared" si="5"/>
        <v>522</v>
      </c>
      <c r="S41" s="745">
        <f t="shared" si="3"/>
        <v>71028.3</v>
      </c>
      <c r="T41" s="709" t="s">
        <v>908</v>
      </c>
    </row>
    <row r="42" spans="1:20" x14ac:dyDescent="0.2">
      <c r="A42" s="682" t="s">
        <v>1689</v>
      </c>
      <c r="B42" s="717" t="s">
        <v>894</v>
      </c>
      <c r="C42" s="713" t="s">
        <v>800</v>
      </c>
      <c r="D42" s="747" t="s">
        <v>896</v>
      </c>
      <c r="E42" s="747" t="s">
        <v>909</v>
      </c>
      <c r="F42" s="714" t="s">
        <v>858</v>
      </c>
      <c r="G42" s="714" t="s">
        <v>898</v>
      </c>
      <c r="H42" s="713" t="s">
        <v>860</v>
      </c>
      <c r="I42" s="713" t="s">
        <v>861</v>
      </c>
      <c r="J42" s="713">
        <v>610</v>
      </c>
      <c r="K42" s="714" t="s">
        <v>899</v>
      </c>
      <c r="L42" s="137" t="s">
        <v>1098</v>
      </c>
      <c r="M42" s="717" t="s">
        <v>15</v>
      </c>
      <c r="N42" s="740">
        <v>25</v>
      </c>
      <c r="O42" s="674">
        <f t="shared" si="5"/>
        <v>522</v>
      </c>
      <c r="P42" s="674">
        <f t="shared" si="5"/>
        <v>522</v>
      </c>
      <c r="Q42" s="674">
        <f t="shared" si="5"/>
        <v>520</v>
      </c>
      <c r="R42" s="674">
        <f t="shared" si="5"/>
        <v>522</v>
      </c>
      <c r="S42" s="748">
        <f t="shared" si="3"/>
        <v>71028.3</v>
      </c>
      <c r="T42" s="747" t="s">
        <v>1694</v>
      </c>
    </row>
    <row r="43" spans="1:20" x14ac:dyDescent="0.2">
      <c r="A43" s="682" t="s">
        <v>1689</v>
      </c>
      <c r="B43" s="137" t="s">
        <v>894</v>
      </c>
      <c r="C43" s="713" t="s">
        <v>901</v>
      </c>
      <c r="D43" s="713" t="s">
        <v>915</v>
      </c>
      <c r="E43" s="713" t="s">
        <v>911</v>
      </c>
      <c r="F43" s="714" t="s">
        <v>858</v>
      </c>
      <c r="G43" s="714" t="s">
        <v>885</v>
      </c>
      <c r="H43" s="713" t="s">
        <v>860</v>
      </c>
      <c r="I43" s="713" t="s">
        <v>861</v>
      </c>
      <c r="J43" s="713">
        <v>610</v>
      </c>
      <c r="K43" s="714" t="s">
        <v>912</v>
      </c>
      <c r="L43" s="137" t="s">
        <v>1695</v>
      </c>
      <c r="M43" s="137" t="s">
        <v>15</v>
      </c>
      <c r="N43" s="673">
        <v>20</v>
      </c>
      <c r="O43" s="674">
        <f>O$4/8</f>
        <v>197</v>
      </c>
      <c r="P43" s="674">
        <f t="shared" ref="P43:R44" si="6">P$4/8</f>
        <v>261</v>
      </c>
      <c r="Q43" s="674">
        <f t="shared" si="6"/>
        <v>260</v>
      </c>
      <c r="R43" s="674">
        <f t="shared" si="6"/>
        <v>240</v>
      </c>
      <c r="S43" s="746">
        <f t="shared" si="3"/>
        <v>26095.920000000002</v>
      </c>
      <c r="T43" s="713" t="s">
        <v>913</v>
      </c>
    </row>
    <row r="44" spans="1:20" x14ac:dyDescent="0.2">
      <c r="A44" s="682" t="s">
        <v>1689</v>
      </c>
      <c r="B44" s="137" t="s">
        <v>894</v>
      </c>
      <c r="C44" s="713" t="s">
        <v>901</v>
      </c>
      <c r="D44" s="713" t="s">
        <v>915</v>
      </c>
      <c r="E44" s="713" t="s">
        <v>911</v>
      </c>
      <c r="F44" s="714" t="s">
        <v>858</v>
      </c>
      <c r="G44" s="714" t="s">
        <v>885</v>
      </c>
      <c r="H44" s="713" t="s">
        <v>860</v>
      </c>
      <c r="I44" s="713" t="s">
        <v>861</v>
      </c>
      <c r="J44" s="713">
        <v>610</v>
      </c>
      <c r="K44" s="714" t="s">
        <v>912</v>
      </c>
      <c r="L44" s="137" t="s">
        <v>1695</v>
      </c>
      <c r="M44" s="137" t="s">
        <v>15</v>
      </c>
      <c r="N44" s="673">
        <v>20</v>
      </c>
      <c r="O44" s="674">
        <f>O$4/8</f>
        <v>197</v>
      </c>
      <c r="P44" s="674">
        <f t="shared" si="6"/>
        <v>261</v>
      </c>
      <c r="Q44" s="674">
        <f t="shared" si="6"/>
        <v>260</v>
      </c>
      <c r="R44" s="674">
        <f t="shared" si="6"/>
        <v>240</v>
      </c>
      <c r="S44" s="746">
        <f t="shared" si="3"/>
        <v>26095.920000000002</v>
      </c>
      <c r="T44" s="713" t="s">
        <v>913</v>
      </c>
    </row>
    <row r="45" spans="1:20" x14ac:dyDescent="0.2">
      <c r="A45" s="739" t="s">
        <v>1689</v>
      </c>
      <c r="B45" s="137" t="s">
        <v>914</v>
      </c>
      <c r="C45" s="709" t="s">
        <v>895</v>
      </c>
      <c r="D45" s="709" t="s">
        <v>915</v>
      </c>
      <c r="E45" s="709" t="s">
        <v>916</v>
      </c>
      <c r="F45" s="710" t="s">
        <v>858</v>
      </c>
      <c r="G45" s="710" t="s">
        <v>885</v>
      </c>
      <c r="H45" s="709" t="s">
        <v>860</v>
      </c>
      <c r="I45" s="709" t="s">
        <v>861</v>
      </c>
      <c r="J45" s="709">
        <v>610</v>
      </c>
      <c r="K45" s="710" t="s">
        <v>917</v>
      </c>
      <c r="L45" s="137" t="s">
        <v>878</v>
      </c>
      <c r="M45" s="137" t="s">
        <v>15</v>
      </c>
      <c r="N45" s="673">
        <v>24</v>
      </c>
      <c r="O45" s="674">
        <v>350</v>
      </c>
      <c r="P45" s="674">
        <v>350</v>
      </c>
      <c r="Q45" s="674">
        <v>350</v>
      </c>
      <c r="R45" s="674">
        <v>350</v>
      </c>
      <c r="S45" s="745">
        <f t="shared" si="3"/>
        <v>45763.200000000004</v>
      </c>
      <c r="T45" s="709" t="s">
        <v>918</v>
      </c>
    </row>
    <row r="46" spans="1:20" x14ac:dyDescent="0.2">
      <c r="A46" s="739" t="s">
        <v>1689</v>
      </c>
      <c r="B46" s="137" t="s">
        <v>914</v>
      </c>
      <c r="C46" s="709" t="s">
        <v>895</v>
      </c>
      <c r="D46" s="709" t="s">
        <v>915</v>
      </c>
      <c r="E46" s="709" t="s">
        <v>919</v>
      </c>
      <c r="F46" s="710" t="s">
        <v>858</v>
      </c>
      <c r="G46" s="710" t="s">
        <v>885</v>
      </c>
      <c r="H46" s="709" t="s">
        <v>860</v>
      </c>
      <c r="I46" s="709" t="s">
        <v>861</v>
      </c>
      <c r="J46" s="709">
        <v>610</v>
      </c>
      <c r="K46" s="710" t="s">
        <v>917</v>
      </c>
      <c r="L46" s="137" t="s">
        <v>878</v>
      </c>
      <c r="M46" s="137" t="s">
        <v>15</v>
      </c>
      <c r="N46" s="673">
        <v>24</v>
      </c>
      <c r="O46" s="674">
        <v>350</v>
      </c>
      <c r="P46" s="674">
        <v>350</v>
      </c>
      <c r="Q46" s="674">
        <v>350</v>
      </c>
      <c r="R46" s="674">
        <v>350</v>
      </c>
      <c r="S46" s="745">
        <f t="shared" si="3"/>
        <v>45763.200000000004</v>
      </c>
      <c r="T46" s="709" t="s">
        <v>918</v>
      </c>
    </row>
    <row r="47" spans="1:20" x14ac:dyDescent="0.2">
      <c r="A47" s="739" t="s">
        <v>1689</v>
      </c>
      <c r="B47" s="137" t="s">
        <v>914</v>
      </c>
      <c r="C47" s="709" t="s">
        <v>895</v>
      </c>
      <c r="D47" s="709" t="s">
        <v>915</v>
      </c>
      <c r="E47" s="709" t="s">
        <v>920</v>
      </c>
      <c r="F47" s="710" t="s">
        <v>858</v>
      </c>
      <c r="G47" s="710" t="s">
        <v>885</v>
      </c>
      <c r="H47" s="709" t="s">
        <v>860</v>
      </c>
      <c r="I47" s="709" t="s">
        <v>861</v>
      </c>
      <c r="J47" s="709">
        <v>610</v>
      </c>
      <c r="K47" s="710" t="s">
        <v>917</v>
      </c>
      <c r="L47" s="137" t="s">
        <v>878</v>
      </c>
      <c r="M47" s="137" t="s">
        <v>15</v>
      </c>
      <c r="N47" s="673">
        <v>24</v>
      </c>
      <c r="O47" s="674">
        <v>350</v>
      </c>
      <c r="P47" s="674">
        <v>350</v>
      </c>
      <c r="Q47" s="674">
        <v>350</v>
      </c>
      <c r="R47" s="674">
        <v>350</v>
      </c>
      <c r="S47" s="745">
        <f t="shared" si="3"/>
        <v>45763.200000000004</v>
      </c>
      <c r="T47" s="709" t="s">
        <v>918</v>
      </c>
    </row>
    <row r="48" spans="1:20" x14ac:dyDescent="0.2">
      <c r="A48" s="739" t="s">
        <v>1689</v>
      </c>
      <c r="B48" s="137" t="s">
        <v>914</v>
      </c>
      <c r="C48" s="713" t="s">
        <v>901</v>
      </c>
      <c r="D48" s="713" t="s">
        <v>915</v>
      </c>
      <c r="E48" s="713" t="s">
        <v>921</v>
      </c>
      <c r="F48" s="714" t="s">
        <v>858</v>
      </c>
      <c r="G48" s="714" t="s">
        <v>885</v>
      </c>
      <c r="H48" s="713" t="s">
        <v>860</v>
      </c>
      <c r="I48" s="713" t="s">
        <v>861</v>
      </c>
      <c r="J48" s="713">
        <v>610</v>
      </c>
      <c r="K48" s="714" t="s">
        <v>922</v>
      </c>
      <c r="L48" s="137" t="s">
        <v>863</v>
      </c>
      <c r="M48" s="137" t="s">
        <v>15</v>
      </c>
      <c r="N48" s="673">
        <v>18</v>
      </c>
      <c r="O48" s="674">
        <f>O$4</f>
        <v>1576</v>
      </c>
      <c r="P48" s="674">
        <f t="shared" ref="P48:R48" si="7">P$4</f>
        <v>2088</v>
      </c>
      <c r="Q48" s="674">
        <f t="shared" si="7"/>
        <v>2080</v>
      </c>
      <c r="R48" s="674">
        <f t="shared" si="7"/>
        <v>1920</v>
      </c>
      <c r="S48" s="746">
        <f t="shared" si="3"/>
        <v>187890.62400000001</v>
      </c>
      <c r="T48" s="713" t="s">
        <v>904</v>
      </c>
    </row>
    <row r="49" spans="1:20" x14ac:dyDescent="0.2">
      <c r="A49" s="739" t="s">
        <v>1689</v>
      </c>
      <c r="B49" s="137" t="s">
        <v>914</v>
      </c>
      <c r="C49" s="137" t="s">
        <v>800</v>
      </c>
      <c r="D49" s="137" t="s">
        <v>923</v>
      </c>
      <c r="E49" s="137" t="s">
        <v>924</v>
      </c>
      <c r="F49" s="694" t="s">
        <v>858</v>
      </c>
      <c r="G49" s="694" t="s">
        <v>885</v>
      </c>
      <c r="H49" s="137" t="s">
        <v>860</v>
      </c>
      <c r="I49" s="137" t="s">
        <v>861</v>
      </c>
      <c r="J49" s="137">
        <v>610</v>
      </c>
      <c r="K49" s="694" t="s">
        <v>917</v>
      </c>
      <c r="L49" s="137" t="s">
        <v>878</v>
      </c>
      <c r="M49" s="137" t="s">
        <v>15</v>
      </c>
      <c r="N49" s="673">
        <v>25</v>
      </c>
      <c r="O49" s="674">
        <v>350</v>
      </c>
      <c r="P49" s="674">
        <v>350</v>
      </c>
      <c r="Q49" s="674">
        <v>350</v>
      </c>
      <c r="R49" s="674">
        <v>350</v>
      </c>
      <c r="S49" s="675">
        <f t="shared" si="3"/>
        <v>47670</v>
      </c>
      <c r="T49" s="137" t="s">
        <v>925</v>
      </c>
    </row>
    <row r="50" spans="1:20" x14ac:dyDescent="0.2">
      <c r="A50" s="739" t="s">
        <v>1689</v>
      </c>
      <c r="B50" s="137" t="s">
        <v>914</v>
      </c>
      <c r="C50" s="137" t="s">
        <v>800</v>
      </c>
      <c r="D50" s="137" t="s">
        <v>923</v>
      </c>
      <c r="E50" s="137" t="s">
        <v>926</v>
      </c>
      <c r="F50" s="694" t="s">
        <v>858</v>
      </c>
      <c r="G50" s="694" t="s">
        <v>885</v>
      </c>
      <c r="H50" s="137" t="s">
        <v>860</v>
      </c>
      <c r="I50" s="137" t="s">
        <v>861</v>
      </c>
      <c r="J50" s="137">
        <v>610</v>
      </c>
      <c r="K50" s="694" t="s">
        <v>927</v>
      </c>
      <c r="L50" s="137" t="s">
        <v>878</v>
      </c>
      <c r="M50" s="137" t="s">
        <v>15</v>
      </c>
      <c r="N50" s="673">
        <v>25</v>
      </c>
      <c r="O50" s="674">
        <v>350</v>
      </c>
      <c r="P50" s="674">
        <v>350</v>
      </c>
      <c r="Q50" s="674">
        <v>350</v>
      </c>
      <c r="R50" s="674">
        <v>350</v>
      </c>
      <c r="S50" s="675">
        <f t="shared" si="3"/>
        <v>47670</v>
      </c>
      <c r="T50" s="137" t="s">
        <v>925</v>
      </c>
    </row>
    <row r="51" spans="1:20" x14ac:dyDescent="0.2">
      <c r="A51" s="739" t="s">
        <v>1689</v>
      </c>
      <c r="B51" s="137" t="s">
        <v>914</v>
      </c>
      <c r="C51" s="137" t="s">
        <v>800</v>
      </c>
      <c r="D51" s="137" t="s">
        <v>923</v>
      </c>
      <c r="E51" s="137" t="s">
        <v>928</v>
      </c>
      <c r="F51" s="694" t="s">
        <v>858</v>
      </c>
      <c r="G51" s="694" t="s">
        <v>885</v>
      </c>
      <c r="H51" s="137" t="s">
        <v>860</v>
      </c>
      <c r="I51" s="137" t="s">
        <v>861</v>
      </c>
      <c r="J51" s="137">
        <v>610</v>
      </c>
      <c r="K51" s="694" t="s">
        <v>917</v>
      </c>
      <c r="L51" s="137" t="s">
        <v>878</v>
      </c>
      <c r="M51" s="137" t="s">
        <v>15</v>
      </c>
      <c r="N51" s="673">
        <v>25</v>
      </c>
      <c r="O51" s="674">
        <v>350</v>
      </c>
      <c r="P51" s="674">
        <v>350</v>
      </c>
      <c r="Q51" s="674">
        <v>350</v>
      </c>
      <c r="R51" s="674">
        <v>350</v>
      </c>
      <c r="S51" s="675">
        <f t="shared" si="3"/>
        <v>47670</v>
      </c>
      <c r="T51" s="137" t="s">
        <v>925</v>
      </c>
    </row>
    <row r="52" spans="1:20" x14ac:dyDescent="0.2">
      <c r="A52" s="739" t="s">
        <v>1689</v>
      </c>
      <c r="B52" s="137" t="s">
        <v>914</v>
      </c>
      <c r="C52" s="137" t="s">
        <v>800</v>
      </c>
      <c r="D52" s="137" t="s">
        <v>923</v>
      </c>
      <c r="E52" s="137" t="s">
        <v>929</v>
      </c>
      <c r="F52" s="694" t="s">
        <v>858</v>
      </c>
      <c r="G52" s="694" t="s">
        <v>885</v>
      </c>
      <c r="H52" s="137" t="s">
        <v>860</v>
      </c>
      <c r="I52" s="137" t="s">
        <v>861</v>
      </c>
      <c r="J52" s="137">
        <v>610</v>
      </c>
      <c r="K52" s="694" t="s">
        <v>917</v>
      </c>
      <c r="L52" s="137" t="s">
        <v>878</v>
      </c>
      <c r="M52" s="137" t="s">
        <v>15</v>
      </c>
      <c r="N52" s="673">
        <v>25</v>
      </c>
      <c r="O52" s="674">
        <v>350</v>
      </c>
      <c r="P52" s="674">
        <v>350</v>
      </c>
      <c r="Q52" s="674">
        <v>350</v>
      </c>
      <c r="R52" s="674">
        <v>350</v>
      </c>
      <c r="S52" s="675">
        <f t="shared" si="3"/>
        <v>47670</v>
      </c>
      <c r="T52" s="137" t="s">
        <v>925</v>
      </c>
    </row>
    <row r="53" spans="1:20" x14ac:dyDescent="0.2">
      <c r="A53" s="739" t="s">
        <v>1689</v>
      </c>
      <c r="B53" s="137" t="s">
        <v>914</v>
      </c>
      <c r="C53" s="137" t="s">
        <v>800</v>
      </c>
      <c r="D53" s="137" t="s">
        <v>923</v>
      </c>
      <c r="E53" s="137" t="s">
        <v>930</v>
      </c>
      <c r="F53" s="694" t="s">
        <v>858</v>
      </c>
      <c r="G53" s="694" t="s">
        <v>885</v>
      </c>
      <c r="H53" s="137" t="s">
        <v>860</v>
      </c>
      <c r="I53" s="137" t="s">
        <v>861</v>
      </c>
      <c r="J53" s="137">
        <v>610</v>
      </c>
      <c r="K53" s="694" t="s">
        <v>927</v>
      </c>
      <c r="L53" s="137" t="s">
        <v>878</v>
      </c>
      <c r="M53" s="137" t="s">
        <v>15</v>
      </c>
      <c r="N53" s="673">
        <v>25</v>
      </c>
      <c r="O53" s="674">
        <v>350</v>
      </c>
      <c r="P53" s="674">
        <v>350</v>
      </c>
      <c r="Q53" s="674">
        <v>350</v>
      </c>
      <c r="R53" s="674">
        <v>350</v>
      </c>
      <c r="S53" s="675">
        <f t="shared" si="3"/>
        <v>47670</v>
      </c>
      <c r="T53" s="137" t="s">
        <v>925</v>
      </c>
    </row>
    <row r="54" spans="1:20" x14ac:dyDescent="0.2">
      <c r="A54" s="739" t="s">
        <v>1689</v>
      </c>
      <c r="B54" s="137" t="s">
        <v>914</v>
      </c>
      <c r="C54" s="137" t="s">
        <v>800</v>
      </c>
      <c r="D54" s="137" t="s">
        <v>923</v>
      </c>
      <c r="E54" s="137" t="s">
        <v>931</v>
      </c>
      <c r="F54" s="694" t="s">
        <v>858</v>
      </c>
      <c r="G54" s="694" t="s">
        <v>885</v>
      </c>
      <c r="H54" s="137" t="s">
        <v>860</v>
      </c>
      <c r="I54" s="137" t="s">
        <v>861</v>
      </c>
      <c r="J54" s="137">
        <v>610</v>
      </c>
      <c r="K54" s="694" t="s">
        <v>917</v>
      </c>
      <c r="L54" s="137" t="s">
        <v>878</v>
      </c>
      <c r="M54" s="137" t="s">
        <v>15</v>
      </c>
      <c r="N54" s="673">
        <v>25</v>
      </c>
      <c r="O54" s="674">
        <v>350</v>
      </c>
      <c r="P54" s="674">
        <v>350</v>
      </c>
      <c r="Q54" s="674">
        <v>350</v>
      </c>
      <c r="R54" s="674">
        <v>350</v>
      </c>
      <c r="S54" s="675">
        <f t="shared" si="3"/>
        <v>47670</v>
      </c>
      <c r="T54" s="137" t="s">
        <v>925</v>
      </c>
    </row>
    <row r="55" spans="1:20" x14ac:dyDescent="0.2">
      <c r="A55" s="739" t="s">
        <v>1689</v>
      </c>
      <c r="B55" s="137" t="s">
        <v>914</v>
      </c>
      <c r="C55" s="137" t="s">
        <v>800</v>
      </c>
      <c r="D55" s="137" t="s">
        <v>923</v>
      </c>
      <c r="E55" s="137" t="s">
        <v>932</v>
      </c>
      <c r="F55" s="694" t="s">
        <v>858</v>
      </c>
      <c r="G55" s="694" t="s">
        <v>885</v>
      </c>
      <c r="H55" s="137" t="s">
        <v>860</v>
      </c>
      <c r="I55" s="137" t="s">
        <v>861</v>
      </c>
      <c r="J55" s="137">
        <v>610</v>
      </c>
      <c r="K55" s="694" t="s">
        <v>917</v>
      </c>
      <c r="L55" s="137" t="s">
        <v>878</v>
      </c>
      <c r="M55" s="137" t="s">
        <v>15</v>
      </c>
      <c r="N55" s="673">
        <v>25</v>
      </c>
      <c r="O55" s="674">
        <v>350</v>
      </c>
      <c r="P55" s="674">
        <v>350</v>
      </c>
      <c r="Q55" s="674">
        <v>350</v>
      </c>
      <c r="R55" s="674">
        <v>350</v>
      </c>
      <c r="S55" s="675">
        <f t="shared" si="3"/>
        <v>47670</v>
      </c>
      <c r="T55" s="137" t="s">
        <v>925</v>
      </c>
    </row>
    <row r="56" spans="1:20" x14ac:dyDescent="0.2">
      <c r="A56" s="739" t="s">
        <v>1689</v>
      </c>
      <c r="B56" s="137" t="s">
        <v>914</v>
      </c>
      <c r="C56" s="137" t="s">
        <v>800</v>
      </c>
      <c r="D56" s="137" t="s">
        <v>923</v>
      </c>
      <c r="E56" s="137" t="s">
        <v>933</v>
      </c>
      <c r="F56" s="694" t="s">
        <v>858</v>
      </c>
      <c r="G56" s="694" t="s">
        <v>885</v>
      </c>
      <c r="H56" s="137" t="s">
        <v>860</v>
      </c>
      <c r="I56" s="137" t="s">
        <v>861</v>
      </c>
      <c r="J56" s="137">
        <v>610</v>
      </c>
      <c r="K56" s="694" t="s">
        <v>917</v>
      </c>
      <c r="L56" s="137" t="s">
        <v>878</v>
      </c>
      <c r="M56" s="137" t="s">
        <v>15</v>
      </c>
      <c r="N56" s="673">
        <v>25</v>
      </c>
      <c r="O56" s="674">
        <v>350</v>
      </c>
      <c r="P56" s="674">
        <v>350</v>
      </c>
      <c r="Q56" s="674">
        <v>350</v>
      </c>
      <c r="R56" s="674">
        <v>350</v>
      </c>
      <c r="S56" s="675">
        <f t="shared" si="3"/>
        <v>47670</v>
      </c>
      <c r="T56" s="137" t="s">
        <v>925</v>
      </c>
    </row>
    <row r="57" spans="1:20" x14ac:dyDescent="0.2">
      <c r="A57" s="739" t="s">
        <v>1689</v>
      </c>
      <c r="B57" s="137" t="s">
        <v>914</v>
      </c>
      <c r="C57" s="137" t="s">
        <v>800</v>
      </c>
      <c r="D57" s="137" t="s">
        <v>923</v>
      </c>
      <c r="E57" s="137" t="s">
        <v>934</v>
      </c>
      <c r="F57" s="694" t="s">
        <v>858</v>
      </c>
      <c r="G57" s="694" t="s">
        <v>885</v>
      </c>
      <c r="H57" s="137" t="s">
        <v>860</v>
      </c>
      <c r="I57" s="137" t="s">
        <v>861</v>
      </c>
      <c r="J57" s="137">
        <v>610</v>
      </c>
      <c r="K57" s="694" t="s">
        <v>917</v>
      </c>
      <c r="L57" s="137" t="s">
        <v>878</v>
      </c>
      <c r="M57" s="137" t="s">
        <v>15</v>
      </c>
      <c r="N57" s="673">
        <v>25</v>
      </c>
      <c r="O57" s="674">
        <v>350</v>
      </c>
      <c r="P57" s="674">
        <v>350</v>
      </c>
      <c r="Q57" s="674">
        <v>350</v>
      </c>
      <c r="R57" s="674">
        <v>350</v>
      </c>
      <c r="S57" s="675">
        <f t="shared" si="3"/>
        <v>47670</v>
      </c>
      <c r="T57" s="137" t="s">
        <v>925</v>
      </c>
    </row>
    <row r="58" spans="1:20" x14ac:dyDescent="0.2">
      <c r="A58" s="739" t="s">
        <v>1689</v>
      </c>
      <c r="B58" s="137" t="s">
        <v>914</v>
      </c>
      <c r="C58" s="137" t="s">
        <v>800</v>
      </c>
      <c r="D58" s="137" t="s">
        <v>923</v>
      </c>
      <c r="E58" s="137" t="s">
        <v>935</v>
      </c>
      <c r="F58" s="694" t="s">
        <v>858</v>
      </c>
      <c r="G58" s="694" t="s">
        <v>885</v>
      </c>
      <c r="H58" s="137" t="s">
        <v>860</v>
      </c>
      <c r="I58" s="137" t="s">
        <v>861</v>
      </c>
      <c r="J58" s="137">
        <v>610</v>
      </c>
      <c r="K58" s="694" t="s">
        <v>917</v>
      </c>
      <c r="L58" s="137" t="s">
        <v>878</v>
      </c>
      <c r="M58" s="137" t="s">
        <v>15</v>
      </c>
      <c r="N58" s="673">
        <v>25</v>
      </c>
      <c r="O58" s="674">
        <v>350</v>
      </c>
      <c r="P58" s="674">
        <v>350</v>
      </c>
      <c r="Q58" s="674">
        <v>350</v>
      </c>
      <c r="R58" s="674">
        <v>350</v>
      </c>
      <c r="S58" s="675">
        <f t="shared" si="3"/>
        <v>47670</v>
      </c>
      <c r="T58" s="137" t="s">
        <v>925</v>
      </c>
    </row>
    <row r="59" spans="1:20" x14ac:dyDescent="0.2">
      <c r="A59" s="739" t="s">
        <v>1689</v>
      </c>
      <c r="B59" s="137" t="s">
        <v>914</v>
      </c>
      <c r="C59" s="137" t="s">
        <v>800</v>
      </c>
      <c r="D59" s="137" t="s">
        <v>923</v>
      </c>
      <c r="E59" s="137" t="s">
        <v>936</v>
      </c>
      <c r="F59" s="694" t="s">
        <v>858</v>
      </c>
      <c r="G59" s="694" t="s">
        <v>885</v>
      </c>
      <c r="H59" s="137" t="s">
        <v>860</v>
      </c>
      <c r="I59" s="137" t="s">
        <v>861</v>
      </c>
      <c r="J59" s="137">
        <v>610</v>
      </c>
      <c r="K59" s="694" t="s">
        <v>917</v>
      </c>
      <c r="L59" s="137" t="s">
        <v>878</v>
      </c>
      <c r="M59" s="137" t="s">
        <v>15</v>
      </c>
      <c r="N59" s="673">
        <v>25</v>
      </c>
      <c r="O59" s="674">
        <v>350</v>
      </c>
      <c r="P59" s="674">
        <v>350</v>
      </c>
      <c r="Q59" s="674">
        <v>350</v>
      </c>
      <c r="R59" s="674">
        <v>350</v>
      </c>
      <c r="S59" s="675">
        <f t="shared" si="3"/>
        <v>47670</v>
      </c>
      <c r="T59" s="137" t="s">
        <v>925</v>
      </c>
    </row>
    <row r="60" spans="1:20" x14ac:dyDescent="0.2">
      <c r="A60" s="739" t="s">
        <v>1689</v>
      </c>
      <c r="B60" s="137" t="s">
        <v>914</v>
      </c>
      <c r="C60" s="137" t="s">
        <v>800</v>
      </c>
      <c r="D60" s="137" t="s">
        <v>923</v>
      </c>
      <c r="E60" s="137" t="s">
        <v>937</v>
      </c>
      <c r="F60" s="694" t="s">
        <v>858</v>
      </c>
      <c r="G60" s="694" t="s">
        <v>885</v>
      </c>
      <c r="H60" s="137" t="s">
        <v>860</v>
      </c>
      <c r="I60" s="137" t="s">
        <v>861</v>
      </c>
      <c r="J60" s="137">
        <v>610</v>
      </c>
      <c r="K60" s="694" t="s">
        <v>938</v>
      </c>
      <c r="L60" s="137" t="s">
        <v>878</v>
      </c>
      <c r="M60" s="137" t="s">
        <v>15</v>
      </c>
      <c r="N60" s="673">
        <v>25</v>
      </c>
      <c r="O60" s="674">
        <v>350</v>
      </c>
      <c r="P60" s="674">
        <v>350</v>
      </c>
      <c r="Q60" s="674">
        <v>350</v>
      </c>
      <c r="R60" s="674">
        <v>350</v>
      </c>
      <c r="S60" s="675">
        <f t="shared" si="3"/>
        <v>47670</v>
      </c>
      <c r="T60" s="137" t="s">
        <v>925</v>
      </c>
    </row>
    <row r="61" spans="1:20" x14ac:dyDescent="0.2">
      <c r="A61" s="739" t="s">
        <v>1689</v>
      </c>
      <c r="B61" s="137" t="s">
        <v>914</v>
      </c>
      <c r="C61" s="137" t="s">
        <v>800</v>
      </c>
      <c r="D61" s="137" t="s">
        <v>939</v>
      </c>
      <c r="E61" s="137" t="s">
        <v>940</v>
      </c>
      <c r="F61" s="694" t="s">
        <v>858</v>
      </c>
      <c r="G61" s="694" t="s">
        <v>885</v>
      </c>
      <c r="H61" s="137" t="s">
        <v>860</v>
      </c>
      <c r="I61" s="137" t="s">
        <v>861</v>
      </c>
      <c r="J61" s="137">
        <v>610</v>
      </c>
      <c r="K61" s="694" t="s">
        <v>938</v>
      </c>
      <c r="L61" s="137" t="s">
        <v>878</v>
      </c>
      <c r="M61" s="137" t="s">
        <v>15</v>
      </c>
      <c r="N61" s="673">
        <v>23</v>
      </c>
      <c r="O61" s="674">
        <v>350</v>
      </c>
      <c r="P61" s="674">
        <v>350</v>
      </c>
      <c r="Q61" s="674">
        <v>350</v>
      </c>
      <c r="R61" s="674">
        <v>350</v>
      </c>
      <c r="S61" s="675">
        <f t="shared" si="3"/>
        <v>43856.4</v>
      </c>
      <c r="T61" s="137" t="s">
        <v>941</v>
      </c>
    </row>
    <row r="62" spans="1:20" x14ac:dyDescent="0.2">
      <c r="A62" s="739" t="s">
        <v>1689</v>
      </c>
      <c r="B62" s="137" t="s">
        <v>914</v>
      </c>
      <c r="C62" s="137" t="s">
        <v>800</v>
      </c>
      <c r="D62" s="137" t="s">
        <v>939</v>
      </c>
      <c r="E62" s="137" t="s">
        <v>940</v>
      </c>
      <c r="F62" s="694" t="s">
        <v>858</v>
      </c>
      <c r="G62" s="694" t="s">
        <v>885</v>
      </c>
      <c r="H62" s="137" t="s">
        <v>860</v>
      </c>
      <c r="I62" s="137" t="s">
        <v>861</v>
      </c>
      <c r="J62" s="137">
        <v>610</v>
      </c>
      <c r="K62" s="694" t="s">
        <v>938</v>
      </c>
      <c r="L62" s="137" t="s">
        <v>878</v>
      </c>
      <c r="M62" s="137" t="s">
        <v>15</v>
      </c>
      <c r="N62" s="673">
        <v>23</v>
      </c>
      <c r="O62" s="674">
        <v>350</v>
      </c>
      <c r="P62" s="674">
        <v>350</v>
      </c>
      <c r="Q62" s="674">
        <v>350</v>
      </c>
      <c r="R62" s="674">
        <v>350</v>
      </c>
      <c r="S62" s="675">
        <f t="shared" si="3"/>
        <v>43856.4</v>
      </c>
      <c r="T62" s="137" t="s">
        <v>942</v>
      </c>
    </row>
    <row r="63" spans="1:20" x14ac:dyDescent="0.2">
      <c r="A63" s="682" t="s">
        <v>1689</v>
      </c>
      <c r="B63" s="137" t="s">
        <v>943</v>
      </c>
      <c r="C63" s="137" t="s">
        <v>800</v>
      </c>
      <c r="D63" s="137" t="s">
        <v>944</v>
      </c>
      <c r="E63" s="137" t="s">
        <v>945</v>
      </c>
      <c r="F63" s="694" t="s">
        <v>803</v>
      </c>
      <c r="G63" s="694" t="s">
        <v>946</v>
      </c>
      <c r="H63" s="137" t="s">
        <v>805</v>
      </c>
      <c r="I63" s="137" t="s">
        <v>76</v>
      </c>
      <c r="J63" s="137">
        <v>633013</v>
      </c>
      <c r="K63" s="137" t="s">
        <v>947</v>
      </c>
      <c r="L63" s="137" t="s">
        <v>807</v>
      </c>
      <c r="M63" s="137" t="s">
        <v>948</v>
      </c>
      <c r="N63" s="740">
        <v>430</v>
      </c>
      <c r="O63" s="674">
        <v>120</v>
      </c>
      <c r="P63" s="674">
        <v>36</v>
      </c>
      <c r="Q63" s="674">
        <v>20</v>
      </c>
      <c r="S63" s="675">
        <f>SUM(O63:R63)*N63</f>
        <v>75680</v>
      </c>
      <c r="T63" s="137" t="s">
        <v>1696</v>
      </c>
    </row>
    <row r="64" spans="1:20" x14ac:dyDescent="0.2">
      <c r="A64" s="682" t="s">
        <v>1689</v>
      </c>
      <c r="B64" s="137" t="s">
        <v>943</v>
      </c>
      <c r="C64" s="137" t="s">
        <v>800</v>
      </c>
      <c r="D64" s="137" t="s">
        <v>950</v>
      </c>
      <c r="E64" s="137" t="s">
        <v>951</v>
      </c>
      <c r="F64" s="694" t="s">
        <v>803</v>
      </c>
      <c r="G64" s="694" t="s">
        <v>946</v>
      </c>
      <c r="H64" s="137" t="s">
        <v>805</v>
      </c>
      <c r="I64" s="137" t="s">
        <v>76</v>
      </c>
      <c r="J64" s="137">
        <v>633013</v>
      </c>
      <c r="K64" s="137" t="s">
        <v>947</v>
      </c>
      <c r="L64" s="137" t="s">
        <v>807</v>
      </c>
      <c r="M64" s="137" t="s">
        <v>948</v>
      </c>
      <c r="N64" s="740">
        <v>430</v>
      </c>
      <c r="O64" s="674">
        <v>67</v>
      </c>
      <c r="P64" s="674">
        <v>120</v>
      </c>
      <c r="Q64" s="674">
        <v>120</v>
      </c>
      <c r="R64" s="749">
        <f>120*0.8</f>
        <v>96</v>
      </c>
      <c r="S64" s="675">
        <f>SUM(O64:R64)*N64</f>
        <v>173290</v>
      </c>
      <c r="T64" s="137" t="s">
        <v>1696</v>
      </c>
    </row>
    <row r="65" spans="1:20" x14ac:dyDescent="0.2">
      <c r="A65" s="682" t="s">
        <v>1689</v>
      </c>
      <c r="B65" s="137" t="s">
        <v>943</v>
      </c>
      <c r="C65" s="137" t="s">
        <v>800</v>
      </c>
      <c r="D65" s="137" t="s">
        <v>952</v>
      </c>
      <c r="E65" s="137" t="s">
        <v>953</v>
      </c>
      <c r="F65" s="694" t="s">
        <v>803</v>
      </c>
      <c r="G65" s="694" t="s">
        <v>946</v>
      </c>
      <c r="H65" s="137" t="s">
        <v>805</v>
      </c>
      <c r="I65" s="137" t="s">
        <v>76</v>
      </c>
      <c r="J65" s="137">
        <v>633013</v>
      </c>
      <c r="K65" s="137" t="s">
        <v>947</v>
      </c>
      <c r="L65" s="137" t="s">
        <v>807</v>
      </c>
      <c r="M65" s="137" t="s">
        <v>948</v>
      </c>
      <c r="N65" s="740">
        <v>120</v>
      </c>
      <c r="O65" s="674">
        <v>33</v>
      </c>
      <c r="P65" s="674">
        <v>85</v>
      </c>
      <c r="Q65" s="674">
        <v>85</v>
      </c>
      <c r="R65" s="749">
        <f>55*0.8</f>
        <v>44</v>
      </c>
      <c r="S65" s="675">
        <f>SUM(O65:R65)*N65</f>
        <v>29640</v>
      </c>
      <c r="T65" s="137" t="s">
        <v>1696</v>
      </c>
    </row>
    <row r="66" spans="1:20" x14ac:dyDescent="0.2">
      <c r="A66" s="682" t="s">
        <v>1689</v>
      </c>
      <c r="B66" s="137" t="s">
        <v>943</v>
      </c>
      <c r="C66" s="137" t="s">
        <v>800</v>
      </c>
      <c r="D66" s="137" t="s">
        <v>954</v>
      </c>
      <c r="E66" s="137" t="s">
        <v>955</v>
      </c>
      <c r="F66" s="694" t="s">
        <v>803</v>
      </c>
      <c r="G66" s="694" t="s">
        <v>946</v>
      </c>
      <c r="H66" s="137" t="s">
        <v>805</v>
      </c>
      <c r="I66" s="137" t="s">
        <v>76</v>
      </c>
      <c r="J66" s="137">
        <v>633013</v>
      </c>
      <c r="K66" s="137" t="s">
        <v>947</v>
      </c>
      <c r="L66" s="137" t="s">
        <v>807</v>
      </c>
      <c r="M66" s="137" t="s">
        <v>948</v>
      </c>
      <c r="N66" s="740">
        <v>360</v>
      </c>
      <c r="O66" s="674">
        <v>63</v>
      </c>
      <c r="P66" s="674">
        <v>90</v>
      </c>
      <c r="Q66" s="674">
        <v>90</v>
      </c>
      <c r="R66" s="749">
        <f>75*0.8</f>
        <v>60</v>
      </c>
      <c r="S66" s="675">
        <f>SUM(O66:R66)*N66</f>
        <v>109080</v>
      </c>
      <c r="T66" s="137" t="s">
        <v>1696</v>
      </c>
    </row>
    <row r="67" spans="1:20" x14ac:dyDescent="0.2">
      <c r="A67" s="682" t="s">
        <v>1689</v>
      </c>
      <c r="B67" s="137" t="s">
        <v>943</v>
      </c>
      <c r="C67" s="137" t="s">
        <v>800</v>
      </c>
      <c r="D67" s="137" t="s">
        <v>956</v>
      </c>
      <c r="E67" s="137" t="s">
        <v>957</v>
      </c>
      <c r="F67" s="694" t="s">
        <v>803</v>
      </c>
      <c r="G67" s="694" t="s">
        <v>946</v>
      </c>
      <c r="H67" s="137" t="s">
        <v>805</v>
      </c>
      <c r="I67" s="137" t="s">
        <v>76</v>
      </c>
      <c r="J67" s="137">
        <v>633013</v>
      </c>
      <c r="K67" s="137" t="s">
        <v>947</v>
      </c>
      <c r="L67" s="137" t="s">
        <v>807</v>
      </c>
      <c r="M67" s="137" t="s">
        <v>948</v>
      </c>
      <c r="N67" s="740">
        <v>120</v>
      </c>
      <c r="O67" s="674">
        <v>50</v>
      </c>
      <c r="P67" s="674">
        <v>61</v>
      </c>
      <c r="Q67" s="674">
        <v>61</v>
      </c>
      <c r="R67" s="749">
        <f>55*0.8</f>
        <v>44</v>
      </c>
      <c r="S67" s="675">
        <f>SUM(O67:R67)*N67</f>
        <v>25920</v>
      </c>
      <c r="T67" s="137" t="s">
        <v>1696</v>
      </c>
    </row>
    <row r="68" spans="1:20" x14ac:dyDescent="0.2">
      <c r="A68" s="682" t="s">
        <v>1689</v>
      </c>
      <c r="B68" s="137" t="s">
        <v>914</v>
      </c>
      <c r="C68" s="699" t="s">
        <v>855</v>
      </c>
      <c r="D68" s="700" t="s">
        <v>958</v>
      </c>
      <c r="E68" s="700" t="s">
        <v>959</v>
      </c>
      <c r="F68" s="718" t="s">
        <v>858</v>
      </c>
      <c r="G68" s="718" t="s">
        <v>885</v>
      </c>
      <c r="H68" s="700" t="s">
        <v>805</v>
      </c>
      <c r="I68" s="700" t="s">
        <v>76</v>
      </c>
      <c r="J68" s="700">
        <v>633013</v>
      </c>
      <c r="K68" s="700" t="s">
        <v>960</v>
      </c>
      <c r="L68" s="137" t="s">
        <v>807</v>
      </c>
      <c r="M68" s="137" t="s">
        <v>961</v>
      </c>
      <c r="N68" s="740">
        <v>500</v>
      </c>
      <c r="O68" s="674">
        <v>10</v>
      </c>
      <c r="P68" s="674">
        <v>10</v>
      </c>
      <c r="Q68" s="674">
        <v>10</v>
      </c>
      <c r="R68" s="741">
        <v>10</v>
      </c>
      <c r="S68" s="743">
        <f>SUM(O68:R68)*N68*$B$3</f>
        <v>24600</v>
      </c>
      <c r="T68" s="700" t="s">
        <v>962</v>
      </c>
    </row>
    <row r="69" spans="1:20" x14ac:dyDescent="0.2">
      <c r="A69" s="682" t="s">
        <v>1689</v>
      </c>
      <c r="B69" s="137" t="s">
        <v>943</v>
      </c>
      <c r="C69" s="699" t="s">
        <v>855</v>
      </c>
      <c r="D69" s="700" t="s">
        <v>963</v>
      </c>
      <c r="E69" s="700" t="s">
        <v>964</v>
      </c>
      <c r="F69" s="718" t="s">
        <v>858</v>
      </c>
      <c r="G69" s="718" t="s">
        <v>965</v>
      </c>
      <c r="H69" s="718" t="s">
        <v>805</v>
      </c>
      <c r="I69" s="718" t="s">
        <v>76</v>
      </c>
      <c r="J69" s="718">
        <v>633013</v>
      </c>
      <c r="K69" s="700" t="s">
        <v>966</v>
      </c>
      <c r="L69" s="137" t="s">
        <v>807</v>
      </c>
      <c r="M69" s="137" t="s">
        <v>967</v>
      </c>
      <c r="N69" s="740">
        <v>2500</v>
      </c>
      <c r="O69" s="674">
        <v>8</v>
      </c>
      <c r="P69" s="674">
        <v>8</v>
      </c>
      <c r="S69" s="743">
        <f>SUM(O69:R69)*N69*$B$3</f>
        <v>49200</v>
      </c>
      <c r="T69" s="700" t="s">
        <v>968</v>
      </c>
    </row>
    <row r="70" spans="1:20" x14ac:dyDescent="0.2">
      <c r="A70" s="682" t="s">
        <v>1689</v>
      </c>
      <c r="B70" s="137" t="s">
        <v>943</v>
      </c>
      <c r="C70" s="713" t="s">
        <v>901</v>
      </c>
      <c r="D70" s="713" t="s">
        <v>969</v>
      </c>
      <c r="E70" s="713" t="s">
        <v>970</v>
      </c>
      <c r="F70" s="714" t="s">
        <v>971</v>
      </c>
      <c r="G70" s="714" t="s">
        <v>965</v>
      </c>
      <c r="H70" s="713" t="s">
        <v>805</v>
      </c>
      <c r="I70" s="713" t="s">
        <v>76</v>
      </c>
      <c r="J70" s="713">
        <v>633013</v>
      </c>
      <c r="K70" s="713" t="s">
        <v>966</v>
      </c>
      <c r="L70" s="137" t="s">
        <v>807</v>
      </c>
      <c r="M70" s="137" t="s">
        <v>967</v>
      </c>
      <c r="N70" s="740">
        <v>2500</v>
      </c>
      <c r="O70" s="674">
        <f>2*4</f>
        <v>8</v>
      </c>
      <c r="P70" s="674">
        <f>2*4</f>
        <v>8</v>
      </c>
      <c r="Q70" s="674">
        <f>2*4</f>
        <v>8</v>
      </c>
      <c r="S70" s="746">
        <f>SUM(O70:R70)*N70*$B$3</f>
        <v>73800</v>
      </c>
      <c r="T70" s="713" t="s">
        <v>972</v>
      </c>
    </row>
    <row r="71" spans="1:20" x14ac:dyDescent="0.2">
      <c r="A71" s="682" t="s">
        <v>1689</v>
      </c>
      <c r="B71" s="137" t="s">
        <v>943</v>
      </c>
      <c r="C71" s="709" t="s">
        <v>895</v>
      </c>
      <c r="D71" s="709" t="s">
        <v>973</v>
      </c>
      <c r="E71" s="709" t="s">
        <v>974</v>
      </c>
      <c r="F71" s="710" t="s">
        <v>971</v>
      </c>
      <c r="G71" s="710" t="s">
        <v>965</v>
      </c>
      <c r="H71" s="709" t="s">
        <v>805</v>
      </c>
      <c r="I71" s="709" t="s">
        <v>76</v>
      </c>
      <c r="J71" s="709">
        <v>633013</v>
      </c>
      <c r="K71" s="709" t="s">
        <v>966</v>
      </c>
      <c r="L71" s="137" t="s">
        <v>807</v>
      </c>
      <c r="M71" s="137" t="s">
        <v>967</v>
      </c>
      <c r="N71" s="740">
        <v>2500</v>
      </c>
      <c r="O71" s="674">
        <v>4</v>
      </c>
      <c r="P71" s="674">
        <v>4</v>
      </c>
      <c r="Q71" s="674">
        <v>4</v>
      </c>
      <c r="S71" s="745">
        <f>SUM(O71:R71)*N71*$B$3</f>
        <v>36900</v>
      </c>
      <c r="T71" s="709" t="s">
        <v>975</v>
      </c>
    </row>
    <row r="72" spans="1:20" x14ac:dyDescent="0.2">
      <c r="A72" s="739" t="s">
        <v>1689</v>
      </c>
      <c r="B72" s="137" t="s">
        <v>865</v>
      </c>
      <c r="C72" s="704" t="s">
        <v>866</v>
      </c>
      <c r="D72" s="704" t="s">
        <v>976</v>
      </c>
      <c r="E72" s="704" t="s">
        <v>977</v>
      </c>
      <c r="F72" s="705" t="s">
        <v>858</v>
      </c>
      <c r="G72" s="705" t="s">
        <v>885</v>
      </c>
      <c r="H72" s="704" t="s">
        <v>860</v>
      </c>
      <c r="I72" s="704" t="s">
        <v>861</v>
      </c>
      <c r="J72" s="704">
        <v>610</v>
      </c>
      <c r="K72" s="750" t="s">
        <v>917</v>
      </c>
      <c r="L72" s="137" t="s">
        <v>878</v>
      </c>
      <c r="M72" s="137" t="s">
        <v>15</v>
      </c>
      <c r="N72" s="740">
        <v>25</v>
      </c>
      <c r="O72" s="674">
        <f>5*100</f>
        <v>500</v>
      </c>
      <c r="P72" s="674">
        <f>5*100</f>
        <v>500</v>
      </c>
      <c r="S72" s="744">
        <f>SUM(O72:R72)*N72*$B$2</f>
        <v>34050</v>
      </c>
      <c r="T72" s="704" t="s">
        <v>978</v>
      </c>
    </row>
    <row r="73" spans="1:20" x14ac:dyDescent="0.2">
      <c r="A73" s="739" t="s">
        <v>1689</v>
      </c>
      <c r="B73" s="137" t="s">
        <v>865</v>
      </c>
      <c r="C73" s="704" t="s">
        <v>866</v>
      </c>
      <c r="D73" s="704" t="s">
        <v>979</v>
      </c>
      <c r="E73" s="704" t="s">
        <v>980</v>
      </c>
      <c r="F73" s="705" t="s">
        <v>971</v>
      </c>
      <c r="G73" s="705" t="s">
        <v>981</v>
      </c>
      <c r="H73" s="704" t="s">
        <v>805</v>
      </c>
      <c r="I73" s="704" t="s">
        <v>76</v>
      </c>
      <c r="J73" s="704">
        <v>633013</v>
      </c>
      <c r="K73" s="704" t="s">
        <v>982</v>
      </c>
      <c r="L73" s="137" t="s">
        <v>807</v>
      </c>
      <c r="M73" s="137" t="s">
        <v>983</v>
      </c>
      <c r="N73" s="740">
        <f>3500+1000</f>
        <v>4500</v>
      </c>
      <c r="P73" s="674">
        <v>5</v>
      </c>
      <c r="Q73" s="674">
        <v>5</v>
      </c>
      <c r="S73" s="744">
        <f>SUM(O73:R73)*N73*$B$3</f>
        <v>55350</v>
      </c>
      <c r="T73" s="704" t="s">
        <v>984</v>
      </c>
    </row>
    <row r="74" spans="1:20" x14ac:dyDescent="0.2">
      <c r="A74" s="682" t="s">
        <v>1689</v>
      </c>
      <c r="B74" s="137" t="s">
        <v>985</v>
      </c>
      <c r="C74" s="699" t="s">
        <v>855</v>
      </c>
      <c r="D74" s="700" t="s">
        <v>986</v>
      </c>
      <c r="E74" s="700" t="s">
        <v>987</v>
      </c>
      <c r="F74" s="701" t="s">
        <v>971</v>
      </c>
      <c r="G74" s="701" t="s">
        <v>988</v>
      </c>
      <c r="H74" s="700" t="s">
        <v>805</v>
      </c>
      <c r="I74" s="700" t="s">
        <v>76</v>
      </c>
      <c r="J74" s="700">
        <v>633013</v>
      </c>
      <c r="K74" s="700" t="s">
        <v>989</v>
      </c>
      <c r="L74" s="137" t="s">
        <v>807</v>
      </c>
      <c r="M74" s="137" t="s">
        <v>990</v>
      </c>
      <c r="N74" s="673">
        <v>2000</v>
      </c>
      <c r="O74" s="674">
        <v>1</v>
      </c>
      <c r="P74" s="674">
        <v>1</v>
      </c>
      <c r="Q74" s="674">
        <v>1</v>
      </c>
      <c r="R74" s="674">
        <v>1</v>
      </c>
      <c r="S74" s="743">
        <f>SUM(O74:R74)*N74*$B$2*$B$3</f>
        <v>13402.08</v>
      </c>
      <c r="T74" s="751" t="s">
        <v>962</v>
      </c>
    </row>
    <row r="75" spans="1:20" x14ac:dyDescent="0.2">
      <c r="A75" s="682" t="s">
        <v>1689</v>
      </c>
      <c r="B75" s="137" t="s">
        <v>985</v>
      </c>
      <c r="C75" s="699" t="s">
        <v>855</v>
      </c>
      <c r="D75" s="700" t="s">
        <v>991</v>
      </c>
      <c r="E75" s="700" t="s">
        <v>992</v>
      </c>
      <c r="F75" s="701" t="s">
        <v>971</v>
      </c>
      <c r="G75" s="701" t="s">
        <v>988</v>
      </c>
      <c r="H75" s="700" t="s">
        <v>805</v>
      </c>
      <c r="I75" s="700" t="s">
        <v>76</v>
      </c>
      <c r="J75" s="700">
        <v>633013</v>
      </c>
      <c r="K75" s="700" t="s">
        <v>989</v>
      </c>
      <c r="L75" s="137" t="s">
        <v>807</v>
      </c>
      <c r="M75" s="137" t="s">
        <v>990</v>
      </c>
      <c r="N75" s="673">
        <v>7000</v>
      </c>
      <c r="O75" s="674">
        <v>1</v>
      </c>
      <c r="P75" s="674">
        <v>1</v>
      </c>
      <c r="Q75" s="674">
        <v>1</v>
      </c>
      <c r="R75" s="674">
        <v>1</v>
      </c>
      <c r="S75" s="743">
        <f>SUM(O75:R75)*N75*$B$2*$B$3</f>
        <v>46907.28</v>
      </c>
      <c r="T75" s="751" t="s">
        <v>962</v>
      </c>
    </row>
    <row r="76" spans="1:20" x14ac:dyDescent="0.2">
      <c r="A76" s="682" t="s">
        <v>1689</v>
      </c>
      <c r="B76" s="137" t="s">
        <v>985</v>
      </c>
      <c r="C76" s="699" t="s">
        <v>855</v>
      </c>
      <c r="D76" s="700" t="s">
        <v>991</v>
      </c>
      <c r="E76" s="700" t="s">
        <v>993</v>
      </c>
      <c r="F76" s="701" t="s">
        <v>971</v>
      </c>
      <c r="G76" s="701" t="s">
        <v>988</v>
      </c>
      <c r="H76" s="700" t="s">
        <v>805</v>
      </c>
      <c r="I76" s="700" t="s">
        <v>76</v>
      </c>
      <c r="J76" s="700">
        <v>633013</v>
      </c>
      <c r="K76" s="700" t="s">
        <v>989</v>
      </c>
      <c r="L76" s="137" t="s">
        <v>807</v>
      </c>
      <c r="M76" s="137" t="s">
        <v>994</v>
      </c>
      <c r="N76" s="673">
        <v>90</v>
      </c>
      <c r="O76" s="674">
        <v>30</v>
      </c>
      <c r="P76" s="674">
        <v>30</v>
      </c>
      <c r="Q76" s="674">
        <v>30</v>
      </c>
      <c r="R76" s="674">
        <v>30</v>
      </c>
      <c r="S76" s="743">
        <f>SUM(O76:R76)*N76*$B$2*$B$3</f>
        <v>18092.808000000001</v>
      </c>
      <c r="T76" s="751" t="s">
        <v>962</v>
      </c>
    </row>
    <row r="77" spans="1:20" x14ac:dyDescent="0.2">
      <c r="A77" s="682" t="s">
        <v>1689</v>
      </c>
      <c r="B77" s="137" t="s">
        <v>985</v>
      </c>
      <c r="C77" s="699" t="s">
        <v>855</v>
      </c>
      <c r="D77" s="700" t="s">
        <v>991</v>
      </c>
      <c r="E77" s="700" t="s">
        <v>995</v>
      </c>
      <c r="F77" s="701" t="s">
        <v>971</v>
      </c>
      <c r="G77" s="701" t="s">
        <v>988</v>
      </c>
      <c r="H77" s="700" t="s">
        <v>805</v>
      </c>
      <c r="I77" s="700" t="s">
        <v>76</v>
      </c>
      <c r="J77" s="700">
        <v>633013</v>
      </c>
      <c r="K77" s="700" t="s">
        <v>996</v>
      </c>
      <c r="L77" s="137" t="s">
        <v>807</v>
      </c>
      <c r="M77" s="137" t="s">
        <v>990</v>
      </c>
      <c r="N77" s="673">
        <v>5300</v>
      </c>
      <c r="O77" s="674">
        <v>1</v>
      </c>
      <c r="P77" s="674">
        <v>1</v>
      </c>
      <c r="Q77" s="674">
        <v>1</v>
      </c>
      <c r="R77" s="674">
        <v>1</v>
      </c>
      <c r="S77" s="743">
        <f>SUM(O77:R77)*N77*$B$2*$B$3</f>
        <v>35515.512000000002</v>
      </c>
      <c r="T77" s="751" t="s">
        <v>962</v>
      </c>
    </row>
    <row r="78" spans="1:20" x14ac:dyDescent="0.2">
      <c r="A78" s="752" t="s">
        <v>1689</v>
      </c>
      <c r="B78" s="137" t="s">
        <v>997</v>
      </c>
      <c r="C78" s="704" t="s">
        <v>866</v>
      </c>
      <c r="D78" s="704" t="s">
        <v>998</v>
      </c>
      <c r="E78" s="704" t="s">
        <v>999</v>
      </c>
      <c r="F78" s="705" t="s">
        <v>858</v>
      </c>
      <c r="G78" s="705" t="s">
        <v>885</v>
      </c>
      <c r="H78" s="704" t="s">
        <v>860</v>
      </c>
      <c r="I78" s="704" t="s">
        <v>861</v>
      </c>
      <c r="J78" s="704">
        <v>610</v>
      </c>
      <c r="K78" s="705" t="s">
        <v>1000</v>
      </c>
      <c r="L78" s="137" t="s">
        <v>878</v>
      </c>
      <c r="M78" s="137" t="s">
        <v>15</v>
      </c>
      <c r="N78" s="673">
        <v>20</v>
      </c>
      <c r="O78" s="674">
        <v>350</v>
      </c>
      <c r="P78" s="674">
        <v>350</v>
      </c>
      <c r="Q78" s="674">
        <v>350</v>
      </c>
      <c r="R78" s="674">
        <v>350</v>
      </c>
      <c r="S78" s="744">
        <f>SUM(O78:R78)*N78*$B$2</f>
        <v>38136</v>
      </c>
      <c r="T78" s="704" t="s">
        <v>925</v>
      </c>
    </row>
    <row r="79" spans="1:20" x14ac:dyDescent="0.2">
      <c r="A79" s="752" t="s">
        <v>1689</v>
      </c>
      <c r="B79" s="137" t="s">
        <v>997</v>
      </c>
      <c r="C79" s="704" t="s">
        <v>866</v>
      </c>
      <c r="D79" s="704" t="s">
        <v>998</v>
      </c>
      <c r="E79" s="704" t="s">
        <v>999</v>
      </c>
      <c r="F79" s="705" t="s">
        <v>858</v>
      </c>
      <c r="G79" s="705" t="s">
        <v>885</v>
      </c>
      <c r="H79" s="704" t="s">
        <v>860</v>
      </c>
      <c r="I79" s="704" t="s">
        <v>861</v>
      </c>
      <c r="J79" s="704">
        <v>610</v>
      </c>
      <c r="K79" s="705" t="s">
        <v>1000</v>
      </c>
      <c r="L79" s="137" t="s">
        <v>878</v>
      </c>
      <c r="M79" s="137" t="s">
        <v>15</v>
      </c>
      <c r="N79" s="673">
        <v>20</v>
      </c>
      <c r="O79" s="674">
        <v>350</v>
      </c>
      <c r="P79" s="674">
        <v>350</v>
      </c>
      <c r="Q79" s="674">
        <v>350</v>
      </c>
      <c r="R79" s="674">
        <v>350</v>
      </c>
      <c r="S79" s="744">
        <f>SUM(O79:R79)*N79*$B$2</f>
        <v>38136</v>
      </c>
      <c r="T79" s="704" t="s">
        <v>1001</v>
      </c>
    </row>
    <row r="80" spans="1:20" x14ac:dyDescent="0.2">
      <c r="A80" s="752" t="s">
        <v>1689</v>
      </c>
      <c r="B80" s="137" t="s">
        <v>997</v>
      </c>
      <c r="C80" s="704" t="s">
        <v>866</v>
      </c>
      <c r="D80" s="704" t="s">
        <v>998</v>
      </c>
      <c r="E80" s="704" t="s">
        <v>1002</v>
      </c>
      <c r="F80" s="705" t="s">
        <v>803</v>
      </c>
      <c r="G80" s="705" t="s">
        <v>988</v>
      </c>
      <c r="H80" s="704" t="s">
        <v>805</v>
      </c>
      <c r="I80" s="704" t="s">
        <v>111</v>
      </c>
      <c r="J80" s="704">
        <v>633002</v>
      </c>
      <c r="K80" s="705" t="s">
        <v>996</v>
      </c>
      <c r="L80" s="137" t="s">
        <v>807</v>
      </c>
      <c r="M80" s="137" t="s">
        <v>15</v>
      </c>
      <c r="N80" s="673">
        <v>37000</v>
      </c>
      <c r="O80" s="675"/>
      <c r="P80" s="675">
        <f>1/3</f>
        <v>0.33333333333333331</v>
      </c>
      <c r="Q80" s="675">
        <f>1/3</f>
        <v>0.33333333333333331</v>
      </c>
      <c r="R80" s="675">
        <f>1/3</f>
        <v>0.33333333333333331</v>
      </c>
      <c r="S80" s="744">
        <f>SUM(O80:R80)*N80*$B$3</f>
        <v>45510</v>
      </c>
      <c r="T80" s="704" t="s">
        <v>1004</v>
      </c>
    </row>
    <row r="81" spans="1:20" x14ac:dyDescent="0.2">
      <c r="A81" s="752" t="s">
        <v>1689</v>
      </c>
      <c r="B81" s="137" t="s">
        <v>997</v>
      </c>
      <c r="C81" s="704" t="s">
        <v>866</v>
      </c>
      <c r="D81" s="704" t="s">
        <v>998</v>
      </c>
      <c r="E81" s="704" t="s">
        <v>1005</v>
      </c>
      <c r="F81" s="705" t="s">
        <v>803</v>
      </c>
      <c r="G81" s="705" t="s">
        <v>885</v>
      </c>
      <c r="H81" s="704" t="s">
        <v>860</v>
      </c>
      <c r="I81" s="704" t="s">
        <v>861</v>
      </c>
      <c r="J81" s="704">
        <v>610</v>
      </c>
      <c r="K81" s="705" t="s">
        <v>1006</v>
      </c>
      <c r="L81" s="137" t="s">
        <v>807</v>
      </c>
      <c r="M81" s="137" t="s">
        <v>15</v>
      </c>
      <c r="N81" s="673">
        <v>40</v>
      </c>
      <c r="P81" s="674">
        <v>250</v>
      </c>
      <c r="Q81" s="674">
        <v>250</v>
      </c>
      <c r="R81" s="674">
        <v>165</v>
      </c>
      <c r="S81" s="744">
        <f>SUM(O81:R81)*N81*$B$2</f>
        <v>36229.200000000004</v>
      </c>
      <c r="T81" s="704" t="s">
        <v>1007</v>
      </c>
    </row>
    <row r="82" spans="1:20" x14ac:dyDescent="0.2">
      <c r="A82" s="752" t="s">
        <v>1689</v>
      </c>
      <c r="B82" s="137" t="s">
        <v>997</v>
      </c>
      <c r="C82" s="704" t="s">
        <v>866</v>
      </c>
      <c r="D82" s="704" t="s">
        <v>998</v>
      </c>
      <c r="E82" s="704" t="s">
        <v>1008</v>
      </c>
      <c r="F82" s="705" t="s">
        <v>803</v>
      </c>
      <c r="G82" s="705" t="s">
        <v>885</v>
      </c>
      <c r="H82" s="704" t="s">
        <v>860</v>
      </c>
      <c r="I82" s="704" t="s">
        <v>861</v>
      </c>
      <c r="J82" s="704">
        <v>610</v>
      </c>
      <c r="K82" s="705" t="s">
        <v>1009</v>
      </c>
      <c r="L82" s="137" t="s">
        <v>807</v>
      </c>
      <c r="M82" s="137" t="s">
        <v>15</v>
      </c>
      <c r="N82" s="673">
        <v>40</v>
      </c>
      <c r="P82" s="674">
        <v>250</v>
      </c>
      <c r="Q82" s="674">
        <v>250</v>
      </c>
      <c r="R82" s="674">
        <v>165</v>
      </c>
      <c r="S82" s="744">
        <f>SUM(O82:R82)*N82*$B$2</f>
        <v>36229.200000000004</v>
      </c>
      <c r="T82" s="704" t="s">
        <v>1010</v>
      </c>
    </row>
    <row r="83" spans="1:20" x14ac:dyDescent="0.2">
      <c r="A83" s="753" t="s">
        <v>1689</v>
      </c>
      <c r="B83" s="137" t="s">
        <v>882</v>
      </c>
      <c r="C83" s="137" t="s">
        <v>800</v>
      </c>
      <c r="D83" s="137" t="s">
        <v>1011</v>
      </c>
      <c r="E83" s="137" t="s">
        <v>1012</v>
      </c>
      <c r="F83" s="694" t="s">
        <v>858</v>
      </c>
      <c r="G83" s="694" t="s">
        <v>885</v>
      </c>
      <c r="H83" s="137" t="s">
        <v>1013</v>
      </c>
      <c r="I83" s="137" t="s">
        <v>861</v>
      </c>
      <c r="J83" s="137">
        <v>610</v>
      </c>
      <c r="K83" s="694" t="s">
        <v>1014</v>
      </c>
      <c r="L83" s="137" t="s">
        <v>878</v>
      </c>
      <c r="M83" s="137" t="s">
        <v>15</v>
      </c>
      <c r="N83" s="673">
        <v>15</v>
      </c>
      <c r="O83" s="674">
        <v>200</v>
      </c>
      <c r="P83" s="674">
        <v>100</v>
      </c>
      <c r="Q83" s="674">
        <v>100</v>
      </c>
      <c r="R83" s="674">
        <v>100</v>
      </c>
      <c r="S83" s="675">
        <f t="shared" ref="S83:S85" si="8">SUM(O83:R83)*N83*$B$2</f>
        <v>10215</v>
      </c>
      <c r="T83" s="137" t="s">
        <v>1015</v>
      </c>
    </row>
    <row r="84" spans="1:20" x14ac:dyDescent="0.2">
      <c r="A84" s="739" t="s">
        <v>1689</v>
      </c>
      <c r="B84" s="137" t="s">
        <v>882</v>
      </c>
      <c r="C84" s="137" t="s">
        <v>800</v>
      </c>
      <c r="D84" s="137" t="s">
        <v>1016</v>
      </c>
      <c r="E84" s="137" t="s">
        <v>1017</v>
      </c>
      <c r="F84" s="694" t="s">
        <v>1018</v>
      </c>
      <c r="G84" s="694" t="s">
        <v>885</v>
      </c>
      <c r="H84" s="137" t="s">
        <v>1013</v>
      </c>
      <c r="I84" s="137" t="s">
        <v>861</v>
      </c>
      <c r="J84" s="137">
        <v>610</v>
      </c>
      <c r="K84" s="694" t="s">
        <v>1019</v>
      </c>
      <c r="L84" s="137" t="s">
        <v>878</v>
      </c>
      <c r="M84" s="137" t="s">
        <v>15</v>
      </c>
      <c r="N84" s="673">
        <v>8</v>
      </c>
      <c r="O84" s="674">
        <v>240</v>
      </c>
      <c r="P84" s="674">
        <v>240</v>
      </c>
      <c r="Q84" s="674">
        <v>240</v>
      </c>
      <c r="R84" s="674">
        <v>240</v>
      </c>
      <c r="S84" s="675">
        <f t="shared" si="8"/>
        <v>10460.16</v>
      </c>
      <c r="T84" s="137" t="s">
        <v>1020</v>
      </c>
    </row>
    <row r="85" spans="1:20" x14ac:dyDescent="0.2">
      <c r="A85" s="739" t="s">
        <v>1689</v>
      </c>
      <c r="B85" s="137" t="s">
        <v>882</v>
      </c>
      <c r="C85" s="137" t="s">
        <v>800</v>
      </c>
      <c r="D85" s="137" t="s">
        <v>1016</v>
      </c>
      <c r="E85" s="137" t="s">
        <v>1017</v>
      </c>
      <c r="F85" s="694" t="s">
        <v>1018</v>
      </c>
      <c r="G85" s="694" t="s">
        <v>885</v>
      </c>
      <c r="H85" s="137" t="s">
        <v>1013</v>
      </c>
      <c r="I85" s="137" t="s">
        <v>861</v>
      </c>
      <c r="J85" s="137">
        <v>610</v>
      </c>
      <c r="K85" s="694" t="s">
        <v>1019</v>
      </c>
      <c r="L85" s="137" t="s">
        <v>878</v>
      </c>
      <c r="M85" s="137" t="s">
        <v>15</v>
      </c>
      <c r="N85" s="673">
        <v>8</v>
      </c>
      <c r="O85" s="674">
        <v>240</v>
      </c>
      <c r="P85" s="674">
        <v>240</v>
      </c>
      <c r="Q85" s="674">
        <v>240</v>
      </c>
      <c r="R85" s="674">
        <v>240</v>
      </c>
      <c r="S85" s="675">
        <f t="shared" si="8"/>
        <v>10460.16</v>
      </c>
      <c r="T85" s="137" t="s">
        <v>1021</v>
      </c>
    </row>
    <row r="86" spans="1:20" x14ac:dyDescent="0.2">
      <c r="A86" s="752" t="s">
        <v>1689</v>
      </c>
      <c r="B86" s="137" t="s">
        <v>894</v>
      </c>
      <c r="C86" s="137" t="s">
        <v>1692</v>
      </c>
      <c r="D86" s="717" t="s">
        <v>896</v>
      </c>
      <c r="E86" s="717" t="s">
        <v>1697</v>
      </c>
      <c r="F86" s="694" t="s">
        <v>858</v>
      </c>
      <c r="G86" s="694" t="s">
        <v>898</v>
      </c>
      <c r="H86" s="694" t="s">
        <v>860</v>
      </c>
      <c r="I86" s="694" t="s">
        <v>861</v>
      </c>
      <c r="J86" s="694">
        <v>610</v>
      </c>
      <c r="K86" s="694" t="s">
        <v>899</v>
      </c>
      <c r="L86" s="137" t="s">
        <v>1695</v>
      </c>
      <c r="M86" s="137" t="s">
        <v>15</v>
      </c>
      <c r="N86" s="740">
        <v>24</v>
      </c>
      <c r="O86" s="674">
        <f>O$3/8</f>
        <v>261</v>
      </c>
      <c r="P86" s="674">
        <f>P$3/8</f>
        <v>261</v>
      </c>
      <c r="Q86" s="674">
        <f>Q$3/8</f>
        <v>260</v>
      </c>
      <c r="R86" s="674">
        <f>R$3/8</f>
        <v>261</v>
      </c>
      <c r="S86" s="675">
        <f>SUM(O86:R86)*N86*$B$2</f>
        <v>34093.584000000003</v>
      </c>
      <c r="T86" s="137" t="s">
        <v>1698</v>
      </c>
    </row>
    <row r="87" spans="1:20" x14ac:dyDescent="0.2">
      <c r="A87" s="753" t="s">
        <v>1689</v>
      </c>
      <c r="B87" s="137" t="s">
        <v>1022</v>
      </c>
      <c r="C87" s="720" t="s">
        <v>1023</v>
      </c>
      <c r="D87" s="137" t="s">
        <v>1024</v>
      </c>
      <c r="E87" s="137" t="s">
        <v>1025</v>
      </c>
      <c r="F87" s="694" t="s">
        <v>803</v>
      </c>
      <c r="G87" s="694" t="s">
        <v>946</v>
      </c>
      <c r="H87" s="137" t="s">
        <v>805</v>
      </c>
      <c r="I87" s="137" t="s">
        <v>76</v>
      </c>
      <c r="J87" s="137">
        <v>633013</v>
      </c>
      <c r="K87" s="137" t="s">
        <v>1026</v>
      </c>
      <c r="L87" s="137" t="s">
        <v>807</v>
      </c>
      <c r="M87" s="137" t="s">
        <v>1027</v>
      </c>
      <c r="N87" s="673">
        <f>'[6]11B Kalkulácia kultúra bezpeč'!N19</f>
        <v>245</v>
      </c>
      <c r="O87" s="674">
        <v>40</v>
      </c>
      <c r="P87" s="674">
        <v>40</v>
      </c>
      <c r="S87" s="675">
        <f>SUM(O87:R87)*N87*$B$3</f>
        <v>24108</v>
      </c>
      <c r="T87" s="137" t="s">
        <v>1028</v>
      </c>
    </row>
    <row r="88" spans="1:20" x14ac:dyDescent="0.2">
      <c r="A88" s="753" t="s">
        <v>1689</v>
      </c>
      <c r="B88" s="137" t="s">
        <v>1022</v>
      </c>
      <c r="C88" s="720" t="s">
        <v>1023</v>
      </c>
      <c r="D88" s="137" t="s">
        <v>1029</v>
      </c>
      <c r="E88" s="137" t="s">
        <v>1030</v>
      </c>
      <c r="F88" s="694" t="s">
        <v>803</v>
      </c>
      <c r="G88" s="694" t="s">
        <v>946</v>
      </c>
      <c r="H88" s="137" t="s">
        <v>805</v>
      </c>
      <c r="I88" s="137" t="s">
        <v>76</v>
      </c>
      <c r="J88" s="137">
        <v>633013</v>
      </c>
      <c r="K88" s="137" t="s">
        <v>1026</v>
      </c>
      <c r="L88" s="137" t="s">
        <v>807</v>
      </c>
      <c r="M88" s="137" t="s">
        <v>1027</v>
      </c>
      <c r="N88" s="673">
        <f>'[6]11B Kalkulácia kultúra bezpeč'!N26</f>
        <v>976.25</v>
      </c>
      <c r="O88" s="674">
        <v>40</v>
      </c>
      <c r="P88" s="674">
        <v>40</v>
      </c>
      <c r="S88" s="675">
        <f>SUM(O88:R88)*N88*$B$3</f>
        <v>96063</v>
      </c>
      <c r="T88" s="137" t="s">
        <v>1028</v>
      </c>
    </row>
    <row r="89" spans="1:20" x14ac:dyDescent="0.2">
      <c r="A89" s="752" t="s">
        <v>1699</v>
      </c>
      <c r="B89" s="137" t="s">
        <v>914</v>
      </c>
      <c r="C89" s="137" t="s">
        <v>800</v>
      </c>
      <c r="D89" s="137" t="s">
        <v>939</v>
      </c>
      <c r="E89" s="137" t="s">
        <v>1031</v>
      </c>
      <c r="F89" s="694" t="s">
        <v>803</v>
      </c>
      <c r="G89" s="694" t="s">
        <v>1032</v>
      </c>
      <c r="H89" s="137" t="s">
        <v>1033</v>
      </c>
      <c r="I89" s="137" t="s">
        <v>1034</v>
      </c>
      <c r="J89" s="137">
        <v>637003</v>
      </c>
      <c r="K89" s="137" t="s">
        <v>1035</v>
      </c>
      <c r="L89" s="137" t="s">
        <v>807</v>
      </c>
      <c r="M89" s="137" t="s">
        <v>1036</v>
      </c>
      <c r="N89" s="673">
        <v>460</v>
      </c>
      <c r="O89" s="674">
        <v>4</v>
      </c>
      <c r="P89" s="674">
        <v>4</v>
      </c>
      <c r="Q89" s="674">
        <v>4</v>
      </c>
      <c r="R89" s="674">
        <v>4</v>
      </c>
      <c r="S89" s="675">
        <f>SUM(O89:R89)*N89*$B$3</f>
        <v>9052.7999999999993</v>
      </c>
      <c r="T89" s="137" t="s">
        <v>1037</v>
      </c>
    </row>
    <row r="90" spans="1:20" x14ac:dyDescent="0.2">
      <c r="A90" s="752" t="s">
        <v>1699</v>
      </c>
      <c r="B90" s="137" t="s">
        <v>1038</v>
      </c>
      <c r="C90" s="137" t="s">
        <v>800</v>
      </c>
      <c r="D90" s="137" t="s">
        <v>1039</v>
      </c>
      <c r="E90" s="137" t="s">
        <v>1040</v>
      </c>
      <c r="F90" s="694" t="s">
        <v>803</v>
      </c>
      <c r="G90" s="694" t="s">
        <v>1041</v>
      </c>
      <c r="H90" s="137" t="s">
        <v>805</v>
      </c>
      <c r="I90" s="137" t="s">
        <v>1034</v>
      </c>
      <c r="J90" s="137">
        <v>633002</v>
      </c>
      <c r="K90" s="137" t="s">
        <v>1042</v>
      </c>
      <c r="L90" s="137" t="s">
        <v>1003</v>
      </c>
      <c r="M90" s="137" t="s">
        <v>15</v>
      </c>
      <c r="N90" s="673">
        <v>1317</v>
      </c>
      <c r="P90" s="674">
        <v>3</v>
      </c>
      <c r="S90" s="675">
        <f>SUM(O90:R90)*N90*$B$3</f>
        <v>4859.7299999999996</v>
      </c>
      <c r="T90" s="137" t="s">
        <v>1700</v>
      </c>
    </row>
    <row r="91" spans="1:20" x14ac:dyDescent="0.2">
      <c r="A91" s="752" t="s">
        <v>1699</v>
      </c>
      <c r="B91" s="137" t="s">
        <v>1044</v>
      </c>
      <c r="C91" s="720" t="s">
        <v>1045</v>
      </c>
      <c r="D91" s="137" t="s">
        <v>1046</v>
      </c>
      <c r="E91" s="137" t="s">
        <v>1047</v>
      </c>
      <c r="F91" s="694" t="s">
        <v>803</v>
      </c>
      <c r="G91" s="694" t="s">
        <v>946</v>
      </c>
      <c r="H91" s="137" t="s">
        <v>805</v>
      </c>
      <c r="I91" s="137" t="s">
        <v>1034</v>
      </c>
      <c r="J91" s="137">
        <v>637003</v>
      </c>
      <c r="K91" s="137" t="s">
        <v>1026</v>
      </c>
      <c r="L91" s="137" t="s">
        <v>807</v>
      </c>
      <c r="M91" s="137" t="s">
        <v>1048</v>
      </c>
      <c r="N91" s="673">
        <f>'[6]11A Kalkulácia AjTyvIT updated'!G41</f>
        <v>826.06315789473683</v>
      </c>
      <c r="O91" s="674">
        <v>120</v>
      </c>
      <c r="P91" s="674">
        <v>140</v>
      </c>
      <c r="Q91" s="674">
        <v>120</v>
      </c>
      <c r="S91" s="744">
        <f>SUM(O91:R91)*N91</f>
        <v>313904</v>
      </c>
      <c r="T91" s="137" t="s">
        <v>1701</v>
      </c>
    </row>
    <row r="92" spans="1:20" x14ac:dyDescent="0.2">
      <c r="A92" s="752" t="s">
        <v>1699</v>
      </c>
      <c r="B92" s="137" t="s">
        <v>1044</v>
      </c>
      <c r="C92" s="720" t="s">
        <v>1045</v>
      </c>
      <c r="D92" s="137" t="s">
        <v>1050</v>
      </c>
      <c r="E92" s="137" t="s">
        <v>1051</v>
      </c>
      <c r="F92" s="694" t="s">
        <v>803</v>
      </c>
      <c r="G92" s="694" t="s">
        <v>1041</v>
      </c>
      <c r="H92" s="137" t="s">
        <v>805</v>
      </c>
      <c r="I92" s="137" t="s">
        <v>1034</v>
      </c>
      <c r="J92" s="137">
        <v>633002</v>
      </c>
      <c r="K92" s="137" t="s">
        <v>1052</v>
      </c>
      <c r="L92" s="137" t="s">
        <v>807</v>
      </c>
      <c r="M92" s="137" t="s">
        <v>13</v>
      </c>
      <c r="N92" s="673">
        <f>'[6]11A Kalkulácia AjTyvIT updated'!G42</f>
        <v>9430</v>
      </c>
      <c r="O92" s="674">
        <v>1</v>
      </c>
      <c r="S92" s="744">
        <f>SUM(O92:R92)*N92</f>
        <v>9430</v>
      </c>
      <c r="T92" s="137" t="s">
        <v>1053</v>
      </c>
    </row>
    <row r="93" spans="1:20" x14ac:dyDescent="0.2">
      <c r="A93" s="753" t="s">
        <v>1699</v>
      </c>
      <c r="B93" s="137" t="s">
        <v>882</v>
      </c>
      <c r="C93" s="137" t="s">
        <v>800</v>
      </c>
      <c r="D93" s="137" t="s">
        <v>1054</v>
      </c>
      <c r="E93" s="137" t="s">
        <v>1055</v>
      </c>
      <c r="F93" s="694" t="s">
        <v>858</v>
      </c>
      <c r="G93" s="694" t="s">
        <v>1056</v>
      </c>
      <c r="H93" s="137" t="s">
        <v>1013</v>
      </c>
      <c r="I93" s="137" t="s">
        <v>1034</v>
      </c>
      <c r="J93" s="137">
        <v>610</v>
      </c>
      <c r="K93" s="754" t="s">
        <v>1057</v>
      </c>
      <c r="L93" s="137" t="s">
        <v>863</v>
      </c>
      <c r="M93" s="137" t="s">
        <v>15</v>
      </c>
      <c r="N93" s="673">
        <v>15</v>
      </c>
      <c r="O93" s="674">
        <f>O$3</f>
        <v>2088</v>
      </c>
      <c r="P93" s="674">
        <f t="shared" ref="P93:R94" si="9">P$3</f>
        <v>2088</v>
      </c>
      <c r="Q93" s="674">
        <f t="shared" si="9"/>
        <v>2080</v>
      </c>
      <c r="R93" s="674">
        <f t="shared" si="9"/>
        <v>2088</v>
      </c>
      <c r="S93" s="675">
        <f>SUM(O93:R93)*N93*$B$2</f>
        <v>170467.92</v>
      </c>
      <c r="T93" s="137" t="s">
        <v>1058</v>
      </c>
    </row>
    <row r="94" spans="1:20" x14ac:dyDescent="0.2">
      <c r="A94" s="739" t="s">
        <v>1699</v>
      </c>
      <c r="B94" s="137" t="s">
        <v>882</v>
      </c>
      <c r="C94" s="137" t="s">
        <v>800</v>
      </c>
      <c r="D94" s="137" t="s">
        <v>1054</v>
      </c>
      <c r="E94" s="137" t="s">
        <v>1055</v>
      </c>
      <c r="F94" s="694" t="s">
        <v>858</v>
      </c>
      <c r="G94" s="694" t="s">
        <v>1056</v>
      </c>
      <c r="H94" s="137" t="s">
        <v>1013</v>
      </c>
      <c r="I94" s="137" t="s">
        <v>1034</v>
      </c>
      <c r="J94" s="137">
        <v>610</v>
      </c>
      <c r="K94" s="754" t="s">
        <v>1059</v>
      </c>
      <c r="L94" s="137" t="s">
        <v>863</v>
      </c>
      <c r="M94" s="137" t="s">
        <v>15</v>
      </c>
      <c r="N94" s="673">
        <v>15</v>
      </c>
      <c r="O94" s="674">
        <f>O$3</f>
        <v>2088</v>
      </c>
      <c r="P94" s="674">
        <f t="shared" si="9"/>
        <v>2088</v>
      </c>
      <c r="Q94" s="674">
        <f t="shared" si="9"/>
        <v>2080</v>
      </c>
      <c r="R94" s="674">
        <f t="shared" si="9"/>
        <v>2088</v>
      </c>
      <c r="S94" s="675">
        <f>SUM(O94:R94)*N94*$B$2</f>
        <v>170467.92</v>
      </c>
      <c r="T94" s="137" t="s">
        <v>1058</v>
      </c>
    </row>
    <row r="95" spans="1:20" x14ac:dyDescent="0.2">
      <c r="A95" s="682" t="s">
        <v>1699</v>
      </c>
      <c r="B95" s="137" t="s">
        <v>1060</v>
      </c>
      <c r="C95" s="137" t="s">
        <v>800</v>
      </c>
      <c r="D95" s="137" t="s">
        <v>1061</v>
      </c>
      <c r="E95" s="137" t="s">
        <v>1062</v>
      </c>
      <c r="F95" s="694" t="s">
        <v>1018</v>
      </c>
      <c r="G95" s="694" t="s">
        <v>1063</v>
      </c>
      <c r="H95" s="137" t="s">
        <v>805</v>
      </c>
      <c r="I95" s="137" t="s">
        <v>1034</v>
      </c>
      <c r="J95" s="137">
        <v>633009</v>
      </c>
      <c r="K95" s="137" t="s">
        <v>1064</v>
      </c>
      <c r="L95" s="137" t="s">
        <v>807</v>
      </c>
      <c r="M95" s="137" t="s">
        <v>1065</v>
      </c>
      <c r="N95" s="740">
        <v>21.4</v>
      </c>
      <c r="O95" s="674">
        <v>250</v>
      </c>
      <c r="P95" s="674">
        <v>250</v>
      </c>
      <c r="S95" s="675">
        <f>SUM(O95:R95)*N95</f>
        <v>10700</v>
      </c>
      <c r="T95" s="137" t="s">
        <v>1066</v>
      </c>
    </row>
    <row r="96" spans="1:20" x14ac:dyDescent="0.2">
      <c r="A96" s="682" t="s">
        <v>1699</v>
      </c>
      <c r="B96" s="137" t="s">
        <v>1060</v>
      </c>
      <c r="C96" s="137" t="s">
        <v>800</v>
      </c>
      <c r="D96" s="137" t="s">
        <v>1067</v>
      </c>
      <c r="E96" s="137" t="s">
        <v>1068</v>
      </c>
      <c r="F96" s="694" t="s">
        <v>1018</v>
      </c>
      <c r="G96" s="694" t="s">
        <v>1063</v>
      </c>
      <c r="H96" s="137" t="s">
        <v>805</v>
      </c>
      <c r="I96" s="137" t="s">
        <v>1034</v>
      </c>
      <c r="J96" s="137">
        <v>632003</v>
      </c>
      <c r="K96" s="137" t="s">
        <v>1064</v>
      </c>
      <c r="L96" s="137" t="s">
        <v>807</v>
      </c>
      <c r="M96" s="137" t="s">
        <v>1069</v>
      </c>
      <c r="N96" s="740">
        <v>100</v>
      </c>
      <c r="O96" s="674">
        <v>1</v>
      </c>
      <c r="P96" s="674">
        <v>1</v>
      </c>
      <c r="S96" s="675">
        <f>SUM(O96:R96)*N96</f>
        <v>200</v>
      </c>
      <c r="T96" s="137" t="s">
        <v>1702</v>
      </c>
    </row>
    <row r="97" spans="1:20" x14ac:dyDescent="0.2">
      <c r="A97" s="739" t="s">
        <v>1699</v>
      </c>
      <c r="B97" s="137" t="s">
        <v>1071</v>
      </c>
      <c r="C97" s="137" t="s">
        <v>800</v>
      </c>
      <c r="D97" s="137" t="s">
        <v>1072</v>
      </c>
      <c r="E97" s="137" t="s">
        <v>1073</v>
      </c>
      <c r="F97" s="694" t="s">
        <v>1018</v>
      </c>
      <c r="G97" s="694" t="s">
        <v>1074</v>
      </c>
      <c r="H97" s="137" t="s">
        <v>1013</v>
      </c>
      <c r="I97" s="137" t="s">
        <v>1034</v>
      </c>
      <c r="J97" s="137">
        <v>610</v>
      </c>
      <c r="K97" s="755" t="s">
        <v>1075</v>
      </c>
      <c r="L97" s="137" t="s">
        <v>863</v>
      </c>
      <c r="M97" s="137" t="s">
        <v>15</v>
      </c>
      <c r="N97" s="673">
        <v>23</v>
      </c>
      <c r="O97" s="674">
        <f>O$3</f>
        <v>2088</v>
      </c>
      <c r="P97" s="674">
        <f t="shared" ref="P97:R99" si="10">P$3</f>
        <v>2088</v>
      </c>
      <c r="Q97" s="674">
        <f t="shared" si="10"/>
        <v>2080</v>
      </c>
      <c r="R97" s="674">
        <f t="shared" si="10"/>
        <v>2088</v>
      </c>
      <c r="S97" s="675">
        <f t="shared" ref="S97:S107" si="11">SUM(O97:R97)*N97*$B$2</f>
        <v>261384.14400000003</v>
      </c>
      <c r="T97" s="137" t="s">
        <v>1076</v>
      </c>
    </row>
    <row r="98" spans="1:20" x14ac:dyDescent="0.2">
      <c r="A98" s="739" t="s">
        <v>1699</v>
      </c>
      <c r="B98" s="137" t="s">
        <v>1071</v>
      </c>
      <c r="C98" s="137" t="s">
        <v>800</v>
      </c>
      <c r="D98" s="137" t="s">
        <v>1077</v>
      </c>
      <c r="E98" s="137" t="s">
        <v>1078</v>
      </c>
      <c r="F98" s="694" t="s">
        <v>1018</v>
      </c>
      <c r="G98" s="694" t="s">
        <v>1074</v>
      </c>
      <c r="H98" s="137" t="s">
        <v>1013</v>
      </c>
      <c r="I98" s="137" t="s">
        <v>1034</v>
      </c>
      <c r="J98" s="137">
        <v>610</v>
      </c>
      <c r="K98" s="755" t="s">
        <v>1079</v>
      </c>
      <c r="L98" s="137" t="s">
        <v>863</v>
      </c>
      <c r="M98" s="137" t="s">
        <v>15</v>
      </c>
      <c r="N98" s="756">
        <v>17</v>
      </c>
      <c r="O98" s="674">
        <f>O$3</f>
        <v>2088</v>
      </c>
      <c r="P98" s="674">
        <f t="shared" si="10"/>
        <v>2088</v>
      </c>
      <c r="Q98" s="674">
        <f t="shared" si="10"/>
        <v>2080</v>
      </c>
      <c r="R98" s="674">
        <f t="shared" si="10"/>
        <v>2088</v>
      </c>
      <c r="T98" s="137" t="s">
        <v>1703</v>
      </c>
    </row>
    <row r="99" spans="1:20" x14ac:dyDescent="0.2">
      <c r="A99" s="739" t="s">
        <v>1699</v>
      </c>
      <c r="B99" s="137" t="s">
        <v>1071</v>
      </c>
      <c r="C99" s="137" t="s">
        <v>800</v>
      </c>
      <c r="D99" s="137" t="s">
        <v>1080</v>
      </c>
      <c r="E99" s="137" t="s">
        <v>1081</v>
      </c>
      <c r="F99" s="694" t="s">
        <v>1018</v>
      </c>
      <c r="G99" s="694" t="s">
        <v>1074</v>
      </c>
      <c r="H99" s="137" t="s">
        <v>1013</v>
      </c>
      <c r="I99" s="137" t="s">
        <v>1034</v>
      </c>
      <c r="J99" s="137">
        <v>610</v>
      </c>
      <c r="K99" s="755" t="s">
        <v>1082</v>
      </c>
      <c r="L99" s="137" t="s">
        <v>863</v>
      </c>
      <c r="M99" s="137" t="s">
        <v>15</v>
      </c>
      <c r="N99" s="673">
        <v>17</v>
      </c>
      <c r="O99" s="674">
        <f>O$3</f>
        <v>2088</v>
      </c>
      <c r="P99" s="674">
        <f t="shared" si="10"/>
        <v>2088</v>
      </c>
      <c r="Q99" s="674">
        <f t="shared" si="10"/>
        <v>2080</v>
      </c>
      <c r="R99" s="674">
        <f t="shared" si="10"/>
        <v>2088</v>
      </c>
      <c r="S99" s="675">
        <f t="shared" si="11"/>
        <v>193196.97600000002</v>
      </c>
      <c r="T99" s="137" t="s">
        <v>1083</v>
      </c>
    </row>
    <row r="100" spans="1:20" x14ac:dyDescent="0.2">
      <c r="A100" s="739" t="s">
        <v>1699</v>
      </c>
      <c r="B100" s="137" t="s">
        <v>1071</v>
      </c>
      <c r="C100" s="137" t="s">
        <v>800</v>
      </c>
      <c r="D100" s="137" t="s">
        <v>1084</v>
      </c>
      <c r="E100" s="137" t="s">
        <v>1085</v>
      </c>
      <c r="F100" s="694" t="s">
        <v>1018</v>
      </c>
      <c r="G100" s="694" t="s">
        <v>1074</v>
      </c>
      <c r="H100" s="137" t="s">
        <v>1013</v>
      </c>
      <c r="I100" s="137" t="s">
        <v>1034</v>
      </c>
      <c r="J100" s="137">
        <v>610</v>
      </c>
      <c r="K100" s="755" t="s">
        <v>425</v>
      </c>
      <c r="L100" s="137" t="s">
        <v>1086</v>
      </c>
      <c r="M100" s="137" t="s">
        <v>15</v>
      </c>
      <c r="N100" s="673">
        <v>12</v>
      </c>
      <c r="O100" s="674">
        <f>12*4.5*10</f>
        <v>540</v>
      </c>
      <c r="P100" s="674">
        <f t="shared" ref="P100:R101" si="12">12*4.5*10</f>
        <v>540</v>
      </c>
      <c r="Q100" s="674">
        <f t="shared" si="12"/>
        <v>540</v>
      </c>
      <c r="R100" s="674">
        <f t="shared" si="12"/>
        <v>540</v>
      </c>
      <c r="S100" s="675">
        <f t="shared" si="11"/>
        <v>35303.040000000001</v>
      </c>
      <c r="T100" s="137" t="s">
        <v>1087</v>
      </c>
    </row>
    <row r="101" spans="1:20" x14ac:dyDescent="0.2">
      <c r="A101" s="739" t="s">
        <v>1699</v>
      </c>
      <c r="B101" s="137" t="s">
        <v>1071</v>
      </c>
      <c r="C101" s="137" t="s">
        <v>800</v>
      </c>
      <c r="D101" s="137" t="s">
        <v>1084</v>
      </c>
      <c r="E101" s="137" t="s">
        <v>1085</v>
      </c>
      <c r="F101" s="694" t="s">
        <v>1018</v>
      </c>
      <c r="G101" s="694" t="s">
        <v>1074</v>
      </c>
      <c r="H101" s="137" t="s">
        <v>1013</v>
      </c>
      <c r="I101" s="137" t="s">
        <v>1034</v>
      </c>
      <c r="J101" s="137">
        <v>610</v>
      </c>
      <c r="K101" s="755" t="s">
        <v>425</v>
      </c>
      <c r="L101" s="137" t="s">
        <v>1086</v>
      </c>
      <c r="M101" s="137" t="s">
        <v>15</v>
      </c>
      <c r="N101" s="673">
        <v>12</v>
      </c>
      <c r="O101" s="674">
        <f>12*4.5*10</f>
        <v>540</v>
      </c>
      <c r="P101" s="674">
        <f t="shared" si="12"/>
        <v>540</v>
      </c>
      <c r="Q101" s="674">
        <f t="shared" si="12"/>
        <v>540</v>
      </c>
      <c r="R101" s="674">
        <f t="shared" si="12"/>
        <v>540</v>
      </c>
      <c r="S101" s="675">
        <f t="shared" si="11"/>
        <v>35303.040000000001</v>
      </c>
      <c r="T101" s="137" t="s">
        <v>1087</v>
      </c>
    </row>
    <row r="102" spans="1:20" x14ac:dyDescent="0.2">
      <c r="A102" s="739" t="s">
        <v>1699</v>
      </c>
      <c r="B102" s="137" t="s">
        <v>1071</v>
      </c>
      <c r="C102" s="137" t="s">
        <v>800</v>
      </c>
      <c r="D102" s="137" t="s">
        <v>1088</v>
      </c>
      <c r="E102" s="137" t="s">
        <v>1089</v>
      </c>
      <c r="F102" s="694" t="s">
        <v>1018</v>
      </c>
      <c r="G102" s="694" t="s">
        <v>1074</v>
      </c>
      <c r="H102" s="137" t="s">
        <v>1013</v>
      </c>
      <c r="I102" s="137" t="s">
        <v>1034</v>
      </c>
      <c r="J102" s="137">
        <v>610</v>
      </c>
      <c r="K102" s="755" t="s">
        <v>1090</v>
      </c>
      <c r="L102" s="137" t="s">
        <v>1091</v>
      </c>
      <c r="M102" s="137" t="s">
        <v>15</v>
      </c>
      <c r="N102" s="673">
        <v>12</v>
      </c>
      <c r="O102" s="674">
        <f>O$3/2</f>
        <v>1044</v>
      </c>
      <c r="P102" s="674">
        <f>P$3/2</f>
        <v>1044</v>
      </c>
      <c r="Q102" s="674">
        <f>Q$3/2</f>
        <v>1040</v>
      </c>
      <c r="R102" s="674">
        <f>R$3/2</f>
        <v>1044</v>
      </c>
      <c r="S102" s="675">
        <f t="shared" si="11"/>
        <v>68187.168000000005</v>
      </c>
      <c r="T102" s="137" t="s">
        <v>1087</v>
      </c>
    </row>
    <row r="103" spans="1:20" x14ac:dyDescent="0.2">
      <c r="A103" s="739" t="s">
        <v>1699</v>
      </c>
      <c r="B103" s="137" t="s">
        <v>1071</v>
      </c>
      <c r="C103" s="137" t="s">
        <v>800</v>
      </c>
      <c r="D103" s="137" t="s">
        <v>1092</v>
      </c>
      <c r="E103" s="137" t="s">
        <v>1089</v>
      </c>
      <c r="F103" s="694" t="s">
        <v>1018</v>
      </c>
      <c r="G103" s="694" t="s">
        <v>1074</v>
      </c>
      <c r="H103" s="137" t="s">
        <v>1013</v>
      </c>
      <c r="I103" s="137" t="s">
        <v>1034</v>
      </c>
      <c r="J103" s="137">
        <v>610</v>
      </c>
      <c r="K103" s="755" t="s">
        <v>1093</v>
      </c>
      <c r="L103" s="137" t="s">
        <v>1091</v>
      </c>
      <c r="M103" s="137" t="s">
        <v>15</v>
      </c>
      <c r="N103" s="673">
        <v>12</v>
      </c>
      <c r="O103" s="674">
        <f>O$3/2</f>
        <v>1044</v>
      </c>
      <c r="P103" s="674">
        <f t="shared" ref="P103:R104" si="13">P$3/2</f>
        <v>1044</v>
      </c>
      <c r="Q103" s="674">
        <f t="shared" si="13"/>
        <v>1040</v>
      </c>
      <c r="R103" s="674">
        <f t="shared" si="13"/>
        <v>1044</v>
      </c>
      <c r="S103" s="675">
        <f t="shared" si="11"/>
        <v>68187.168000000005</v>
      </c>
      <c r="T103" s="137" t="s">
        <v>1087</v>
      </c>
    </row>
    <row r="104" spans="1:20" x14ac:dyDescent="0.2">
      <c r="A104" s="739" t="s">
        <v>1699</v>
      </c>
      <c r="B104" s="137" t="s">
        <v>1071</v>
      </c>
      <c r="C104" s="137" t="s">
        <v>800</v>
      </c>
      <c r="D104" s="137" t="s">
        <v>1094</v>
      </c>
      <c r="E104" s="137" t="s">
        <v>1089</v>
      </c>
      <c r="F104" s="694" t="s">
        <v>1018</v>
      </c>
      <c r="G104" s="694" t="s">
        <v>1074</v>
      </c>
      <c r="H104" s="137" t="s">
        <v>1013</v>
      </c>
      <c r="I104" s="137" t="s">
        <v>1034</v>
      </c>
      <c r="J104" s="137">
        <v>610</v>
      </c>
      <c r="K104" s="755" t="s">
        <v>1095</v>
      </c>
      <c r="L104" s="137" t="s">
        <v>1091</v>
      </c>
      <c r="M104" s="137" t="s">
        <v>15</v>
      </c>
      <c r="N104" s="673">
        <v>12</v>
      </c>
      <c r="O104" s="674">
        <f>O$3/2</f>
        <v>1044</v>
      </c>
      <c r="P104" s="674">
        <f t="shared" si="13"/>
        <v>1044</v>
      </c>
      <c r="Q104" s="674">
        <f t="shared" si="13"/>
        <v>1040</v>
      </c>
      <c r="R104" s="674">
        <f t="shared" si="13"/>
        <v>1044</v>
      </c>
      <c r="S104" s="675">
        <f t="shared" si="11"/>
        <v>68187.168000000005</v>
      </c>
      <c r="T104" s="137" t="s">
        <v>1087</v>
      </c>
    </row>
    <row r="105" spans="1:20" x14ac:dyDescent="0.2">
      <c r="A105" s="739" t="s">
        <v>1699</v>
      </c>
      <c r="B105" s="137" t="s">
        <v>1071</v>
      </c>
      <c r="C105" s="137" t="s">
        <v>800</v>
      </c>
      <c r="D105" s="137" t="s">
        <v>1096</v>
      </c>
      <c r="E105" s="137" t="s">
        <v>1097</v>
      </c>
      <c r="F105" s="694" t="s">
        <v>1018</v>
      </c>
      <c r="G105" s="694" t="s">
        <v>1074</v>
      </c>
      <c r="H105" s="137" t="s">
        <v>1013</v>
      </c>
      <c r="I105" s="137" t="s">
        <v>1034</v>
      </c>
      <c r="J105" s="137">
        <v>610</v>
      </c>
      <c r="K105" s="755" t="s">
        <v>662</v>
      </c>
      <c r="L105" s="137" t="s">
        <v>1098</v>
      </c>
      <c r="M105" s="137" t="s">
        <v>15</v>
      </c>
      <c r="N105" s="673">
        <v>15</v>
      </c>
      <c r="O105" s="674">
        <f>O$3/4</f>
        <v>522</v>
      </c>
      <c r="P105" s="674">
        <f t="shared" ref="P105:R105" si="14">P$3/4</f>
        <v>522</v>
      </c>
      <c r="Q105" s="674">
        <f t="shared" si="14"/>
        <v>520</v>
      </c>
      <c r="R105" s="674">
        <f t="shared" si="14"/>
        <v>522</v>
      </c>
      <c r="S105" s="675">
        <f t="shared" si="11"/>
        <v>42616.98</v>
      </c>
      <c r="T105" s="137" t="s">
        <v>1087</v>
      </c>
    </row>
    <row r="106" spans="1:20" x14ac:dyDescent="0.2">
      <c r="A106" s="739" t="s">
        <v>1699</v>
      </c>
      <c r="B106" s="137" t="s">
        <v>1071</v>
      </c>
      <c r="C106" s="137" t="s">
        <v>800</v>
      </c>
      <c r="D106" s="137" t="s">
        <v>1099</v>
      </c>
      <c r="E106" s="137" t="s">
        <v>1089</v>
      </c>
      <c r="F106" s="694" t="s">
        <v>1018</v>
      </c>
      <c r="G106" s="694" t="s">
        <v>1074</v>
      </c>
      <c r="H106" s="137" t="s">
        <v>1013</v>
      </c>
      <c r="I106" s="137" t="s">
        <v>1034</v>
      </c>
      <c r="J106" s="137">
        <v>610</v>
      </c>
      <c r="K106" s="755" t="s">
        <v>1100</v>
      </c>
      <c r="L106" s="137" t="s">
        <v>878</v>
      </c>
      <c r="M106" s="137" t="s">
        <v>15</v>
      </c>
      <c r="N106" s="673">
        <v>25</v>
      </c>
      <c r="O106" s="674">
        <v>350</v>
      </c>
      <c r="P106" s="674">
        <v>350</v>
      </c>
      <c r="Q106" s="674">
        <v>100</v>
      </c>
      <c r="S106" s="675">
        <f>SUM(O106:R106)*N106*$B$2</f>
        <v>27240.000000000004</v>
      </c>
      <c r="T106" s="137" t="s">
        <v>1087</v>
      </c>
    </row>
    <row r="107" spans="1:20" x14ac:dyDescent="0.2">
      <c r="A107" s="739" t="s">
        <v>1699</v>
      </c>
      <c r="B107" s="137" t="s">
        <v>1071</v>
      </c>
      <c r="C107" s="137" t="s">
        <v>800</v>
      </c>
      <c r="D107" s="137" t="s">
        <v>1101</v>
      </c>
      <c r="E107" s="137" t="s">
        <v>1102</v>
      </c>
      <c r="F107" s="694" t="s">
        <v>1018</v>
      </c>
      <c r="G107" s="694" t="s">
        <v>1074</v>
      </c>
      <c r="H107" s="137" t="s">
        <v>1103</v>
      </c>
      <c r="I107" s="137" t="s">
        <v>1034</v>
      </c>
      <c r="J107" s="137">
        <v>637004</v>
      </c>
      <c r="K107" s="137" t="s">
        <v>966</v>
      </c>
      <c r="L107" s="137" t="s">
        <v>807</v>
      </c>
      <c r="M107" s="137" t="s">
        <v>1104</v>
      </c>
      <c r="N107" s="673">
        <f>1045+150</f>
        <v>1195</v>
      </c>
      <c r="O107" s="674">
        <v>8</v>
      </c>
      <c r="S107" s="675">
        <f t="shared" si="11"/>
        <v>13020.720000000001</v>
      </c>
      <c r="T107" s="137" t="s">
        <v>1105</v>
      </c>
    </row>
    <row r="108" spans="1:20" x14ac:dyDescent="0.2">
      <c r="A108" s="739" t="s">
        <v>1699</v>
      </c>
      <c r="B108" s="137" t="s">
        <v>1071</v>
      </c>
      <c r="C108" s="137" t="s">
        <v>800</v>
      </c>
      <c r="D108" s="137" t="s">
        <v>1106</v>
      </c>
      <c r="E108" s="137" t="s">
        <v>1107</v>
      </c>
      <c r="F108" s="694" t="s">
        <v>1018</v>
      </c>
      <c r="G108" s="694" t="s">
        <v>1074</v>
      </c>
      <c r="H108" s="137" t="s">
        <v>1013</v>
      </c>
      <c r="I108" s="137" t="s">
        <v>1034</v>
      </c>
      <c r="J108" s="137">
        <v>637004</v>
      </c>
      <c r="K108" s="137" t="s">
        <v>1108</v>
      </c>
      <c r="L108" s="137" t="s">
        <v>1109</v>
      </c>
      <c r="M108" s="137" t="s">
        <v>1110</v>
      </c>
      <c r="N108" s="756">
        <v>7915</v>
      </c>
      <c r="O108" s="674">
        <v>1</v>
      </c>
      <c r="P108" s="674">
        <v>1</v>
      </c>
      <c r="Q108" s="674">
        <v>1</v>
      </c>
      <c r="R108" s="674">
        <v>1</v>
      </c>
      <c r="S108" s="757">
        <f>SUM(O108:R108)*N108</f>
        <v>31660</v>
      </c>
      <c r="T108" s="137" t="s">
        <v>1129</v>
      </c>
    </row>
    <row r="109" spans="1:20" x14ac:dyDescent="0.2">
      <c r="A109" s="682" t="s">
        <v>1699</v>
      </c>
      <c r="B109" s="137" t="s">
        <v>1071</v>
      </c>
      <c r="C109" s="137" t="s">
        <v>800</v>
      </c>
      <c r="D109" s="137" t="s">
        <v>1111</v>
      </c>
      <c r="E109" s="137" t="s">
        <v>1112</v>
      </c>
      <c r="F109" s="694" t="s">
        <v>1018</v>
      </c>
      <c r="G109" s="694" t="s">
        <v>1074</v>
      </c>
      <c r="H109" s="137" t="s">
        <v>1013</v>
      </c>
      <c r="I109" s="137" t="s">
        <v>1034</v>
      </c>
      <c r="J109" s="137">
        <v>610</v>
      </c>
      <c r="K109" s="137" t="s">
        <v>1113</v>
      </c>
      <c r="L109" s="137" t="s">
        <v>878</v>
      </c>
      <c r="M109" s="137" t="s">
        <v>15</v>
      </c>
      <c r="N109" s="673">
        <v>25</v>
      </c>
      <c r="S109" s="675">
        <f>350*N109*$B$2</f>
        <v>11917.5</v>
      </c>
      <c r="T109" s="137" t="s">
        <v>1114</v>
      </c>
    </row>
    <row r="110" spans="1:20" x14ac:dyDescent="0.2">
      <c r="A110" s="682" t="s">
        <v>1699</v>
      </c>
      <c r="B110" s="137" t="s">
        <v>1071</v>
      </c>
      <c r="C110" s="137" t="s">
        <v>800</v>
      </c>
      <c r="D110" s="137" t="s">
        <v>1111</v>
      </c>
      <c r="E110" s="137" t="s">
        <v>1115</v>
      </c>
      <c r="F110" s="694" t="s">
        <v>1018</v>
      </c>
      <c r="G110" s="694" t="s">
        <v>1074</v>
      </c>
      <c r="H110" s="137" t="s">
        <v>1013</v>
      </c>
      <c r="I110" s="137" t="s">
        <v>1034</v>
      </c>
      <c r="J110" s="137">
        <v>610</v>
      </c>
      <c r="K110" s="137" t="s">
        <v>1113</v>
      </c>
      <c r="L110" s="137" t="s">
        <v>878</v>
      </c>
      <c r="M110" s="137" t="s">
        <v>15</v>
      </c>
      <c r="N110" s="673">
        <v>25</v>
      </c>
      <c r="S110" s="675">
        <f>350*N110*$B$2</f>
        <v>11917.5</v>
      </c>
      <c r="T110" s="137" t="s">
        <v>1114</v>
      </c>
    </row>
    <row r="111" spans="1:20" x14ac:dyDescent="0.2">
      <c r="A111" s="682" t="s">
        <v>1699</v>
      </c>
      <c r="B111" s="137" t="s">
        <v>1071</v>
      </c>
      <c r="C111" s="137" t="s">
        <v>800</v>
      </c>
      <c r="D111" s="137" t="s">
        <v>1116</v>
      </c>
      <c r="E111" s="137" t="s">
        <v>1117</v>
      </c>
      <c r="F111" s="694" t="s">
        <v>1018</v>
      </c>
      <c r="G111" s="694" t="s">
        <v>1074</v>
      </c>
      <c r="H111" s="137" t="s">
        <v>1013</v>
      </c>
      <c r="I111" s="137" t="s">
        <v>1034</v>
      </c>
      <c r="J111" s="137">
        <v>631001</v>
      </c>
      <c r="K111" s="137" t="s">
        <v>1113</v>
      </c>
      <c r="L111" s="137" t="s">
        <v>1109</v>
      </c>
      <c r="M111" s="137" t="s">
        <v>13</v>
      </c>
      <c r="N111" s="673">
        <v>830</v>
      </c>
      <c r="S111" s="675">
        <f>N111</f>
        <v>830</v>
      </c>
      <c r="T111" s="137" t="s">
        <v>1118</v>
      </c>
    </row>
    <row r="112" spans="1:20" x14ac:dyDescent="0.2">
      <c r="A112" s="739" t="s">
        <v>1699</v>
      </c>
      <c r="B112" s="137" t="s">
        <v>1071</v>
      </c>
      <c r="C112" s="137" t="s">
        <v>800</v>
      </c>
      <c r="D112" s="137" t="s">
        <v>1119</v>
      </c>
      <c r="E112" s="137" t="s">
        <v>1120</v>
      </c>
      <c r="F112" s="694" t="s">
        <v>803</v>
      </c>
      <c r="G112" s="694" t="s">
        <v>1121</v>
      </c>
      <c r="H112" s="137" t="s">
        <v>1103</v>
      </c>
      <c r="I112" s="137" t="s">
        <v>1034</v>
      </c>
      <c r="J112" s="137">
        <v>637003</v>
      </c>
      <c r="K112" s="137" t="s">
        <v>1122</v>
      </c>
      <c r="L112" s="137" t="s">
        <v>807</v>
      </c>
      <c r="M112" s="137" t="s">
        <v>1123</v>
      </c>
      <c r="N112" s="673">
        <v>400</v>
      </c>
      <c r="O112" s="674">
        <v>9</v>
      </c>
      <c r="P112" s="674">
        <v>12</v>
      </c>
      <c r="Q112" s="674">
        <v>12</v>
      </c>
      <c r="R112" s="674">
        <v>11</v>
      </c>
      <c r="S112" s="675">
        <f>SUM(O112:R112)*N112*$B$3</f>
        <v>21648</v>
      </c>
      <c r="T112" s="137" t="s">
        <v>1124</v>
      </c>
    </row>
    <row r="113" spans="1:20" x14ac:dyDescent="0.2">
      <c r="A113" s="739" t="s">
        <v>1699</v>
      </c>
      <c r="B113" s="137" t="s">
        <v>1071</v>
      </c>
      <c r="C113" s="137" t="s">
        <v>800</v>
      </c>
      <c r="D113" s="137" t="s">
        <v>1119</v>
      </c>
      <c r="E113" s="137" t="s">
        <v>1125</v>
      </c>
      <c r="F113" s="694" t="s">
        <v>803</v>
      </c>
      <c r="G113" s="694" t="s">
        <v>1121</v>
      </c>
      <c r="H113" s="137" t="s">
        <v>1103</v>
      </c>
      <c r="I113" s="137" t="s">
        <v>1034</v>
      </c>
      <c r="J113" s="137">
        <v>637003</v>
      </c>
      <c r="K113" s="137" t="s">
        <v>1122</v>
      </c>
      <c r="L113" s="137" t="s">
        <v>807</v>
      </c>
      <c r="M113" s="137" t="s">
        <v>1123</v>
      </c>
      <c r="N113" s="673">
        <v>400</v>
      </c>
      <c r="O113" s="674">
        <v>9</v>
      </c>
      <c r="P113" s="674">
        <v>12</v>
      </c>
      <c r="Q113" s="674">
        <v>12</v>
      </c>
      <c r="R113" s="674">
        <v>11</v>
      </c>
      <c r="S113" s="675">
        <f>SUM(O113:R113)*N113*$B$3</f>
        <v>21648</v>
      </c>
      <c r="T113" s="137" t="s">
        <v>1124</v>
      </c>
    </row>
    <row r="114" spans="1:20" x14ac:dyDescent="0.2">
      <c r="A114" s="739" t="s">
        <v>1699</v>
      </c>
      <c r="B114" s="137" t="s">
        <v>1071</v>
      </c>
      <c r="C114" s="137" t="s">
        <v>800</v>
      </c>
      <c r="D114" s="137" t="s">
        <v>1126</v>
      </c>
      <c r="E114" s="137" t="s">
        <v>1127</v>
      </c>
      <c r="F114" s="694" t="s">
        <v>858</v>
      </c>
      <c r="G114" s="694" t="s">
        <v>1074</v>
      </c>
      <c r="H114" s="137" t="s">
        <v>1128</v>
      </c>
      <c r="I114" s="137" t="s">
        <v>1034</v>
      </c>
      <c r="J114" s="137">
        <v>631001</v>
      </c>
      <c r="K114" s="137" t="s">
        <v>989</v>
      </c>
      <c r="L114" s="137" t="s">
        <v>1109</v>
      </c>
      <c r="M114" s="137" t="s">
        <v>1110</v>
      </c>
      <c r="N114" s="721">
        <v>7510</v>
      </c>
      <c r="O114" s="674">
        <v>1</v>
      </c>
      <c r="P114" s="674">
        <v>1</v>
      </c>
      <c r="Q114" s="674">
        <v>1</v>
      </c>
      <c r="R114" s="674">
        <v>1</v>
      </c>
      <c r="S114" s="675">
        <f>SUM(O114:R114)*N114</f>
        <v>30040</v>
      </c>
      <c r="T114" s="137" t="s">
        <v>1129</v>
      </c>
    </row>
    <row r="115" spans="1:20" x14ac:dyDescent="0.2">
      <c r="A115" s="739" t="s">
        <v>1699</v>
      </c>
      <c r="B115" s="137" t="s">
        <v>1071</v>
      </c>
      <c r="C115" s="137" t="s">
        <v>800</v>
      </c>
      <c r="D115" s="137" t="s">
        <v>1130</v>
      </c>
      <c r="E115" s="137" t="s">
        <v>1127</v>
      </c>
      <c r="F115" s="694" t="s">
        <v>803</v>
      </c>
      <c r="G115" s="694" t="s">
        <v>1074</v>
      </c>
      <c r="H115" s="137" t="s">
        <v>1103</v>
      </c>
      <c r="I115" s="137" t="s">
        <v>1034</v>
      </c>
      <c r="J115" s="137">
        <v>633002</v>
      </c>
      <c r="K115" s="137" t="s">
        <v>1131</v>
      </c>
      <c r="L115" s="137" t="s">
        <v>1109</v>
      </c>
      <c r="M115" s="137" t="s">
        <v>1110</v>
      </c>
      <c r="N115" s="721">
        <v>9600</v>
      </c>
      <c r="O115" s="674">
        <v>1</v>
      </c>
      <c r="P115" s="674">
        <v>1</v>
      </c>
      <c r="Q115" s="674">
        <v>1</v>
      </c>
      <c r="R115" s="674">
        <v>1</v>
      </c>
      <c r="S115" s="675">
        <f>SUM(O115:R115)*N115*$B$3</f>
        <v>47232</v>
      </c>
      <c r="T115" s="137" t="s">
        <v>1129</v>
      </c>
    </row>
    <row r="116" spans="1:20" x14ac:dyDescent="0.2">
      <c r="A116" s="682" t="s">
        <v>1699</v>
      </c>
      <c r="B116" s="137" t="s">
        <v>1071</v>
      </c>
      <c r="C116" s="137" t="s">
        <v>800</v>
      </c>
      <c r="D116" s="137" t="s">
        <v>1132</v>
      </c>
      <c r="E116" s="137" t="s">
        <v>1133</v>
      </c>
      <c r="F116" s="694" t="s">
        <v>803</v>
      </c>
      <c r="G116" s="694" t="s">
        <v>1074</v>
      </c>
      <c r="H116" s="137" t="s">
        <v>1103</v>
      </c>
      <c r="I116" s="137" t="s">
        <v>1034</v>
      </c>
      <c r="J116" s="137">
        <v>633002</v>
      </c>
      <c r="K116" s="137" t="s">
        <v>1108</v>
      </c>
      <c r="L116" s="137" t="s">
        <v>807</v>
      </c>
      <c r="M116" s="137" t="s">
        <v>13</v>
      </c>
      <c r="N116" s="673">
        <f>2*(1200+500+2000+791)-1230</f>
        <v>7752</v>
      </c>
      <c r="O116" s="674">
        <v>2</v>
      </c>
      <c r="S116" s="675">
        <f>N116*O116</f>
        <v>15504</v>
      </c>
      <c r="T116" s="137" t="s">
        <v>1704</v>
      </c>
    </row>
    <row r="117" spans="1:20" x14ac:dyDescent="0.2">
      <c r="A117" s="739" t="s">
        <v>1699</v>
      </c>
      <c r="B117" s="137" t="s">
        <v>1134</v>
      </c>
      <c r="C117" s="704" t="s">
        <v>866</v>
      </c>
      <c r="D117" s="704" t="s">
        <v>1135</v>
      </c>
      <c r="E117" s="704" t="s">
        <v>1136</v>
      </c>
      <c r="F117" s="705" t="s">
        <v>1018</v>
      </c>
      <c r="G117" s="705" t="s">
        <v>1137</v>
      </c>
      <c r="H117" s="704" t="s">
        <v>1128</v>
      </c>
      <c r="I117" s="704" t="s">
        <v>1034</v>
      </c>
      <c r="J117" s="704">
        <v>631001</v>
      </c>
      <c r="K117" s="704" t="s">
        <v>1138</v>
      </c>
      <c r="L117" s="137" t="s">
        <v>1109</v>
      </c>
      <c r="M117" s="137" t="s">
        <v>1139</v>
      </c>
      <c r="N117" s="673">
        <f>S30+S32+S72+S73+S78+S79+S80+S81+S82</f>
        <v>488201.90400000004</v>
      </c>
      <c r="O117" s="675">
        <f t="shared" ref="O117:R120" si="15">0.07*0.25</f>
        <v>1.7500000000000002E-2</v>
      </c>
      <c r="P117" s="675">
        <f t="shared" si="15"/>
        <v>1.7500000000000002E-2</v>
      </c>
      <c r="Q117" s="675">
        <f t="shared" si="15"/>
        <v>1.7500000000000002E-2</v>
      </c>
      <c r="R117" s="675">
        <f t="shared" si="15"/>
        <v>1.7500000000000002E-2</v>
      </c>
      <c r="S117" s="758">
        <f>SUM(O117:R117)*N117</f>
        <v>34174.133280000009</v>
      </c>
      <c r="T117" s="759" t="s">
        <v>1140</v>
      </c>
    </row>
    <row r="118" spans="1:20" x14ac:dyDescent="0.2">
      <c r="A118" s="739" t="s">
        <v>1699</v>
      </c>
      <c r="B118" s="137" t="s">
        <v>1141</v>
      </c>
      <c r="C118" s="699" t="s">
        <v>855</v>
      </c>
      <c r="D118" s="700" t="s">
        <v>1142</v>
      </c>
      <c r="E118" s="700" t="s">
        <v>1143</v>
      </c>
      <c r="F118" s="701" t="s">
        <v>1018</v>
      </c>
      <c r="G118" s="701" t="s">
        <v>1137</v>
      </c>
      <c r="H118" s="700" t="s">
        <v>1128</v>
      </c>
      <c r="I118" s="700" t="s">
        <v>1034</v>
      </c>
      <c r="J118" s="700">
        <v>631001</v>
      </c>
      <c r="K118" s="700" t="s">
        <v>1138</v>
      </c>
      <c r="L118" s="137" t="s">
        <v>1109</v>
      </c>
      <c r="M118" s="137" t="s">
        <v>1139</v>
      </c>
      <c r="N118" s="673">
        <f>S29+S31+S33+S68+S69+S74+S75+S76+S77</f>
        <v>551001.21600000013</v>
      </c>
      <c r="O118" s="675">
        <f t="shared" si="15"/>
        <v>1.7500000000000002E-2</v>
      </c>
      <c r="P118" s="675">
        <f t="shared" si="15"/>
        <v>1.7500000000000002E-2</v>
      </c>
      <c r="Q118" s="675">
        <f t="shared" si="15"/>
        <v>1.7500000000000002E-2</v>
      </c>
      <c r="R118" s="675">
        <f t="shared" si="15"/>
        <v>1.7500000000000002E-2</v>
      </c>
      <c r="S118" s="760">
        <f>SUM(O118:R118)*N118</f>
        <v>38570.085120000011</v>
      </c>
      <c r="T118" s="751" t="s">
        <v>962</v>
      </c>
    </row>
    <row r="119" spans="1:20" x14ac:dyDescent="0.2">
      <c r="A119" s="739" t="s">
        <v>1699</v>
      </c>
      <c r="B119" s="137" t="s">
        <v>1144</v>
      </c>
      <c r="C119" s="713" t="s">
        <v>901</v>
      </c>
      <c r="D119" s="713" t="s">
        <v>1135</v>
      </c>
      <c r="E119" s="713" t="s">
        <v>1145</v>
      </c>
      <c r="F119" s="714" t="s">
        <v>1018</v>
      </c>
      <c r="G119" s="714" t="s">
        <v>1137</v>
      </c>
      <c r="H119" s="713" t="s">
        <v>1128</v>
      </c>
      <c r="I119" s="713" t="s">
        <v>1034</v>
      </c>
      <c r="J119" s="713">
        <v>631001</v>
      </c>
      <c r="K119" s="713" t="s">
        <v>1138</v>
      </c>
      <c r="L119" s="137" t="s">
        <v>1109</v>
      </c>
      <c r="M119" s="137" t="s">
        <v>1139</v>
      </c>
      <c r="N119" s="673">
        <f>S70+S43+S44+S48+S39</f>
        <v>574841.66400000011</v>
      </c>
      <c r="O119" s="675">
        <f t="shared" si="15"/>
        <v>1.7500000000000002E-2</v>
      </c>
      <c r="P119" s="675">
        <f t="shared" si="15"/>
        <v>1.7500000000000002E-2</v>
      </c>
      <c r="Q119" s="675">
        <f t="shared" si="15"/>
        <v>1.7500000000000002E-2</v>
      </c>
      <c r="R119" s="675">
        <f t="shared" si="15"/>
        <v>1.7500000000000002E-2</v>
      </c>
      <c r="S119" s="748">
        <f>SUM(O119:R119)*N119</f>
        <v>40238.916480000014</v>
      </c>
      <c r="T119" s="747" t="s">
        <v>1146</v>
      </c>
    </row>
    <row r="120" spans="1:20" x14ac:dyDescent="0.2">
      <c r="A120" s="739" t="s">
        <v>1699</v>
      </c>
      <c r="B120" s="137" t="s">
        <v>1147</v>
      </c>
      <c r="C120" s="709" t="s">
        <v>895</v>
      </c>
      <c r="D120" s="709" t="s">
        <v>1135</v>
      </c>
      <c r="E120" s="709" t="s">
        <v>1148</v>
      </c>
      <c r="F120" s="710" t="s">
        <v>1018</v>
      </c>
      <c r="G120" s="710" t="s">
        <v>1137</v>
      </c>
      <c r="H120" s="709" t="s">
        <v>1128</v>
      </c>
      <c r="I120" s="709" t="s">
        <v>1034</v>
      </c>
      <c r="J120" s="709">
        <v>631001</v>
      </c>
      <c r="K120" s="709" t="s">
        <v>1138</v>
      </c>
      <c r="L120" s="137" t="s">
        <v>1109</v>
      </c>
      <c r="M120" s="137" t="s">
        <v>1139</v>
      </c>
      <c r="N120" s="673">
        <f>S38+S41+S45+S46+S47+S71</f>
        <v>316246.2</v>
      </c>
      <c r="O120" s="675">
        <f t="shared" si="15"/>
        <v>1.7500000000000002E-2</v>
      </c>
      <c r="P120" s="675">
        <f t="shared" si="15"/>
        <v>1.7500000000000002E-2</v>
      </c>
      <c r="Q120" s="675">
        <f t="shared" si="15"/>
        <v>1.7500000000000002E-2</v>
      </c>
      <c r="R120" s="675">
        <f t="shared" si="15"/>
        <v>1.7500000000000002E-2</v>
      </c>
      <c r="S120" s="761">
        <f>SUM(O120:R120)*N120</f>
        <v>22137.234000000004</v>
      </c>
      <c r="T120" s="762" t="s">
        <v>1149</v>
      </c>
    </row>
  </sheetData>
  <autoFilter ref="A6:T120" xr:uid="{28FB540E-1402-4987-B9F2-B25B2ADF3487}"/>
  <pageMargins left="0.7" right="0.7" top="0.75" bottom="0.75" header="0.3" footer="0.3"/>
  <pageSetup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2">
    <tabColor rgb="FFFFFFCC"/>
  </sheetPr>
  <dimension ref="A1:I138"/>
  <sheetViews>
    <sheetView view="pageBreakPreview" zoomScale="80" zoomScaleNormal="80" zoomScaleSheetLayoutView="80" workbookViewId="0">
      <selection activeCell="S53" sqref="S53"/>
    </sheetView>
  </sheetViews>
  <sheetFormatPr baseColWidth="10" defaultColWidth="8.83203125" defaultRowHeight="15" x14ac:dyDescent="0.2"/>
  <cols>
    <col min="1" max="1" width="26" customWidth="1"/>
    <col min="2" max="2" width="11.5" customWidth="1"/>
    <col min="4" max="4" width="20.83203125" customWidth="1"/>
    <col min="6" max="8" width="12.5" bestFit="1" customWidth="1"/>
    <col min="9" max="9" width="13.1640625" bestFit="1" customWidth="1"/>
  </cols>
  <sheetData>
    <row r="1" spans="1:9" ht="16" thickBot="1" x14ac:dyDescent="0.25"/>
    <row r="2" spans="1:9" x14ac:dyDescent="0.2">
      <c r="A2" s="1450" t="str">
        <f>'Parametre - Agendové IS'!G2</f>
        <v>NetAcad LAB A vybavenie (Networking a základy cybersec)</v>
      </c>
      <c r="B2" s="1451"/>
      <c r="C2" s="1452"/>
      <c r="D2" s="1456" t="s">
        <v>102</v>
      </c>
      <c r="E2" s="1457"/>
      <c r="F2" s="235" t="s">
        <v>121</v>
      </c>
      <c r="G2" s="235" t="s">
        <v>122</v>
      </c>
      <c r="H2" s="235" t="s">
        <v>123</v>
      </c>
      <c r="I2" s="235" t="s">
        <v>125</v>
      </c>
    </row>
    <row r="3" spans="1:9" ht="16" thickBot="1" x14ac:dyDescent="0.25">
      <c r="A3" s="1453"/>
      <c r="B3" s="1454"/>
      <c r="C3" s="1455"/>
      <c r="D3" s="333" t="s">
        <v>253</v>
      </c>
      <c r="E3" s="334" t="s">
        <v>124</v>
      </c>
      <c r="F3" s="132" t="s">
        <v>124</v>
      </c>
      <c r="G3" s="132" t="s">
        <v>124</v>
      </c>
      <c r="H3" s="132" t="s">
        <v>124</v>
      </c>
      <c r="I3" s="132" t="s">
        <v>124</v>
      </c>
    </row>
    <row r="4" spans="1:9" ht="15" customHeight="1" x14ac:dyDescent="0.2">
      <c r="A4" s="1322" t="s">
        <v>43</v>
      </c>
      <c r="B4" s="1447" t="s">
        <v>142</v>
      </c>
      <c r="C4" s="133" t="s">
        <v>25</v>
      </c>
      <c r="D4" s="335" t="str">
        <f>IF(E4='Parametre - Agendové IS'!H86,"OK","Chyba počtu FTE")</f>
        <v>OK</v>
      </c>
      <c r="E4" s="336">
        <f t="shared" ref="E4:E33" si="0">F4+G4+H4+I4</f>
        <v>0</v>
      </c>
      <c r="F4" s="193"/>
      <c r="G4" s="193"/>
      <c r="H4" s="193"/>
      <c r="I4" s="193"/>
    </row>
    <row r="5" spans="1:9" x14ac:dyDescent="0.2">
      <c r="A5" s="1446"/>
      <c r="B5" s="1448"/>
      <c r="C5" s="130" t="s">
        <v>26</v>
      </c>
      <c r="D5" s="337" t="str">
        <f>IF(E5='Parametre - Agendové IS'!H87,"OK","Chyba počtu FTE")</f>
        <v>OK</v>
      </c>
      <c r="E5" s="338">
        <f t="shared" si="0"/>
        <v>0</v>
      </c>
      <c r="F5" s="194"/>
      <c r="G5" s="194"/>
      <c r="H5" s="194"/>
      <c r="I5" s="194"/>
    </row>
    <row r="6" spans="1:9" x14ac:dyDescent="0.2">
      <c r="A6" s="1446"/>
      <c r="B6" s="1448"/>
      <c r="C6" s="130" t="s">
        <v>27</v>
      </c>
      <c r="D6" s="337" t="str">
        <f>IF(E6='Parametre - Agendové IS'!H88,"OK","Chyba počtu FTE")</f>
        <v>OK</v>
      </c>
      <c r="E6" s="338">
        <f t="shared" si="0"/>
        <v>0</v>
      </c>
      <c r="F6" s="194"/>
      <c r="G6" s="194"/>
      <c r="H6" s="194"/>
      <c r="I6" s="194"/>
    </row>
    <row r="7" spans="1:9" x14ac:dyDescent="0.2">
      <c r="A7" s="1446"/>
      <c r="B7" s="1448"/>
      <c r="C7" s="130" t="s">
        <v>28</v>
      </c>
      <c r="D7" s="337" t="str">
        <f>IF(E7='Parametre - Agendové IS'!H89,"OK","Chyba počtu FTE")</f>
        <v>OK</v>
      </c>
      <c r="E7" s="338">
        <f t="shared" si="0"/>
        <v>0</v>
      </c>
      <c r="F7" s="194"/>
      <c r="G7" s="194"/>
      <c r="H7" s="194"/>
      <c r="I7" s="194"/>
    </row>
    <row r="8" spans="1:9" x14ac:dyDescent="0.2">
      <c r="A8" s="1446"/>
      <c r="B8" s="1448"/>
      <c r="C8" s="130" t="s">
        <v>29</v>
      </c>
      <c r="D8" s="337" t="str">
        <f>IF(E8='Parametre - Agendové IS'!H90,"OK","Chyba počtu FTE")</f>
        <v>OK</v>
      </c>
      <c r="E8" s="338">
        <f t="shared" si="0"/>
        <v>0</v>
      </c>
      <c r="F8" s="194"/>
      <c r="G8" s="194"/>
      <c r="H8" s="194"/>
      <c r="I8" s="194"/>
    </row>
    <row r="9" spans="1:9" x14ac:dyDescent="0.2">
      <c r="A9" s="1446"/>
      <c r="B9" s="1448"/>
      <c r="C9" s="130" t="s">
        <v>30</v>
      </c>
      <c r="D9" s="337" t="str">
        <f>IF(E9='Parametre - Agendové IS'!H91,"OK","Chyba počtu FTE")</f>
        <v>OK</v>
      </c>
      <c r="E9" s="338">
        <f t="shared" si="0"/>
        <v>0</v>
      </c>
      <c r="F9" s="194"/>
      <c r="G9" s="194"/>
      <c r="H9" s="194"/>
      <c r="I9" s="194"/>
    </row>
    <row r="10" spans="1:9" x14ac:dyDescent="0.2">
      <c r="A10" s="1446"/>
      <c r="B10" s="1448"/>
      <c r="C10" s="130" t="s">
        <v>31</v>
      </c>
      <c r="D10" s="337" t="str">
        <f>IF(E10='Parametre - Agendové IS'!H92,"OK","Chyba počtu FTE")</f>
        <v>OK</v>
      </c>
      <c r="E10" s="338">
        <f t="shared" si="0"/>
        <v>0</v>
      </c>
      <c r="F10" s="194"/>
      <c r="G10" s="194"/>
      <c r="H10" s="194"/>
      <c r="I10" s="194"/>
    </row>
    <row r="11" spans="1:9" x14ac:dyDescent="0.2">
      <c r="A11" s="1446"/>
      <c r="B11" s="1448"/>
      <c r="C11" s="130" t="s">
        <v>32</v>
      </c>
      <c r="D11" s="337" t="str">
        <f>IF(E11='Parametre - Agendové IS'!H93,"OK","Chyba počtu FTE")</f>
        <v>OK</v>
      </c>
      <c r="E11" s="338">
        <f t="shared" si="0"/>
        <v>0</v>
      </c>
      <c r="F11" s="194"/>
      <c r="G11" s="194"/>
      <c r="H11" s="194"/>
      <c r="I11" s="194"/>
    </row>
    <row r="12" spans="1:9" x14ac:dyDescent="0.2">
      <c r="A12" s="1446"/>
      <c r="B12" s="1448"/>
      <c r="C12" s="130" t="s">
        <v>33</v>
      </c>
      <c r="D12" s="337" t="str">
        <f>IF(E12='Parametre - Agendové IS'!H94,"OK","Chyba počtu FTE")</f>
        <v>OK</v>
      </c>
      <c r="E12" s="338">
        <f t="shared" si="0"/>
        <v>0</v>
      </c>
      <c r="F12" s="194"/>
      <c r="G12" s="194"/>
      <c r="H12" s="194"/>
      <c r="I12" s="194"/>
    </row>
    <row r="13" spans="1:9" ht="16" thickBot="1" x14ac:dyDescent="0.25">
      <c r="A13" s="1446"/>
      <c r="B13" s="1448"/>
      <c r="C13" s="130" t="s">
        <v>34</v>
      </c>
      <c r="D13" s="339" t="str">
        <f>IF(E13='Parametre - Agendové IS'!H95,"OK","Chyba počtu FTE")</f>
        <v>OK</v>
      </c>
      <c r="E13" s="340">
        <f t="shared" si="0"/>
        <v>0</v>
      </c>
      <c r="F13" s="195"/>
      <c r="G13" s="195"/>
      <c r="H13" s="195"/>
      <c r="I13" s="195"/>
    </row>
    <row r="14" spans="1:9" ht="15" customHeight="1" x14ac:dyDescent="0.2">
      <c r="A14" s="1322" t="s">
        <v>41</v>
      </c>
      <c r="B14" s="1447" t="s">
        <v>37</v>
      </c>
      <c r="C14" s="133" t="s">
        <v>25</v>
      </c>
      <c r="D14" s="336" t="str">
        <f>IF(E14='Parametre - Agendové IS'!H5,"OK","Chyba počtu podaní")</f>
        <v>OK</v>
      </c>
      <c r="E14" s="341">
        <f t="shared" si="0"/>
        <v>0</v>
      </c>
      <c r="F14" s="193"/>
      <c r="G14" s="193"/>
      <c r="H14" s="193"/>
      <c r="I14" s="193"/>
    </row>
    <row r="15" spans="1:9" x14ac:dyDescent="0.2">
      <c r="A15" s="1446"/>
      <c r="B15" s="1448"/>
      <c r="C15" s="130" t="s">
        <v>26</v>
      </c>
      <c r="D15" s="337" t="str">
        <f>IF(E15='Parametre - Agendové IS'!H6,"OK","Chyba počtu podaní")</f>
        <v>OK</v>
      </c>
      <c r="E15" s="338">
        <f t="shared" si="0"/>
        <v>0</v>
      </c>
      <c r="F15" s="194"/>
      <c r="G15" s="194"/>
      <c r="H15" s="194"/>
      <c r="I15" s="194"/>
    </row>
    <row r="16" spans="1:9" x14ac:dyDescent="0.2">
      <c r="A16" s="1446"/>
      <c r="B16" s="1448"/>
      <c r="C16" s="130" t="s">
        <v>27</v>
      </c>
      <c r="D16" s="337" t="str">
        <f>IF(E16='Parametre - Agendové IS'!H7,"OK","Chyba počtu podaní")</f>
        <v>OK</v>
      </c>
      <c r="E16" s="338">
        <f t="shared" si="0"/>
        <v>0</v>
      </c>
      <c r="F16" s="194"/>
      <c r="G16" s="194"/>
      <c r="H16" s="194"/>
      <c r="I16" s="194"/>
    </row>
    <row r="17" spans="1:9" x14ac:dyDescent="0.2">
      <c r="A17" s="1446"/>
      <c r="B17" s="1448"/>
      <c r="C17" s="130" t="s">
        <v>28</v>
      </c>
      <c r="D17" s="337" t="str">
        <f>IF(E17='Parametre - Agendové IS'!H8,"OK","Chyba počtu podaní")</f>
        <v>OK</v>
      </c>
      <c r="E17" s="338">
        <f t="shared" si="0"/>
        <v>0</v>
      </c>
      <c r="F17" s="194"/>
      <c r="G17" s="194"/>
      <c r="H17" s="194"/>
      <c r="I17" s="194"/>
    </row>
    <row r="18" spans="1:9" x14ac:dyDescent="0.2">
      <c r="A18" s="1446"/>
      <c r="B18" s="1448"/>
      <c r="C18" s="130" t="s">
        <v>29</v>
      </c>
      <c r="D18" s="337" t="str">
        <f>IF(E18='Parametre - Agendové IS'!H9,"OK","Chyba počtu podaní")</f>
        <v>OK</v>
      </c>
      <c r="E18" s="338">
        <f t="shared" si="0"/>
        <v>0</v>
      </c>
      <c r="F18" s="194"/>
      <c r="G18" s="194"/>
      <c r="H18" s="194"/>
      <c r="I18" s="194"/>
    </row>
    <row r="19" spans="1:9" x14ac:dyDescent="0.2">
      <c r="A19" s="1446"/>
      <c r="B19" s="1448"/>
      <c r="C19" s="130" t="s">
        <v>30</v>
      </c>
      <c r="D19" s="337" t="str">
        <f>IF(E19='Parametre - Agendové IS'!H10,"OK","Chyba počtu podaní")</f>
        <v>OK</v>
      </c>
      <c r="E19" s="338">
        <f t="shared" si="0"/>
        <v>0</v>
      </c>
      <c r="F19" s="194"/>
      <c r="G19" s="194"/>
      <c r="H19" s="194"/>
      <c r="I19" s="194"/>
    </row>
    <row r="20" spans="1:9" x14ac:dyDescent="0.2">
      <c r="A20" s="1446"/>
      <c r="B20" s="1448"/>
      <c r="C20" s="130" t="s">
        <v>31</v>
      </c>
      <c r="D20" s="337" t="str">
        <f>IF(E20='Parametre - Agendové IS'!H11,"OK","Chyba počtu podaní")</f>
        <v>OK</v>
      </c>
      <c r="E20" s="338">
        <f t="shared" si="0"/>
        <v>0</v>
      </c>
      <c r="F20" s="194"/>
      <c r="G20" s="194"/>
      <c r="H20" s="194"/>
      <c r="I20" s="194"/>
    </row>
    <row r="21" spans="1:9" x14ac:dyDescent="0.2">
      <c r="A21" s="1446"/>
      <c r="B21" s="1448"/>
      <c r="C21" s="130" t="s">
        <v>32</v>
      </c>
      <c r="D21" s="337" t="str">
        <f>IF(E21='Parametre - Agendové IS'!H12,"OK","Chyba počtu podaní")</f>
        <v>OK</v>
      </c>
      <c r="E21" s="338">
        <f t="shared" si="0"/>
        <v>0</v>
      </c>
      <c r="F21" s="194"/>
      <c r="G21" s="194"/>
      <c r="H21" s="194"/>
      <c r="I21" s="194"/>
    </row>
    <row r="22" spans="1:9" x14ac:dyDescent="0.2">
      <c r="A22" s="1446"/>
      <c r="B22" s="1448"/>
      <c r="C22" s="130" t="s">
        <v>33</v>
      </c>
      <c r="D22" s="337" t="str">
        <f>IF(E22='Parametre - Agendové IS'!H13,"OK","Chyba počtu podaní")</f>
        <v>OK</v>
      </c>
      <c r="E22" s="338">
        <f t="shared" si="0"/>
        <v>0</v>
      </c>
      <c r="F22" s="194"/>
      <c r="G22" s="194"/>
      <c r="H22" s="194"/>
      <c r="I22" s="194"/>
    </row>
    <row r="23" spans="1:9" ht="16" thickBot="1" x14ac:dyDescent="0.25">
      <c r="A23" s="1324"/>
      <c r="B23" s="1449"/>
      <c r="C23" s="131" t="s">
        <v>34</v>
      </c>
      <c r="D23" s="337" t="str">
        <f>IF(E23='Parametre - Agendové IS'!H14,"OK","Chyba počtu podaní")</f>
        <v>OK</v>
      </c>
      <c r="E23" s="338">
        <f t="shared" si="0"/>
        <v>0</v>
      </c>
      <c r="F23" s="194"/>
      <c r="G23" s="194"/>
      <c r="H23" s="194"/>
      <c r="I23" s="194"/>
    </row>
    <row r="24" spans="1:9" x14ac:dyDescent="0.2">
      <c r="A24" s="1322" t="s">
        <v>39</v>
      </c>
      <c r="B24" s="1447" t="s">
        <v>13</v>
      </c>
      <c r="C24" s="133" t="s">
        <v>25</v>
      </c>
      <c r="D24" s="336" t="str">
        <f>IF(E24='Parametre - Agendové IS'!H126,"OK","Chyba")</f>
        <v>OK</v>
      </c>
      <c r="E24" s="341">
        <f t="shared" si="0"/>
        <v>0</v>
      </c>
      <c r="F24" s="193"/>
      <c r="G24" s="193"/>
      <c r="H24" s="193"/>
      <c r="I24" s="193"/>
    </row>
    <row r="25" spans="1:9" x14ac:dyDescent="0.2">
      <c r="A25" s="1446"/>
      <c r="B25" s="1448"/>
      <c r="C25" s="130" t="s">
        <v>26</v>
      </c>
      <c r="D25" s="337" t="str">
        <f>IF(E25='Parametre - Agendové IS'!H127,"OK","Chyba")</f>
        <v>OK</v>
      </c>
      <c r="E25" s="338">
        <f t="shared" si="0"/>
        <v>0</v>
      </c>
      <c r="F25" s="194"/>
      <c r="G25" s="194"/>
      <c r="H25" s="194"/>
      <c r="I25" s="194"/>
    </row>
    <row r="26" spans="1:9" x14ac:dyDescent="0.2">
      <c r="A26" s="1446"/>
      <c r="B26" s="1448"/>
      <c r="C26" s="130" t="s">
        <v>27</v>
      </c>
      <c r="D26" s="337" t="str">
        <f>IF(E26='Parametre - Agendové IS'!H128,"OK","Chyba")</f>
        <v>Chyba</v>
      </c>
      <c r="E26" s="338">
        <f t="shared" si="0"/>
        <v>0</v>
      </c>
      <c r="F26" s="194"/>
      <c r="G26" s="194"/>
      <c r="H26" s="194"/>
      <c r="I26" s="194"/>
    </row>
    <row r="27" spans="1:9" x14ac:dyDescent="0.2">
      <c r="A27" s="1446"/>
      <c r="B27" s="1448"/>
      <c r="C27" s="130" t="s">
        <v>28</v>
      </c>
      <c r="D27" s="337" t="str">
        <f>IF(E27='Parametre - Agendové IS'!H129,"OK","Chyba")</f>
        <v>Chyba</v>
      </c>
      <c r="E27" s="338">
        <f t="shared" si="0"/>
        <v>0</v>
      </c>
      <c r="F27" s="194"/>
      <c r="G27" s="194"/>
      <c r="H27" s="194"/>
      <c r="I27" s="194"/>
    </row>
    <row r="28" spans="1:9" x14ac:dyDescent="0.2">
      <c r="A28" s="1446"/>
      <c r="B28" s="1448"/>
      <c r="C28" s="130" t="s">
        <v>29</v>
      </c>
      <c r="D28" s="337" t="str">
        <f>IF(E28='Parametre - Agendové IS'!H130,"OK","Chyba")</f>
        <v>Chyba</v>
      </c>
      <c r="E28" s="338">
        <f t="shared" si="0"/>
        <v>0</v>
      </c>
      <c r="F28" s="194"/>
      <c r="G28" s="194"/>
      <c r="H28" s="194"/>
      <c r="I28" s="194"/>
    </row>
    <row r="29" spans="1:9" x14ac:dyDescent="0.2">
      <c r="A29" s="1446"/>
      <c r="B29" s="1448"/>
      <c r="C29" s="130" t="s">
        <v>30</v>
      </c>
      <c r="D29" s="337" t="str">
        <f>IF(E29='Parametre - Agendové IS'!H131,"OK","Chyba")</f>
        <v>Chyba</v>
      </c>
      <c r="E29" s="338">
        <f t="shared" si="0"/>
        <v>0</v>
      </c>
      <c r="F29" s="194"/>
      <c r="G29" s="194"/>
      <c r="H29" s="194"/>
      <c r="I29" s="194"/>
    </row>
    <row r="30" spans="1:9" x14ac:dyDescent="0.2">
      <c r="A30" s="1446"/>
      <c r="B30" s="1448"/>
      <c r="C30" s="130" t="s">
        <v>31</v>
      </c>
      <c r="D30" s="337" t="str">
        <f>IF(E30='Parametre - Agendové IS'!H132,"OK","Chyba")</f>
        <v>Chyba</v>
      </c>
      <c r="E30" s="338">
        <f t="shared" si="0"/>
        <v>0</v>
      </c>
      <c r="F30" s="194"/>
      <c r="G30" s="194"/>
      <c r="H30" s="194"/>
      <c r="I30" s="194"/>
    </row>
    <row r="31" spans="1:9" x14ac:dyDescent="0.2">
      <c r="A31" s="1446"/>
      <c r="B31" s="1448"/>
      <c r="C31" s="130" t="s">
        <v>32</v>
      </c>
      <c r="D31" s="337" t="str">
        <f>IF(E31='Parametre - Agendové IS'!H133,"OK","Chyba")</f>
        <v>Chyba</v>
      </c>
      <c r="E31" s="338">
        <f t="shared" si="0"/>
        <v>0</v>
      </c>
      <c r="F31" s="194"/>
      <c r="G31" s="194"/>
      <c r="H31" s="194"/>
      <c r="I31" s="194"/>
    </row>
    <row r="32" spans="1:9" x14ac:dyDescent="0.2">
      <c r="A32" s="1446"/>
      <c r="B32" s="1448"/>
      <c r="C32" s="130" t="s">
        <v>33</v>
      </c>
      <c r="D32" s="337" t="str">
        <f>IF(E32='Parametre - Agendové IS'!H134,"OK","Chyba")</f>
        <v>Chyba</v>
      </c>
      <c r="E32" s="338">
        <f t="shared" si="0"/>
        <v>0</v>
      </c>
      <c r="F32" s="194"/>
      <c r="G32" s="194"/>
      <c r="H32" s="194"/>
      <c r="I32" s="194"/>
    </row>
    <row r="33" spans="1:9" ht="16" thickBot="1" x14ac:dyDescent="0.25">
      <c r="A33" s="1324"/>
      <c r="B33" s="1449"/>
      <c r="C33" s="131" t="s">
        <v>34</v>
      </c>
      <c r="D33" s="337" t="str">
        <f>IF(E33='Parametre - Agendové IS'!H135,"OK","Chyba")</f>
        <v>Chyba</v>
      </c>
      <c r="E33" s="338">
        <f t="shared" si="0"/>
        <v>0</v>
      </c>
      <c r="F33" s="194"/>
      <c r="G33" s="194"/>
      <c r="H33" s="194"/>
      <c r="I33" s="194"/>
    </row>
    <row r="34" spans="1:9" x14ac:dyDescent="0.2">
      <c r="A34" s="128"/>
      <c r="B34" s="129"/>
    </row>
    <row r="35" spans="1:9" x14ac:dyDescent="0.2">
      <c r="A35" s="128"/>
      <c r="B35" s="129"/>
    </row>
    <row r="36" spans="1:9" ht="16" thickBot="1" x14ac:dyDescent="0.25">
      <c r="A36" s="128"/>
      <c r="B36" s="129"/>
    </row>
    <row r="37" spans="1:9" x14ac:dyDescent="0.2">
      <c r="A37" s="1450">
        <f>'Parametre - Agendové IS'!BI2</f>
        <v>0</v>
      </c>
      <c r="B37" s="1451"/>
      <c r="C37" s="1452"/>
      <c r="D37" s="1456" t="s">
        <v>102</v>
      </c>
      <c r="E37" s="1457"/>
      <c r="F37" s="235" t="s">
        <v>121</v>
      </c>
      <c r="G37" s="235" t="s">
        <v>122</v>
      </c>
      <c r="H37" s="235" t="s">
        <v>123</v>
      </c>
      <c r="I37" s="235" t="s">
        <v>125</v>
      </c>
    </row>
    <row r="38" spans="1:9" ht="16" thickBot="1" x14ac:dyDescent="0.25">
      <c r="A38" s="1453"/>
      <c r="B38" s="1454"/>
      <c r="C38" s="1455"/>
      <c r="D38" s="333" t="s">
        <v>253</v>
      </c>
      <c r="E38" s="334" t="s">
        <v>124</v>
      </c>
      <c r="F38" s="132" t="s">
        <v>124</v>
      </c>
      <c r="G38" s="132" t="s">
        <v>124</v>
      </c>
      <c r="H38" s="132" t="s">
        <v>124</v>
      </c>
      <c r="I38" s="132" t="s">
        <v>124</v>
      </c>
    </row>
    <row r="39" spans="1:9" x14ac:dyDescent="0.2">
      <c r="A39" s="1322" t="s">
        <v>43</v>
      </c>
      <c r="B39" s="1447" t="s">
        <v>142</v>
      </c>
      <c r="C39" s="133" t="s">
        <v>25</v>
      </c>
      <c r="D39" s="335" t="str">
        <f>IF(E39='Parametre - Agendové IS'!BJ86,"OK","Chyba počtu FTE")</f>
        <v>OK</v>
      </c>
      <c r="E39" s="336">
        <f t="shared" ref="E39:E68" si="1">F39+G39+H39+I39</f>
        <v>0</v>
      </c>
      <c r="F39" s="193"/>
      <c r="G39" s="193"/>
      <c r="H39" s="193"/>
      <c r="I39" s="193"/>
    </row>
    <row r="40" spans="1:9" x14ac:dyDescent="0.2">
      <c r="A40" s="1446"/>
      <c r="B40" s="1448"/>
      <c r="C40" s="130" t="s">
        <v>26</v>
      </c>
      <c r="D40" s="337" t="str">
        <f>IF(E40='Parametre - Agendové IS'!BJ87,"OK","Chyba počtu FTE")</f>
        <v>OK</v>
      </c>
      <c r="E40" s="338">
        <f t="shared" si="1"/>
        <v>0</v>
      </c>
      <c r="F40" s="194"/>
      <c r="G40" s="194"/>
      <c r="H40" s="194"/>
      <c r="I40" s="194"/>
    </row>
    <row r="41" spans="1:9" x14ac:dyDescent="0.2">
      <c r="A41" s="1446"/>
      <c r="B41" s="1448"/>
      <c r="C41" s="130" t="s">
        <v>27</v>
      </c>
      <c r="D41" s="337" t="str">
        <f>IF(E41='Parametre - Agendové IS'!BJ88,"OK","Chyba počtu FTE")</f>
        <v>OK</v>
      </c>
      <c r="E41" s="338">
        <f t="shared" si="1"/>
        <v>0</v>
      </c>
      <c r="F41" s="194"/>
      <c r="G41" s="194"/>
      <c r="H41" s="194"/>
      <c r="I41" s="194"/>
    </row>
    <row r="42" spans="1:9" x14ac:dyDescent="0.2">
      <c r="A42" s="1446"/>
      <c r="B42" s="1448"/>
      <c r="C42" s="130" t="s">
        <v>28</v>
      </c>
      <c r="D42" s="337" t="str">
        <f>IF(E42='Parametre - Agendové IS'!BJ89,"OK","Chyba počtu FTE")</f>
        <v>OK</v>
      </c>
      <c r="E42" s="338">
        <f t="shared" si="1"/>
        <v>0</v>
      </c>
      <c r="F42" s="194"/>
      <c r="G42" s="194"/>
      <c r="H42" s="194"/>
      <c r="I42" s="194"/>
    </row>
    <row r="43" spans="1:9" x14ac:dyDescent="0.2">
      <c r="A43" s="1446"/>
      <c r="B43" s="1448"/>
      <c r="C43" s="130" t="s">
        <v>29</v>
      </c>
      <c r="D43" s="337" t="str">
        <f>IF(E43='Parametre - Agendové IS'!BJ90,"OK","Chyba počtu FTE")</f>
        <v>OK</v>
      </c>
      <c r="E43" s="338">
        <f t="shared" si="1"/>
        <v>0</v>
      </c>
      <c r="F43" s="194"/>
      <c r="G43" s="194"/>
      <c r="H43" s="194"/>
      <c r="I43" s="194"/>
    </row>
    <row r="44" spans="1:9" ht="15" customHeight="1" x14ac:dyDescent="0.2">
      <c r="A44" s="1446"/>
      <c r="B44" s="1448"/>
      <c r="C44" s="130" t="s">
        <v>30</v>
      </c>
      <c r="D44" s="337" t="str">
        <f>IF(E44='Parametre - Agendové IS'!BJ91,"OK","Chyba počtu FTE")</f>
        <v>OK</v>
      </c>
      <c r="E44" s="338">
        <f t="shared" si="1"/>
        <v>0</v>
      </c>
      <c r="F44" s="194"/>
      <c r="G44" s="194"/>
      <c r="H44" s="194"/>
      <c r="I44" s="194"/>
    </row>
    <row r="45" spans="1:9" x14ac:dyDescent="0.2">
      <c r="A45" s="1446"/>
      <c r="B45" s="1448"/>
      <c r="C45" s="130" t="s">
        <v>31</v>
      </c>
      <c r="D45" s="337" t="str">
        <f>IF(E45='Parametre - Agendové IS'!BJ92,"OK","Chyba počtu FTE")</f>
        <v>OK</v>
      </c>
      <c r="E45" s="338">
        <f t="shared" si="1"/>
        <v>0</v>
      </c>
      <c r="F45" s="194"/>
      <c r="G45" s="194"/>
      <c r="H45" s="194"/>
      <c r="I45" s="194"/>
    </row>
    <row r="46" spans="1:9" x14ac:dyDescent="0.2">
      <c r="A46" s="1446"/>
      <c r="B46" s="1448"/>
      <c r="C46" s="130" t="s">
        <v>32</v>
      </c>
      <c r="D46" s="337" t="str">
        <f>IF(E46='Parametre - Agendové IS'!BJ93,"OK","Chyba počtu FTE")</f>
        <v>OK</v>
      </c>
      <c r="E46" s="338">
        <f t="shared" si="1"/>
        <v>0</v>
      </c>
      <c r="F46" s="194"/>
      <c r="G46" s="194"/>
      <c r="H46" s="194"/>
      <c r="I46" s="194"/>
    </row>
    <row r="47" spans="1:9" x14ac:dyDescent="0.2">
      <c r="A47" s="1446"/>
      <c r="B47" s="1448"/>
      <c r="C47" s="130" t="s">
        <v>33</v>
      </c>
      <c r="D47" s="337" t="str">
        <f>IF(E47='Parametre - Agendové IS'!BJ94,"OK","Chyba počtu FTE")</f>
        <v>OK</v>
      </c>
      <c r="E47" s="338">
        <f t="shared" si="1"/>
        <v>0</v>
      </c>
      <c r="F47" s="194"/>
      <c r="G47" s="194"/>
      <c r="H47" s="194"/>
      <c r="I47" s="194"/>
    </row>
    <row r="48" spans="1:9" ht="16" thickBot="1" x14ac:dyDescent="0.25">
      <c r="A48" s="1446"/>
      <c r="B48" s="1448"/>
      <c r="C48" s="130" t="s">
        <v>34</v>
      </c>
      <c r="D48" s="339" t="str">
        <f>IF(E48='Parametre - Agendové IS'!BJ95,"OK","Chyba počtu FTE")</f>
        <v>OK</v>
      </c>
      <c r="E48" s="340">
        <f t="shared" si="1"/>
        <v>0</v>
      </c>
      <c r="F48" s="195"/>
      <c r="G48" s="195"/>
      <c r="H48" s="195"/>
      <c r="I48" s="195"/>
    </row>
    <row r="49" spans="1:9" x14ac:dyDescent="0.2">
      <c r="A49" s="1322" t="s">
        <v>41</v>
      </c>
      <c r="B49" s="1447" t="s">
        <v>37</v>
      </c>
      <c r="C49" s="133" t="s">
        <v>25</v>
      </c>
      <c r="D49" s="336" t="str">
        <f>IF(E49='Parametre - Agendové IS'!BJ5,"OK","Chyba počtu podaní")</f>
        <v>OK</v>
      </c>
      <c r="E49" s="341">
        <f t="shared" si="1"/>
        <v>0</v>
      </c>
      <c r="F49" s="193"/>
      <c r="G49" s="193"/>
      <c r="H49" s="193"/>
      <c r="I49" s="193"/>
    </row>
    <row r="50" spans="1:9" x14ac:dyDescent="0.2">
      <c r="A50" s="1446"/>
      <c r="B50" s="1448"/>
      <c r="C50" s="130" t="s">
        <v>26</v>
      </c>
      <c r="D50" s="337" t="str">
        <f>IF(E50='Parametre - Agendové IS'!BJ6,"OK","Chyba počtu podaní")</f>
        <v>OK</v>
      </c>
      <c r="E50" s="338">
        <f t="shared" si="1"/>
        <v>0</v>
      </c>
      <c r="F50" s="194"/>
      <c r="G50" s="194"/>
      <c r="H50" s="194"/>
      <c r="I50" s="194"/>
    </row>
    <row r="51" spans="1:9" x14ac:dyDescent="0.2">
      <c r="A51" s="1446"/>
      <c r="B51" s="1448"/>
      <c r="C51" s="130" t="s">
        <v>27</v>
      </c>
      <c r="D51" s="337" t="str">
        <f>IF(E51='Parametre - Agendové IS'!BJ7,"OK","Chyba počtu podaní")</f>
        <v>OK</v>
      </c>
      <c r="E51" s="338">
        <f t="shared" si="1"/>
        <v>0</v>
      </c>
      <c r="F51" s="194"/>
      <c r="G51" s="194"/>
      <c r="H51" s="194"/>
      <c r="I51" s="194"/>
    </row>
    <row r="52" spans="1:9" x14ac:dyDescent="0.2">
      <c r="A52" s="1446"/>
      <c r="B52" s="1448"/>
      <c r="C52" s="130" t="s">
        <v>28</v>
      </c>
      <c r="D52" s="337" t="str">
        <f>IF(E52='Parametre - Agendové IS'!BJ8,"OK","Chyba počtu podaní")</f>
        <v>OK</v>
      </c>
      <c r="E52" s="338">
        <f t="shared" si="1"/>
        <v>0</v>
      </c>
      <c r="F52" s="194"/>
      <c r="G52" s="194"/>
      <c r="H52" s="194"/>
      <c r="I52" s="194"/>
    </row>
    <row r="53" spans="1:9" x14ac:dyDescent="0.2">
      <c r="A53" s="1446"/>
      <c r="B53" s="1448"/>
      <c r="C53" s="130" t="s">
        <v>29</v>
      </c>
      <c r="D53" s="337" t="str">
        <f>IF(E53='Parametre - Agendové IS'!BJ9,"OK","Chyba počtu podaní")</f>
        <v>OK</v>
      </c>
      <c r="E53" s="338">
        <f t="shared" si="1"/>
        <v>0</v>
      </c>
      <c r="F53" s="194"/>
      <c r="G53" s="194"/>
      <c r="H53" s="194"/>
      <c r="I53" s="194"/>
    </row>
    <row r="54" spans="1:9" x14ac:dyDescent="0.2">
      <c r="A54" s="1446"/>
      <c r="B54" s="1448"/>
      <c r="C54" s="130" t="s">
        <v>30</v>
      </c>
      <c r="D54" s="337" t="str">
        <f>IF(E54='Parametre - Agendové IS'!BJ10,"OK","Chyba počtu podaní")</f>
        <v>OK</v>
      </c>
      <c r="E54" s="338">
        <f t="shared" si="1"/>
        <v>0</v>
      </c>
      <c r="F54" s="194"/>
      <c r="G54" s="194"/>
      <c r="H54" s="194"/>
      <c r="I54" s="194"/>
    </row>
    <row r="55" spans="1:9" x14ac:dyDescent="0.2">
      <c r="A55" s="1446"/>
      <c r="B55" s="1448"/>
      <c r="C55" s="130" t="s">
        <v>31</v>
      </c>
      <c r="D55" s="337" t="str">
        <f>IF(E55='Parametre - Agendové IS'!BJ11,"OK","Chyba počtu podaní")</f>
        <v>OK</v>
      </c>
      <c r="E55" s="338">
        <f t="shared" si="1"/>
        <v>0</v>
      </c>
      <c r="F55" s="194"/>
      <c r="G55" s="194"/>
      <c r="H55" s="194"/>
      <c r="I55" s="194"/>
    </row>
    <row r="56" spans="1:9" x14ac:dyDescent="0.2">
      <c r="A56" s="1446"/>
      <c r="B56" s="1448"/>
      <c r="C56" s="130" t="s">
        <v>32</v>
      </c>
      <c r="D56" s="337" t="str">
        <f>IF(E56='Parametre - Agendové IS'!BJ12,"OK","Chyba počtu podaní")</f>
        <v>OK</v>
      </c>
      <c r="E56" s="338">
        <f t="shared" si="1"/>
        <v>0</v>
      </c>
      <c r="F56" s="194"/>
      <c r="G56" s="194"/>
      <c r="H56" s="194"/>
      <c r="I56" s="194"/>
    </row>
    <row r="57" spans="1:9" x14ac:dyDescent="0.2">
      <c r="A57" s="1446"/>
      <c r="B57" s="1448"/>
      <c r="C57" s="130" t="s">
        <v>33</v>
      </c>
      <c r="D57" s="337" t="str">
        <f>IF(E57='Parametre - Agendové IS'!BJ13,"OK","Chyba počtu podaní")</f>
        <v>OK</v>
      </c>
      <c r="E57" s="338">
        <f t="shared" si="1"/>
        <v>0</v>
      </c>
      <c r="F57" s="194"/>
      <c r="G57" s="194"/>
      <c r="H57" s="194"/>
      <c r="I57" s="194"/>
    </row>
    <row r="58" spans="1:9" ht="16" thickBot="1" x14ac:dyDescent="0.25">
      <c r="A58" s="1324"/>
      <c r="B58" s="1449"/>
      <c r="C58" s="131" t="s">
        <v>34</v>
      </c>
      <c r="D58" s="337" t="str">
        <f>IF(E58='Parametre - Agendové IS'!BJ14,"OK","Chyba počtu podaní")</f>
        <v>OK</v>
      </c>
      <c r="E58" s="338">
        <f t="shared" si="1"/>
        <v>0</v>
      </c>
      <c r="F58" s="194"/>
      <c r="G58" s="194"/>
      <c r="H58" s="194"/>
      <c r="I58" s="194"/>
    </row>
    <row r="59" spans="1:9" x14ac:dyDescent="0.2">
      <c r="A59" s="1322" t="s">
        <v>39</v>
      </c>
      <c r="B59" s="1447" t="s">
        <v>13</v>
      </c>
      <c r="C59" s="133" t="s">
        <v>25</v>
      </c>
      <c r="D59" s="336" t="str">
        <f>IF(E59='Parametre - Agendové IS'!BJ126,"OK","Chyba")</f>
        <v>OK</v>
      </c>
      <c r="E59" s="341">
        <f t="shared" si="1"/>
        <v>0</v>
      </c>
      <c r="F59" s="193"/>
      <c r="G59" s="193"/>
      <c r="H59" s="193"/>
      <c r="I59" s="193"/>
    </row>
    <row r="60" spans="1:9" x14ac:dyDescent="0.2">
      <c r="A60" s="1446"/>
      <c r="B60" s="1448"/>
      <c r="C60" s="130" t="s">
        <v>26</v>
      </c>
      <c r="D60" s="337" t="str">
        <f>IF(E60='Parametre - Agendové IS'!BJ127,"OK","Chyba")</f>
        <v>OK</v>
      </c>
      <c r="E60" s="338">
        <f t="shared" si="1"/>
        <v>0</v>
      </c>
      <c r="F60" s="194"/>
      <c r="G60" s="194"/>
      <c r="H60" s="194"/>
      <c r="I60" s="194"/>
    </row>
    <row r="61" spans="1:9" x14ac:dyDescent="0.2">
      <c r="A61" s="1446"/>
      <c r="B61" s="1448"/>
      <c r="C61" s="130" t="s">
        <v>27</v>
      </c>
      <c r="D61" s="337" t="str">
        <f>IF(E61='Parametre - Agendové IS'!BJ128,"OK","Chyba")</f>
        <v>OK</v>
      </c>
      <c r="E61" s="338">
        <f t="shared" si="1"/>
        <v>0</v>
      </c>
      <c r="F61" s="194"/>
      <c r="G61" s="194"/>
      <c r="H61" s="194"/>
      <c r="I61" s="194"/>
    </row>
    <row r="62" spans="1:9" x14ac:dyDescent="0.2">
      <c r="A62" s="1446"/>
      <c r="B62" s="1448"/>
      <c r="C62" s="130" t="s">
        <v>28</v>
      </c>
      <c r="D62" s="337" t="str">
        <f>IF(E62='Parametre - Agendové IS'!BJ129,"OK","Chyba")</f>
        <v>OK</v>
      </c>
      <c r="E62" s="338">
        <f t="shared" si="1"/>
        <v>0</v>
      </c>
      <c r="F62" s="194"/>
      <c r="G62" s="194"/>
      <c r="H62" s="194"/>
      <c r="I62" s="194"/>
    </row>
    <row r="63" spans="1:9" x14ac:dyDescent="0.2">
      <c r="A63" s="1446"/>
      <c r="B63" s="1448"/>
      <c r="C63" s="130" t="s">
        <v>29</v>
      </c>
      <c r="D63" s="337" t="str">
        <f>IF(E63='Parametre - Agendové IS'!BJ130,"OK","Chyba")</f>
        <v>OK</v>
      </c>
      <c r="E63" s="338">
        <f t="shared" si="1"/>
        <v>0</v>
      </c>
      <c r="F63" s="194"/>
      <c r="G63" s="194"/>
      <c r="H63" s="194"/>
      <c r="I63" s="194"/>
    </row>
    <row r="64" spans="1:9" x14ac:dyDescent="0.2">
      <c r="A64" s="1446"/>
      <c r="B64" s="1448"/>
      <c r="C64" s="130" t="s">
        <v>30</v>
      </c>
      <c r="D64" s="337" t="str">
        <f>IF(E64='Parametre - Agendové IS'!BJ131,"OK","Chyba")</f>
        <v>OK</v>
      </c>
      <c r="E64" s="338">
        <f t="shared" si="1"/>
        <v>0</v>
      </c>
      <c r="F64" s="194"/>
      <c r="G64" s="194"/>
      <c r="H64" s="194"/>
      <c r="I64" s="194"/>
    </row>
    <row r="65" spans="1:9" x14ac:dyDescent="0.2">
      <c r="A65" s="1446"/>
      <c r="B65" s="1448"/>
      <c r="C65" s="130" t="s">
        <v>31</v>
      </c>
      <c r="D65" s="337" t="str">
        <f>IF(E65='Parametre - Agendové IS'!BJ132,"OK","Chyba")</f>
        <v>OK</v>
      </c>
      <c r="E65" s="338">
        <f t="shared" si="1"/>
        <v>0</v>
      </c>
      <c r="F65" s="194"/>
      <c r="G65" s="194"/>
      <c r="H65" s="194"/>
      <c r="I65" s="194"/>
    </row>
    <row r="66" spans="1:9" x14ac:dyDescent="0.2">
      <c r="A66" s="1446"/>
      <c r="B66" s="1448"/>
      <c r="C66" s="130" t="s">
        <v>32</v>
      </c>
      <c r="D66" s="337" t="str">
        <f>IF(E66='Parametre - Agendové IS'!BJ133,"OK","Chyba")</f>
        <v>OK</v>
      </c>
      <c r="E66" s="338">
        <f t="shared" si="1"/>
        <v>0</v>
      </c>
      <c r="F66" s="194"/>
      <c r="G66" s="194"/>
      <c r="H66" s="194"/>
      <c r="I66" s="194"/>
    </row>
    <row r="67" spans="1:9" x14ac:dyDescent="0.2">
      <c r="A67" s="1446"/>
      <c r="B67" s="1448"/>
      <c r="C67" s="130" t="s">
        <v>33</v>
      </c>
      <c r="D67" s="337" t="str">
        <f>IF(E67='Parametre - Agendové IS'!BJ134,"OK","Chyba")</f>
        <v>OK</v>
      </c>
      <c r="E67" s="338">
        <f t="shared" si="1"/>
        <v>0</v>
      </c>
      <c r="F67" s="194"/>
      <c r="G67" s="194"/>
      <c r="H67" s="194"/>
      <c r="I67" s="194"/>
    </row>
    <row r="68" spans="1:9" ht="16" thickBot="1" x14ac:dyDescent="0.25">
      <c r="A68" s="1324"/>
      <c r="B68" s="1449"/>
      <c r="C68" s="131" t="s">
        <v>34</v>
      </c>
      <c r="D68" s="337" t="str">
        <f>IF(E68='Parametre - Agendové IS'!BJ135,"OK","Chyba")</f>
        <v>OK</v>
      </c>
      <c r="E68" s="338">
        <f t="shared" si="1"/>
        <v>0</v>
      </c>
      <c r="F68" s="194"/>
      <c r="G68" s="194"/>
      <c r="H68" s="194"/>
      <c r="I68" s="194"/>
    </row>
    <row r="71" spans="1:9" ht="16" thickBot="1" x14ac:dyDescent="0.25"/>
    <row r="72" spans="1:9" x14ac:dyDescent="0.2">
      <c r="A72" s="1450">
        <f>'Parametre - Agendové IS'!BL2</f>
        <v>0</v>
      </c>
      <c r="B72" s="1451"/>
      <c r="C72" s="1452"/>
      <c r="D72" s="1456" t="s">
        <v>102</v>
      </c>
      <c r="E72" s="1457"/>
      <c r="F72" s="235" t="s">
        <v>121</v>
      </c>
      <c r="G72" s="235" t="s">
        <v>122</v>
      </c>
      <c r="H72" s="235" t="s">
        <v>123</v>
      </c>
      <c r="I72" s="235" t="s">
        <v>125</v>
      </c>
    </row>
    <row r="73" spans="1:9" ht="16" thickBot="1" x14ac:dyDescent="0.25">
      <c r="A73" s="1453"/>
      <c r="B73" s="1454"/>
      <c r="C73" s="1455"/>
      <c r="D73" s="333" t="s">
        <v>253</v>
      </c>
      <c r="E73" s="334" t="s">
        <v>124</v>
      </c>
      <c r="F73" s="132" t="s">
        <v>124</v>
      </c>
      <c r="G73" s="132" t="s">
        <v>124</v>
      </c>
      <c r="H73" s="132" t="s">
        <v>124</v>
      </c>
      <c r="I73" s="132" t="s">
        <v>124</v>
      </c>
    </row>
    <row r="74" spans="1:9" x14ac:dyDescent="0.2">
      <c r="A74" s="1322" t="s">
        <v>43</v>
      </c>
      <c r="B74" s="1447" t="s">
        <v>142</v>
      </c>
      <c r="C74" s="133" t="s">
        <v>25</v>
      </c>
      <c r="D74" s="335" t="str">
        <f>IF(E74='Parametre - Agendové IS'!BM86,"OK","Chyba počtu FTE")</f>
        <v>OK</v>
      </c>
      <c r="E74" s="336">
        <f t="shared" ref="E74:E103" si="2">F74+G74+H74+I74</f>
        <v>0</v>
      </c>
      <c r="F74" s="193"/>
      <c r="G74" s="193"/>
      <c r="H74" s="193"/>
      <c r="I74" s="193"/>
    </row>
    <row r="75" spans="1:9" x14ac:dyDescent="0.2">
      <c r="A75" s="1446"/>
      <c r="B75" s="1448"/>
      <c r="C75" s="130" t="s">
        <v>26</v>
      </c>
      <c r="D75" s="337" t="str">
        <f>IF(E75='Parametre - Agendové IS'!BM87,"OK","Chyba počtu FTE")</f>
        <v>OK</v>
      </c>
      <c r="E75" s="338">
        <f t="shared" si="2"/>
        <v>0</v>
      </c>
      <c r="F75" s="194"/>
      <c r="G75" s="194"/>
      <c r="H75" s="194"/>
      <c r="I75" s="194"/>
    </row>
    <row r="76" spans="1:9" x14ac:dyDescent="0.2">
      <c r="A76" s="1446"/>
      <c r="B76" s="1448"/>
      <c r="C76" s="130" t="s">
        <v>27</v>
      </c>
      <c r="D76" s="337" t="str">
        <f>IF(E76='Parametre - Agendové IS'!BM88,"OK","Chyba počtu FTE")</f>
        <v>OK</v>
      </c>
      <c r="E76" s="338">
        <f t="shared" si="2"/>
        <v>0</v>
      </c>
      <c r="F76" s="194"/>
      <c r="G76" s="194"/>
      <c r="H76" s="194"/>
      <c r="I76" s="194"/>
    </row>
    <row r="77" spans="1:9" x14ac:dyDescent="0.2">
      <c r="A77" s="1446"/>
      <c r="B77" s="1448"/>
      <c r="C77" s="130" t="s">
        <v>28</v>
      </c>
      <c r="D77" s="337" t="str">
        <f>IF(E77='Parametre - Agendové IS'!BM89,"OK","Chyba počtu FTE")</f>
        <v>OK</v>
      </c>
      <c r="E77" s="338">
        <f t="shared" si="2"/>
        <v>0</v>
      </c>
      <c r="F77" s="194"/>
      <c r="G77" s="194"/>
      <c r="H77" s="194"/>
      <c r="I77" s="194"/>
    </row>
    <row r="78" spans="1:9" x14ac:dyDescent="0.2">
      <c r="A78" s="1446"/>
      <c r="B78" s="1448"/>
      <c r="C78" s="130" t="s">
        <v>29</v>
      </c>
      <c r="D78" s="337" t="str">
        <f>IF(E78='Parametre - Agendové IS'!BM90,"OK","Chyba počtu FTE")</f>
        <v>OK</v>
      </c>
      <c r="E78" s="338">
        <f t="shared" si="2"/>
        <v>0</v>
      </c>
      <c r="F78" s="194"/>
      <c r="G78" s="194"/>
      <c r="H78" s="194"/>
      <c r="I78" s="194"/>
    </row>
    <row r="79" spans="1:9" x14ac:dyDescent="0.2">
      <c r="A79" s="1446"/>
      <c r="B79" s="1448"/>
      <c r="C79" s="130" t="s">
        <v>30</v>
      </c>
      <c r="D79" s="337" t="str">
        <f>IF(E79='Parametre - Agendové IS'!BM91,"OK","Chyba počtu FTE")</f>
        <v>OK</v>
      </c>
      <c r="E79" s="338">
        <f t="shared" si="2"/>
        <v>0</v>
      </c>
      <c r="F79" s="194"/>
      <c r="G79" s="194"/>
      <c r="H79" s="194"/>
      <c r="I79" s="194"/>
    </row>
    <row r="80" spans="1:9" x14ac:dyDescent="0.2">
      <c r="A80" s="1446"/>
      <c r="B80" s="1448"/>
      <c r="C80" s="130" t="s">
        <v>31</v>
      </c>
      <c r="D80" s="337" t="str">
        <f>IF(E80='Parametre - Agendové IS'!BM92,"OK","Chyba počtu FTE")</f>
        <v>OK</v>
      </c>
      <c r="E80" s="338">
        <f t="shared" si="2"/>
        <v>0</v>
      </c>
      <c r="F80" s="194"/>
      <c r="G80" s="194"/>
      <c r="H80" s="194"/>
      <c r="I80" s="194"/>
    </row>
    <row r="81" spans="1:9" x14ac:dyDescent="0.2">
      <c r="A81" s="1446"/>
      <c r="B81" s="1448"/>
      <c r="C81" s="130" t="s">
        <v>32</v>
      </c>
      <c r="D81" s="337" t="str">
        <f>IF(E81='Parametre - Agendové IS'!BM93,"OK","Chyba počtu FTE")</f>
        <v>OK</v>
      </c>
      <c r="E81" s="338">
        <f t="shared" si="2"/>
        <v>0</v>
      </c>
      <c r="F81" s="194"/>
      <c r="G81" s="194"/>
      <c r="H81" s="194"/>
      <c r="I81" s="194"/>
    </row>
    <row r="82" spans="1:9" x14ac:dyDescent="0.2">
      <c r="A82" s="1446"/>
      <c r="B82" s="1448"/>
      <c r="C82" s="130" t="s">
        <v>33</v>
      </c>
      <c r="D82" s="337" t="str">
        <f>IF(E82='Parametre - Agendové IS'!BM94,"OK","Chyba počtu FTE")</f>
        <v>OK</v>
      </c>
      <c r="E82" s="338">
        <f t="shared" si="2"/>
        <v>0</v>
      </c>
      <c r="F82" s="194"/>
      <c r="G82" s="194"/>
      <c r="H82" s="194"/>
      <c r="I82" s="194"/>
    </row>
    <row r="83" spans="1:9" ht="16" thickBot="1" x14ac:dyDescent="0.25">
      <c r="A83" s="1446"/>
      <c r="B83" s="1448"/>
      <c r="C83" s="130" t="s">
        <v>34</v>
      </c>
      <c r="D83" s="339" t="str">
        <f>IF(E83='Parametre - Agendové IS'!BM95,"OK","Chyba počtu FTE")</f>
        <v>OK</v>
      </c>
      <c r="E83" s="340">
        <f t="shared" si="2"/>
        <v>0</v>
      </c>
      <c r="F83" s="195"/>
      <c r="G83" s="195"/>
      <c r="H83" s="195"/>
      <c r="I83" s="195"/>
    </row>
    <row r="84" spans="1:9" x14ac:dyDescent="0.2">
      <c r="A84" s="1322" t="s">
        <v>41</v>
      </c>
      <c r="B84" s="1447" t="s">
        <v>37</v>
      </c>
      <c r="C84" s="133" t="s">
        <v>25</v>
      </c>
      <c r="D84" s="336" t="str">
        <f>IF(E84='Parametre - Agendové IS'!BM5,"OK","Chyba počtu podaní")</f>
        <v>OK</v>
      </c>
      <c r="E84" s="341">
        <f t="shared" si="2"/>
        <v>0</v>
      </c>
      <c r="F84" s="193"/>
      <c r="G84" s="193"/>
      <c r="H84" s="193"/>
      <c r="I84" s="193"/>
    </row>
    <row r="85" spans="1:9" x14ac:dyDescent="0.2">
      <c r="A85" s="1446"/>
      <c r="B85" s="1448"/>
      <c r="C85" s="130" t="s">
        <v>26</v>
      </c>
      <c r="D85" s="337" t="str">
        <f>IF(E85='Parametre - Agendové IS'!BM6,"OK","Chyba počtu podaní")</f>
        <v>OK</v>
      </c>
      <c r="E85" s="338">
        <f t="shared" si="2"/>
        <v>0</v>
      </c>
      <c r="F85" s="194"/>
      <c r="G85" s="194"/>
      <c r="H85" s="194"/>
      <c r="I85" s="194"/>
    </row>
    <row r="86" spans="1:9" x14ac:dyDescent="0.2">
      <c r="A86" s="1446"/>
      <c r="B86" s="1448"/>
      <c r="C86" s="130" t="s">
        <v>27</v>
      </c>
      <c r="D86" s="337" t="str">
        <f>IF(E86='Parametre - Agendové IS'!BM7,"OK","Chyba počtu podaní")</f>
        <v>OK</v>
      </c>
      <c r="E86" s="338">
        <f t="shared" si="2"/>
        <v>0</v>
      </c>
      <c r="F86" s="194"/>
      <c r="G86" s="194"/>
      <c r="H86" s="194"/>
      <c r="I86" s="194"/>
    </row>
    <row r="87" spans="1:9" x14ac:dyDescent="0.2">
      <c r="A87" s="1446"/>
      <c r="B87" s="1448"/>
      <c r="C87" s="130" t="s">
        <v>28</v>
      </c>
      <c r="D87" s="337" t="str">
        <f>IF(E87='Parametre - Agendové IS'!BM8,"OK","Chyba počtu podaní")</f>
        <v>OK</v>
      </c>
      <c r="E87" s="338">
        <f t="shared" si="2"/>
        <v>0</v>
      </c>
      <c r="F87" s="194"/>
      <c r="G87" s="194"/>
      <c r="H87" s="194"/>
      <c r="I87" s="194"/>
    </row>
    <row r="88" spans="1:9" x14ac:dyDescent="0.2">
      <c r="A88" s="1446"/>
      <c r="B88" s="1448"/>
      <c r="C88" s="130" t="s">
        <v>29</v>
      </c>
      <c r="D88" s="337" t="str">
        <f>IF(E88='Parametre - Agendové IS'!BM9,"OK","Chyba počtu podaní")</f>
        <v>OK</v>
      </c>
      <c r="E88" s="338">
        <f t="shared" si="2"/>
        <v>0</v>
      </c>
      <c r="F88" s="194"/>
      <c r="G88" s="194"/>
      <c r="H88" s="194"/>
      <c r="I88" s="194"/>
    </row>
    <row r="89" spans="1:9" x14ac:dyDescent="0.2">
      <c r="A89" s="1446"/>
      <c r="B89" s="1448"/>
      <c r="C89" s="130" t="s">
        <v>30</v>
      </c>
      <c r="D89" s="337" t="str">
        <f>IF(E89='Parametre - Agendové IS'!BM10,"OK","Chyba počtu podaní")</f>
        <v>OK</v>
      </c>
      <c r="E89" s="338">
        <f t="shared" si="2"/>
        <v>0</v>
      </c>
      <c r="F89" s="194"/>
      <c r="G89" s="194"/>
      <c r="H89" s="194"/>
      <c r="I89" s="194"/>
    </row>
    <row r="90" spans="1:9" x14ac:dyDescent="0.2">
      <c r="A90" s="1446"/>
      <c r="B90" s="1448"/>
      <c r="C90" s="130" t="s">
        <v>31</v>
      </c>
      <c r="D90" s="337" t="str">
        <f>IF(E90='Parametre - Agendové IS'!BM11,"OK","Chyba počtu podaní")</f>
        <v>OK</v>
      </c>
      <c r="E90" s="338">
        <f t="shared" si="2"/>
        <v>0</v>
      </c>
      <c r="F90" s="194"/>
      <c r="G90" s="194"/>
      <c r="H90" s="194"/>
      <c r="I90" s="194"/>
    </row>
    <row r="91" spans="1:9" x14ac:dyDescent="0.2">
      <c r="A91" s="1446"/>
      <c r="B91" s="1448"/>
      <c r="C91" s="130" t="s">
        <v>32</v>
      </c>
      <c r="D91" s="337" t="str">
        <f>IF(E91='Parametre - Agendové IS'!BM12,"OK","Chyba počtu podaní")</f>
        <v>OK</v>
      </c>
      <c r="E91" s="338">
        <f t="shared" si="2"/>
        <v>0</v>
      </c>
      <c r="F91" s="194"/>
      <c r="G91" s="194"/>
      <c r="H91" s="194"/>
      <c r="I91" s="194"/>
    </row>
    <row r="92" spans="1:9" x14ac:dyDescent="0.2">
      <c r="A92" s="1446"/>
      <c r="B92" s="1448"/>
      <c r="C92" s="130" t="s">
        <v>33</v>
      </c>
      <c r="D92" s="337" t="str">
        <f>IF(E92='Parametre - Agendové IS'!BM13,"OK","Chyba počtu podaní")</f>
        <v>OK</v>
      </c>
      <c r="E92" s="338">
        <f t="shared" si="2"/>
        <v>0</v>
      </c>
      <c r="F92" s="194"/>
      <c r="G92" s="194"/>
      <c r="H92" s="194"/>
      <c r="I92" s="194"/>
    </row>
    <row r="93" spans="1:9" ht="16" thickBot="1" x14ac:dyDescent="0.25">
      <c r="A93" s="1324"/>
      <c r="B93" s="1449"/>
      <c r="C93" s="131" t="s">
        <v>34</v>
      </c>
      <c r="D93" s="337" t="str">
        <f>IF(E93='Parametre - Agendové IS'!BM14,"OK","Chyba počtu podaní")</f>
        <v>OK</v>
      </c>
      <c r="E93" s="338">
        <f t="shared" si="2"/>
        <v>0</v>
      </c>
      <c r="F93" s="194"/>
      <c r="G93" s="194"/>
      <c r="H93" s="194"/>
      <c r="I93" s="194"/>
    </row>
    <row r="94" spans="1:9" x14ac:dyDescent="0.2">
      <c r="A94" s="1322" t="s">
        <v>39</v>
      </c>
      <c r="B94" s="1447" t="s">
        <v>13</v>
      </c>
      <c r="C94" s="133" t="s">
        <v>25</v>
      </c>
      <c r="D94" s="336" t="str">
        <f>IF(E94='Parametre - Agendové IS'!BM126,"OK","Chyba")</f>
        <v>OK</v>
      </c>
      <c r="E94" s="341">
        <f t="shared" si="2"/>
        <v>0</v>
      </c>
      <c r="F94" s="193"/>
      <c r="G94" s="193"/>
      <c r="H94" s="193"/>
      <c r="I94" s="193"/>
    </row>
    <row r="95" spans="1:9" x14ac:dyDescent="0.2">
      <c r="A95" s="1446"/>
      <c r="B95" s="1448"/>
      <c r="C95" s="130" t="s">
        <v>26</v>
      </c>
      <c r="D95" s="337" t="str">
        <f>IF(E95='Parametre - Agendové IS'!BM127,"OK","Chyba")</f>
        <v>OK</v>
      </c>
      <c r="E95" s="338">
        <f t="shared" si="2"/>
        <v>0</v>
      </c>
      <c r="F95" s="194"/>
      <c r="G95" s="194"/>
      <c r="H95" s="194"/>
      <c r="I95" s="194"/>
    </row>
    <row r="96" spans="1:9" x14ac:dyDescent="0.2">
      <c r="A96" s="1446"/>
      <c r="B96" s="1448"/>
      <c r="C96" s="130" t="s">
        <v>27</v>
      </c>
      <c r="D96" s="337" t="str">
        <f>IF(E96='Parametre - Agendové IS'!BM128,"OK","Chyba")</f>
        <v>OK</v>
      </c>
      <c r="E96" s="338">
        <f t="shared" si="2"/>
        <v>0</v>
      </c>
      <c r="F96" s="194"/>
      <c r="G96" s="194"/>
      <c r="H96" s="194"/>
      <c r="I96" s="194"/>
    </row>
    <row r="97" spans="1:9" x14ac:dyDescent="0.2">
      <c r="A97" s="1446"/>
      <c r="B97" s="1448"/>
      <c r="C97" s="130" t="s">
        <v>28</v>
      </c>
      <c r="D97" s="337" t="str">
        <f>IF(E97='Parametre - Agendové IS'!BM129,"OK","Chyba")</f>
        <v>OK</v>
      </c>
      <c r="E97" s="338">
        <f t="shared" si="2"/>
        <v>0</v>
      </c>
      <c r="F97" s="194"/>
      <c r="G97" s="194"/>
      <c r="H97" s="194"/>
      <c r="I97" s="194"/>
    </row>
    <row r="98" spans="1:9" x14ac:dyDescent="0.2">
      <c r="A98" s="1446"/>
      <c r="B98" s="1448"/>
      <c r="C98" s="130" t="s">
        <v>29</v>
      </c>
      <c r="D98" s="337" t="str">
        <f>IF(E98='Parametre - Agendové IS'!BM130,"OK","Chyba")</f>
        <v>OK</v>
      </c>
      <c r="E98" s="338">
        <f t="shared" si="2"/>
        <v>0</v>
      </c>
      <c r="F98" s="194"/>
      <c r="G98" s="194"/>
      <c r="H98" s="194"/>
      <c r="I98" s="194"/>
    </row>
    <row r="99" spans="1:9" x14ac:dyDescent="0.2">
      <c r="A99" s="1446"/>
      <c r="B99" s="1448"/>
      <c r="C99" s="130" t="s">
        <v>30</v>
      </c>
      <c r="D99" s="337" t="str">
        <f>IF(E99='Parametre - Agendové IS'!BM131,"OK","Chyba")</f>
        <v>OK</v>
      </c>
      <c r="E99" s="338">
        <f t="shared" si="2"/>
        <v>0</v>
      </c>
      <c r="F99" s="194"/>
      <c r="G99" s="194"/>
      <c r="H99" s="194"/>
      <c r="I99" s="194"/>
    </row>
    <row r="100" spans="1:9" x14ac:dyDescent="0.2">
      <c r="A100" s="1446"/>
      <c r="B100" s="1448"/>
      <c r="C100" s="130" t="s">
        <v>31</v>
      </c>
      <c r="D100" s="337" t="str">
        <f>IF(E100='Parametre - Agendové IS'!BM132,"OK","Chyba")</f>
        <v>OK</v>
      </c>
      <c r="E100" s="338">
        <f t="shared" si="2"/>
        <v>0</v>
      </c>
      <c r="F100" s="194"/>
      <c r="G100" s="194"/>
      <c r="H100" s="194"/>
      <c r="I100" s="194"/>
    </row>
    <row r="101" spans="1:9" x14ac:dyDescent="0.2">
      <c r="A101" s="1446"/>
      <c r="B101" s="1448"/>
      <c r="C101" s="130" t="s">
        <v>32</v>
      </c>
      <c r="D101" s="337" t="str">
        <f>IF(E101='Parametre - Agendové IS'!BM133,"OK","Chyba")</f>
        <v>OK</v>
      </c>
      <c r="E101" s="338">
        <f t="shared" si="2"/>
        <v>0</v>
      </c>
      <c r="F101" s="194"/>
      <c r="G101" s="194"/>
      <c r="H101" s="194"/>
      <c r="I101" s="194"/>
    </row>
    <row r="102" spans="1:9" x14ac:dyDescent="0.2">
      <c r="A102" s="1446"/>
      <c r="B102" s="1448"/>
      <c r="C102" s="130" t="s">
        <v>33</v>
      </c>
      <c r="D102" s="337" t="str">
        <f>IF(E102='Parametre - Agendové IS'!BM134,"OK","Chyba")</f>
        <v>OK</v>
      </c>
      <c r="E102" s="338">
        <f t="shared" si="2"/>
        <v>0</v>
      </c>
      <c r="F102" s="194"/>
      <c r="G102" s="194"/>
      <c r="H102" s="194"/>
      <c r="I102" s="194"/>
    </row>
    <row r="103" spans="1:9" ht="16" thickBot="1" x14ac:dyDescent="0.25">
      <c r="A103" s="1324"/>
      <c r="B103" s="1449"/>
      <c r="C103" s="131" t="s">
        <v>34</v>
      </c>
      <c r="D103" s="337" t="str">
        <f>IF(E103='Parametre - Agendové IS'!BM135,"OK","Chyba")</f>
        <v>OK</v>
      </c>
      <c r="E103" s="338">
        <f t="shared" si="2"/>
        <v>0</v>
      </c>
      <c r="F103" s="194"/>
      <c r="G103" s="194"/>
      <c r="H103" s="194"/>
      <c r="I103" s="194"/>
    </row>
    <row r="106" spans="1:9" ht="16" thickBot="1" x14ac:dyDescent="0.25"/>
    <row r="107" spans="1:9" x14ac:dyDescent="0.2">
      <c r="A107" s="1450">
        <f>'Parametre - Agendové IS'!BO2</f>
        <v>0</v>
      </c>
      <c r="B107" s="1451"/>
      <c r="C107" s="1452"/>
      <c r="D107" s="1456" t="s">
        <v>102</v>
      </c>
      <c r="E107" s="1457"/>
      <c r="F107" s="235" t="s">
        <v>121</v>
      </c>
      <c r="G107" s="235" t="s">
        <v>122</v>
      </c>
      <c r="H107" s="235" t="s">
        <v>123</v>
      </c>
      <c r="I107" s="235" t="s">
        <v>125</v>
      </c>
    </row>
    <row r="108" spans="1:9" ht="16" thickBot="1" x14ac:dyDescent="0.25">
      <c r="A108" s="1453"/>
      <c r="B108" s="1454"/>
      <c r="C108" s="1455"/>
      <c r="D108" s="333" t="s">
        <v>253</v>
      </c>
      <c r="E108" s="334" t="s">
        <v>124</v>
      </c>
      <c r="F108" s="132" t="s">
        <v>124</v>
      </c>
      <c r="G108" s="132" t="s">
        <v>124</v>
      </c>
      <c r="H108" s="132" t="s">
        <v>124</v>
      </c>
      <c r="I108" s="132" t="s">
        <v>124</v>
      </c>
    </row>
    <row r="109" spans="1:9" x14ac:dyDescent="0.2">
      <c r="A109" s="1322" t="s">
        <v>43</v>
      </c>
      <c r="B109" s="1447" t="s">
        <v>142</v>
      </c>
      <c r="C109" s="133" t="s">
        <v>25</v>
      </c>
      <c r="D109" s="335" t="str">
        <f>IF(E109='Parametre - Agendové IS'!BP86,"OK","Chyba počtu FTE")</f>
        <v>OK</v>
      </c>
      <c r="E109" s="336">
        <f t="shared" ref="E109:E138" si="3">F109+G109+H109+I109</f>
        <v>0</v>
      </c>
      <c r="F109" s="193"/>
      <c r="G109" s="193"/>
      <c r="H109" s="193"/>
      <c r="I109" s="193"/>
    </row>
    <row r="110" spans="1:9" x14ac:dyDescent="0.2">
      <c r="A110" s="1446"/>
      <c r="B110" s="1448"/>
      <c r="C110" s="130" t="s">
        <v>26</v>
      </c>
      <c r="D110" s="337" t="str">
        <f>IF(E110='Parametre - Agendové IS'!BP87,"OK","Chyba počtu FTE")</f>
        <v>OK</v>
      </c>
      <c r="E110" s="338">
        <f t="shared" si="3"/>
        <v>0</v>
      </c>
      <c r="F110" s="194"/>
      <c r="G110" s="194"/>
      <c r="H110" s="194"/>
      <c r="I110" s="194"/>
    </row>
    <row r="111" spans="1:9" x14ac:dyDescent="0.2">
      <c r="A111" s="1446"/>
      <c r="B111" s="1448"/>
      <c r="C111" s="130" t="s">
        <v>27</v>
      </c>
      <c r="D111" s="337" t="str">
        <f>IF(E111='Parametre - Agendové IS'!BP88,"OK","Chyba počtu FTE")</f>
        <v>OK</v>
      </c>
      <c r="E111" s="338">
        <f t="shared" si="3"/>
        <v>0</v>
      </c>
      <c r="F111" s="194"/>
      <c r="G111" s="194"/>
      <c r="H111" s="194"/>
      <c r="I111" s="194"/>
    </row>
    <row r="112" spans="1:9" x14ac:dyDescent="0.2">
      <c r="A112" s="1446"/>
      <c r="B112" s="1448"/>
      <c r="C112" s="130" t="s">
        <v>28</v>
      </c>
      <c r="D112" s="337" t="str">
        <f>IF(E112='Parametre - Agendové IS'!BP89,"OK","Chyba počtu FTE")</f>
        <v>OK</v>
      </c>
      <c r="E112" s="338">
        <f t="shared" si="3"/>
        <v>0</v>
      </c>
      <c r="F112" s="194"/>
      <c r="G112" s="194"/>
      <c r="H112" s="194"/>
      <c r="I112" s="194"/>
    </row>
    <row r="113" spans="1:9" x14ac:dyDescent="0.2">
      <c r="A113" s="1446"/>
      <c r="B113" s="1448"/>
      <c r="C113" s="130" t="s">
        <v>29</v>
      </c>
      <c r="D113" s="337" t="str">
        <f>IF(E113='Parametre - Agendové IS'!BP90,"OK","Chyba počtu FTE")</f>
        <v>OK</v>
      </c>
      <c r="E113" s="338">
        <f t="shared" si="3"/>
        <v>0</v>
      </c>
      <c r="F113" s="194"/>
      <c r="G113" s="194"/>
      <c r="H113" s="194"/>
      <c r="I113" s="194"/>
    </row>
    <row r="114" spans="1:9" x14ac:dyDescent="0.2">
      <c r="A114" s="1446"/>
      <c r="B114" s="1448"/>
      <c r="C114" s="130" t="s">
        <v>30</v>
      </c>
      <c r="D114" s="337" t="str">
        <f>IF(E114='Parametre - Agendové IS'!BP91,"OK","Chyba počtu FTE")</f>
        <v>OK</v>
      </c>
      <c r="E114" s="338">
        <f t="shared" si="3"/>
        <v>0</v>
      </c>
      <c r="F114" s="194"/>
      <c r="G114" s="194"/>
      <c r="H114" s="194"/>
      <c r="I114" s="194"/>
    </row>
    <row r="115" spans="1:9" x14ac:dyDescent="0.2">
      <c r="A115" s="1446"/>
      <c r="B115" s="1448"/>
      <c r="C115" s="130" t="s">
        <v>31</v>
      </c>
      <c r="D115" s="337" t="str">
        <f>IF(E115='Parametre - Agendové IS'!BP92,"OK","Chyba počtu FTE")</f>
        <v>OK</v>
      </c>
      <c r="E115" s="338">
        <f t="shared" si="3"/>
        <v>0</v>
      </c>
      <c r="F115" s="194"/>
      <c r="G115" s="194"/>
      <c r="H115" s="194"/>
      <c r="I115" s="194"/>
    </row>
    <row r="116" spans="1:9" x14ac:dyDescent="0.2">
      <c r="A116" s="1446"/>
      <c r="B116" s="1448"/>
      <c r="C116" s="130" t="s">
        <v>32</v>
      </c>
      <c r="D116" s="337" t="str">
        <f>IF(E116='Parametre - Agendové IS'!BP93,"OK","Chyba počtu FTE")</f>
        <v>OK</v>
      </c>
      <c r="E116" s="338">
        <f t="shared" si="3"/>
        <v>0</v>
      </c>
      <c r="F116" s="194"/>
      <c r="G116" s="194"/>
      <c r="H116" s="194"/>
      <c r="I116" s="194"/>
    </row>
    <row r="117" spans="1:9" x14ac:dyDescent="0.2">
      <c r="A117" s="1446"/>
      <c r="B117" s="1448"/>
      <c r="C117" s="130" t="s">
        <v>33</v>
      </c>
      <c r="D117" s="337" t="str">
        <f>IF(E117='Parametre - Agendové IS'!BP94,"OK","Chyba počtu FTE")</f>
        <v>OK</v>
      </c>
      <c r="E117" s="338">
        <f t="shared" si="3"/>
        <v>0</v>
      </c>
      <c r="F117" s="194"/>
      <c r="G117" s="194"/>
      <c r="H117" s="194"/>
      <c r="I117" s="194"/>
    </row>
    <row r="118" spans="1:9" ht="16" thickBot="1" x14ac:dyDescent="0.25">
      <c r="A118" s="1446"/>
      <c r="B118" s="1448"/>
      <c r="C118" s="130" t="s">
        <v>34</v>
      </c>
      <c r="D118" s="339" t="str">
        <f>IF(E118='Parametre - Agendové IS'!BP95,"OK","Chyba počtu FTE")</f>
        <v>OK</v>
      </c>
      <c r="E118" s="340">
        <f t="shared" si="3"/>
        <v>0</v>
      </c>
      <c r="F118" s="195"/>
      <c r="G118" s="195"/>
      <c r="H118" s="195"/>
      <c r="I118" s="195"/>
    </row>
    <row r="119" spans="1:9" x14ac:dyDescent="0.2">
      <c r="A119" s="1322" t="s">
        <v>41</v>
      </c>
      <c r="B119" s="1447" t="s">
        <v>37</v>
      </c>
      <c r="C119" s="133" t="s">
        <v>25</v>
      </c>
      <c r="D119" s="336" t="str">
        <f>IF(E119='Parametre - Agendové IS'!BP5,"OK","Chyba počtu podaní")</f>
        <v>OK</v>
      </c>
      <c r="E119" s="341">
        <f t="shared" si="3"/>
        <v>0</v>
      </c>
      <c r="F119" s="193"/>
      <c r="G119" s="193"/>
      <c r="H119" s="193"/>
      <c r="I119" s="193"/>
    </row>
    <row r="120" spans="1:9" x14ac:dyDescent="0.2">
      <c r="A120" s="1446"/>
      <c r="B120" s="1448"/>
      <c r="C120" s="130" t="s">
        <v>26</v>
      </c>
      <c r="D120" s="337" t="str">
        <f>IF(E120='Parametre - Agendové IS'!BP6,"OK","Chyba počtu podaní")</f>
        <v>OK</v>
      </c>
      <c r="E120" s="338">
        <f t="shared" si="3"/>
        <v>0</v>
      </c>
      <c r="F120" s="194"/>
      <c r="G120" s="194"/>
      <c r="H120" s="194"/>
      <c r="I120" s="194"/>
    </row>
    <row r="121" spans="1:9" x14ac:dyDescent="0.2">
      <c r="A121" s="1446"/>
      <c r="B121" s="1448"/>
      <c r="C121" s="130" t="s">
        <v>27</v>
      </c>
      <c r="D121" s="337" t="str">
        <f>IF(E121='Parametre - Agendové IS'!BP7,"OK","Chyba počtu podaní")</f>
        <v>OK</v>
      </c>
      <c r="E121" s="338">
        <f t="shared" si="3"/>
        <v>0</v>
      </c>
      <c r="F121" s="194"/>
      <c r="G121" s="194"/>
      <c r="H121" s="194"/>
      <c r="I121" s="194"/>
    </row>
    <row r="122" spans="1:9" x14ac:dyDescent="0.2">
      <c r="A122" s="1446"/>
      <c r="B122" s="1448"/>
      <c r="C122" s="130" t="s">
        <v>28</v>
      </c>
      <c r="D122" s="337" t="str">
        <f>IF(E122='Parametre - Agendové IS'!BP8,"OK","Chyba počtu podaní")</f>
        <v>OK</v>
      </c>
      <c r="E122" s="338">
        <f t="shared" si="3"/>
        <v>0</v>
      </c>
      <c r="F122" s="194"/>
      <c r="G122" s="194"/>
      <c r="H122" s="194"/>
      <c r="I122" s="194"/>
    </row>
    <row r="123" spans="1:9" x14ac:dyDescent="0.2">
      <c r="A123" s="1446"/>
      <c r="B123" s="1448"/>
      <c r="C123" s="130" t="s">
        <v>29</v>
      </c>
      <c r="D123" s="337" t="str">
        <f>IF(E123='Parametre - Agendové IS'!BP9,"OK","Chyba počtu podaní")</f>
        <v>OK</v>
      </c>
      <c r="E123" s="338">
        <f t="shared" si="3"/>
        <v>0</v>
      </c>
      <c r="F123" s="194"/>
      <c r="G123" s="194"/>
      <c r="H123" s="194"/>
      <c r="I123" s="194"/>
    </row>
    <row r="124" spans="1:9" x14ac:dyDescent="0.2">
      <c r="A124" s="1446"/>
      <c r="B124" s="1448"/>
      <c r="C124" s="130" t="s">
        <v>30</v>
      </c>
      <c r="D124" s="337" t="str">
        <f>IF(E124='Parametre - Agendové IS'!BP10,"OK","Chyba počtu podaní")</f>
        <v>OK</v>
      </c>
      <c r="E124" s="338">
        <f t="shared" si="3"/>
        <v>0</v>
      </c>
      <c r="F124" s="194"/>
      <c r="G124" s="194"/>
      <c r="H124" s="194"/>
      <c r="I124" s="194"/>
    </row>
    <row r="125" spans="1:9" x14ac:dyDescent="0.2">
      <c r="A125" s="1446"/>
      <c r="B125" s="1448"/>
      <c r="C125" s="130" t="s">
        <v>31</v>
      </c>
      <c r="D125" s="337" t="str">
        <f>IF(E125='Parametre - Agendové IS'!BP11,"OK","Chyba počtu podaní")</f>
        <v>OK</v>
      </c>
      <c r="E125" s="338">
        <f t="shared" si="3"/>
        <v>0</v>
      </c>
      <c r="F125" s="194"/>
      <c r="G125" s="194"/>
      <c r="H125" s="194"/>
      <c r="I125" s="194"/>
    </row>
    <row r="126" spans="1:9" x14ac:dyDescent="0.2">
      <c r="A126" s="1446"/>
      <c r="B126" s="1448"/>
      <c r="C126" s="130" t="s">
        <v>32</v>
      </c>
      <c r="D126" s="337" t="str">
        <f>IF(E126='Parametre - Agendové IS'!BP12,"OK","Chyba počtu podaní")</f>
        <v>OK</v>
      </c>
      <c r="E126" s="338">
        <f t="shared" si="3"/>
        <v>0</v>
      </c>
      <c r="F126" s="194"/>
      <c r="G126" s="194"/>
      <c r="H126" s="194"/>
      <c r="I126" s="194"/>
    </row>
    <row r="127" spans="1:9" x14ac:dyDescent="0.2">
      <c r="A127" s="1446"/>
      <c r="B127" s="1448"/>
      <c r="C127" s="130" t="s">
        <v>33</v>
      </c>
      <c r="D127" s="337" t="str">
        <f>IF(E127='Parametre - Agendové IS'!BP13,"OK","Chyba počtu podaní")</f>
        <v>OK</v>
      </c>
      <c r="E127" s="338">
        <f t="shared" si="3"/>
        <v>0</v>
      </c>
      <c r="F127" s="194"/>
      <c r="G127" s="194"/>
      <c r="H127" s="194"/>
      <c r="I127" s="194"/>
    </row>
    <row r="128" spans="1:9" ht="16" thickBot="1" x14ac:dyDescent="0.25">
      <c r="A128" s="1324"/>
      <c r="B128" s="1449"/>
      <c r="C128" s="131" t="s">
        <v>34</v>
      </c>
      <c r="D128" s="337" t="str">
        <f>IF(E128='Parametre - Agendové IS'!BP14,"OK","Chyba počtu podaní")</f>
        <v>OK</v>
      </c>
      <c r="E128" s="338">
        <f t="shared" si="3"/>
        <v>0</v>
      </c>
      <c r="F128" s="194"/>
      <c r="G128" s="194"/>
      <c r="H128" s="194"/>
      <c r="I128" s="194"/>
    </row>
    <row r="129" spans="1:9" x14ac:dyDescent="0.2">
      <c r="A129" s="1322" t="s">
        <v>39</v>
      </c>
      <c r="B129" s="1447" t="s">
        <v>13</v>
      </c>
      <c r="C129" s="133" t="s">
        <v>25</v>
      </c>
      <c r="D129" s="336" t="str">
        <f>IF(E129='Parametre - Agendové IS'!BP126,"OK","Chyba")</f>
        <v>OK</v>
      </c>
      <c r="E129" s="341">
        <f t="shared" si="3"/>
        <v>0</v>
      </c>
      <c r="F129" s="193"/>
      <c r="G129" s="193"/>
      <c r="H129" s="193"/>
      <c r="I129" s="193"/>
    </row>
    <row r="130" spans="1:9" x14ac:dyDescent="0.2">
      <c r="A130" s="1446"/>
      <c r="B130" s="1448"/>
      <c r="C130" s="130" t="s">
        <v>26</v>
      </c>
      <c r="D130" s="337" t="str">
        <f>IF(E130='Parametre - Agendové IS'!BP127,"OK","Chyba")</f>
        <v>OK</v>
      </c>
      <c r="E130" s="338">
        <f t="shared" si="3"/>
        <v>0</v>
      </c>
      <c r="F130" s="194"/>
      <c r="G130" s="194"/>
      <c r="H130" s="194"/>
      <c r="I130" s="194"/>
    </row>
    <row r="131" spans="1:9" x14ac:dyDescent="0.2">
      <c r="A131" s="1446"/>
      <c r="B131" s="1448"/>
      <c r="C131" s="130" t="s">
        <v>27</v>
      </c>
      <c r="D131" s="337" t="str">
        <f>IF(E131='Parametre - Agendové IS'!BP128,"OK","Chyba")</f>
        <v>OK</v>
      </c>
      <c r="E131" s="338">
        <f t="shared" si="3"/>
        <v>0</v>
      </c>
      <c r="F131" s="194"/>
      <c r="G131" s="194"/>
      <c r="H131" s="194"/>
      <c r="I131" s="194"/>
    </row>
    <row r="132" spans="1:9" x14ac:dyDescent="0.2">
      <c r="A132" s="1446"/>
      <c r="B132" s="1448"/>
      <c r="C132" s="130" t="s">
        <v>28</v>
      </c>
      <c r="D132" s="337" t="str">
        <f>IF(E132='Parametre - Agendové IS'!BP129,"OK","Chyba")</f>
        <v>OK</v>
      </c>
      <c r="E132" s="338">
        <f t="shared" si="3"/>
        <v>0</v>
      </c>
      <c r="F132" s="194"/>
      <c r="G132" s="194"/>
      <c r="H132" s="194"/>
      <c r="I132" s="194"/>
    </row>
    <row r="133" spans="1:9" x14ac:dyDescent="0.2">
      <c r="A133" s="1446"/>
      <c r="B133" s="1448"/>
      <c r="C133" s="130" t="s">
        <v>29</v>
      </c>
      <c r="D133" s="337" t="str">
        <f>IF(E133='Parametre - Agendové IS'!BP130,"OK","Chyba")</f>
        <v>OK</v>
      </c>
      <c r="E133" s="338">
        <f t="shared" si="3"/>
        <v>0</v>
      </c>
      <c r="F133" s="194"/>
      <c r="G133" s="194"/>
      <c r="H133" s="194"/>
      <c r="I133" s="194"/>
    </row>
    <row r="134" spans="1:9" x14ac:dyDescent="0.2">
      <c r="A134" s="1446"/>
      <c r="B134" s="1448"/>
      <c r="C134" s="130" t="s">
        <v>30</v>
      </c>
      <c r="D134" s="337" t="str">
        <f>IF(E134='Parametre - Agendové IS'!BP131,"OK","Chyba")</f>
        <v>OK</v>
      </c>
      <c r="E134" s="338">
        <f t="shared" si="3"/>
        <v>0</v>
      </c>
      <c r="F134" s="194"/>
      <c r="G134" s="194"/>
      <c r="H134" s="194"/>
      <c r="I134" s="194"/>
    </row>
    <row r="135" spans="1:9" x14ac:dyDescent="0.2">
      <c r="A135" s="1446"/>
      <c r="B135" s="1448"/>
      <c r="C135" s="130" t="s">
        <v>31</v>
      </c>
      <c r="D135" s="337" t="str">
        <f>IF(E135='Parametre - Agendové IS'!BP132,"OK","Chyba")</f>
        <v>OK</v>
      </c>
      <c r="E135" s="338">
        <f t="shared" si="3"/>
        <v>0</v>
      </c>
      <c r="F135" s="194"/>
      <c r="G135" s="194"/>
      <c r="H135" s="194"/>
      <c r="I135" s="194"/>
    </row>
    <row r="136" spans="1:9" x14ac:dyDescent="0.2">
      <c r="A136" s="1446"/>
      <c r="B136" s="1448"/>
      <c r="C136" s="130" t="s">
        <v>32</v>
      </c>
      <c r="D136" s="337" t="str">
        <f>IF(E136='Parametre - Agendové IS'!BP133,"OK","Chyba")</f>
        <v>OK</v>
      </c>
      <c r="E136" s="338">
        <f t="shared" si="3"/>
        <v>0</v>
      </c>
      <c r="F136" s="194"/>
      <c r="G136" s="194"/>
      <c r="H136" s="194"/>
      <c r="I136" s="194"/>
    </row>
    <row r="137" spans="1:9" x14ac:dyDescent="0.2">
      <c r="A137" s="1446"/>
      <c r="B137" s="1448"/>
      <c r="C137" s="130" t="s">
        <v>33</v>
      </c>
      <c r="D137" s="337" t="str">
        <f>IF(E137='Parametre - Agendové IS'!BP134,"OK","Chyba")</f>
        <v>OK</v>
      </c>
      <c r="E137" s="338">
        <f t="shared" si="3"/>
        <v>0</v>
      </c>
      <c r="F137" s="194"/>
      <c r="G137" s="194"/>
      <c r="H137" s="194"/>
      <c r="I137" s="194"/>
    </row>
    <row r="138" spans="1:9" ht="16" thickBot="1" x14ac:dyDescent="0.25">
      <c r="A138" s="1324"/>
      <c r="B138" s="1449"/>
      <c r="C138" s="131" t="s">
        <v>34</v>
      </c>
      <c r="D138" s="337" t="str">
        <f>IF(E138='Parametre - Agendové IS'!BP135,"OK","Chyba")</f>
        <v>OK</v>
      </c>
      <c r="E138" s="338">
        <f t="shared" si="3"/>
        <v>0</v>
      </c>
      <c r="F138" s="194"/>
      <c r="G138" s="194"/>
      <c r="H138" s="194"/>
      <c r="I138" s="194"/>
    </row>
  </sheetData>
  <mergeCells count="32">
    <mergeCell ref="A119:A128"/>
    <mergeCell ref="B119:B128"/>
    <mergeCell ref="A109:A118"/>
    <mergeCell ref="B109:B118"/>
    <mergeCell ref="A84:A93"/>
    <mergeCell ref="B84:B93"/>
    <mergeCell ref="A107:C108"/>
    <mergeCell ref="D107:E107"/>
    <mergeCell ref="D72:E72"/>
    <mergeCell ref="D37:E37"/>
    <mergeCell ref="D2:E2"/>
    <mergeCell ref="A2:C3"/>
    <mergeCell ref="B4:B13"/>
    <mergeCell ref="A14:A23"/>
    <mergeCell ref="B14:B23"/>
    <mergeCell ref="A4:A13"/>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s>
  <pageMargins left="0.7" right="0.7" top="0.75" bottom="0.75" header="0.3" footer="0.3"/>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4">
    <tabColor theme="0" tint="-0.34998626667073579"/>
  </sheetPr>
  <dimension ref="A1:L22"/>
  <sheetViews>
    <sheetView topLeftCell="B1" zoomScaleNormal="100" workbookViewId="0">
      <selection activeCell="L19" sqref="L19"/>
    </sheetView>
  </sheetViews>
  <sheetFormatPr baseColWidth="10" defaultColWidth="8.83203125" defaultRowHeight="15" x14ac:dyDescent="0.2"/>
  <cols>
    <col min="1" max="1" width="9.33203125" customWidth="1"/>
    <col min="2" max="4" width="13.83203125" customWidth="1"/>
    <col min="5" max="7" width="13.6640625" customWidth="1"/>
    <col min="8" max="8" width="9.83203125" customWidth="1"/>
    <col min="9" max="9" width="15.33203125" customWidth="1"/>
    <col min="10" max="10" width="13" customWidth="1"/>
    <col min="11" max="11" width="14.33203125" customWidth="1"/>
    <col min="12" max="12" width="23.1640625" customWidth="1"/>
  </cols>
  <sheetData>
    <row r="1" spans="1:12" ht="16" thickBot="1" x14ac:dyDescent="0.25">
      <c r="A1" s="9"/>
      <c r="B1" s="1306" t="s">
        <v>36</v>
      </c>
      <c r="C1" s="1307"/>
      <c r="D1" s="1307"/>
      <c r="E1" s="1307"/>
      <c r="F1" s="1307"/>
      <c r="G1" s="1308"/>
      <c r="H1" s="1309" t="s">
        <v>16</v>
      </c>
      <c r="I1" s="1310"/>
      <c r="J1" s="1310"/>
      <c r="K1" s="1310"/>
      <c r="L1" s="1311"/>
    </row>
    <row r="2" spans="1:12" ht="32" x14ac:dyDescent="0.2">
      <c r="A2" s="10"/>
      <c r="B2" s="1309" t="s">
        <v>254</v>
      </c>
      <c r="C2" s="1310"/>
      <c r="D2" s="1311"/>
      <c r="E2" s="1309" t="s">
        <v>255</v>
      </c>
      <c r="F2" s="1310"/>
      <c r="G2" s="1311"/>
      <c r="H2" s="50" t="s">
        <v>19</v>
      </c>
      <c r="I2" s="45" t="s">
        <v>20</v>
      </c>
      <c r="J2" s="12" t="s">
        <v>21</v>
      </c>
      <c r="K2" s="1312" t="s">
        <v>22</v>
      </c>
      <c r="L2" s="1313"/>
    </row>
    <row r="3" spans="1:12" ht="17" thickBot="1" x14ac:dyDescent="0.25">
      <c r="A3" s="11" t="s">
        <v>23</v>
      </c>
      <c r="B3" s="14" t="s">
        <v>171</v>
      </c>
      <c r="C3" s="15" t="s">
        <v>124</v>
      </c>
      <c r="D3" s="16" t="s">
        <v>24</v>
      </c>
      <c r="E3" s="14" t="s">
        <v>171</v>
      </c>
      <c r="F3" s="15" t="s">
        <v>124</v>
      </c>
      <c r="G3" s="16" t="s">
        <v>24</v>
      </c>
      <c r="H3" s="51"/>
      <c r="I3" s="46"/>
      <c r="J3" s="13"/>
      <c r="K3" s="1304"/>
      <c r="L3" s="1305"/>
    </row>
    <row r="4" spans="1:12" ht="16" x14ac:dyDescent="0.2">
      <c r="A4" s="44" t="s">
        <v>25</v>
      </c>
      <c r="B4" s="26">
        <f>'Prínosy - Agendové IS'!V4-'Výdavky - Agendové IS'!U4</f>
        <v>0</v>
      </c>
      <c r="C4" s="25">
        <f>'Prínosy - Agendové IS'!W4-'Výdavky - Agendové IS'!V4</f>
        <v>-1864482.9380306648</v>
      </c>
      <c r="D4" s="32">
        <f>C4-B4</f>
        <v>-1864482.9380306648</v>
      </c>
      <c r="E4" s="26">
        <f>'Prínosy - Agendové IS'!Y4-('Výdavky - Agendové IS'!U4/1.23)</f>
        <v>0</v>
      </c>
      <c r="F4" s="26">
        <f>'Prínosy - Agendové IS'!Z4-('Výdavky - Agendové IS'!V4/1.23)</f>
        <v>-1515839.7870168006</v>
      </c>
      <c r="G4" s="32">
        <f t="shared" ref="G4:G13" si="0">F4-E4</f>
        <v>-1515839.7870168006</v>
      </c>
      <c r="H4" s="52">
        <v>0</v>
      </c>
      <c r="I4" s="47">
        <f>D4*(1/(1+Faktory!$D$3)^H4)</f>
        <v>-1864482.9380306648</v>
      </c>
      <c r="J4" s="54">
        <f>G4*(1/(1+Faktory!$D$5)^H4)</f>
        <v>-1515839.7870168006</v>
      </c>
      <c r="K4" s="53">
        <f>J4</f>
        <v>-1515839.7870168006</v>
      </c>
      <c r="L4" s="30" t="str">
        <f>IF(K4&gt;0,"Rok návratu investície","&lt;")</f>
        <v>&lt;</v>
      </c>
    </row>
    <row r="5" spans="1:12" ht="16" x14ac:dyDescent="0.2">
      <c r="A5" s="31" t="s">
        <v>26</v>
      </c>
      <c r="B5" s="26">
        <f>'Prínosy - Agendové IS'!V5-'Výdavky - Agendové IS'!U5</f>
        <v>0</v>
      </c>
      <c r="C5" s="25">
        <f>'Prínosy - Agendové IS'!W5-'Výdavky - Agendové IS'!V5</f>
        <v>-26635470.543295216</v>
      </c>
      <c r="D5" s="28">
        <f t="shared" ref="D5:D13" si="1">C5-B5</f>
        <v>-26635470.543295216</v>
      </c>
      <c r="E5" s="26">
        <f>'Prínosy - Agendové IS'!Y5-('Výdavky - Agendové IS'!U5/1.23)</f>
        <v>0</v>
      </c>
      <c r="F5" s="26">
        <f>'Prínosy - Agendové IS'!Z5-('Výdavky - Agendové IS'!V5/1.23)</f>
        <v>-21654854.100240014</v>
      </c>
      <c r="G5" s="28">
        <f t="shared" si="0"/>
        <v>-21654854.100240014</v>
      </c>
      <c r="H5" s="52">
        <v>1</v>
      </c>
      <c r="I5" s="48">
        <f>D5*(1/(1+Faktory!$D$3)^H5)</f>
        <v>-25611029.368553091</v>
      </c>
      <c r="J5" s="55">
        <f>G5*(1/(1+Faktory!$D$5)^H5)</f>
        <v>-20623670.571657155</v>
      </c>
      <c r="K5" s="53">
        <f>J5+K4</f>
        <v>-22139510.358673956</v>
      </c>
      <c r="L5" s="30" t="str">
        <f>IF(L4="&lt;",IF(K5&gt;0,"Rok návratu investície","&lt;"),"&gt;")</f>
        <v>&lt;</v>
      </c>
    </row>
    <row r="6" spans="1:12" ht="16" x14ac:dyDescent="0.2">
      <c r="A6" s="31" t="s">
        <v>27</v>
      </c>
      <c r="B6" s="26">
        <f>'Prínosy - Agendové IS'!V6-'Výdavky - Agendové IS'!U6</f>
        <v>0</v>
      </c>
      <c r="C6" s="25">
        <f>'Prínosy - Agendové IS'!W6-'Výdavky - Agendové IS'!V6</f>
        <v>0</v>
      </c>
      <c r="D6" s="28">
        <f t="shared" si="1"/>
        <v>0</v>
      </c>
      <c r="E6" s="26">
        <f>'Prínosy - Agendové IS'!Y6-('Výdavky - Agendové IS'!U6/1.23)</f>
        <v>0</v>
      </c>
      <c r="F6" s="26">
        <f>'Prínosy - Agendové IS'!Z6-('Výdavky - Agendové IS'!V6/1.23)</f>
        <v>3054919.8884074399</v>
      </c>
      <c r="G6" s="28">
        <f t="shared" si="0"/>
        <v>3054919.8884074399</v>
      </c>
      <c r="H6" s="52">
        <v>2</v>
      </c>
      <c r="I6" s="48">
        <f>D6*(1/(1+Faktory!$D$3)^H6)</f>
        <v>0</v>
      </c>
      <c r="J6" s="55">
        <f>G6*(1/(1+Faktory!$D$5)^H6)</f>
        <v>2770902.393113324</v>
      </c>
      <c r="K6" s="53">
        <f t="shared" ref="K6:K13" si="2">J6+K5</f>
        <v>-19368607.965560634</v>
      </c>
      <c r="L6" s="30" t="str">
        <f t="shared" ref="L6:L13" si="3">IF(L5="&lt;",IF(K6&gt;0,"Rok návratu investície","&lt;"),"&gt;")</f>
        <v>&lt;</v>
      </c>
    </row>
    <row r="7" spans="1:12" ht="16" x14ac:dyDescent="0.2">
      <c r="A7" s="31" t="s">
        <v>28</v>
      </c>
      <c r="B7" s="26">
        <f>'Prínosy - Agendové IS'!V7-'Výdavky - Agendové IS'!U7</f>
        <v>0</v>
      </c>
      <c r="C7" s="25">
        <f>'Prínosy - Agendové IS'!W7-'Výdavky - Agendové IS'!V7</f>
        <v>0</v>
      </c>
      <c r="D7" s="28">
        <f t="shared" si="1"/>
        <v>0</v>
      </c>
      <c r="E7" s="26">
        <f>'Prínosy - Agendové IS'!Y7-('Výdavky - Agendové IS'!U7/1.23)</f>
        <v>0</v>
      </c>
      <c r="F7" s="26">
        <f>'Prínosy - Agendové IS'!Z7-('Výdavky - Agendové IS'!V7/1.23)</f>
        <v>3054919.8884074399</v>
      </c>
      <c r="G7" s="28">
        <f t="shared" si="0"/>
        <v>3054919.8884074399</v>
      </c>
      <c r="H7" s="52">
        <v>3</v>
      </c>
      <c r="I7" s="48">
        <f>D7*(1/(1+Faktory!$D$3)^H7)</f>
        <v>0</v>
      </c>
      <c r="J7" s="55">
        <f>G7*(1/(1+Faktory!$D$5)^H7)</f>
        <v>2638954.6601079274</v>
      </c>
      <c r="K7" s="53">
        <f t="shared" si="2"/>
        <v>-16729653.305452706</v>
      </c>
      <c r="L7" s="30" t="str">
        <f t="shared" si="3"/>
        <v>&lt;</v>
      </c>
    </row>
    <row r="8" spans="1:12" ht="16" x14ac:dyDescent="0.2">
      <c r="A8" s="31" t="s">
        <v>29</v>
      </c>
      <c r="B8" s="26">
        <f>'Prínosy - Agendové IS'!V8-'Výdavky - Agendové IS'!U8</f>
        <v>0</v>
      </c>
      <c r="C8" s="25">
        <f>'Prínosy - Agendové IS'!W8-'Výdavky - Agendové IS'!V8</f>
        <v>0</v>
      </c>
      <c r="D8" s="28">
        <f t="shared" si="1"/>
        <v>0</v>
      </c>
      <c r="E8" s="26">
        <f>'Prínosy - Agendové IS'!Y8-('Výdavky - Agendové IS'!U8/1.23)</f>
        <v>0</v>
      </c>
      <c r="F8" s="26">
        <f>'Prínosy - Agendové IS'!Z8-('Výdavky - Agendové IS'!V8/1.23)</f>
        <v>4069455.4791245125</v>
      </c>
      <c r="G8" s="28">
        <f t="shared" si="0"/>
        <v>4069455.4791245125</v>
      </c>
      <c r="H8" s="52">
        <v>4</v>
      </c>
      <c r="I8" s="48">
        <f>D8*(1/(1+Faktory!$D$3)^H8)</f>
        <v>0</v>
      </c>
      <c r="J8" s="55">
        <f>G8*(1/(1+Faktory!$D$5)^H8)</f>
        <v>3347951.0937311202</v>
      </c>
      <c r="K8" s="53">
        <f t="shared" si="2"/>
        <v>-13381702.211721586</v>
      </c>
      <c r="L8" s="30" t="str">
        <f t="shared" si="3"/>
        <v>&lt;</v>
      </c>
    </row>
    <row r="9" spans="1:12" ht="16" x14ac:dyDescent="0.2">
      <c r="A9" s="31" t="s">
        <v>30</v>
      </c>
      <c r="B9" s="26">
        <f>'Prínosy - Agendové IS'!V9-'Výdavky - Agendové IS'!U9</f>
        <v>0</v>
      </c>
      <c r="C9" s="25">
        <f>'Prínosy - Agendové IS'!W9-'Výdavky - Agendové IS'!V9</f>
        <v>0</v>
      </c>
      <c r="D9" s="28">
        <f t="shared" si="1"/>
        <v>0</v>
      </c>
      <c r="E9" s="26">
        <f>'Prínosy - Agendové IS'!Y9-('Výdavky - Agendové IS'!U9/1.23)</f>
        <v>0</v>
      </c>
      <c r="F9" s="26">
        <f>'Prínosy - Agendové IS'!Z9-('Výdavky - Agendové IS'!V9/1.23)</f>
        <v>7581424.5520049995</v>
      </c>
      <c r="G9" s="28">
        <f t="shared" si="0"/>
        <v>7581424.5520049995</v>
      </c>
      <c r="H9" s="52">
        <v>5</v>
      </c>
      <c r="I9" s="48">
        <f>D9*(1/(1+Faktory!$D$3)^H9)</f>
        <v>0</v>
      </c>
      <c r="J9" s="55">
        <f>G9*(1/(1+Faktory!$D$5)^H9)</f>
        <v>5940244.5156023307</v>
      </c>
      <c r="K9" s="53">
        <f t="shared" si="2"/>
        <v>-7441457.6961192554</v>
      </c>
      <c r="L9" s="30" t="str">
        <f t="shared" si="3"/>
        <v>&lt;</v>
      </c>
    </row>
    <row r="10" spans="1:12" ht="16" x14ac:dyDescent="0.2">
      <c r="A10" s="31" t="s">
        <v>31</v>
      </c>
      <c r="B10" s="26">
        <f>'Prínosy - Agendové IS'!V10-'Výdavky - Agendové IS'!U10</f>
        <v>0</v>
      </c>
      <c r="C10" s="25">
        <f>'Prínosy - Agendové IS'!W10-'Výdavky - Agendové IS'!V10</f>
        <v>-704502.93159885623</v>
      </c>
      <c r="D10" s="28">
        <f t="shared" si="1"/>
        <v>-704502.93159885623</v>
      </c>
      <c r="E10" s="26">
        <f>'Prínosy - Agendové IS'!Y10-('Výdavky - Agendové IS'!U10/1.23)</f>
        <v>0</v>
      </c>
      <c r="F10" s="26">
        <f>'Prínosy - Agendové IS'!Z10-('Výdavky - Agendové IS'!V10/1.23)</f>
        <v>7008657.940949019</v>
      </c>
      <c r="G10" s="28">
        <f t="shared" si="0"/>
        <v>7008657.940949019</v>
      </c>
      <c r="H10" s="52">
        <v>6</v>
      </c>
      <c r="I10" s="48">
        <f>D10*(1/(1+Faktory!$D$3)^H10)</f>
        <v>-556778.9002620473</v>
      </c>
      <c r="J10" s="55">
        <f>G10*(1/(1+Faktory!$D$5)^H10)</f>
        <v>5229968.4652957218</v>
      </c>
      <c r="K10" s="53">
        <f t="shared" si="2"/>
        <v>-2211489.2308235336</v>
      </c>
      <c r="L10" s="30" t="str">
        <f t="shared" si="3"/>
        <v>&lt;</v>
      </c>
    </row>
    <row r="11" spans="1:12" ht="16" x14ac:dyDescent="0.2">
      <c r="A11" s="31" t="s">
        <v>32</v>
      </c>
      <c r="B11" s="26">
        <f>'Prínosy - Agendové IS'!V11-'Výdavky - Agendové IS'!U11</f>
        <v>0</v>
      </c>
      <c r="C11" s="25">
        <f>'Prínosy - Agendové IS'!W11-'Výdavky - Agendové IS'!V11</f>
        <v>-704502.93159885623</v>
      </c>
      <c r="D11" s="28">
        <f t="shared" si="1"/>
        <v>-704502.93159885623</v>
      </c>
      <c r="E11" s="26">
        <f>'Prínosy - Agendové IS'!Y11-('Výdavky - Agendové IS'!U11/1.23)</f>
        <v>0</v>
      </c>
      <c r="F11" s="26">
        <f>'Prínosy - Agendové IS'!Z11-('Výdavky - Agendové IS'!V11/1.23)</f>
        <v>7008657.940949019</v>
      </c>
      <c r="G11" s="28">
        <f t="shared" si="0"/>
        <v>7008657.940949019</v>
      </c>
      <c r="H11" s="52">
        <v>7</v>
      </c>
      <c r="I11" s="48">
        <f>D11*(1/(1+Faktory!$D$3)^H11)</f>
        <v>-535364.32717504562</v>
      </c>
      <c r="J11" s="55">
        <f>G11*(1/(1+Faktory!$D$5)^H11)</f>
        <v>4980922.3479006868</v>
      </c>
      <c r="K11" s="53">
        <f t="shared" si="2"/>
        <v>2769433.1170771532</v>
      </c>
      <c r="L11" s="30" t="str">
        <f t="shared" si="3"/>
        <v>Rok návratu investície</v>
      </c>
    </row>
    <row r="12" spans="1:12" ht="16" x14ac:dyDescent="0.2">
      <c r="A12" s="31" t="s">
        <v>33</v>
      </c>
      <c r="B12" s="26">
        <f>'Prínosy - Agendové IS'!V12-'Výdavky - Agendové IS'!U12</f>
        <v>0</v>
      </c>
      <c r="C12" s="25">
        <f>'Prínosy - Agendové IS'!W12-'Výdavky - Agendové IS'!V12</f>
        <v>-704502.93159885623</v>
      </c>
      <c r="D12" s="28">
        <f t="shared" si="1"/>
        <v>-704502.93159885623</v>
      </c>
      <c r="E12" s="26">
        <f>'Prínosy - Agendové IS'!Y12-('Výdavky - Agendové IS'!U12/1.23)</f>
        <v>0</v>
      </c>
      <c r="F12" s="26">
        <f>'Prínosy - Agendové IS'!Z12-('Výdavky - Agendové IS'!V12/1.23)</f>
        <v>7008657.940949019</v>
      </c>
      <c r="G12" s="28">
        <f t="shared" si="0"/>
        <v>7008657.940949019</v>
      </c>
      <c r="H12" s="52">
        <v>8</v>
      </c>
      <c r="I12" s="48">
        <f>D12*(1/(1+Faktory!$D$3)^H12)</f>
        <v>-514773.39151446684</v>
      </c>
      <c r="J12" s="55">
        <f>G12*(1/(1+Faktory!$D$5)^H12)</f>
        <v>4743735.5694292262</v>
      </c>
      <c r="K12" s="53">
        <f t="shared" si="2"/>
        <v>7513168.6865063794</v>
      </c>
      <c r="L12" s="30" t="str">
        <f t="shared" si="3"/>
        <v>&gt;</v>
      </c>
    </row>
    <row r="13" spans="1:12" ht="17" thickBot="1" x14ac:dyDescent="0.25">
      <c r="A13" s="31" t="s">
        <v>34</v>
      </c>
      <c r="B13" s="43">
        <f>'Prínosy - Agendové IS'!V13-'Výdavky - Agendové IS'!U13</f>
        <v>0</v>
      </c>
      <c r="C13" s="39">
        <f>'Prínosy - Agendové IS'!W13-'Výdavky - Agendové IS'!V13</f>
        <v>-704502.93159885623</v>
      </c>
      <c r="D13" s="33">
        <f t="shared" si="1"/>
        <v>-704502.93159885623</v>
      </c>
      <c r="E13" s="26">
        <f>'Prínosy - Agendové IS'!Y13-('Výdavky - Agendové IS'!U13/1.23)</f>
        <v>0</v>
      </c>
      <c r="F13" s="26">
        <f>'Prínosy - Agendové IS'!Z13-('Výdavky - Agendové IS'!V13/1.23)</f>
        <v>7008657.940949019</v>
      </c>
      <c r="G13" s="33">
        <f t="shared" si="0"/>
        <v>7008657.940949019</v>
      </c>
      <c r="H13" s="52">
        <v>9</v>
      </c>
      <c r="I13" s="49">
        <f>D13*(1/(1+Faktory!$D$3)^H13)</f>
        <v>-494974.41491775645</v>
      </c>
      <c r="J13" s="56">
        <f>G13*(1/(1+Faktory!$D$5)^H13)</f>
        <v>4517843.399456406</v>
      </c>
      <c r="K13" s="53">
        <f t="shared" si="2"/>
        <v>12031012.085962785</v>
      </c>
      <c r="L13" s="30" t="str">
        <f t="shared" si="3"/>
        <v>&gt;</v>
      </c>
    </row>
    <row r="14" spans="1:12" ht="16" thickBot="1" x14ac:dyDescent="0.25">
      <c r="A14" s="58" t="s">
        <v>35</v>
      </c>
      <c r="B14" s="40">
        <f t="shared" ref="B14:G14" si="4">SUM(B4:B13)</f>
        <v>0</v>
      </c>
      <c r="C14" s="41">
        <f t="shared" si="4"/>
        <v>-31317965.207721308</v>
      </c>
      <c r="D14" s="41">
        <f t="shared" si="4"/>
        <v>-31317965.207721308</v>
      </c>
      <c r="E14" s="41">
        <f t="shared" si="4"/>
        <v>0</v>
      </c>
      <c r="F14" s="41">
        <f t="shared" si="4"/>
        <v>22624657.684483651</v>
      </c>
      <c r="G14" s="42">
        <f t="shared" si="4"/>
        <v>22624657.684483651</v>
      </c>
      <c r="H14" s="59" t="s">
        <v>35</v>
      </c>
      <c r="I14" s="134">
        <f>SUM(I4:I13)</f>
        <v>-29577403.34045307</v>
      </c>
      <c r="J14" s="135">
        <f>SUM(J4:J13)</f>
        <v>12031012.085962785</v>
      </c>
      <c r="K14" s="7"/>
      <c r="L14" s="7"/>
    </row>
    <row r="16" spans="1:12" ht="16" thickBot="1" x14ac:dyDescent="0.25">
      <c r="H16" s="97" t="s">
        <v>137</v>
      </c>
      <c r="J16" s="145" t="s">
        <v>126</v>
      </c>
      <c r="K16" s="145" t="s">
        <v>135</v>
      </c>
    </row>
    <row r="17" spans="5:11" s="114" customFormat="1" ht="25" thickBot="1" x14ac:dyDescent="0.2">
      <c r="H17" s="139" t="s">
        <v>114</v>
      </c>
      <c r="I17" s="141" t="s">
        <v>132</v>
      </c>
      <c r="J17" s="142">
        <f>'Prínosy - Agendové IS'!AA16/('Výdavky - Agendové IS'!V15)</f>
        <v>1.2251850706628962</v>
      </c>
      <c r="K17" s="146">
        <v>1</v>
      </c>
    </row>
    <row r="18" spans="5:11" s="114" customFormat="1" ht="25" thickBot="1" x14ac:dyDescent="0.2">
      <c r="H18" s="140" t="s">
        <v>129</v>
      </c>
      <c r="I18" s="141" t="s">
        <v>133</v>
      </c>
      <c r="J18" s="143" t="e">
        <f>IRR($D$4:$D$13,0.01)</f>
        <v>#NUM!</v>
      </c>
      <c r="K18" s="147" t="s">
        <v>136</v>
      </c>
    </row>
    <row r="19" spans="5:11" s="114" customFormat="1" ht="25" thickBot="1" x14ac:dyDescent="0.2">
      <c r="E19" s="136"/>
      <c r="H19" s="140" t="s">
        <v>130</v>
      </c>
      <c r="I19" s="141" t="s">
        <v>134</v>
      </c>
      <c r="J19" s="143">
        <f>IRR($G$4:$G$13,0.01)</f>
        <v>0.15020814769935709</v>
      </c>
      <c r="K19" s="147">
        <v>0.05</v>
      </c>
    </row>
    <row r="20" spans="5:11" ht="16" thickBot="1" x14ac:dyDescent="0.25">
      <c r="H20" s="137"/>
      <c r="I20" s="138"/>
      <c r="J20" s="137"/>
      <c r="K20" s="148"/>
    </row>
    <row r="21" spans="5:11" s="114" customFormat="1" ht="25" thickBot="1" x14ac:dyDescent="0.2">
      <c r="H21" s="140" t="s">
        <v>131</v>
      </c>
      <c r="I21" s="141" t="s">
        <v>258</v>
      </c>
      <c r="J21" s="144">
        <f>I14</f>
        <v>-29577403.34045307</v>
      </c>
      <c r="K21" s="149" t="s">
        <v>136</v>
      </c>
    </row>
    <row r="22" spans="5:11" s="114" customFormat="1" ht="25" thickBot="1" x14ac:dyDescent="0.2">
      <c r="H22" s="140" t="s">
        <v>69</v>
      </c>
      <c r="I22" s="141" t="s">
        <v>257</v>
      </c>
      <c r="J22" s="144">
        <f>J14</f>
        <v>12031012.085962785</v>
      </c>
      <c r="K22" s="149">
        <v>0</v>
      </c>
    </row>
  </sheetData>
  <mergeCells count="6">
    <mergeCell ref="K3:L3"/>
    <mergeCell ref="B1:G1"/>
    <mergeCell ref="H1:L1"/>
    <mergeCell ref="B2:D2"/>
    <mergeCell ref="E2:G2"/>
    <mergeCell ref="K2:L2"/>
  </mergeCells>
  <conditionalFormatting sqref="L4:L13">
    <cfRule type="cellIs" dxfId="21" priority="1" stopIfTrue="1" operator="equal">
      <formula>"Rok návratu investície"</formula>
    </cfRule>
  </conditionalFormatting>
  <pageMargins left="0.7" right="0.7" top="0.75" bottom="0.75" header="0.3" footer="0.3"/>
  <pageSetup paperSize="9"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7">
    <tabColor theme="0" tint="-0.34998626667073579"/>
  </sheetPr>
  <dimension ref="A1:X22"/>
  <sheetViews>
    <sheetView view="pageBreakPreview" zoomScaleNormal="80" zoomScaleSheetLayoutView="100" workbookViewId="0">
      <selection activeCell="U4" sqref="U4"/>
    </sheetView>
  </sheetViews>
  <sheetFormatPr baseColWidth="10" defaultColWidth="8.83203125" defaultRowHeight="15" x14ac:dyDescent="0.2"/>
  <cols>
    <col min="2" max="2" width="4.5" bestFit="1" customWidth="1"/>
    <col min="3" max="3" width="14.33203125" customWidth="1"/>
    <col min="4" max="4" width="15.83203125" bestFit="1" customWidth="1"/>
    <col min="5" max="5" width="16.6640625" bestFit="1" customWidth="1"/>
    <col min="6" max="7" width="13.5" bestFit="1" customWidth="1"/>
    <col min="8" max="8" width="16.6640625" bestFit="1" customWidth="1"/>
    <col min="9" max="9" width="14.5" bestFit="1" customWidth="1"/>
    <col min="10" max="10" width="13.5" bestFit="1" customWidth="1"/>
    <col min="11" max="11" width="16.6640625" bestFit="1" customWidth="1"/>
    <col min="12" max="17" width="16.6640625" customWidth="1"/>
    <col min="18" max="18" width="13.5" bestFit="1" customWidth="1"/>
    <col min="19" max="19" width="15.83203125" bestFit="1" customWidth="1"/>
    <col min="20" max="20" width="15.33203125" customWidth="1"/>
    <col min="21" max="22" width="17" bestFit="1" customWidth="1"/>
    <col min="23" max="23" width="14.33203125" bestFit="1" customWidth="1"/>
  </cols>
  <sheetData>
    <row r="1" spans="1:24" ht="15.75" customHeight="1" thickBot="1" x14ac:dyDescent="0.25">
      <c r="A1" s="658"/>
      <c r="B1" s="659"/>
      <c r="C1" s="1320" t="s">
        <v>140</v>
      </c>
      <c r="D1" s="1320"/>
      <c r="E1" s="1320"/>
      <c r="F1" s="1320"/>
      <c r="G1" s="1320"/>
      <c r="H1" s="1320"/>
      <c r="I1" s="1320"/>
      <c r="J1" s="1320"/>
      <c r="K1" s="1320"/>
      <c r="L1" s="1320"/>
      <c r="M1" s="1320"/>
      <c r="N1" s="1321"/>
      <c r="O1" s="1319" t="s">
        <v>232</v>
      </c>
      <c r="P1" s="1320"/>
      <c r="Q1" s="1321"/>
      <c r="R1" s="1318" t="s">
        <v>67</v>
      </c>
      <c r="S1" s="1318"/>
      <c r="T1" s="1318"/>
      <c r="U1" s="1306" t="s">
        <v>68</v>
      </c>
      <c r="V1" s="1307"/>
      <c r="W1" s="1308"/>
    </row>
    <row r="2" spans="1:24" ht="15.75" customHeight="1" thickBot="1" x14ac:dyDescent="0.25">
      <c r="A2" s="660"/>
      <c r="B2" s="654"/>
      <c r="C2" s="1307" t="s">
        <v>64</v>
      </c>
      <c r="D2" s="1307"/>
      <c r="E2" s="1308"/>
      <c r="F2" s="1307" t="s">
        <v>65</v>
      </c>
      <c r="G2" s="1307"/>
      <c r="H2" s="1308"/>
      <c r="I2" s="1307" t="s">
        <v>104</v>
      </c>
      <c r="J2" s="1307"/>
      <c r="K2" s="1308"/>
      <c r="L2" s="1307" t="s">
        <v>248</v>
      </c>
      <c r="M2" s="1307"/>
      <c r="N2" s="1308"/>
      <c r="O2" s="1307"/>
      <c r="P2" s="1307"/>
      <c r="Q2" s="1308"/>
      <c r="R2" s="1307" t="s">
        <v>66</v>
      </c>
      <c r="S2" s="1307"/>
      <c r="T2" s="1308"/>
      <c r="U2" s="8"/>
      <c r="V2" s="8"/>
      <c r="W2" s="35"/>
    </row>
    <row r="3" spans="1:24" ht="19.25" customHeight="1" thickBot="1" x14ac:dyDescent="0.25">
      <c r="A3" s="36" t="s">
        <v>23</v>
      </c>
      <c r="B3" s="657" t="s">
        <v>98</v>
      </c>
      <c r="C3" s="37" t="s">
        <v>171</v>
      </c>
      <c r="D3" s="37" t="s">
        <v>124</v>
      </c>
      <c r="E3" s="38" t="s">
        <v>24</v>
      </c>
      <c r="F3" s="37" t="s">
        <v>171</v>
      </c>
      <c r="G3" s="37" t="s">
        <v>124</v>
      </c>
      <c r="H3" s="38" t="s">
        <v>24</v>
      </c>
      <c r="I3" s="37" t="s">
        <v>171</v>
      </c>
      <c r="J3" s="37" t="s">
        <v>124</v>
      </c>
      <c r="K3" s="38" t="s">
        <v>24</v>
      </c>
      <c r="L3" s="37" t="s">
        <v>171</v>
      </c>
      <c r="M3" s="37" t="s">
        <v>124</v>
      </c>
      <c r="N3" s="38" t="s">
        <v>24</v>
      </c>
      <c r="O3" s="37" t="s">
        <v>171</v>
      </c>
      <c r="P3" s="37" t="s">
        <v>124</v>
      </c>
      <c r="Q3" s="38" t="s">
        <v>24</v>
      </c>
      <c r="R3" s="37" t="s">
        <v>171</v>
      </c>
      <c r="S3" s="37" t="s">
        <v>124</v>
      </c>
      <c r="T3" s="38" t="s">
        <v>24</v>
      </c>
      <c r="U3" s="37" t="s">
        <v>171</v>
      </c>
      <c r="V3" s="37" t="s">
        <v>124</v>
      </c>
      <c r="W3" s="38" t="s">
        <v>24</v>
      </c>
    </row>
    <row r="4" spans="1:24" ht="16" x14ac:dyDescent="0.2">
      <c r="A4" s="24" t="s">
        <v>25</v>
      </c>
      <c r="B4" s="63">
        <v>1</v>
      </c>
      <c r="C4" s="26">
        <f>TCO!D26+TCO!D27</f>
        <v>0</v>
      </c>
      <c r="D4" s="25">
        <f>(TCO!D$12*(1+$X$5))+TCO!D$13</f>
        <v>0</v>
      </c>
      <c r="E4" s="32">
        <f>D4-C4</f>
        <v>0</v>
      </c>
      <c r="F4" s="26">
        <f>TCO!D22+TCO!D23</f>
        <v>0</v>
      </c>
      <c r="G4" s="25">
        <f>(TCO!D$7*(1+$X$5))+TCO!D$8</f>
        <v>0</v>
      </c>
      <c r="H4" s="32">
        <f>G4-F4</f>
        <v>0</v>
      </c>
      <c r="I4" s="25">
        <f>TCO!D24+TCO!D25</f>
        <v>0</v>
      </c>
      <c r="J4" s="25">
        <f>(TCO!D$9*(1+$X$5))+TCO!D$10</f>
        <v>0</v>
      </c>
      <c r="K4" s="32">
        <f>J4-I4</f>
        <v>0</v>
      </c>
      <c r="L4" s="26">
        <v>0</v>
      </c>
      <c r="M4" s="26">
        <f>TCO!D11</f>
        <v>0</v>
      </c>
      <c r="N4" s="32">
        <f>M4-L4</f>
        <v>0</v>
      </c>
      <c r="O4" s="26">
        <v>0</v>
      </c>
      <c r="P4" s="26">
        <f>TCO!D14</f>
        <v>1864482.9380306648</v>
      </c>
      <c r="Q4" s="32">
        <f>P4-O4</f>
        <v>1864482.9380306648</v>
      </c>
      <c r="R4" s="26">
        <f>'Parametre - Agendové IS'!D106</f>
        <v>0</v>
      </c>
      <c r="S4" s="26">
        <f>'Parametre - Agendové IS'!E106</f>
        <v>0</v>
      </c>
      <c r="T4" s="32">
        <f t="shared" ref="T4:T13" si="0">IF(ISERR(S4-R4),"-",S4-R4)</f>
        <v>0</v>
      </c>
      <c r="U4" s="25">
        <f>SUM(C4,F4,I4,L4,O4,R4)</f>
        <v>0</v>
      </c>
      <c r="V4" s="25">
        <f>((D4+G4+M4+P4+J4)*(1+$X$4))+S4</f>
        <v>1864482.9380306648</v>
      </c>
      <c r="W4" s="32">
        <f>V4-U4</f>
        <v>1864482.9380306648</v>
      </c>
      <c r="X4" s="163">
        <f>'Analyza citlivosti - AgendovéIS'!B7</f>
        <v>0</v>
      </c>
    </row>
    <row r="5" spans="1:24" ht="16" x14ac:dyDescent="0.2">
      <c r="A5" s="24" t="s">
        <v>26</v>
      </c>
      <c r="B5" s="64">
        <v>2</v>
      </c>
      <c r="C5" s="26">
        <f>TCO!E26+TCO!E27</f>
        <v>0</v>
      </c>
      <c r="D5" s="25">
        <f>(TCO!E$12*(1+$X$5))+TCO!E$13</f>
        <v>20598960.921417665</v>
      </c>
      <c r="E5" s="28">
        <f t="shared" ref="E5:E13" si="1">D5-C5</f>
        <v>20598960.921417665</v>
      </c>
      <c r="F5" s="26">
        <f>TCO!E22+TCO!E23</f>
        <v>0</v>
      </c>
      <c r="G5" s="25">
        <f>(TCO!E$7*(1+$X$5))+TCO!E$8</f>
        <v>2064065.0518775508</v>
      </c>
      <c r="H5" s="28">
        <f t="shared" ref="H5:H13" si="2">G5-F5</f>
        <v>2064065.0518775508</v>
      </c>
      <c r="I5" s="25">
        <f>TCO!E24+TCO!E25</f>
        <v>0</v>
      </c>
      <c r="J5" s="25">
        <f>(TCO!E$9*(1+$X$5))+TCO!E$10</f>
        <v>3972444.5699999994</v>
      </c>
      <c r="K5" s="28">
        <f t="shared" ref="K5:K13" si="3">J5-I5</f>
        <v>3972444.5699999994</v>
      </c>
      <c r="L5" s="26">
        <v>0</v>
      </c>
      <c r="M5" s="26">
        <f>TCO!E11</f>
        <v>0</v>
      </c>
      <c r="N5" s="28">
        <f t="shared" ref="N5:N13" si="4">M5-L5</f>
        <v>0</v>
      </c>
      <c r="O5" s="26">
        <v>0</v>
      </c>
      <c r="P5" s="26">
        <f>TCO!E14</f>
        <v>0</v>
      </c>
      <c r="Q5" s="28">
        <f t="shared" ref="Q5:Q13" si="5">P5-O5</f>
        <v>0</v>
      </c>
      <c r="R5" s="26">
        <f>'Parametre - Agendové IS'!D107</f>
        <v>0</v>
      </c>
      <c r="S5" s="26">
        <f>'Parametre - Agendové IS'!E107</f>
        <v>0</v>
      </c>
      <c r="T5" s="28">
        <f t="shared" si="0"/>
        <v>0</v>
      </c>
      <c r="U5" s="25">
        <f t="shared" ref="U5:U13" si="6">SUM(C5,F5,I5,L5,O5,R5)</f>
        <v>0</v>
      </c>
      <c r="V5" s="25">
        <f t="shared" ref="V5:V13" si="7">((D5+G5+M5+P5+J5)*(1+$X$4))+S5</f>
        <v>26635470.543295216</v>
      </c>
      <c r="W5" s="28">
        <f t="shared" ref="W5:W13" si="8">V5-U5</f>
        <v>26635470.543295216</v>
      </c>
      <c r="X5" s="163">
        <f>'Analyza citlivosti - AgendovéIS'!E7</f>
        <v>0</v>
      </c>
    </row>
    <row r="6" spans="1:24" ht="16" x14ac:dyDescent="0.2">
      <c r="A6" s="24" t="s">
        <v>27</v>
      </c>
      <c r="B6" s="64">
        <v>3</v>
      </c>
      <c r="C6" s="26">
        <f>TCO!F26+TCO!F27</f>
        <v>0</v>
      </c>
      <c r="D6" s="25">
        <f>(TCO!F$12*(1+$X$5))+TCO!F$13</f>
        <v>0</v>
      </c>
      <c r="E6" s="28">
        <f t="shared" si="1"/>
        <v>0</v>
      </c>
      <c r="F6" s="26">
        <f>TCO!F22+TCO!F23</f>
        <v>0</v>
      </c>
      <c r="G6" s="25">
        <f>(TCO!F$7*(1+$X$5))+TCO!F$8</f>
        <v>0</v>
      </c>
      <c r="H6" s="28">
        <f t="shared" si="2"/>
        <v>0</v>
      </c>
      <c r="I6" s="25">
        <f>TCO!F24+TCO!F25</f>
        <v>0</v>
      </c>
      <c r="J6" s="25">
        <f>(TCO!F$9*(1+$X$5))+TCO!F$10</f>
        <v>0</v>
      </c>
      <c r="K6" s="28">
        <f t="shared" si="3"/>
        <v>0</v>
      </c>
      <c r="L6" s="26">
        <v>0</v>
      </c>
      <c r="M6" s="26">
        <f>TCO!F11</f>
        <v>0</v>
      </c>
      <c r="N6" s="28">
        <f t="shared" si="4"/>
        <v>0</v>
      </c>
      <c r="O6" s="26">
        <v>0</v>
      </c>
      <c r="P6" s="26">
        <f>TCO!F14</f>
        <v>0</v>
      </c>
      <c r="Q6" s="28">
        <f t="shared" si="5"/>
        <v>0</v>
      </c>
      <c r="R6" s="26">
        <f>'Parametre - Agendové IS'!D108</f>
        <v>0</v>
      </c>
      <c r="S6" s="26">
        <f>'Parametre - Agendové IS'!E108</f>
        <v>0</v>
      </c>
      <c r="T6" s="28">
        <f t="shared" si="0"/>
        <v>0</v>
      </c>
      <c r="U6" s="25">
        <f t="shared" si="6"/>
        <v>0</v>
      </c>
      <c r="V6" s="25">
        <f t="shared" si="7"/>
        <v>0</v>
      </c>
      <c r="W6" s="28">
        <f t="shared" si="8"/>
        <v>0</v>
      </c>
    </row>
    <row r="7" spans="1:24" ht="16" x14ac:dyDescent="0.2">
      <c r="A7" s="24" t="s">
        <v>28</v>
      </c>
      <c r="B7" s="64">
        <v>4</v>
      </c>
      <c r="C7" s="26">
        <f>TCO!G26+TCO!G27</f>
        <v>0</v>
      </c>
      <c r="D7" s="25">
        <f>(TCO!G$12*(1+$X$5))+TCO!G$13</f>
        <v>0</v>
      </c>
      <c r="E7" s="28">
        <f t="shared" si="1"/>
        <v>0</v>
      </c>
      <c r="F7" s="26">
        <f>TCO!G22+TCO!G23</f>
        <v>0</v>
      </c>
      <c r="G7" s="25">
        <f>(TCO!G$7*(1+$X$5))+TCO!G$8</f>
        <v>0</v>
      </c>
      <c r="H7" s="28">
        <f t="shared" si="2"/>
        <v>0</v>
      </c>
      <c r="I7" s="25">
        <f>TCO!G24+TCO!G25</f>
        <v>0</v>
      </c>
      <c r="J7" s="25">
        <f>(TCO!G$9*(1+$X$5))+TCO!G$10</f>
        <v>0</v>
      </c>
      <c r="K7" s="28">
        <f t="shared" si="3"/>
        <v>0</v>
      </c>
      <c r="L7" s="26">
        <v>0</v>
      </c>
      <c r="M7" s="26">
        <f>TCO!G11</f>
        <v>0</v>
      </c>
      <c r="N7" s="28">
        <f t="shared" si="4"/>
        <v>0</v>
      </c>
      <c r="O7" s="26">
        <v>0</v>
      </c>
      <c r="P7" s="26">
        <f>TCO!G14</f>
        <v>0</v>
      </c>
      <c r="Q7" s="28">
        <f t="shared" si="5"/>
        <v>0</v>
      </c>
      <c r="R7" s="26">
        <f>'Parametre - Agendové IS'!D109</f>
        <v>0</v>
      </c>
      <c r="S7" s="26">
        <f>'Parametre - Agendové IS'!E109</f>
        <v>0</v>
      </c>
      <c r="T7" s="28">
        <f t="shared" si="0"/>
        <v>0</v>
      </c>
      <c r="U7" s="25">
        <f t="shared" si="6"/>
        <v>0</v>
      </c>
      <c r="V7" s="25">
        <f t="shared" si="7"/>
        <v>0</v>
      </c>
      <c r="W7" s="28">
        <f t="shared" si="8"/>
        <v>0</v>
      </c>
    </row>
    <row r="8" spans="1:24" ht="16" x14ac:dyDescent="0.2">
      <c r="A8" s="24" t="s">
        <v>29</v>
      </c>
      <c r="B8" s="64">
        <v>5</v>
      </c>
      <c r="C8" s="26">
        <f>TCO!H26+TCO!H27</f>
        <v>0</v>
      </c>
      <c r="D8" s="25">
        <f>(TCO!H$12*(1+$X$5))+TCO!H$13</f>
        <v>0</v>
      </c>
      <c r="E8" s="28">
        <f t="shared" si="1"/>
        <v>0</v>
      </c>
      <c r="F8" s="26">
        <f>TCO!H22+TCO!H23</f>
        <v>0</v>
      </c>
      <c r="G8" s="25">
        <f>(TCO!H$7*(1+$X$5))+TCO!H$8</f>
        <v>0</v>
      </c>
      <c r="H8" s="28">
        <f t="shared" si="2"/>
        <v>0</v>
      </c>
      <c r="I8" s="25">
        <f>TCO!H24+TCO!H25</f>
        <v>0</v>
      </c>
      <c r="J8" s="25">
        <f>(TCO!H$9*(1+$X$5))+TCO!H$10</f>
        <v>0</v>
      </c>
      <c r="K8" s="28">
        <f t="shared" si="3"/>
        <v>0</v>
      </c>
      <c r="L8" s="26">
        <v>0</v>
      </c>
      <c r="M8" s="26">
        <f>TCO!H11</f>
        <v>0</v>
      </c>
      <c r="N8" s="28">
        <f t="shared" si="4"/>
        <v>0</v>
      </c>
      <c r="O8" s="26">
        <v>0</v>
      </c>
      <c r="P8" s="26">
        <f>TCO!H14</f>
        <v>0</v>
      </c>
      <c r="Q8" s="28">
        <f t="shared" si="5"/>
        <v>0</v>
      </c>
      <c r="R8" s="26">
        <f>'Parametre - Agendové IS'!D110</f>
        <v>0</v>
      </c>
      <c r="S8" s="26">
        <f>'Parametre - Agendové IS'!E110</f>
        <v>0</v>
      </c>
      <c r="T8" s="28">
        <f t="shared" si="0"/>
        <v>0</v>
      </c>
      <c r="U8" s="25">
        <f t="shared" si="6"/>
        <v>0</v>
      </c>
      <c r="V8" s="25">
        <f t="shared" si="7"/>
        <v>0</v>
      </c>
      <c r="W8" s="28">
        <f t="shared" si="8"/>
        <v>0</v>
      </c>
    </row>
    <row r="9" spans="1:24" ht="16" x14ac:dyDescent="0.2">
      <c r="A9" s="24" t="s">
        <v>30</v>
      </c>
      <c r="B9" s="64">
        <v>6</v>
      </c>
      <c r="C9" s="26">
        <f>TCO!I26+TCO!I27</f>
        <v>0</v>
      </c>
      <c r="D9" s="25">
        <f>(TCO!I$12*(1+$X$5))+TCO!I$13</f>
        <v>0</v>
      </c>
      <c r="E9" s="28">
        <f t="shared" si="1"/>
        <v>0</v>
      </c>
      <c r="F9" s="26">
        <f>TCO!I22+TCO!I23</f>
        <v>0</v>
      </c>
      <c r="G9" s="25">
        <f>(TCO!I$7*(1+$X$5))+TCO!I$8</f>
        <v>0</v>
      </c>
      <c r="H9" s="28">
        <f t="shared" si="2"/>
        <v>0</v>
      </c>
      <c r="I9" s="25">
        <f>TCO!I24+TCO!I25</f>
        <v>0</v>
      </c>
      <c r="J9" s="25">
        <f>(TCO!I$9*(1+$X$5))+TCO!I$10</f>
        <v>0</v>
      </c>
      <c r="K9" s="28">
        <f t="shared" si="3"/>
        <v>0</v>
      </c>
      <c r="L9" s="26">
        <v>0</v>
      </c>
      <c r="M9" s="26">
        <f>TCO!I11</f>
        <v>0</v>
      </c>
      <c r="N9" s="28">
        <f t="shared" si="4"/>
        <v>0</v>
      </c>
      <c r="O9" s="26">
        <v>0</v>
      </c>
      <c r="P9" s="26">
        <f>TCO!I14</f>
        <v>0</v>
      </c>
      <c r="Q9" s="28">
        <f t="shared" si="5"/>
        <v>0</v>
      </c>
      <c r="R9" s="26">
        <f>'Parametre - Agendové IS'!D111</f>
        <v>0</v>
      </c>
      <c r="S9" s="26">
        <f>'Parametre - Agendové IS'!E111</f>
        <v>0</v>
      </c>
      <c r="T9" s="28">
        <f t="shared" si="0"/>
        <v>0</v>
      </c>
      <c r="U9" s="25">
        <f t="shared" si="6"/>
        <v>0</v>
      </c>
      <c r="V9" s="25">
        <f t="shared" si="7"/>
        <v>0</v>
      </c>
      <c r="W9" s="28">
        <f t="shared" si="8"/>
        <v>0</v>
      </c>
    </row>
    <row r="10" spans="1:24" ht="16" x14ac:dyDescent="0.2">
      <c r="A10" s="24" t="s">
        <v>31</v>
      </c>
      <c r="B10" s="64">
        <v>7</v>
      </c>
      <c r="C10" s="26">
        <f>TCO!J26+TCO!J27</f>
        <v>0</v>
      </c>
      <c r="D10" s="25">
        <f>(TCO!J$12*(1+$X$5))+TCO!J$13</f>
        <v>616603.52764252981</v>
      </c>
      <c r="E10" s="28">
        <f t="shared" si="1"/>
        <v>616603.52764252981</v>
      </c>
      <c r="F10" s="26">
        <f>TCO!J22+TCO!J23</f>
        <v>0</v>
      </c>
      <c r="G10" s="25">
        <f>(TCO!J$7*(1+$X$5))+TCO!J$8</f>
        <v>61921.951556326523</v>
      </c>
      <c r="H10" s="28">
        <f t="shared" si="2"/>
        <v>61921.951556326523</v>
      </c>
      <c r="I10" s="25">
        <f>TCO!J24+TCO!J25</f>
        <v>0</v>
      </c>
      <c r="J10" s="25">
        <f>(TCO!J$9*(1+$X$5))+TCO!J$10</f>
        <v>25977.452400000002</v>
      </c>
      <c r="K10" s="28">
        <f t="shared" si="3"/>
        <v>25977.452400000002</v>
      </c>
      <c r="L10" s="26">
        <v>0</v>
      </c>
      <c r="M10" s="26">
        <f>TCO!J11</f>
        <v>0</v>
      </c>
      <c r="N10" s="28">
        <f t="shared" si="4"/>
        <v>0</v>
      </c>
      <c r="O10" s="26">
        <v>0</v>
      </c>
      <c r="P10" s="26">
        <f>TCO!J14</f>
        <v>0</v>
      </c>
      <c r="Q10" s="28">
        <f t="shared" si="5"/>
        <v>0</v>
      </c>
      <c r="R10" s="26">
        <f>'Parametre - Agendové IS'!D112</f>
        <v>0</v>
      </c>
      <c r="S10" s="26">
        <f>'Parametre - Agendové IS'!E112</f>
        <v>0</v>
      </c>
      <c r="T10" s="28">
        <f t="shared" si="0"/>
        <v>0</v>
      </c>
      <c r="U10" s="25">
        <f t="shared" si="6"/>
        <v>0</v>
      </c>
      <c r="V10" s="25">
        <f t="shared" si="7"/>
        <v>704502.93159885623</v>
      </c>
      <c r="W10" s="28">
        <f t="shared" si="8"/>
        <v>704502.93159885623</v>
      </c>
    </row>
    <row r="11" spans="1:24" ht="16" x14ac:dyDescent="0.2">
      <c r="A11" s="24" t="s">
        <v>32</v>
      </c>
      <c r="B11" s="64">
        <v>8</v>
      </c>
      <c r="C11" s="26">
        <f>TCO!K26+TCO!K27</f>
        <v>0</v>
      </c>
      <c r="D11" s="25">
        <f>(TCO!K$12*(1+$X$5))+TCO!K$13</f>
        <v>616603.52764252981</v>
      </c>
      <c r="E11" s="28">
        <f t="shared" si="1"/>
        <v>616603.52764252981</v>
      </c>
      <c r="F11" s="26">
        <f>TCO!K22+TCO!K23</f>
        <v>0</v>
      </c>
      <c r="G11" s="25">
        <f>(TCO!K$7*(1+$X$5))+TCO!K$8</f>
        <v>61921.951556326523</v>
      </c>
      <c r="H11" s="28">
        <f t="shared" si="2"/>
        <v>61921.951556326523</v>
      </c>
      <c r="I11" s="25">
        <f>TCO!K24+TCO!K25</f>
        <v>0</v>
      </c>
      <c r="J11" s="25">
        <f>(TCO!K$9*(1+$X$5))+TCO!K$10</f>
        <v>25977.452400000002</v>
      </c>
      <c r="K11" s="28">
        <f t="shared" si="3"/>
        <v>25977.452400000002</v>
      </c>
      <c r="L11" s="26">
        <v>0</v>
      </c>
      <c r="M11" s="26">
        <f>TCO!K11</f>
        <v>0</v>
      </c>
      <c r="N11" s="28">
        <f t="shared" si="4"/>
        <v>0</v>
      </c>
      <c r="O11" s="26">
        <v>0</v>
      </c>
      <c r="P11" s="26">
        <f>TCO!K14</f>
        <v>0</v>
      </c>
      <c r="Q11" s="28">
        <f t="shared" si="5"/>
        <v>0</v>
      </c>
      <c r="R11" s="26">
        <f>'Parametre - Agendové IS'!D113</f>
        <v>0</v>
      </c>
      <c r="S11" s="26">
        <f>'Parametre - Agendové IS'!E113</f>
        <v>0</v>
      </c>
      <c r="T11" s="28">
        <f t="shared" si="0"/>
        <v>0</v>
      </c>
      <c r="U11" s="25">
        <f t="shared" si="6"/>
        <v>0</v>
      </c>
      <c r="V11" s="25">
        <f t="shared" si="7"/>
        <v>704502.93159885623</v>
      </c>
      <c r="W11" s="28">
        <f t="shared" si="8"/>
        <v>704502.93159885623</v>
      </c>
    </row>
    <row r="12" spans="1:24" ht="16" x14ac:dyDescent="0.2">
      <c r="A12" s="24" t="s">
        <v>33</v>
      </c>
      <c r="B12" s="64">
        <v>9</v>
      </c>
      <c r="C12" s="26">
        <f>TCO!L26+TCO!L27</f>
        <v>0</v>
      </c>
      <c r="D12" s="25">
        <f>(TCO!L$12*(1+$X$5))+TCO!L$13</f>
        <v>616603.52764252981</v>
      </c>
      <c r="E12" s="28">
        <f t="shared" si="1"/>
        <v>616603.52764252981</v>
      </c>
      <c r="F12" s="26">
        <f>TCO!L22+TCO!L23</f>
        <v>0</v>
      </c>
      <c r="G12" s="25">
        <f>(TCO!L$7*(1+$X$5))+TCO!L$8</f>
        <v>61921.951556326523</v>
      </c>
      <c r="H12" s="28">
        <f t="shared" si="2"/>
        <v>61921.951556326523</v>
      </c>
      <c r="I12" s="25">
        <f>TCO!L24+TCO!L25</f>
        <v>0</v>
      </c>
      <c r="J12" s="25">
        <f>(TCO!L$9*(1+$X$5))+TCO!L$10</f>
        <v>25977.452400000002</v>
      </c>
      <c r="K12" s="28">
        <f t="shared" si="3"/>
        <v>25977.452400000002</v>
      </c>
      <c r="L12" s="26">
        <v>0</v>
      </c>
      <c r="M12" s="26">
        <f>TCO!L11</f>
        <v>0</v>
      </c>
      <c r="N12" s="28">
        <f t="shared" si="4"/>
        <v>0</v>
      </c>
      <c r="O12" s="26">
        <v>0</v>
      </c>
      <c r="P12" s="26">
        <f>TCO!L14</f>
        <v>0</v>
      </c>
      <c r="Q12" s="28">
        <f t="shared" si="5"/>
        <v>0</v>
      </c>
      <c r="R12" s="26">
        <f>'Parametre - Agendové IS'!D114</f>
        <v>0</v>
      </c>
      <c r="S12" s="26">
        <f>'Parametre - Agendové IS'!E114</f>
        <v>0</v>
      </c>
      <c r="T12" s="28">
        <f t="shared" si="0"/>
        <v>0</v>
      </c>
      <c r="U12" s="25">
        <f t="shared" si="6"/>
        <v>0</v>
      </c>
      <c r="V12" s="25">
        <f t="shared" si="7"/>
        <v>704502.93159885623</v>
      </c>
      <c r="W12" s="28">
        <f t="shared" si="8"/>
        <v>704502.93159885623</v>
      </c>
    </row>
    <row r="13" spans="1:24" ht="17" thickBot="1" x14ac:dyDescent="0.25">
      <c r="A13" s="24" t="s">
        <v>34</v>
      </c>
      <c r="B13" s="65">
        <v>10</v>
      </c>
      <c r="C13" s="43">
        <f>TCO!M26+TCO!M27</f>
        <v>0</v>
      </c>
      <c r="D13" s="39">
        <f>(TCO!M$12*(1+$X$5))+TCO!M$13</f>
        <v>616603.52764252981</v>
      </c>
      <c r="E13" s="124">
        <f t="shared" si="1"/>
        <v>616603.52764252981</v>
      </c>
      <c r="F13" s="26">
        <f>TCO!M22+TCO!M23</f>
        <v>0</v>
      </c>
      <c r="G13" s="39">
        <f>(TCO!M$7*(1+$X$5))+TCO!M$8</f>
        <v>61921.951556326523</v>
      </c>
      <c r="H13" s="124">
        <f t="shared" si="2"/>
        <v>61921.951556326523</v>
      </c>
      <c r="I13" s="39">
        <f>TCO!M24+TCO!M25</f>
        <v>0</v>
      </c>
      <c r="J13" s="39">
        <f>(TCO!M$9*(1+$X$5))+TCO!M$10</f>
        <v>25977.452400000002</v>
      </c>
      <c r="K13" s="124">
        <f t="shared" si="3"/>
        <v>25977.452400000002</v>
      </c>
      <c r="L13" s="43">
        <v>0</v>
      </c>
      <c r="M13" s="43">
        <f>TCO!M11</f>
        <v>0</v>
      </c>
      <c r="N13" s="124">
        <f t="shared" si="4"/>
        <v>0</v>
      </c>
      <c r="O13" s="43">
        <v>0</v>
      </c>
      <c r="P13" s="43">
        <f>TCO!M14</f>
        <v>0</v>
      </c>
      <c r="Q13" s="124">
        <f t="shared" si="5"/>
        <v>0</v>
      </c>
      <c r="R13" s="43">
        <f>'Parametre - Agendové IS'!D115</f>
        <v>0</v>
      </c>
      <c r="S13" s="43">
        <f>'Parametre - Agendové IS'!E115</f>
        <v>0</v>
      </c>
      <c r="T13" s="124">
        <f t="shared" si="0"/>
        <v>0</v>
      </c>
      <c r="U13" s="25">
        <f t="shared" si="6"/>
        <v>0</v>
      </c>
      <c r="V13" s="25">
        <f t="shared" si="7"/>
        <v>704502.93159885623</v>
      </c>
      <c r="W13" s="124">
        <f t="shared" si="8"/>
        <v>704502.93159885623</v>
      </c>
    </row>
    <row r="14" spans="1:24" x14ac:dyDescent="0.2">
      <c r="A14" s="1314" t="s">
        <v>102</v>
      </c>
      <c r="B14" s="1315"/>
      <c r="C14" s="346">
        <f>SUM(C4:C13)</f>
        <v>0</v>
      </c>
      <c r="D14" s="344">
        <f t="shared" ref="D14:T14" si="9">SUM(D4:D13)</f>
        <v>23065375.031987783</v>
      </c>
      <c r="E14" s="343">
        <f t="shared" si="9"/>
        <v>23065375.031987783</v>
      </c>
      <c r="F14" s="346">
        <f t="shared" si="9"/>
        <v>0</v>
      </c>
      <c r="G14" s="344">
        <f t="shared" si="9"/>
        <v>2311752.8581028562</v>
      </c>
      <c r="H14" s="343">
        <f t="shared" si="9"/>
        <v>2311752.8581028562</v>
      </c>
      <c r="I14" s="346">
        <f t="shared" si="9"/>
        <v>0</v>
      </c>
      <c r="J14" s="344">
        <f t="shared" si="9"/>
        <v>4076354.3795999987</v>
      </c>
      <c r="K14" s="343">
        <f t="shared" si="9"/>
        <v>4076354.3795999987</v>
      </c>
      <c r="L14" s="346">
        <f t="shared" ref="L14:Q14" si="10">SUM(L4:L13)</f>
        <v>0</v>
      </c>
      <c r="M14" s="344">
        <f t="shared" si="10"/>
        <v>0</v>
      </c>
      <c r="N14" s="343">
        <f t="shared" si="10"/>
        <v>0</v>
      </c>
      <c r="O14" s="346">
        <f t="shared" si="10"/>
        <v>0</v>
      </c>
      <c r="P14" s="344">
        <f t="shared" si="10"/>
        <v>1864482.9380306648</v>
      </c>
      <c r="Q14" s="343">
        <f t="shared" si="10"/>
        <v>1864482.9380306648</v>
      </c>
      <c r="R14" s="346">
        <f t="shared" si="9"/>
        <v>0</v>
      </c>
      <c r="S14" s="344">
        <f t="shared" si="9"/>
        <v>0</v>
      </c>
      <c r="T14" s="343">
        <f t="shared" si="9"/>
        <v>0</v>
      </c>
      <c r="U14" s="355">
        <f>SUM(U4:U13)</f>
        <v>0</v>
      </c>
      <c r="V14" s="356">
        <f>SUM(V4:V13)</f>
        <v>31317965.207721308</v>
      </c>
      <c r="W14" s="357">
        <f>SUM(W4:W13)</f>
        <v>31317965.207721308</v>
      </c>
    </row>
    <row r="15" spans="1:24" ht="16" thickBot="1" x14ac:dyDescent="0.25">
      <c r="A15" s="1316" t="s">
        <v>118</v>
      </c>
      <c r="B15" s="1317"/>
      <c r="C15" s="354"/>
      <c r="D15" s="352">
        <f>D4+NPV(Faktory!$D$5,D5:D13)</f>
        <v>21331195.351496935</v>
      </c>
      <c r="E15" s="350">
        <f>E4+NPV(Faktory!$D$5,E5:E13)</f>
        <v>21331195.351496935</v>
      </c>
      <c r="F15" s="354"/>
      <c r="G15" s="352">
        <f>G4+NPV(Faktory!$D$5,G5:G13)</f>
        <v>2137816.7846905729</v>
      </c>
      <c r="H15" s="350">
        <f>H4+NPV(Faktory!$D$5,H5:H13)</f>
        <v>2137816.7846905729</v>
      </c>
      <c r="I15" s="354"/>
      <c r="J15" s="352">
        <f>J4+NPV(Faktory!$D$5,J5:J13)</f>
        <v>3855454.8679756508</v>
      </c>
      <c r="K15" s="350">
        <f>K4+NPV(Faktory!$D$5,K5:K13)</f>
        <v>3855454.8679756508</v>
      </c>
      <c r="L15" s="354"/>
      <c r="M15" s="352">
        <f>M4+NPV(Faktory!$D$5,M5:M13)</f>
        <v>0</v>
      </c>
      <c r="N15" s="350">
        <f>N4+NPV(Faktory!$D$5,N5:N13)</f>
        <v>0</v>
      </c>
      <c r="O15" s="354"/>
      <c r="P15" s="352">
        <f>P4+NPV(Faktory!$D$5,P5:P13)</f>
        <v>1864482.9380306648</v>
      </c>
      <c r="Q15" s="350">
        <f>Q4+NPV(Faktory!$D$5,Q5:Q13)</f>
        <v>1864482.9380306648</v>
      </c>
      <c r="R15" s="354"/>
      <c r="S15" s="352">
        <f>S4+NPV(Faktory!$D$5,S5:S13)</f>
        <v>0</v>
      </c>
      <c r="T15" s="350">
        <f>T4+NPV(Faktory!$D$5,T5:T13)</f>
        <v>0</v>
      </c>
      <c r="U15" s="358"/>
      <c r="V15" s="352">
        <f>V4+NPV(Faktory!$D$5,V5:V13)</f>
        <v>29188949.942193825</v>
      </c>
      <c r="W15" s="359">
        <f>W4+NPV(Faktory!$D$5,W5:W13)</f>
        <v>29188949.942193825</v>
      </c>
    </row>
    <row r="16" spans="1:24" x14ac:dyDescent="0.2">
      <c r="A16" s="7"/>
      <c r="B16" s="7"/>
      <c r="C16" s="7"/>
      <c r="D16" s="7"/>
      <c r="E16" s="116"/>
      <c r="F16" s="7"/>
      <c r="G16" s="7"/>
      <c r="H16" s="116"/>
      <c r="I16" s="7"/>
      <c r="J16" s="7"/>
      <c r="K16" s="116"/>
      <c r="L16" s="116"/>
      <c r="M16" s="116"/>
      <c r="N16" s="116"/>
      <c r="O16" s="116"/>
      <c r="P16" s="116"/>
      <c r="Q16" s="116"/>
      <c r="R16" s="7"/>
      <c r="S16" s="7"/>
      <c r="T16" s="116"/>
      <c r="U16" s="125"/>
      <c r="V16" s="125"/>
      <c r="W16" s="125"/>
    </row>
    <row r="17" spans="1:3" x14ac:dyDescent="0.2">
      <c r="A17" s="7"/>
      <c r="B17" s="7"/>
      <c r="C17" s="97" t="s">
        <v>128</v>
      </c>
    </row>
    <row r="22" spans="1:3" x14ac:dyDescent="0.2">
      <c r="C22" s="126"/>
    </row>
  </sheetData>
  <mergeCells count="12">
    <mergeCell ref="A14:B14"/>
    <mergeCell ref="A15:B15"/>
    <mergeCell ref="R1:T1"/>
    <mergeCell ref="U1:W1"/>
    <mergeCell ref="C2:E2"/>
    <mergeCell ref="F2:H2"/>
    <mergeCell ref="I2:K2"/>
    <mergeCell ref="R2:T2"/>
    <mergeCell ref="O1:Q1"/>
    <mergeCell ref="O2:Q2"/>
    <mergeCell ref="L2:N2"/>
    <mergeCell ref="C1:N1"/>
  </mergeCells>
  <pageMargins left="0.7" right="0.7" top="0.75" bottom="0.75" header="0.3" footer="0.3"/>
  <pageSetup paperSize="9" scale="2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6"/>
  <dimension ref="A1:AA38"/>
  <sheetViews>
    <sheetView view="pageBreakPreview" zoomScaleNormal="85" zoomScaleSheetLayoutView="100" workbookViewId="0">
      <selection activeCell="AA16" sqref="AA16"/>
    </sheetView>
  </sheetViews>
  <sheetFormatPr baseColWidth="10" defaultColWidth="8.83203125" defaultRowHeight="15" x14ac:dyDescent="0.2"/>
  <cols>
    <col min="1" max="1" width="9.5" customWidth="1"/>
    <col min="2" max="2" width="4.5" bestFit="1" customWidth="1"/>
    <col min="3" max="4" width="14.33203125" bestFit="1" customWidth="1"/>
    <col min="5" max="9" width="13.5" customWidth="1"/>
    <col min="10" max="10" width="11.1640625" customWidth="1"/>
    <col min="11" max="11" width="12" customWidth="1"/>
    <col min="13" max="13" width="12" customWidth="1"/>
    <col min="14" max="14" width="14" customWidth="1"/>
    <col min="15" max="15" width="14.83203125" customWidth="1"/>
    <col min="16" max="16" width="13.5" customWidth="1"/>
    <col min="17" max="17" width="13.5" bestFit="1" customWidth="1"/>
    <col min="18" max="21" width="13.83203125" customWidth="1"/>
    <col min="22" max="22" width="14.6640625" customWidth="1"/>
    <col min="23" max="23" width="14" customWidth="1"/>
    <col min="24" max="24" width="14.5" customWidth="1"/>
    <col min="25" max="25" width="14.33203125" bestFit="1" customWidth="1"/>
    <col min="26" max="26" width="13.6640625" customWidth="1"/>
    <col min="27" max="27" width="15.5" customWidth="1"/>
  </cols>
  <sheetData>
    <row r="1" spans="1:27" ht="15.75" customHeight="1" thickBot="1" x14ac:dyDescent="0.25">
      <c r="A1" s="18"/>
      <c r="B1" s="35"/>
      <c r="C1" s="1306" t="s">
        <v>44</v>
      </c>
      <c r="D1" s="1307"/>
      <c r="E1" s="1307"/>
      <c r="F1" s="1307"/>
      <c r="G1" s="1307"/>
      <c r="H1" s="1307"/>
      <c r="I1" s="1308"/>
      <c r="J1" s="1306" t="s">
        <v>45</v>
      </c>
      <c r="K1" s="1307"/>
      <c r="L1" s="1307"/>
      <c r="M1" s="1307"/>
      <c r="N1" s="1307"/>
      <c r="O1" s="1307"/>
      <c r="P1" s="1307"/>
      <c r="Q1" s="1307"/>
      <c r="R1" s="1307"/>
      <c r="S1" s="1307"/>
      <c r="T1" s="1307"/>
      <c r="U1" s="1308"/>
      <c r="V1" s="1309" t="s">
        <v>46</v>
      </c>
      <c r="W1" s="1310"/>
      <c r="X1" s="1310"/>
      <c r="Y1" s="1310"/>
      <c r="Z1" s="1310"/>
      <c r="AA1" s="1311"/>
    </row>
    <row r="2" spans="1:27" ht="16" thickBot="1" x14ac:dyDescent="0.25">
      <c r="A2" s="656"/>
      <c r="B2" s="654"/>
      <c r="C2" s="1309" t="s">
        <v>47</v>
      </c>
      <c r="D2" s="1310"/>
      <c r="E2" s="1311"/>
      <c r="F2" s="1309" t="s">
        <v>734</v>
      </c>
      <c r="G2" s="1310"/>
      <c r="H2" s="1310"/>
      <c r="I2" s="1311"/>
      <c r="J2" s="1326" t="s">
        <v>48</v>
      </c>
      <c r="K2" s="1327"/>
      <c r="L2" s="1328"/>
      <c r="M2" s="1329" t="s">
        <v>49</v>
      </c>
      <c r="N2" s="1327"/>
      <c r="O2" s="1328"/>
      <c r="P2" s="1329" t="s">
        <v>50</v>
      </c>
      <c r="Q2" s="1327"/>
      <c r="R2" s="1328"/>
      <c r="S2" s="1329" t="s">
        <v>146</v>
      </c>
      <c r="T2" s="1327"/>
      <c r="U2" s="1330"/>
      <c r="V2" s="1310" t="s">
        <v>17</v>
      </c>
      <c r="W2" s="1310"/>
      <c r="X2" s="1311"/>
      <c r="Y2" s="1310" t="s">
        <v>18</v>
      </c>
      <c r="Z2" s="1310"/>
      <c r="AA2" s="1311"/>
    </row>
    <row r="3" spans="1:27" ht="18.5" customHeight="1" thickBot="1" x14ac:dyDescent="0.25">
      <c r="A3" s="664" t="s">
        <v>23</v>
      </c>
      <c r="B3" s="70" t="s">
        <v>98</v>
      </c>
      <c r="C3" s="22" t="s">
        <v>171</v>
      </c>
      <c r="D3" s="19" t="s">
        <v>124</v>
      </c>
      <c r="E3" s="23" t="s">
        <v>24</v>
      </c>
      <c r="F3" s="22" t="s">
        <v>64</v>
      </c>
      <c r="G3" s="19" t="s">
        <v>65</v>
      </c>
      <c r="H3" s="19" t="s">
        <v>735</v>
      </c>
      <c r="I3" s="19" t="s">
        <v>104</v>
      </c>
      <c r="J3" s="14" t="s">
        <v>171</v>
      </c>
      <c r="K3" s="15" t="s">
        <v>124</v>
      </c>
      <c r="L3" s="21" t="s">
        <v>24</v>
      </c>
      <c r="M3" s="20" t="s">
        <v>171</v>
      </c>
      <c r="N3" s="15" t="s">
        <v>124</v>
      </c>
      <c r="O3" s="21" t="s">
        <v>24</v>
      </c>
      <c r="P3" s="20" t="s">
        <v>171</v>
      </c>
      <c r="Q3" s="15" t="s">
        <v>124</v>
      </c>
      <c r="R3" s="21" t="s">
        <v>24</v>
      </c>
      <c r="S3" s="20" t="s">
        <v>171</v>
      </c>
      <c r="T3" s="15" t="s">
        <v>124</v>
      </c>
      <c r="U3" s="16" t="s">
        <v>24</v>
      </c>
      <c r="V3" s="15" t="s">
        <v>171</v>
      </c>
      <c r="W3" s="15" t="s">
        <v>124</v>
      </c>
      <c r="X3" s="16" t="s">
        <v>24</v>
      </c>
      <c r="Y3" s="15" t="s">
        <v>171</v>
      </c>
      <c r="Z3" s="15" t="s">
        <v>124</v>
      </c>
      <c r="AA3" s="16" t="s">
        <v>24</v>
      </c>
    </row>
    <row r="4" spans="1:27" ht="16" x14ac:dyDescent="0.2">
      <c r="A4" s="31" t="s">
        <v>25</v>
      </c>
      <c r="B4" s="63">
        <v>1</v>
      </c>
      <c r="C4" s="26">
        <f>'Parametre - Agendové IS'!D116</f>
        <v>0</v>
      </c>
      <c r="D4" s="26">
        <f>'Parametre - Agendové IS'!E116</f>
        <v>0</v>
      </c>
      <c r="E4" s="28">
        <f>IF(ISERR(D4-C4),"-",D4-C4)</f>
        <v>0</v>
      </c>
      <c r="F4" s="26">
        <f>IF(B4&lt;=MIN(MODULY_CBA!$N$3:$N$23),0,TCO!D26+TCO!D27)</f>
        <v>0</v>
      </c>
      <c r="G4" s="26">
        <f>IF(B4&lt;=MIN(MODULY_CBA!$N$3:$N$23),0,TCO!D22+TCO!D23)</f>
        <v>0</v>
      </c>
      <c r="H4" s="655">
        <f>IF(B4&lt;=MIN(MODULY_CBA!$N$3:$N$23),0,'Parametre - Agendové IS'!D106)</f>
        <v>0</v>
      </c>
      <c r="I4" s="28">
        <f>IF(B4&lt;=MIN(MODULY_CBA!$N$3:$N$23),0,TCO!D24+TCO!D25)</f>
        <v>0</v>
      </c>
      <c r="J4" s="238"/>
      <c r="K4" s="239"/>
      <c r="L4" s="32">
        <f t="shared" ref="L4:L13" si="0">IF(ISERR(K4-J4),"-",K4-J4)</f>
        <v>0</v>
      </c>
      <c r="M4" s="29">
        <v>0</v>
      </c>
      <c r="N4" s="25">
        <f>'Parametre - Agendové IS'!E96</f>
        <v>0</v>
      </c>
      <c r="O4" s="32">
        <f>IF(ISERR(N4-M4),"-",N4-M4)</f>
        <v>0</v>
      </c>
      <c r="P4" s="26">
        <f>'Parametre - Agendové IS'!D126</f>
        <v>0</v>
      </c>
      <c r="Q4" s="26">
        <f>'Parametre - Agendové IS'!E126</f>
        <v>0</v>
      </c>
      <c r="R4" s="28">
        <f>IF(ISERR(Q4-P4),"-",Q4-P4)</f>
        <v>0</v>
      </c>
      <c r="S4" s="25">
        <f>-'Parametre - Agendové IS'!D76</f>
        <v>0</v>
      </c>
      <c r="T4" s="25">
        <f>-'Parametre - Agendové IS'!E76</f>
        <v>0</v>
      </c>
      <c r="U4" s="32">
        <f t="shared" ref="U4:U13" si="1">IF(ISERR(T4-S4),"-",T4-S4)</f>
        <v>0</v>
      </c>
      <c r="V4" s="26">
        <f t="shared" ref="V4:V13" si="2">SUM(C4,J4)</f>
        <v>0</v>
      </c>
      <c r="W4" s="25">
        <f t="shared" ref="W4:W13" si="3">SUM(D4,K4)</f>
        <v>0</v>
      </c>
      <c r="X4" s="28">
        <f>W4-V4</f>
        <v>0</v>
      </c>
      <c r="Y4" s="26">
        <f>SUM(M4,P4,S4)</f>
        <v>0</v>
      </c>
      <c r="Z4" s="25">
        <f>SUM(N4,Q4,T4)</f>
        <v>0</v>
      </c>
      <c r="AA4" s="28">
        <f>Z4-Y4</f>
        <v>0</v>
      </c>
    </row>
    <row r="5" spans="1:27" ht="16" x14ac:dyDescent="0.2">
      <c r="A5" s="31" t="s">
        <v>26</v>
      </c>
      <c r="B5" s="64">
        <v>2</v>
      </c>
      <c r="C5" s="26">
        <f>'Parametre - Agendové IS'!D117</f>
        <v>0</v>
      </c>
      <c r="D5" s="26">
        <f>'Parametre - Agendové IS'!E117</f>
        <v>0</v>
      </c>
      <c r="E5" s="28">
        <f t="shared" ref="E5:E13" si="4">IF(ISERR(D5-C5),"-",D5-C5)</f>
        <v>0</v>
      </c>
      <c r="F5" s="26">
        <f>IF(B5&lt;=MIN(MODULY_CBA!$N$3:$N$23),0,TCO!E26+TCO!E27)</f>
        <v>0</v>
      </c>
      <c r="G5" s="26">
        <f>IF(B5&lt;=MIN(MODULY_CBA!$N$3:$N$23),0,TCO!E22+TCO!E23)</f>
        <v>0</v>
      </c>
      <c r="H5" s="655">
        <f>IF(B5&lt;=MIN(MODULY_CBA!$N$3:$N$23),0,'Parametre - Agendové IS'!D107)</f>
        <v>0</v>
      </c>
      <c r="I5" s="28">
        <f>IF(B5&lt;=MIN(MODULY_CBA!$N$3:$N$23),0,TCO!E24+TCO!E25)</f>
        <v>0</v>
      </c>
      <c r="J5" s="238"/>
      <c r="K5" s="239"/>
      <c r="L5" s="28">
        <f t="shared" si="0"/>
        <v>0</v>
      </c>
      <c r="M5" s="29">
        <v>0</v>
      </c>
      <c r="N5" s="25">
        <f>'Parametre - Agendové IS'!E97</f>
        <v>0</v>
      </c>
      <c r="O5" s="115">
        <f>IF(ISERR(N5-M5),"-",N5-M5)</f>
        <v>0</v>
      </c>
      <c r="P5" s="26">
        <f>'Parametre - Agendové IS'!D127</f>
        <v>0</v>
      </c>
      <c r="Q5" s="26">
        <f>'Parametre - Agendové IS'!E127</f>
        <v>0</v>
      </c>
      <c r="R5" s="28">
        <f t="shared" ref="R5:R13" si="5">IF(ISERR(Q5-P5),"-",Q5-P5)</f>
        <v>0</v>
      </c>
      <c r="S5" s="25">
        <f>-'Parametre - Agendové IS'!D77</f>
        <v>0</v>
      </c>
      <c r="T5" s="25">
        <f>-'Parametre - Agendové IS'!E77</f>
        <v>0</v>
      </c>
      <c r="U5" s="28">
        <f t="shared" si="1"/>
        <v>0</v>
      </c>
      <c r="V5" s="26">
        <f t="shared" si="2"/>
        <v>0</v>
      </c>
      <c r="W5" s="25">
        <f t="shared" si="3"/>
        <v>0</v>
      </c>
      <c r="X5" s="28">
        <f t="shared" ref="X5:X12" si="6">W5-V5</f>
        <v>0</v>
      </c>
      <c r="Y5" s="26">
        <f t="shared" ref="Y5:Z13" si="7">SUM(M5,P5,S5)</f>
        <v>0</v>
      </c>
      <c r="Z5" s="25">
        <f t="shared" si="7"/>
        <v>0</v>
      </c>
      <c r="AA5" s="28">
        <f t="shared" ref="AA5:AA13" si="8">Z5-Y5</f>
        <v>0</v>
      </c>
    </row>
    <row r="6" spans="1:27" ht="16" x14ac:dyDescent="0.2">
      <c r="A6" s="31" t="s">
        <v>27</v>
      </c>
      <c r="B6" s="64">
        <v>3</v>
      </c>
      <c r="C6" s="26">
        <f>'Parametre - Agendové IS'!D118</f>
        <v>0</v>
      </c>
      <c r="D6" s="26">
        <f>'Parametre - Agendové IS'!E118</f>
        <v>0</v>
      </c>
      <c r="E6" s="28">
        <f t="shared" si="4"/>
        <v>0</v>
      </c>
      <c r="F6" s="26">
        <f>IF(B6&lt;=MIN(MODULY_CBA!$N$3:$N$23),0,TCO!F26+TCO!F27)</f>
        <v>0</v>
      </c>
      <c r="G6" s="26">
        <f>IF(B6&lt;=MIN(MODULY_CBA!$N$3:$N$23),0,TCO!F22+TCO!F23)</f>
        <v>0</v>
      </c>
      <c r="H6" s="655">
        <f>IF(B6&lt;=MIN(MODULY_CBA!$N$3:$N$23),0,'Parametre - Agendové IS'!D108)</f>
        <v>0</v>
      </c>
      <c r="I6" s="28">
        <f>IF(B6&lt;=MIN(MODULY_CBA!$N$3:$N$23),0,TCO!F24+TCO!F25)</f>
        <v>0</v>
      </c>
      <c r="J6" s="238"/>
      <c r="K6" s="239"/>
      <c r="L6" s="28">
        <f t="shared" si="0"/>
        <v>0</v>
      </c>
      <c r="M6" s="29">
        <v>0</v>
      </c>
      <c r="N6" s="25">
        <f>'Parametre - Agendové IS'!E98</f>
        <v>0</v>
      </c>
      <c r="O6" s="28">
        <f t="shared" ref="O6:O13" si="9">IF(ISERR(N6-M6),"-",N6-M6)</f>
        <v>0</v>
      </c>
      <c r="P6" s="26">
        <f>'Parametre - Agendové IS'!D128</f>
        <v>0</v>
      </c>
      <c r="Q6" s="26">
        <f>'Parametre - Agendové IS'!E128</f>
        <v>3054919.8884074399</v>
      </c>
      <c r="R6" s="28">
        <f t="shared" si="5"/>
        <v>3054919.8884074399</v>
      </c>
      <c r="S6" s="25">
        <f>-'Parametre - Agendové IS'!D78</f>
        <v>0</v>
      </c>
      <c r="T6" s="25">
        <f>-'Parametre - Agendové IS'!E78</f>
        <v>0</v>
      </c>
      <c r="U6" s="28">
        <f t="shared" si="1"/>
        <v>0</v>
      </c>
      <c r="V6" s="26">
        <f t="shared" si="2"/>
        <v>0</v>
      </c>
      <c r="W6" s="25">
        <f t="shared" si="3"/>
        <v>0</v>
      </c>
      <c r="X6" s="28">
        <f t="shared" si="6"/>
        <v>0</v>
      </c>
      <c r="Y6" s="26">
        <f t="shared" si="7"/>
        <v>0</v>
      </c>
      <c r="Z6" s="25">
        <f t="shared" si="7"/>
        <v>3054919.8884074399</v>
      </c>
      <c r="AA6" s="28">
        <f t="shared" si="8"/>
        <v>3054919.8884074399</v>
      </c>
    </row>
    <row r="7" spans="1:27" ht="16" x14ac:dyDescent="0.2">
      <c r="A7" s="31" t="s">
        <v>28</v>
      </c>
      <c r="B7" s="64">
        <v>4</v>
      </c>
      <c r="C7" s="26">
        <f>'Parametre - Agendové IS'!D119</f>
        <v>0</v>
      </c>
      <c r="D7" s="26">
        <f>'Parametre - Agendové IS'!E119</f>
        <v>0</v>
      </c>
      <c r="E7" s="28">
        <f t="shared" si="4"/>
        <v>0</v>
      </c>
      <c r="F7" s="26">
        <f>IF(B7&lt;=MIN(MODULY_CBA!$N$3:$N$23),0,TCO!G26+TCO!G27)</f>
        <v>0</v>
      </c>
      <c r="G7" s="26">
        <f>IF(B7&lt;=MIN(MODULY_CBA!$N$3:$N$23),0,TCO!G22+TCO!G23)</f>
        <v>0</v>
      </c>
      <c r="H7" s="655">
        <f>IF(B7&lt;=MIN(MODULY_CBA!$N$3:$N$23),0,'Parametre - Agendové IS'!D109)</f>
        <v>0</v>
      </c>
      <c r="I7" s="28">
        <f>IF(B7&lt;=MIN(MODULY_CBA!$N$3:$N$23),0,TCO!G24+TCO!G25)</f>
        <v>0</v>
      </c>
      <c r="J7" s="238"/>
      <c r="K7" s="239"/>
      <c r="L7" s="28">
        <f t="shared" si="0"/>
        <v>0</v>
      </c>
      <c r="M7" s="29">
        <v>0</v>
      </c>
      <c r="N7" s="25">
        <f>'Parametre - Agendové IS'!E99</f>
        <v>0</v>
      </c>
      <c r="O7" s="28">
        <f t="shared" si="9"/>
        <v>0</v>
      </c>
      <c r="P7" s="26">
        <f>'Parametre - Agendové IS'!D129</f>
        <v>0</v>
      </c>
      <c r="Q7" s="26">
        <f>'Parametre - Agendové IS'!E129</f>
        <v>3054919.8884074399</v>
      </c>
      <c r="R7" s="28">
        <f t="shared" si="5"/>
        <v>3054919.8884074399</v>
      </c>
      <c r="S7" s="25">
        <f>-'Parametre - Agendové IS'!D79</f>
        <v>0</v>
      </c>
      <c r="T7" s="25">
        <f>-'Parametre - Agendové IS'!E79</f>
        <v>0</v>
      </c>
      <c r="U7" s="28">
        <f t="shared" si="1"/>
        <v>0</v>
      </c>
      <c r="V7" s="26">
        <f t="shared" si="2"/>
        <v>0</v>
      </c>
      <c r="W7" s="25">
        <f t="shared" si="3"/>
        <v>0</v>
      </c>
      <c r="X7" s="28">
        <f t="shared" si="6"/>
        <v>0</v>
      </c>
      <c r="Y7" s="26">
        <f t="shared" si="7"/>
        <v>0</v>
      </c>
      <c r="Z7" s="25">
        <f t="shared" si="7"/>
        <v>3054919.8884074399</v>
      </c>
      <c r="AA7" s="28">
        <f t="shared" si="8"/>
        <v>3054919.8884074399</v>
      </c>
    </row>
    <row r="8" spans="1:27" ht="16" x14ac:dyDescent="0.2">
      <c r="A8" s="31" t="s">
        <v>29</v>
      </c>
      <c r="B8" s="64">
        <v>5</v>
      </c>
      <c r="C8" s="26">
        <f>'Parametre - Agendové IS'!D120</f>
        <v>0</v>
      </c>
      <c r="D8" s="26">
        <f>'Parametre - Agendové IS'!E120</f>
        <v>0</v>
      </c>
      <c r="E8" s="28">
        <f t="shared" si="4"/>
        <v>0</v>
      </c>
      <c r="F8" s="26">
        <f>IF(B8&lt;=MIN(MODULY_CBA!$N$3:$N$23),0,TCO!H26+TCO!H27)</f>
        <v>0</v>
      </c>
      <c r="G8" s="26">
        <f>IF(B8&lt;=MIN(MODULY_CBA!$N$3:$N$23),0,TCO!H22+TCO!H23)</f>
        <v>0</v>
      </c>
      <c r="H8" s="655">
        <f>IF(B8&lt;=MIN(MODULY_CBA!$N$3:$N$23),0,'Parametre - Agendové IS'!D110)</f>
        <v>0</v>
      </c>
      <c r="I8" s="28">
        <f>IF(B8&lt;=MIN(MODULY_CBA!$N$3:$N$23),0,TCO!H24+TCO!H25)</f>
        <v>0</v>
      </c>
      <c r="J8" s="238"/>
      <c r="K8" s="239"/>
      <c r="L8" s="28">
        <f t="shared" si="0"/>
        <v>0</v>
      </c>
      <c r="M8" s="29">
        <v>0</v>
      </c>
      <c r="N8" s="25">
        <f>'Parametre - Agendové IS'!E100</f>
        <v>0</v>
      </c>
      <c r="O8" s="28">
        <f t="shared" si="9"/>
        <v>0</v>
      </c>
      <c r="P8" s="26">
        <f>'Parametre - Agendové IS'!D130</f>
        <v>0</v>
      </c>
      <c r="Q8" s="26">
        <f>'Parametre - Agendové IS'!E130</f>
        <v>4069455.4791245125</v>
      </c>
      <c r="R8" s="28">
        <f t="shared" si="5"/>
        <v>4069455.4791245125</v>
      </c>
      <c r="S8" s="25">
        <f>-'Parametre - Agendové IS'!D80</f>
        <v>0</v>
      </c>
      <c r="T8" s="25">
        <f>-'Parametre - Agendové IS'!E80</f>
        <v>0</v>
      </c>
      <c r="U8" s="28">
        <f t="shared" si="1"/>
        <v>0</v>
      </c>
      <c r="V8" s="26">
        <f t="shared" si="2"/>
        <v>0</v>
      </c>
      <c r="W8" s="25">
        <f t="shared" si="3"/>
        <v>0</v>
      </c>
      <c r="X8" s="28">
        <f t="shared" si="6"/>
        <v>0</v>
      </c>
      <c r="Y8" s="26">
        <f t="shared" si="7"/>
        <v>0</v>
      </c>
      <c r="Z8" s="25">
        <f t="shared" si="7"/>
        <v>4069455.4791245125</v>
      </c>
      <c r="AA8" s="28">
        <f t="shared" si="8"/>
        <v>4069455.4791245125</v>
      </c>
    </row>
    <row r="9" spans="1:27" ht="16" x14ac:dyDescent="0.2">
      <c r="A9" s="31" t="s">
        <v>30</v>
      </c>
      <c r="B9" s="64">
        <v>6</v>
      </c>
      <c r="C9" s="26">
        <f>'Parametre - Agendové IS'!D121</f>
        <v>0</v>
      </c>
      <c r="D9" s="26">
        <f>'Parametre - Agendové IS'!E121</f>
        <v>0</v>
      </c>
      <c r="E9" s="28">
        <f t="shared" si="4"/>
        <v>0</v>
      </c>
      <c r="F9" s="26">
        <f>IF(B9&lt;=MIN(MODULY_CBA!$N$3:$N$23),0,TCO!I26+TCO!I27)</f>
        <v>0</v>
      </c>
      <c r="G9" s="26">
        <f>IF(B9&lt;=MIN(MODULY_CBA!$N$3:$N$23),0,TCO!I22+TCO!I23)</f>
        <v>0</v>
      </c>
      <c r="H9" s="655">
        <f>IF(B9&lt;=MIN(MODULY_CBA!$N$3:$N$23),0,'Parametre - Agendové IS'!D111)</f>
        <v>0</v>
      </c>
      <c r="I9" s="28">
        <f>IF(B9&lt;=MIN(MODULY_CBA!$N$3:$N$23),0,TCO!I24+TCO!I25)</f>
        <v>0</v>
      </c>
      <c r="J9" s="238"/>
      <c r="K9" s="239"/>
      <c r="L9" s="28">
        <f t="shared" si="0"/>
        <v>0</v>
      </c>
      <c r="M9" s="29">
        <v>0</v>
      </c>
      <c r="N9" s="25">
        <f>'Parametre - Agendové IS'!E101</f>
        <v>0</v>
      </c>
      <c r="O9" s="28">
        <f t="shared" si="9"/>
        <v>0</v>
      </c>
      <c r="P9" s="26">
        <f>'Parametre - Agendové IS'!D131</f>
        <v>0</v>
      </c>
      <c r="Q9" s="26">
        <f>'Parametre - Agendové IS'!E131</f>
        <v>7581424.5520049995</v>
      </c>
      <c r="R9" s="28">
        <f t="shared" si="5"/>
        <v>7581424.5520049995</v>
      </c>
      <c r="S9" s="25">
        <f>-'Parametre - Agendové IS'!D81</f>
        <v>0</v>
      </c>
      <c r="T9" s="25">
        <f>-'Parametre - Agendové IS'!E81</f>
        <v>0</v>
      </c>
      <c r="U9" s="28">
        <f t="shared" si="1"/>
        <v>0</v>
      </c>
      <c r="V9" s="26">
        <f t="shared" si="2"/>
        <v>0</v>
      </c>
      <c r="W9" s="25">
        <f t="shared" si="3"/>
        <v>0</v>
      </c>
      <c r="X9" s="28">
        <f t="shared" si="6"/>
        <v>0</v>
      </c>
      <c r="Y9" s="26">
        <f t="shared" si="7"/>
        <v>0</v>
      </c>
      <c r="Z9" s="25">
        <f t="shared" si="7"/>
        <v>7581424.5520049995</v>
      </c>
      <c r="AA9" s="28">
        <f t="shared" si="8"/>
        <v>7581424.5520049995</v>
      </c>
    </row>
    <row r="10" spans="1:27" ht="16" x14ac:dyDescent="0.2">
      <c r="A10" s="31" t="s">
        <v>31</v>
      </c>
      <c r="B10" s="64">
        <v>7</v>
      </c>
      <c r="C10" s="26">
        <f>'Parametre - Agendové IS'!D122</f>
        <v>0</v>
      </c>
      <c r="D10" s="26">
        <f>'Parametre - Agendové IS'!E122</f>
        <v>0</v>
      </c>
      <c r="E10" s="28">
        <f t="shared" si="4"/>
        <v>0</v>
      </c>
      <c r="F10" s="26">
        <f>IF(B10&lt;=MIN(MODULY_CBA!$N$3:$N$23),0,TCO!J26+TCO!J27)</f>
        <v>0</v>
      </c>
      <c r="G10" s="26">
        <f>IF(B10&lt;=MIN(MODULY_CBA!$N$3:$N$23),0,TCO!J22+TCO!J23)</f>
        <v>0</v>
      </c>
      <c r="H10" s="655">
        <f>IF(B10&lt;=MIN(MODULY_CBA!$N$3:$N$23),0,'Parametre - Agendové IS'!D112)</f>
        <v>0</v>
      </c>
      <c r="I10" s="28">
        <f>IF(B10&lt;=MIN(MODULY_CBA!$N$3:$N$23),0,TCO!J24+TCO!J25)</f>
        <v>0</v>
      </c>
      <c r="J10" s="238"/>
      <c r="K10" s="239"/>
      <c r="L10" s="28">
        <f t="shared" si="0"/>
        <v>0</v>
      </c>
      <c r="M10" s="29">
        <v>0</v>
      </c>
      <c r="N10" s="25">
        <f>'Parametre - Agendové IS'!E102</f>
        <v>0</v>
      </c>
      <c r="O10" s="28">
        <f t="shared" si="9"/>
        <v>0</v>
      </c>
      <c r="P10" s="26">
        <f>'Parametre - Agendové IS'!D132</f>
        <v>0</v>
      </c>
      <c r="Q10" s="26">
        <f>'Parametre - Agendové IS'!E132</f>
        <v>7581424.5520049995</v>
      </c>
      <c r="R10" s="28">
        <f t="shared" si="5"/>
        <v>7581424.5520049995</v>
      </c>
      <c r="S10" s="25">
        <f>-'Parametre - Agendové IS'!D82</f>
        <v>0</v>
      </c>
      <c r="T10" s="25">
        <f>-'Parametre - Agendové IS'!E82</f>
        <v>0</v>
      </c>
      <c r="U10" s="28">
        <f t="shared" si="1"/>
        <v>0</v>
      </c>
      <c r="V10" s="26">
        <f t="shared" si="2"/>
        <v>0</v>
      </c>
      <c r="W10" s="25">
        <f t="shared" si="3"/>
        <v>0</v>
      </c>
      <c r="X10" s="28">
        <f t="shared" si="6"/>
        <v>0</v>
      </c>
      <c r="Y10" s="26">
        <f t="shared" si="7"/>
        <v>0</v>
      </c>
      <c r="Z10" s="25">
        <f t="shared" si="7"/>
        <v>7581424.5520049995</v>
      </c>
      <c r="AA10" s="28">
        <f t="shared" si="8"/>
        <v>7581424.5520049995</v>
      </c>
    </row>
    <row r="11" spans="1:27" ht="16" x14ac:dyDescent="0.2">
      <c r="A11" s="31" t="s">
        <v>32</v>
      </c>
      <c r="B11" s="64">
        <v>8</v>
      </c>
      <c r="C11" s="26">
        <f>'Parametre - Agendové IS'!D123</f>
        <v>0</v>
      </c>
      <c r="D11" s="26">
        <f>'Parametre - Agendové IS'!E123</f>
        <v>0</v>
      </c>
      <c r="E11" s="28">
        <f t="shared" si="4"/>
        <v>0</v>
      </c>
      <c r="F11" s="26">
        <f>IF(B11&lt;=MIN(MODULY_CBA!$N$3:$N$23),0,TCO!K26+TCO!K27)</f>
        <v>0</v>
      </c>
      <c r="G11" s="26">
        <f>IF(B11&lt;=MIN(MODULY_CBA!$N$3:$N$23),0,TCO!K22+TCO!K23)</f>
        <v>0</v>
      </c>
      <c r="H11" s="655">
        <f>IF(B11&lt;=MIN(MODULY_CBA!$N$3:$N$23),0,'Parametre - Agendové IS'!D113)</f>
        <v>0</v>
      </c>
      <c r="I11" s="28">
        <f>IF(B11&lt;=MIN(MODULY_CBA!$N$3:$N$23),0,TCO!K24+TCO!K25)</f>
        <v>0</v>
      </c>
      <c r="J11" s="238"/>
      <c r="K11" s="239"/>
      <c r="L11" s="28">
        <f t="shared" si="0"/>
        <v>0</v>
      </c>
      <c r="M11" s="29">
        <v>0</v>
      </c>
      <c r="N11" s="25">
        <f>'Parametre - Agendové IS'!E103</f>
        <v>0</v>
      </c>
      <c r="O11" s="28">
        <f t="shared" si="9"/>
        <v>0</v>
      </c>
      <c r="P11" s="26">
        <f>'Parametre - Agendové IS'!D133</f>
        <v>0</v>
      </c>
      <c r="Q11" s="26">
        <f>'Parametre - Agendové IS'!E133</f>
        <v>7581424.5520049995</v>
      </c>
      <c r="R11" s="28">
        <f t="shared" si="5"/>
        <v>7581424.5520049995</v>
      </c>
      <c r="S11" s="25">
        <f>-'Parametre - Agendové IS'!D83</f>
        <v>0</v>
      </c>
      <c r="T11" s="25">
        <f>-'Parametre - Agendové IS'!E83</f>
        <v>0</v>
      </c>
      <c r="U11" s="28">
        <f t="shared" si="1"/>
        <v>0</v>
      </c>
      <c r="V11" s="26">
        <f t="shared" si="2"/>
        <v>0</v>
      </c>
      <c r="W11" s="25">
        <f t="shared" si="3"/>
        <v>0</v>
      </c>
      <c r="X11" s="28">
        <f t="shared" si="6"/>
        <v>0</v>
      </c>
      <c r="Y11" s="26">
        <f t="shared" si="7"/>
        <v>0</v>
      </c>
      <c r="Z11" s="25">
        <f t="shared" si="7"/>
        <v>7581424.5520049995</v>
      </c>
      <c r="AA11" s="28">
        <f t="shared" si="8"/>
        <v>7581424.5520049995</v>
      </c>
    </row>
    <row r="12" spans="1:27" ht="16" x14ac:dyDescent="0.2">
      <c r="A12" s="31" t="s">
        <v>33</v>
      </c>
      <c r="B12" s="64">
        <v>9</v>
      </c>
      <c r="C12" s="26">
        <f>'Parametre - Agendové IS'!D124</f>
        <v>0</v>
      </c>
      <c r="D12" s="26">
        <f>'Parametre - Agendové IS'!E124</f>
        <v>0</v>
      </c>
      <c r="E12" s="28">
        <f t="shared" si="4"/>
        <v>0</v>
      </c>
      <c r="F12" s="26">
        <f>IF(B12&lt;=MIN(MODULY_CBA!$N$3:$N$23),0,TCO!L26+TCO!L27)</f>
        <v>0</v>
      </c>
      <c r="G12" s="26">
        <f>IF(B12&lt;=MIN(MODULY_CBA!$N$3:$N$23),0,TCO!L22+TCO!L23)</f>
        <v>0</v>
      </c>
      <c r="H12" s="655">
        <f>IF(B12&lt;=MIN(MODULY_CBA!$N$3:$N$23),0,'Parametre - Agendové IS'!D114)</f>
        <v>0</v>
      </c>
      <c r="I12" s="28">
        <f>IF(B12&lt;=MIN(MODULY_CBA!$N$3:$N$23),0,TCO!L24+TCO!L25)</f>
        <v>0</v>
      </c>
      <c r="J12" s="238"/>
      <c r="K12" s="239"/>
      <c r="L12" s="28">
        <f t="shared" si="0"/>
        <v>0</v>
      </c>
      <c r="M12" s="29">
        <v>0</v>
      </c>
      <c r="N12" s="25">
        <f>'Parametre - Agendové IS'!E104</f>
        <v>0</v>
      </c>
      <c r="O12" s="28">
        <f t="shared" si="9"/>
        <v>0</v>
      </c>
      <c r="P12" s="26">
        <f>'Parametre - Agendové IS'!D134</f>
        <v>0</v>
      </c>
      <c r="Q12" s="26">
        <f>'Parametre - Agendové IS'!E134</f>
        <v>7581424.5520049995</v>
      </c>
      <c r="R12" s="28">
        <f t="shared" si="5"/>
        <v>7581424.5520049995</v>
      </c>
      <c r="S12" s="25">
        <f>-'Parametre - Agendové IS'!D84</f>
        <v>0</v>
      </c>
      <c r="T12" s="25">
        <f>-'Parametre - Agendové IS'!E84</f>
        <v>0</v>
      </c>
      <c r="U12" s="28">
        <f t="shared" si="1"/>
        <v>0</v>
      </c>
      <c r="V12" s="26">
        <f t="shared" si="2"/>
        <v>0</v>
      </c>
      <c r="W12" s="25">
        <f t="shared" si="3"/>
        <v>0</v>
      </c>
      <c r="X12" s="28">
        <f t="shared" si="6"/>
        <v>0</v>
      </c>
      <c r="Y12" s="26">
        <f t="shared" si="7"/>
        <v>0</v>
      </c>
      <c r="Z12" s="25">
        <f t="shared" si="7"/>
        <v>7581424.5520049995</v>
      </c>
      <c r="AA12" s="28">
        <f t="shared" si="8"/>
        <v>7581424.5520049995</v>
      </c>
    </row>
    <row r="13" spans="1:27" ht="15.5" customHeight="1" thickBot="1" x14ac:dyDescent="0.25">
      <c r="A13" s="31" t="s">
        <v>34</v>
      </c>
      <c r="B13" s="65">
        <v>10</v>
      </c>
      <c r="C13" s="43">
        <f>'Parametre - Agendové IS'!D125</f>
        <v>0</v>
      </c>
      <c r="D13" s="43">
        <f>'Parametre - Agendové IS'!E125</f>
        <v>0</v>
      </c>
      <c r="E13" s="124">
        <f t="shared" si="4"/>
        <v>0</v>
      </c>
      <c r="F13" s="26">
        <f>IF(B13&lt;=MIN(MODULY_CBA!$N$3:$N$23),0,TCO!M26+TCO!M27)</f>
        <v>0</v>
      </c>
      <c r="G13" s="26">
        <f>IF(B13&lt;=MIN(MODULY_CBA!$N$3:$N$23),0,TCO!M22+TCO!M23)</f>
        <v>0</v>
      </c>
      <c r="H13" s="655">
        <f>IF(B13&lt;=MIN(MODULY_CBA!$N$3:$N$23),0,'Parametre - Agendové IS'!D115)</f>
        <v>0</v>
      </c>
      <c r="I13" s="124">
        <f>IF(B13&lt;=MIN(MODULY_CBA!$N$3:$N$23),0,TCO!M24+TCO!M25)</f>
        <v>0</v>
      </c>
      <c r="J13" s="240"/>
      <c r="K13" s="241"/>
      <c r="L13" s="124">
        <f t="shared" si="0"/>
        <v>0</v>
      </c>
      <c r="M13" s="29">
        <v>0</v>
      </c>
      <c r="N13" s="39">
        <f>'Parametre - Agendové IS'!E105</f>
        <v>0</v>
      </c>
      <c r="O13" s="124">
        <f t="shared" si="9"/>
        <v>0</v>
      </c>
      <c r="P13" s="43">
        <f>'Parametre - Agendové IS'!D135</f>
        <v>0</v>
      </c>
      <c r="Q13" s="43">
        <f>'Parametre - Agendové IS'!E135</f>
        <v>7581424.5520049995</v>
      </c>
      <c r="R13" s="124">
        <f t="shared" si="5"/>
        <v>7581424.5520049995</v>
      </c>
      <c r="S13" s="39">
        <f>-'Parametre - Agendové IS'!D85</f>
        <v>0</v>
      </c>
      <c r="T13" s="39">
        <f>-'Parametre - Agendové IS'!E85</f>
        <v>0</v>
      </c>
      <c r="U13" s="39">
        <f t="shared" si="1"/>
        <v>0</v>
      </c>
      <c r="V13" s="127">
        <f t="shared" si="2"/>
        <v>0</v>
      </c>
      <c r="W13" s="39">
        <f t="shared" si="3"/>
        <v>0</v>
      </c>
      <c r="X13" s="124">
        <f>W13-V13</f>
        <v>0</v>
      </c>
      <c r="Y13" s="43">
        <f t="shared" si="7"/>
        <v>0</v>
      </c>
      <c r="Z13" s="39">
        <f t="shared" si="7"/>
        <v>7581424.5520049995</v>
      </c>
      <c r="AA13" s="124">
        <f t="shared" si="8"/>
        <v>7581424.5520049995</v>
      </c>
    </row>
    <row r="14" spans="1:27" x14ac:dyDescent="0.2">
      <c r="A14" s="1322" t="s">
        <v>102</v>
      </c>
      <c r="B14" s="1323"/>
      <c r="C14" s="342">
        <f>SUM(C4:C13)</f>
        <v>0</v>
      </c>
      <c r="D14" s="342">
        <f t="shared" ref="D14:U14" si="10">SUM(D4:D13)</f>
        <v>0</v>
      </c>
      <c r="E14" s="343">
        <f t="shared" si="10"/>
        <v>0</v>
      </c>
      <c r="F14" s="342">
        <f>SUM(F4:F13)</f>
        <v>0</v>
      </c>
      <c r="G14" s="342">
        <f t="shared" ref="G14:I14" si="11">SUM(G4:G13)</f>
        <v>0</v>
      </c>
      <c r="H14" s="342">
        <f t="shared" si="11"/>
        <v>0</v>
      </c>
      <c r="I14" s="343">
        <f t="shared" si="11"/>
        <v>0</v>
      </c>
      <c r="J14" s="342">
        <f t="shared" si="10"/>
        <v>0</v>
      </c>
      <c r="K14" s="344">
        <f t="shared" si="10"/>
        <v>0</v>
      </c>
      <c r="L14" s="343">
        <f t="shared" si="10"/>
        <v>0</v>
      </c>
      <c r="M14" s="342">
        <f t="shared" si="10"/>
        <v>0</v>
      </c>
      <c r="N14" s="344">
        <f t="shared" si="10"/>
        <v>0</v>
      </c>
      <c r="O14" s="343">
        <f t="shared" si="10"/>
        <v>0</v>
      </c>
      <c r="P14" s="342">
        <f t="shared" si="10"/>
        <v>0</v>
      </c>
      <c r="Q14" s="342">
        <f t="shared" si="10"/>
        <v>48086418.015964389</v>
      </c>
      <c r="R14" s="343">
        <f t="shared" si="10"/>
        <v>48086418.015964389</v>
      </c>
      <c r="S14" s="344">
        <f t="shared" si="10"/>
        <v>0</v>
      </c>
      <c r="T14" s="344">
        <f t="shared" si="10"/>
        <v>0</v>
      </c>
      <c r="U14" s="345">
        <f t="shared" si="10"/>
        <v>0</v>
      </c>
      <c r="V14" s="346">
        <f t="shared" ref="V14:AA14" si="12">SUM(V4:V13)</f>
        <v>0</v>
      </c>
      <c r="W14" s="344">
        <f t="shared" si="12"/>
        <v>0</v>
      </c>
      <c r="X14" s="347">
        <f t="shared" si="12"/>
        <v>0</v>
      </c>
      <c r="Y14" s="346">
        <f t="shared" si="12"/>
        <v>0</v>
      </c>
      <c r="Z14" s="344">
        <f t="shared" si="12"/>
        <v>48086418.015964389</v>
      </c>
      <c r="AA14" s="348">
        <f t="shared" si="12"/>
        <v>48086418.015964389</v>
      </c>
    </row>
    <row r="15" spans="1:27" ht="16" thickBot="1" x14ac:dyDescent="0.25">
      <c r="A15" s="1324" t="s">
        <v>118</v>
      </c>
      <c r="B15" s="1325"/>
      <c r="C15" s="349"/>
      <c r="D15" s="349"/>
      <c r="E15" s="350">
        <f>E4+NPV(Faktory!$D$5,'Prínosy - Agendové IS'!E5:E13)</f>
        <v>0</v>
      </c>
      <c r="F15" s="661">
        <f>F4+NPV(Faktory!$D$5,'Prínosy - Agendové IS'!F5:F13)</f>
        <v>0</v>
      </c>
      <c r="G15" s="662">
        <f>G4+NPV(Faktory!$D$5,'Prínosy - Agendové IS'!G5:G13)</f>
        <v>0</v>
      </c>
      <c r="H15" s="662">
        <f>H4+NPV(Faktory!$D$5,'Prínosy - Agendové IS'!H5:H13)</f>
        <v>0</v>
      </c>
      <c r="I15" s="663">
        <f>I4+NPV(Faktory!$D$5,'Prínosy - Agendové IS'!I5:I13)</f>
        <v>0</v>
      </c>
      <c r="J15" s="351"/>
      <c r="K15" s="352"/>
      <c r="L15" s="350">
        <f>L4+NPV(Faktory!$D$3,'Prínosy - Agendové IS'!L5:L13)</f>
        <v>0</v>
      </c>
      <c r="M15" s="351"/>
      <c r="N15" s="352"/>
      <c r="O15" s="350">
        <f>O4+NPV(Faktory!$D$5,'Prínosy - Agendové IS'!O5:O13)</f>
        <v>0</v>
      </c>
      <c r="P15" s="349"/>
      <c r="Q15" s="349"/>
      <c r="R15" s="350">
        <f>R4+NPV(Faktory!$D$5,'Prínosy - Agendové IS'!R5:R13)</f>
        <v>35761865.697502479</v>
      </c>
      <c r="S15" s="352"/>
      <c r="T15" s="352"/>
      <c r="U15" s="353">
        <f>U4+NPV(Faktory!$D$5,'Prínosy - Agendové IS'!U5:U13)</f>
        <v>0</v>
      </c>
      <c r="V15" s="354"/>
      <c r="W15" s="352"/>
      <c r="X15" s="350">
        <f>X4+NPV(Faktory!$D$5,'Prínosy - Agendové IS'!X5:X13)</f>
        <v>0</v>
      </c>
      <c r="Y15" s="354"/>
      <c r="Z15" s="352"/>
      <c r="AA15" s="350">
        <f>AA4+NPV(Faktory!$D$5,'Prínosy - Agendové IS'!AA5:AA13)</f>
        <v>35761865.697502479</v>
      </c>
    </row>
    <row r="16" spans="1:27" ht="16" thickBot="1" x14ac:dyDescent="0.25">
      <c r="AA16" s="350">
        <f>(AA15+SUM(F15:I15))</f>
        <v>35761865.697502479</v>
      </c>
    </row>
    <row r="17" spans="3:3" x14ac:dyDescent="0.2">
      <c r="C17" s="97" t="s">
        <v>127</v>
      </c>
    </row>
    <row r="38" spans="20:20" x14ac:dyDescent="0.2">
      <c r="T38" s="126"/>
    </row>
  </sheetData>
  <protectedRanges>
    <protectedRange algorithmName="SHA-512" hashValue="f4ycvS5NMakRYlpexdvZE7kc5B00PVZgCpNS64jzUJaJceYSE+aleudxwPGxr22CZo/5IZ2uTHVQQMolnN60/A==" saltValue="c0KVc6r/LTYq/uhy9236YA==" spinCount="100000" sqref="J2:L15" name="Rozsah1"/>
  </protectedRanges>
  <mergeCells count="13">
    <mergeCell ref="A14:B14"/>
    <mergeCell ref="A15:B15"/>
    <mergeCell ref="V1:AA1"/>
    <mergeCell ref="C2:E2"/>
    <mergeCell ref="J2:L2"/>
    <mergeCell ref="M2:O2"/>
    <mergeCell ref="P2:R2"/>
    <mergeCell ref="V2:X2"/>
    <mergeCell ref="Y2:AA2"/>
    <mergeCell ref="S2:U2"/>
    <mergeCell ref="J1:U1"/>
    <mergeCell ref="C1:I1"/>
    <mergeCell ref="F2:I2"/>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8">
    <tabColor theme="8" tint="0.39997558519241921"/>
  </sheetPr>
  <dimension ref="A1:BR135"/>
  <sheetViews>
    <sheetView zoomScale="60" zoomScaleNormal="60" workbookViewId="0">
      <pane xSplit="6" ySplit="4" topLeftCell="G44" activePane="bottomRight" state="frozen"/>
      <selection pane="topRight" activeCell="G1" sqref="G1"/>
      <selection pane="bottomLeft" activeCell="A5" sqref="A5"/>
      <selection pane="bottomRight" activeCell="AL65" sqref="AL65"/>
    </sheetView>
  </sheetViews>
  <sheetFormatPr baseColWidth="10" defaultColWidth="9.1640625" defaultRowHeight="15" x14ac:dyDescent="0.2"/>
  <cols>
    <col min="1" max="1" width="19.1640625" style="7" customWidth="1"/>
    <col min="2" max="2" width="9.83203125" style="7" bestFit="1" customWidth="1"/>
    <col min="3" max="3" width="8.83203125" style="7" bestFit="1" customWidth="1"/>
    <col min="4" max="4" width="14.5" style="7" bestFit="1" customWidth="1"/>
    <col min="5" max="5" width="15.6640625" style="7" bestFit="1" customWidth="1"/>
    <col min="6" max="6" width="14.5" style="7" bestFit="1" customWidth="1"/>
    <col min="7" max="7" width="14.1640625" style="7" customWidth="1"/>
    <col min="8" max="8" width="14.1640625" style="317" customWidth="1"/>
    <col min="9" max="18" width="14.1640625" style="7" customWidth="1"/>
    <col min="19" max="19" width="14.1640625" style="318" customWidth="1"/>
    <col min="20" max="20" width="14.1640625" style="317" customWidth="1"/>
    <col min="21" max="21" width="14.1640625" style="7" customWidth="1"/>
    <col min="22" max="22" width="14.1640625" style="318" customWidth="1"/>
    <col min="23" max="23" width="14.1640625" style="317" customWidth="1"/>
    <col min="24" max="33" width="14.1640625" style="7" customWidth="1"/>
    <col min="34" max="34" width="14.1640625" style="318" customWidth="1"/>
    <col min="35" max="35" width="14.1640625" style="317" customWidth="1"/>
    <col min="36" max="36" width="14.1640625" style="7" customWidth="1"/>
    <col min="37" max="37" width="14.1640625" style="318" customWidth="1"/>
    <col min="38" max="38" width="14.1640625" style="317" customWidth="1"/>
    <col min="39" max="48" width="14.1640625" style="7" customWidth="1"/>
    <col min="49" max="49" width="14.1640625" style="318" customWidth="1"/>
    <col min="50" max="50" width="14.1640625" style="317" customWidth="1"/>
    <col min="51" max="51" width="14.1640625" style="7" customWidth="1"/>
    <col min="52" max="52" width="14.1640625" style="318" customWidth="1"/>
    <col min="53" max="53" width="14.1640625" style="317" customWidth="1"/>
    <col min="54" max="63" width="14.1640625" style="7" customWidth="1"/>
    <col min="64" max="64" width="14.1640625" style="318" customWidth="1"/>
    <col min="65" max="65" width="14.1640625" style="317" customWidth="1"/>
    <col min="66" max="66" width="14.1640625" style="7" customWidth="1"/>
    <col min="67" max="67" width="14.1640625" style="318" customWidth="1"/>
    <col min="68" max="68" width="14.1640625" style="317" customWidth="1"/>
    <col min="69" max="69" width="14.1640625" style="7" customWidth="1"/>
    <col min="70" max="70" width="14.6640625" style="243" customWidth="1"/>
    <col min="71" max="73" width="9.1640625" style="7"/>
    <col min="74" max="74" width="12.5" style="7" bestFit="1" customWidth="1"/>
    <col min="75" max="309" width="9.1640625" style="7"/>
    <col min="310" max="310" width="1.6640625" style="7" customWidth="1"/>
    <col min="311" max="311" width="19.1640625" style="7" customWidth="1"/>
    <col min="312" max="312" width="35.1640625" style="7" customWidth="1"/>
    <col min="313" max="313" width="9.83203125" style="7" bestFit="1" customWidth="1"/>
    <col min="314" max="314" width="8.83203125" style="7" bestFit="1" customWidth="1"/>
    <col min="315" max="325" width="10.33203125" style="7" customWidth="1"/>
    <col min="326" max="565" width="9.1640625" style="7"/>
    <col min="566" max="566" width="1.6640625" style="7" customWidth="1"/>
    <col min="567" max="567" width="19.1640625" style="7" customWidth="1"/>
    <col min="568" max="568" width="35.1640625" style="7" customWidth="1"/>
    <col min="569" max="569" width="9.83203125" style="7" bestFit="1" customWidth="1"/>
    <col min="570" max="570" width="8.83203125" style="7" bestFit="1" customWidth="1"/>
    <col min="571" max="581" width="10.33203125" style="7" customWidth="1"/>
    <col min="582" max="821" width="9.1640625" style="7"/>
    <col min="822" max="822" width="1.6640625" style="7" customWidth="1"/>
    <col min="823" max="823" width="19.1640625" style="7" customWidth="1"/>
    <col min="824" max="824" width="35.1640625" style="7" customWidth="1"/>
    <col min="825" max="825" width="9.83203125" style="7" bestFit="1" customWidth="1"/>
    <col min="826" max="826" width="8.83203125" style="7" bestFit="1" customWidth="1"/>
    <col min="827" max="837" width="10.33203125" style="7" customWidth="1"/>
    <col min="838" max="1077" width="9.1640625" style="7"/>
    <col min="1078" max="1078" width="1.6640625" style="7" customWidth="1"/>
    <col min="1079" max="1079" width="19.1640625" style="7" customWidth="1"/>
    <col min="1080" max="1080" width="35.1640625" style="7" customWidth="1"/>
    <col min="1081" max="1081" width="9.83203125" style="7" bestFit="1" customWidth="1"/>
    <col min="1082" max="1082" width="8.83203125" style="7" bestFit="1" customWidth="1"/>
    <col min="1083" max="1093" width="10.33203125" style="7" customWidth="1"/>
    <col min="1094" max="1333" width="9.1640625" style="7"/>
    <col min="1334" max="1334" width="1.6640625" style="7" customWidth="1"/>
    <col min="1335" max="1335" width="19.1640625" style="7" customWidth="1"/>
    <col min="1336" max="1336" width="35.1640625" style="7" customWidth="1"/>
    <col min="1337" max="1337" width="9.83203125" style="7" bestFit="1" customWidth="1"/>
    <col min="1338" max="1338" width="8.83203125" style="7" bestFit="1" customWidth="1"/>
    <col min="1339" max="1349" width="10.33203125" style="7" customWidth="1"/>
    <col min="1350" max="1589" width="9.1640625" style="7"/>
    <col min="1590" max="1590" width="1.6640625" style="7" customWidth="1"/>
    <col min="1591" max="1591" width="19.1640625" style="7" customWidth="1"/>
    <col min="1592" max="1592" width="35.1640625" style="7" customWidth="1"/>
    <col min="1593" max="1593" width="9.83203125" style="7" bestFit="1" customWidth="1"/>
    <col min="1594" max="1594" width="8.83203125" style="7" bestFit="1" customWidth="1"/>
    <col min="1595" max="1605" width="10.33203125" style="7" customWidth="1"/>
    <col min="1606" max="1845" width="9.1640625" style="7"/>
    <col min="1846" max="1846" width="1.6640625" style="7" customWidth="1"/>
    <col min="1847" max="1847" width="19.1640625" style="7" customWidth="1"/>
    <col min="1848" max="1848" width="35.1640625" style="7" customWidth="1"/>
    <col min="1849" max="1849" width="9.83203125" style="7" bestFit="1" customWidth="1"/>
    <col min="1850" max="1850" width="8.83203125" style="7" bestFit="1" customWidth="1"/>
    <col min="1851" max="1861" width="10.33203125" style="7" customWidth="1"/>
    <col min="1862" max="2101" width="9.1640625" style="7"/>
    <col min="2102" max="2102" width="1.6640625" style="7" customWidth="1"/>
    <col min="2103" max="2103" width="19.1640625" style="7" customWidth="1"/>
    <col min="2104" max="2104" width="35.1640625" style="7" customWidth="1"/>
    <col min="2105" max="2105" width="9.83203125" style="7" bestFit="1" customWidth="1"/>
    <col min="2106" max="2106" width="8.83203125" style="7" bestFit="1" customWidth="1"/>
    <col min="2107" max="2117" width="10.33203125" style="7" customWidth="1"/>
    <col min="2118" max="2357" width="9.1640625" style="7"/>
    <col min="2358" max="2358" width="1.6640625" style="7" customWidth="1"/>
    <col min="2359" max="2359" width="19.1640625" style="7" customWidth="1"/>
    <col min="2360" max="2360" width="35.1640625" style="7" customWidth="1"/>
    <col min="2361" max="2361" width="9.83203125" style="7" bestFit="1" customWidth="1"/>
    <col min="2362" max="2362" width="8.83203125" style="7" bestFit="1" customWidth="1"/>
    <col min="2363" max="2373" width="10.33203125" style="7" customWidth="1"/>
    <col min="2374" max="2613" width="9.1640625" style="7"/>
    <col min="2614" max="2614" width="1.6640625" style="7" customWidth="1"/>
    <col min="2615" max="2615" width="19.1640625" style="7" customWidth="1"/>
    <col min="2616" max="2616" width="35.1640625" style="7" customWidth="1"/>
    <col min="2617" max="2617" width="9.83203125" style="7" bestFit="1" customWidth="1"/>
    <col min="2618" max="2618" width="8.83203125" style="7" bestFit="1" customWidth="1"/>
    <col min="2619" max="2629" width="10.33203125" style="7" customWidth="1"/>
    <col min="2630" max="2869" width="9.1640625" style="7"/>
    <col min="2870" max="2870" width="1.6640625" style="7" customWidth="1"/>
    <col min="2871" max="2871" width="19.1640625" style="7" customWidth="1"/>
    <col min="2872" max="2872" width="35.1640625" style="7" customWidth="1"/>
    <col min="2873" max="2873" width="9.83203125" style="7" bestFit="1" customWidth="1"/>
    <col min="2874" max="2874" width="8.83203125" style="7" bestFit="1" customWidth="1"/>
    <col min="2875" max="2885" width="10.33203125" style="7" customWidth="1"/>
    <col min="2886" max="3125" width="9.1640625" style="7"/>
    <col min="3126" max="3126" width="1.6640625" style="7" customWidth="1"/>
    <col min="3127" max="3127" width="19.1640625" style="7" customWidth="1"/>
    <col min="3128" max="3128" width="35.1640625" style="7" customWidth="1"/>
    <col min="3129" max="3129" width="9.83203125" style="7" bestFit="1" customWidth="1"/>
    <col min="3130" max="3130" width="8.83203125" style="7" bestFit="1" customWidth="1"/>
    <col min="3131" max="3141" width="10.33203125" style="7" customWidth="1"/>
    <col min="3142" max="3381" width="9.1640625" style="7"/>
    <col min="3382" max="3382" width="1.6640625" style="7" customWidth="1"/>
    <col min="3383" max="3383" width="19.1640625" style="7" customWidth="1"/>
    <col min="3384" max="3384" width="35.1640625" style="7" customWidth="1"/>
    <col min="3385" max="3385" width="9.83203125" style="7" bestFit="1" customWidth="1"/>
    <col min="3386" max="3386" width="8.83203125" style="7" bestFit="1" customWidth="1"/>
    <col min="3387" max="3397" width="10.33203125" style="7" customWidth="1"/>
    <col min="3398" max="3637" width="9.1640625" style="7"/>
    <col min="3638" max="3638" width="1.6640625" style="7" customWidth="1"/>
    <col min="3639" max="3639" width="19.1640625" style="7" customWidth="1"/>
    <col min="3640" max="3640" width="35.1640625" style="7" customWidth="1"/>
    <col min="3641" max="3641" width="9.83203125" style="7" bestFit="1" customWidth="1"/>
    <col min="3642" max="3642" width="8.83203125" style="7" bestFit="1" customWidth="1"/>
    <col min="3643" max="3653" width="10.33203125" style="7" customWidth="1"/>
    <col min="3654" max="3893" width="9.1640625" style="7"/>
    <col min="3894" max="3894" width="1.6640625" style="7" customWidth="1"/>
    <col min="3895" max="3895" width="19.1640625" style="7" customWidth="1"/>
    <col min="3896" max="3896" width="35.1640625" style="7" customWidth="1"/>
    <col min="3897" max="3897" width="9.83203125" style="7" bestFit="1" customWidth="1"/>
    <col min="3898" max="3898" width="8.83203125" style="7" bestFit="1" customWidth="1"/>
    <col min="3899" max="3909" width="10.33203125" style="7" customWidth="1"/>
    <col min="3910" max="4149" width="9.1640625" style="7"/>
    <col min="4150" max="4150" width="1.6640625" style="7" customWidth="1"/>
    <col min="4151" max="4151" width="19.1640625" style="7" customWidth="1"/>
    <col min="4152" max="4152" width="35.1640625" style="7" customWidth="1"/>
    <col min="4153" max="4153" width="9.83203125" style="7" bestFit="1" customWidth="1"/>
    <col min="4154" max="4154" width="8.83203125" style="7" bestFit="1" customWidth="1"/>
    <col min="4155" max="4165" width="10.33203125" style="7" customWidth="1"/>
    <col min="4166" max="4405" width="9.1640625" style="7"/>
    <col min="4406" max="4406" width="1.6640625" style="7" customWidth="1"/>
    <col min="4407" max="4407" width="19.1640625" style="7" customWidth="1"/>
    <col min="4408" max="4408" width="35.1640625" style="7" customWidth="1"/>
    <col min="4409" max="4409" width="9.83203125" style="7" bestFit="1" customWidth="1"/>
    <col min="4410" max="4410" width="8.83203125" style="7" bestFit="1" customWidth="1"/>
    <col min="4411" max="4421" width="10.33203125" style="7" customWidth="1"/>
    <col min="4422" max="4661" width="9.1640625" style="7"/>
    <col min="4662" max="4662" width="1.6640625" style="7" customWidth="1"/>
    <col min="4663" max="4663" width="19.1640625" style="7" customWidth="1"/>
    <col min="4664" max="4664" width="35.1640625" style="7" customWidth="1"/>
    <col min="4665" max="4665" width="9.83203125" style="7" bestFit="1" customWidth="1"/>
    <col min="4666" max="4666" width="8.83203125" style="7" bestFit="1" customWidth="1"/>
    <col min="4667" max="4677" width="10.33203125" style="7" customWidth="1"/>
    <col min="4678" max="4917" width="9.1640625" style="7"/>
    <col min="4918" max="4918" width="1.6640625" style="7" customWidth="1"/>
    <col min="4919" max="4919" width="19.1640625" style="7" customWidth="1"/>
    <col min="4920" max="4920" width="35.1640625" style="7" customWidth="1"/>
    <col min="4921" max="4921" width="9.83203125" style="7" bestFit="1" customWidth="1"/>
    <col min="4922" max="4922" width="8.83203125" style="7" bestFit="1" customWidth="1"/>
    <col min="4923" max="4933" width="10.33203125" style="7" customWidth="1"/>
    <col min="4934" max="5173" width="9.1640625" style="7"/>
    <col min="5174" max="5174" width="1.6640625" style="7" customWidth="1"/>
    <col min="5175" max="5175" width="19.1640625" style="7" customWidth="1"/>
    <col min="5176" max="5176" width="35.1640625" style="7" customWidth="1"/>
    <col min="5177" max="5177" width="9.83203125" style="7" bestFit="1" customWidth="1"/>
    <col min="5178" max="5178" width="8.83203125" style="7" bestFit="1" customWidth="1"/>
    <col min="5179" max="5189" width="10.33203125" style="7" customWidth="1"/>
    <col min="5190" max="5429" width="9.1640625" style="7"/>
    <col min="5430" max="5430" width="1.6640625" style="7" customWidth="1"/>
    <col min="5431" max="5431" width="19.1640625" style="7" customWidth="1"/>
    <col min="5432" max="5432" width="35.1640625" style="7" customWidth="1"/>
    <col min="5433" max="5433" width="9.83203125" style="7" bestFit="1" customWidth="1"/>
    <col min="5434" max="5434" width="8.83203125" style="7" bestFit="1" customWidth="1"/>
    <col min="5435" max="5445" width="10.33203125" style="7" customWidth="1"/>
    <col min="5446" max="5685" width="9.1640625" style="7"/>
    <col min="5686" max="5686" width="1.6640625" style="7" customWidth="1"/>
    <col min="5687" max="5687" width="19.1640625" style="7" customWidth="1"/>
    <col min="5688" max="5688" width="35.1640625" style="7" customWidth="1"/>
    <col min="5689" max="5689" width="9.83203125" style="7" bestFit="1" customWidth="1"/>
    <col min="5690" max="5690" width="8.83203125" style="7" bestFit="1" customWidth="1"/>
    <col min="5691" max="5701" width="10.33203125" style="7" customWidth="1"/>
    <col min="5702" max="5941" width="9.1640625" style="7"/>
    <col min="5942" max="5942" width="1.6640625" style="7" customWidth="1"/>
    <col min="5943" max="5943" width="19.1640625" style="7" customWidth="1"/>
    <col min="5944" max="5944" width="35.1640625" style="7" customWidth="1"/>
    <col min="5945" max="5945" width="9.83203125" style="7" bestFit="1" customWidth="1"/>
    <col min="5946" max="5946" width="8.83203125" style="7" bestFit="1" customWidth="1"/>
    <col min="5947" max="5957" width="10.33203125" style="7" customWidth="1"/>
    <col min="5958" max="6197" width="9.1640625" style="7"/>
    <col min="6198" max="6198" width="1.6640625" style="7" customWidth="1"/>
    <col min="6199" max="6199" width="19.1640625" style="7" customWidth="1"/>
    <col min="6200" max="6200" width="35.1640625" style="7" customWidth="1"/>
    <col min="6201" max="6201" width="9.83203125" style="7" bestFit="1" customWidth="1"/>
    <col min="6202" max="6202" width="8.83203125" style="7" bestFit="1" customWidth="1"/>
    <col min="6203" max="6213" width="10.33203125" style="7" customWidth="1"/>
    <col min="6214" max="6453" width="9.1640625" style="7"/>
    <col min="6454" max="6454" width="1.6640625" style="7" customWidth="1"/>
    <col min="6455" max="6455" width="19.1640625" style="7" customWidth="1"/>
    <col min="6456" max="6456" width="35.1640625" style="7" customWidth="1"/>
    <col min="6457" max="6457" width="9.83203125" style="7" bestFit="1" customWidth="1"/>
    <col min="6458" max="6458" width="8.83203125" style="7" bestFit="1" customWidth="1"/>
    <col min="6459" max="6469" width="10.33203125" style="7" customWidth="1"/>
    <col min="6470" max="6709" width="9.1640625" style="7"/>
    <col min="6710" max="6710" width="1.6640625" style="7" customWidth="1"/>
    <col min="6711" max="6711" width="19.1640625" style="7" customWidth="1"/>
    <col min="6712" max="6712" width="35.1640625" style="7" customWidth="1"/>
    <col min="6713" max="6713" width="9.83203125" style="7" bestFit="1" customWidth="1"/>
    <col min="6714" max="6714" width="8.83203125" style="7" bestFit="1" customWidth="1"/>
    <col min="6715" max="6725" width="10.33203125" style="7" customWidth="1"/>
    <col min="6726" max="6965" width="9.1640625" style="7"/>
    <col min="6966" max="6966" width="1.6640625" style="7" customWidth="1"/>
    <col min="6967" max="6967" width="19.1640625" style="7" customWidth="1"/>
    <col min="6968" max="6968" width="35.1640625" style="7" customWidth="1"/>
    <col min="6969" max="6969" width="9.83203125" style="7" bestFit="1" customWidth="1"/>
    <col min="6970" max="6970" width="8.83203125" style="7" bestFit="1" customWidth="1"/>
    <col min="6971" max="6981" width="10.33203125" style="7" customWidth="1"/>
    <col min="6982" max="7221" width="9.1640625" style="7"/>
    <col min="7222" max="7222" width="1.6640625" style="7" customWidth="1"/>
    <col min="7223" max="7223" width="19.1640625" style="7" customWidth="1"/>
    <col min="7224" max="7224" width="35.1640625" style="7" customWidth="1"/>
    <col min="7225" max="7225" width="9.83203125" style="7" bestFit="1" customWidth="1"/>
    <col min="7226" max="7226" width="8.83203125" style="7" bestFit="1" customWidth="1"/>
    <col min="7227" max="7237" width="10.33203125" style="7" customWidth="1"/>
    <col min="7238" max="7477" width="9.1640625" style="7"/>
    <col min="7478" max="7478" width="1.6640625" style="7" customWidth="1"/>
    <col min="7479" max="7479" width="19.1640625" style="7" customWidth="1"/>
    <col min="7480" max="7480" width="35.1640625" style="7" customWidth="1"/>
    <col min="7481" max="7481" width="9.83203125" style="7" bestFit="1" customWidth="1"/>
    <col min="7482" max="7482" width="8.83203125" style="7" bestFit="1" customWidth="1"/>
    <col min="7483" max="7493" width="10.33203125" style="7" customWidth="1"/>
    <col min="7494" max="7733" width="9.1640625" style="7"/>
    <col min="7734" max="7734" width="1.6640625" style="7" customWidth="1"/>
    <col min="7735" max="7735" width="19.1640625" style="7" customWidth="1"/>
    <col min="7736" max="7736" width="35.1640625" style="7" customWidth="1"/>
    <col min="7737" max="7737" width="9.83203125" style="7" bestFit="1" customWidth="1"/>
    <col min="7738" max="7738" width="8.83203125" style="7" bestFit="1" customWidth="1"/>
    <col min="7739" max="7749" width="10.33203125" style="7" customWidth="1"/>
    <col min="7750" max="7989" width="9.1640625" style="7"/>
    <col min="7990" max="7990" width="1.6640625" style="7" customWidth="1"/>
    <col min="7991" max="7991" width="19.1640625" style="7" customWidth="1"/>
    <col min="7992" max="7992" width="35.1640625" style="7" customWidth="1"/>
    <col min="7993" max="7993" width="9.83203125" style="7" bestFit="1" customWidth="1"/>
    <col min="7994" max="7994" width="8.83203125" style="7" bestFit="1" customWidth="1"/>
    <col min="7995" max="8005" width="10.33203125" style="7" customWidth="1"/>
    <col min="8006" max="8245" width="9.1640625" style="7"/>
    <col min="8246" max="8246" width="1.6640625" style="7" customWidth="1"/>
    <col min="8247" max="8247" width="19.1640625" style="7" customWidth="1"/>
    <col min="8248" max="8248" width="35.1640625" style="7" customWidth="1"/>
    <col min="8249" max="8249" width="9.83203125" style="7" bestFit="1" customWidth="1"/>
    <col min="8250" max="8250" width="8.83203125" style="7" bestFit="1" customWidth="1"/>
    <col min="8251" max="8261" width="10.33203125" style="7" customWidth="1"/>
    <col min="8262" max="8501" width="9.1640625" style="7"/>
    <col min="8502" max="8502" width="1.6640625" style="7" customWidth="1"/>
    <col min="8503" max="8503" width="19.1640625" style="7" customWidth="1"/>
    <col min="8504" max="8504" width="35.1640625" style="7" customWidth="1"/>
    <col min="8505" max="8505" width="9.83203125" style="7" bestFit="1" customWidth="1"/>
    <col min="8506" max="8506" width="8.83203125" style="7" bestFit="1" customWidth="1"/>
    <col min="8507" max="8517" width="10.33203125" style="7" customWidth="1"/>
    <col min="8518" max="8757" width="9.1640625" style="7"/>
    <col min="8758" max="8758" width="1.6640625" style="7" customWidth="1"/>
    <col min="8759" max="8759" width="19.1640625" style="7" customWidth="1"/>
    <col min="8760" max="8760" width="35.1640625" style="7" customWidth="1"/>
    <col min="8761" max="8761" width="9.83203125" style="7" bestFit="1" customWidth="1"/>
    <col min="8762" max="8762" width="8.83203125" style="7" bestFit="1" customWidth="1"/>
    <col min="8763" max="8773" width="10.33203125" style="7" customWidth="1"/>
    <col min="8774" max="9013" width="9.1640625" style="7"/>
    <col min="9014" max="9014" width="1.6640625" style="7" customWidth="1"/>
    <col min="9015" max="9015" width="19.1640625" style="7" customWidth="1"/>
    <col min="9016" max="9016" width="35.1640625" style="7" customWidth="1"/>
    <col min="9017" max="9017" width="9.83203125" style="7" bestFit="1" customWidth="1"/>
    <col min="9018" max="9018" width="8.83203125" style="7" bestFit="1" customWidth="1"/>
    <col min="9019" max="9029" width="10.33203125" style="7" customWidth="1"/>
    <col min="9030" max="9269" width="9.1640625" style="7"/>
    <col min="9270" max="9270" width="1.6640625" style="7" customWidth="1"/>
    <col min="9271" max="9271" width="19.1640625" style="7" customWidth="1"/>
    <col min="9272" max="9272" width="35.1640625" style="7" customWidth="1"/>
    <col min="9273" max="9273" width="9.83203125" style="7" bestFit="1" customWidth="1"/>
    <col min="9274" max="9274" width="8.83203125" style="7" bestFit="1" customWidth="1"/>
    <col min="9275" max="9285" width="10.33203125" style="7" customWidth="1"/>
    <col min="9286" max="9525" width="9.1640625" style="7"/>
    <col min="9526" max="9526" width="1.6640625" style="7" customWidth="1"/>
    <col min="9527" max="9527" width="19.1640625" style="7" customWidth="1"/>
    <col min="9528" max="9528" width="35.1640625" style="7" customWidth="1"/>
    <col min="9529" max="9529" width="9.83203125" style="7" bestFit="1" customWidth="1"/>
    <col min="9530" max="9530" width="8.83203125" style="7" bestFit="1" customWidth="1"/>
    <col min="9531" max="9541" width="10.33203125" style="7" customWidth="1"/>
    <col min="9542" max="9781" width="9.1640625" style="7"/>
    <col min="9782" max="9782" width="1.6640625" style="7" customWidth="1"/>
    <col min="9783" max="9783" width="19.1640625" style="7" customWidth="1"/>
    <col min="9784" max="9784" width="35.1640625" style="7" customWidth="1"/>
    <col min="9785" max="9785" width="9.83203125" style="7" bestFit="1" customWidth="1"/>
    <col min="9786" max="9786" width="8.83203125" style="7" bestFit="1" customWidth="1"/>
    <col min="9787" max="9797" width="10.33203125" style="7" customWidth="1"/>
    <col min="9798" max="10037" width="9.1640625" style="7"/>
    <col min="10038" max="10038" width="1.6640625" style="7" customWidth="1"/>
    <col min="10039" max="10039" width="19.1640625" style="7" customWidth="1"/>
    <col min="10040" max="10040" width="35.1640625" style="7" customWidth="1"/>
    <col min="10041" max="10041" width="9.83203125" style="7" bestFit="1" customWidth="1"/>
    <col min="10042" max="10042" width="8.83203125" style="7" bestFit="1" customWidth="1"/>
    <col min="10043" max="10053" width="10.33203125" style="7" customWidth="1"/>
    <col min="10054" max="10293" width="9.1640625" style="7"/>
    <col min="10294" max="10294" width="1.6640625" style="7" customWidth="1"/>
    <col min="10295" max="10295" width="19.1640625" style="7" customWidth="1"/>
    <col min="10296" max="10296" width="35.1640625" style="7" customWidth="1"/>
    <col min="10297" max="10297" width="9.83203125" style="7" bestFit="1" customWidth="1"/>
    <col min="10298" max="10298" width="8.83203125" style="7" bestFit="1" customWidth="1"/>
    <col min="10299" max="10309" width="10.33203125" style="7" customWidth="1"/>
    <col min="10310" max="10549" width="9.1640625" style="7"/>
    <col min="10550" max="10550" width="1.6640625" style="7" customWidth="1"/>
    <col min="10551" max="10551" width="19.1640625" style="7" customWidth="1"/>
    <col min="10552" max="10552" width="35.1640625" style="7" customWidth="1"/>
    <col min="10553" max="10553" width="9.83203125" style="7" bestFit="1" customWidth="1"/>
    <col min="10554" max="10554" width="8.83203125" style="7" bestFit="1" customWidth="1"/>
    <col min="10555" max="10565" width="10.33203125" style="7" customWidth="1"/>
    <col min="10566" max="10805" width="9.1640625" style="7"/>
    <col min="10806" max="10806" width="1.6640625" style="7" customWidth="1"/>
    <col min="10807" max="10807" width="19.1640625" style="7" customWidth="1"/>
    <col min="10808" max="10808" width="35.1640625" style="7" customWidth="1"/>
    <col min="10809" max="10809" width="9.83203125" style="7" bestFit="1" customWidth="1"/>
    <col min="10810" max="10810" width="8.83203125" style="7" bestFit="1" customWidth="1"/>
    <col min="10811" max="10821" width="10.33203125" style="7" customWidth="1"/>
    <col min="10822" max="11061" width="9.1640625" style="7"/>
    <col min="11062" max="11062" width="1.6640625" style="7" customWidth="1"/>
    <col min="11063" max="11063" width="19.1640625" style="7" customWidth="1"/>
    <col min="11064" max="11064" width="35.1640625" style="7" customWidth="1"/>
    <col min="11065" max="11065" width="9.83203125" style="7" bestFit="1" customWidth="1"/>
    <col min="11066" max="11066" width="8.83203125" style="7" bestFit="1" customWidth="1"/>
    <col min="11067" max="11077" width="10.33203125" style="7" customWidth="1"/>
    <col min="11078" max="11317" width="9.1640625" style="7"/>
    <col min="11318" max="11318" width="1.6640625" style="7" customWidth="1"/>
    <col min="11319" max="11319" width="19.1640625" style="7" customWidth="1"/>
    <col min="11320" max="11320" width="35.1640625" style="7" customWidth="1"/>
    <col min="11321" max="11321" width="9.83203125" style="7" bestFit="1" customWidth="1"/>
    <col min="11322" max="11322" width="8.83203125" style="7" bestFit="1" customWidth="1"/>
    <col min="11323" max="11333" width="10.33203125" style="7" customWidth="1"/>
    <col min="11334" max="11573" width="9.1640625" style="7"/>
    <col min="11574" max="11574" width="1.6640625" style="7" customWidth="1"/>
    <col min="11575" max="11575" width="19.1640625" style="7" customWidth="1"/>
    <col min="11576" max="11576" width="35.1640625" style="7" customWidth="1"/>
    <col min="11577" max="11577" width="9.83203125" style="7" bestFit="1" customWidth="1"/>
    <col min="11578" max="11578" width="8.83203125" style="7" bestFit="1" customWidth="1"/>
    <col min="11579" max="11589" width="10.33203125" style="7" customWidth="1"/>
    <col min="11590" max="11829" width="9.1640625" style="7"/>
    <col min="11830" max="11830" width="1.6640625" style="7" customWidth="1"/>
    <col min="11831" max="11831" width="19.1640625" style="7" customWidth="1"/>
    <col min="11832" max="11832" width="35.1640625" style="7" customWidth="1"/>
    <col min="11833" max="11833" width="9.83203125" style="7" bestFit="1" customWidth="1"/>
    <col min="11834" max="11834" width="8.83203125" style="7" bestFit="1" customWidth="1"/>
    <col min="11835" max="11845" width="10.33203125" style="7" customWidth="1"/>
    <col min="11846" max="12085" width="9.1640625" style="7"/>
    <col min="12086" max="12086" width="1.6640625" style="7" customWidth="1"/>
    <col min="12087" max="12087" width="19.1640625" style="7" customWidth="1"/>
    <col min="12088" max="12088" width="35.1640625" style="7" customWidth="1"/>
    <col min="12089" max="12089" width="9.83203125" style="7" bestFit="1" customWidth="1"/>
    <col min="12090" max="12090" width="8.83203125" style="7" bestFit="1" customWidth="1"/>
    <col min="12091" max="12101" width="10.33203125" style="7" customWidth="1"/>
    <col min="12102" max="12341" width="9.1640625" style="7"/>
    <col min="12342" max="12342" width="1.6640625" style="7" customWidth="1"/>
    <col min="12343" max="12343" width="19.1640625" style="7" customWidth="1"/>
    <col min="12344" max="12344" width="35.1640625" style="7" customWidth="1"/>
    <col min="12345" max="12345" width="9.83203125" style="7" bestFit="1" customWidth="1"/>
    <col min="12346" max="12346" width="8.83203125" style="7" bestFit="1" customWidth="1"/>
    <col min="12347" max="12357" width="10.33203125" style="7" customWidth="1"/>
    <col min="12358" max="12597" width="9.1640625" style="7"/>
    <col min="12598" max="12598" width="1.6640625" style="7" customWidth="1"/>
    <col min="12599" max="12599" width="19.1640625" style="7" customWidth="1"/>
    <col min="12600" max="12600" width="35.1640625" style="7" customWidth="1"/>
    <col min="12601" max="12601" width="9.83203125" style="7" bestFit="1" customWidth="1"/>
    <col min="12602" max="12602" width="8.83203125" style="7" bestFit="1" customWidth="1"/>
    <col min="12603" max="12613" width="10.33203125" style="7" customWidth="1"/>
    <col min="12614" max="12853" width="9.1640625" style="7"/>
    <col min="12854" max="12854" width="1.6640625" style="7" customWidth="1"/>
    <col min="12855" max="12855" width="19.1640625" style="7" customWidth="1"/>
    <col min="12856" max="12856" width="35.1640625" style="7" customWidth="1"/>
    <col min="12857" max="12857" width="9.83203125" style="7" bestFit="1" customWidth="1"/>
    <col min="12858" max="12858" width="8.83203125" style="7" bestFit="1" customWidth="1"/>
    <col min="12859" max="12869" width="10.33203125" style="7" customWidth="1"/>
    <col min="12870" max="13109" width="9.1640625" style="7"/>
    <col min="13110" max="13110" width="1.6640625" style="7" customWidth="1"/>
    <col min="13111" max="13111" width="19.1640625" style="7" customWidth="1"/>
    <col min="13112" max="13112" width="35.1640625" style="7" customWidth="1"/>
    <col min="13113" max="13113" width="9.83203125" style="7" bestFit="1" customWidth="1"/>
    <col min="13114" max="13114" width="8.83203125" style="7" bestFit="1" customWidth="1"/>
    <col min="13115" max="13125" width="10.33203125" style="7" customWidth="1"/>
    <col min="13126" max="13365" width="9.1640625" style="7"/>
    <col min="13366" max="13366" width="1.6640625" style="7" customWidth="1"/>
    <col min="13367" max="13367" width="19.1640625" style="7" customWidth="1"/>
    <col min="13368" max="13368" width="35.1640625" style="7" customWidth="1"/>
    <col min="13369" max="13369" width="9.83203125" style="7" bestFit="1" customWidth="1"/>
    <col min="13370" max="13370" width="8.83203125" style="7" bestFit="1" customWidth="1"/>
    <col min="13371" max="13381" width="10.33203125" style="7" customWidth="1"/>
    <col min="13382" max="13621" width="9.1640625" style="7"/>
    <col min="13622" max="13622" width="1.6640625" style="7" customWidth="1"/>
    <col min="13623" max="13623" width="19.1640625" style="7" customWidth="1"/>
    <col min="13624" max="13624" width="35.1640625" style="7" customWidth="1"/>
    <col min="13625" max="13625" width="9.83203125" style="7" bestFit="1" customWidth="1"/>
    <col min="13626" max="13626" width="8.83203125" style="7" bestFit="1" customWidth="1"/>
    <col min="13627" max="13637" width="10.33203125" style="7" customWidth="1"/>
    <col min="13638" max="13877" width="9.1640625" style="7"/>
    <col min="13878" max="13878" width="1.6640625" style="7" customWidth="1"/>
    <col min="13879" max="13879" width="19.1640625" style="7" customWidth="1"/>
    <col min="13880" max="13880" width="35.1640625" style="7" customWidth="1"/>
    <col min="13881" max="13881" width="9.83203125" style="7" bestFit="1" customWidth="1"/>
    <col min="13882" max="13882" width="8.83203125" style="7" bestFit="1" customWidth="1"/>
    <col min="13883" max="13893" width="10.33203125" style="7" customWidth="1"/>
    <col min="13894" max="14133" width="9.1640625" style="7"/>
    <col min="14134" max="14134" width="1.6640625" style="7" customWidth="1"/>
    <col min="14135" max="14135" width="19.1640625" style="7" customWidth="1"/>
    <col min="14136" max="14136" width="35.1640625" style="7" customWidth="1"/>
    <col min="14137" max="14137" width="9.83203125" style="7" bestFit="1" customWidth="1"/>
    <col min="14138" max="14138" width="8.83203125" style="7" bestFit="1" customWidth="1"/>
    <col min="14139" max="14149" width="10.33203125" style="7" customWidth="1"/>
    <col min="14150" max="14389" width="9.1640625" style="7"/>
    <col min="14390" max="14390" width="1.6640625" style="7" customWidth="1"/>
    <col min="14391" max="14391" width="19.1640625" style="7" customWidth="1"/>
    <col min="14392" max="14392" width="35.1640625" style="7" customWidth="1"/>
    <col min="14393" max="14393" width="9.83203125" style="7" bestFit="1" customWidth="1"/>
    <col min="14394" max="14394" width="8.83203125" style="7" bestFit="1" customWidth="1"/>
    <col min="14395" max="14405" width="10.33203125" style="7" customWidth="1"/>
    <col min="14406" max="14645" width="9.1640625" style="7"/>
    <col min="14646" max="14646" width="1.6640625" style="7" customWidth="1"/>
    <col min="14647" max="14647" width="19.1640625" style="7" customWidth="1"/>
    <col min="14648" max="14648" width="35.1640625" style="7" customWidth="1"/>
    <col min="14649" max="14649" width="9.83203125" style="7" bestFit="1" customWidth="1"/>
    <col min="14650" max="14650" width="8.83203125" style="7" bestFit="1" customWidth="1"/>
    <col min="14651" max="14661" width="10.33203125" style="7" customWidth="1"/>
    <col min="14662" max="14901" width="9.1640625" style="7"/>
    <col min="14902" max="14902" width="1.6640625" style="7" customWidth="1"/>
    <col min="14903" max="14903" width="19.1640625" style="7" customWidth="1"/>
    <col min="14904" max="14904" width="35.1640625" style="7" customWidth="1"/>
    <col min="14905" max="14905" width="9.83203125" style="7" bestFit="1" customWidth="1"/>
    <col min="14906" max="14906" width="8.83203125" style="7" bestFit="1" customWidth="1"/>
    <col min="14907" max="14917" width="10.33203125" style="7" customWidth="1"/>
    <col min="14918" max="15157" width="9.1640625" style="7"/>
    <col min="15158" max="15158" width="1.6640625" style="7" customWidth="1"/>
    <col min="15159" max="15159" width="19.1640625" style="7" customWidth="1"/>
    <col min="15160" max="15160" width="35.1640625" style="7" customWidth="1"/>
    <col min="15161" max="15161" width="9.83203125" style="7" bestFit="1" customWidth="1"/>
    <col min="15162" max="15162" width="8.83203125" style="7" bestFit="1" customWidth="1"/>
    <col min="15163" max="15173" width="10.33203125" style="7" customWidth="1"/>
    <col min="15174" max="15413" width="9.1640625" style="7"/>
    <col min="15414" max="15414" width="1.6640625" style="7" customWidth="1"/>
    <col min="15415" max="15415" width="19.1640625" style="7" customWidth="1"/>
    <col min="15416" max="15416" width="35.1640625" style="7" customWidth="1"/>
    <col min="15417" max="15417" width="9.83203125" style="7" bestFit="1" customWidth="1"/>
    <col min="15418" max="15418" width="8.83203125" style="7" bestFit="1" customWidth="1"/>
    <col min="15419" max="15429" width="10.33203125" style="7" customWidth="1"/>
    <col min="15430" max="15669" width="9.1640625" style="7"/>
    <col min="15670" max="15670" width="1.6640625" style="7" customWidth="1"/>
    <col min="15671" max="15671" width="19.1640625" style="7" customWidth="1"/>
    <col min="15672" max="15672" width="35.1640625" style="7" customWidth="1"/>
    <col min="15673" max="15673" width="9.83203125" style="7" bestFit="1" customWidth="1"/>
    <col min="15674" max="15674" width="8.83203125" style="7" bestFit="1" customWidth="1"/>
    <col min="15675" max="15685" width="10.33203125" style="7" customWidth="1"/>
    <col min="15686" max="15925" width="9.1640625" style="7"/>
    <col min="15926" max="15926" width="1.6640625" style="7" customWidth="1"/>
    <col min="15927" max="15927" width="19.1640625" style="7" customWidth="1"/>
    <col min="15928" max="15928" width="35.1640625" style="7" customWidth="1"/>
    <col min="15929" max="15929" width="9.83203125" style="7" bestFit="1" customWidth="1"/>
    <col min="15930" max="15930" width="8.83203125" style="7" bestFit="1" customWidth="1"/>
    <col min="15931" max="15941" width="10.33203125" style="7" customWidth="1"/>
    <col min="15942" max="16181" width="9.1640625" style="7"/>
    <col min="16182" max="16182" width="1.6640625" style="7" customWidth="1"/>
    <col min="16183" max="16183" width="19.1640625" style="7" customWidth="1"/>
    <col min="16184" max="16184" width="35.1640625" style="7" customWidth="1"/>
    <col min="16185" max="16185" width="9.83203125" style="7" bestFit="1" customWidth="1"/>
    <col min="16186" max="16186" width="8.83203125" style="7" bestFit="1" customWidth="1"/>
    <col min="16187" max="16197" width="10.33203125" style="7" customWidth="1"/>
    <col min="16198" max="16384" width="9.1640625" style="7"/>
  </cols>
  <sheetData>
    <row r="1" spans="1:70" ht="27" thickBot="1" x14ac:dyDescent="0.25">
      <c r="A1" s="1350"/>
      <c r="B1" s="1350"/>
      <c r="C1" s="1350"/>
      <c r="D1" s="1350"/>
      <c r="E1" s="1350"/>
      <c r="F1" s="1350"/>
      <c r="G1" s="1351" t="s">
        <v>722</v>
      </c>
      <c r="H1" s="1352"/>
      <c r="I1" s="1352"/>
      <c r="J1" s="1353"/>
      <c r="K1" s="1353"/>
      <c r="L1" s="1353"/>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1353"/>
      <c r="AO1" s="1353"/>
      <c r="AP1" s="1353"/>
      <c r="AQ1" s="1353"/>
      <c r="AR1" s="1353"/>
      <c r="AS1" s="1353"/>
      <c r="AT1" s="1353"/>
      <c r="AU1" s="1353"/>
      <c r="AV1" s="1353"/>
      <c r="AW1" s="1353"/>
      <c r="AX1" s="1353"/>
      <c r="AY1" s="1353"/>
      <c r="AZ1" s="1353"/>
      <c r="BA1" s="1353"/>
      <c r="BB1" s="1353"/>
      <c r="BC1" s="1353"/>
      <c r="BD1" s="1353"/>
      <c r="BE1" s="1353"/>
      <c r="BF1" s="1353"/>
      <c r="BG1" s="1353"/>
      <c r="BH1" s="1353"/>
      <c r="BI1" s="1353"/>
      <c r="BJ1" s="1353"/>
      <c r="BK1" s="1353"/>
      <c r="BL1" s="1353"/>
      <c r="BM1" s="1353"/>
      <c r="BN1" s="1353"/>
      <c r="BO1" s="1353"/>
      <c r="BP1" s="1353"/>
      <c r="BQ1" s="1354"/>
    </row>
    <row r="2" spans="1:70" ht="36" customHeight="1" x14ac:dyDescent="0.2">
      <c r="A2" s="242"/>
      <c r="B2" s="242"/>
      <c r="C2" s="242"/>
      <c r="D2" s="1340" t="s">
        <v>102</v>
      </c>
      <c r="E2" s="1341"/>
      <c r="F2" s="1342"/>
      <c r="G2" s="1337" t="str">
        <f>'TCO TO BE- SW'!F2</f>
        <v>NetAcad LAB A vybavenie (Networking a základy cybersec)</v>
      </c>
      <c r="H2" s="1338"/>
      <c r="I2" s="1339"/>
      <c r="J2" s="1337" t="str">
        <f>'TCO TO BE- SW'!G2</f>
        <v>NetAcad LAB B vybavenie (Pokročilá cybersec)</v>
      </c>
      <c r="K2" s="1338"/>
      <c r="L2" s="1339"/>
      <c r="M2" s="1337" t="str">
        <f>'TCO TO BE- SW'!H2</f>
        <v>NetAcad LAB spoločná komunikačná infraštruktúra</v>
      </c>
      <c r="N2" s="1338"/>
      <c r="O2" s="1339"/>
      <c r="P2" s="1337" t="str">
        <f>'TCO TO BE- SW'!I2</f>
        <v>NetAcad LAB vzdelávací obsah v  oblasti kybernetickej bezpečnosti (na Slovensku)</v>
      </c>
      <c r="Q2" s="1338"/>
      <c r="R2" s="1339"/>
      <c r="S2" s="1337" t="str">
        <f>'TCO TO BE- SW'!J2</f>
        <v>LMS Cluster + Interoperabilita</v>
      </c>
      <c r="T2" s="1338"/>
      <c r="U2" s="1339"/>
      <c r="V2" s="1337" t="str">
        <f>'TCO TO BE- SW'!K2</f>
        <v>CSKI Centrálna serverová a komunikačná infraštruktúra</v>
      </c>
      <c r="W2" s="1338"/>
      <c r="X2" s="1339"/>
      <c r="Y2" s="1337" t="str">
        <f>'TCO TO BE- SW'!L2</f>
        <v>AI Cluster</v>
      </c>
      <c r="Z2" s="1338"/>
      <c r="AA2" s="1339"/>
      <c r="AB2" s="1337" t="str">
        <f>'TCO TO BE- SW'!M2</f>
        <v>CSIRT-SOC Cluster</v>
      </c>
      <c r="AC2" s="1338"/>
      <c r="AD2" s="1339"/>
      <c r="AE2" s="1337" t="str">
        <f>'TCO TO BE- SW'!N2</f>
        <v>Kvantové počítače a príslušenstvo</v>
      </c>
      <c r="AF2" s="1338"/>
      <c r="AG2" s="1339"/>
      <c r="AH2" s="1337" t="str">
        <f>'TCO TO BE- SW'!O2</f>
        <v>Rozširujúce laboratórne vybavenie UI</v>
      </c>
      <c r="AI2" s="1338"/>
      <c r="AJ2" s="1339"/>
      <c r="AK2" s="1337" t="str">
        <f>'TCO TO BE- SW'!P2</f>
        <v>Externé služby a podpora (kurzy, vzdelávanie, ....)</v>
      </c>
      <c r="AL2" s="1338"/>
      <c r="AM2" s="1339"/>
      <c r="AN2" s="1337">
        <f>'TCO TO BE- SW'!Q2</f>
        <v>0</v>
      </c>
      <c r="AO2" s="1338"/>
      <c r="AP2" s="1339"/>
      <c r="AQ2" s="1337">
        <f>'TCO TO BE- SW'!R2</f>
        <v>0</v>
      </c>
      <c r="AR2" s="1338"/>
      <c r="AS2" s="1339"/>
      <c r="AT2" s="1337">
        <f>'TCO TO BE- SW'!S2</f>
        <v>0</v>
      </c>
      <c r="AU2" s="1338"/>
      <c r="AV2" s="1339"/>
      <c r="AW2" s="1337">
        <f>'TCO TO BE- SW'!T2</f>
        <v>0</v>
      </c>
      <c r="AX2" s="1338"/>
      <c r="AY2" s="1339"/>
      <c r="AZ2" s="1337">
        <f>'TCO TO BE- SW'!U2</f>
        <v>0</v>
      </c>
      <c r="BA2" s="1338"/>
      <c r="BB2" s="1339"/>
      <c r="BC2" s="1337">
        <f>'TCO TO BE- SW'!V2</f>
        <v>0</v>
      </c>
      <c r="BD2" s="1338"/>
      <c r="BE2" s="1339"/>
      <c r="BF2" s="1337">
        <f>'TCO TO BE- SW'!W2</f>
        <v>0</v>
      </c>
      <c r="BG2" s="1338"/>
      <c r="BH2" s="1339"/>
      <c r="BI2" s="1337">
        <f>'TCO TO BE- SW'!X2</f>
        <v>0</v>
      </c>
      <c r="BJ2" s="1338"/>
      <c r="BK2" s="1339"/>
      <c r="BL2" s="1337">
        <f>'TCO TO BE- SW'!Y2</f>
        <v>0</v>
      </c>
      <c r="BM2" s="1338"/>
      <c r="BN2" s="1339"/>
      <c r="BO2" s="1337">
        <f>'TCO TO BE- SW'!Z2</f>
        <v>0</v>
      </c>
      <c r="BP2" s="1338"/>
      <c r="BQ2" s="1339"/>
    </row>
    <row r="3" spans="1:70" ht="36" customHeight="1" thickBot="1" x14ac:dyDescent="0.25">
      <c r="A3" s="242" t="s">
        <v>250</v>
      </c>
      <c r="B3" s="242"/>
      <c r="C3" s="242"/>
      <c r="D3" s="362"/>
      <c r="E3" s="360"/>
      <c r="F3" s="361"/>
      <c r="G3" s="1343"/>
      <c r="H3" s="1344"/>
      <c r="I3" s="1345"/>
      <c r="J3" s="1343"/>
      <c r="K3" s="1344"/>
      <c r="L3" s="1345"/>
      <c r="M3" s="1343"/>
      <c r="N3" s="1344"/>
      <c r="O3" s="1345"/>
      <c r="P3" s="1343"/>
      <c r="Q3" s="1344"/>
      <c r="R3" s="1345"/>
      <c r="S3" s="1343"/>
      <c r="T3" s="1344"/>
      <c r="U3" s="1345"/>
      <c r="V3" s="1343"/>
      <c r="W3" s="1344"/>
      <c r="X3" s="1345"/>
      <c r="Y3" s="1343"/>
      <c r="Z3" s="1344"/>
      <c r="AA3" s="1345"/>
      <c r="AB3" s="1343"/>
      <c r="AC3" s="1344"/>
      <c r="AD3" s="1345"/>
      <c r="AE3" s="1343"/>
      <c r="AF3" s="1344"/>
      <c r="AG3" s="1345"/>
      <c r="AH3" s="1343"/>
      <c r="AI3" s="1344"/>
      <c r="AJ3" s="1345"/>
      <c r="AK3" s="1343"/>
      <c r="AL3" s="1344"/>
      <c r="AM3" s="1345"/>
      <c r="AN3" s="1343"/>
      <c r="AO3" s="1344"/>
      <c r="AP3" s="1345"/>
      <c r="AQ3" s="1343"/>
      <c r="AR3" s="1344"/>
      <c r="AS3" s="1345"/>
      <c r="AT3" s="1343"/>
      <c r="AU3" s="1344"/>
      <c r="AV3" s="1345"/>
      <c r="AW3" s="1343"/>
      <c r="AX3" s="1344"/>
      <c r="AY3" s="1345"/>
      <c r="AZ3" s="1343"/>
      <c r="BA3" s="1344"/>
      <c r="BB3" s="1345"/>
      <c r="BC3" s="1343"/>
      <c r="BD3" s="1344"/>
      <c r="BE3" s="1345"/>
      <c r="BF3" s="1343"/>
      <c r="BG3" s="1344"/>
      <c r="BH3" s="1345"/>
      <c r="BI3" s="1343"/>
      <c r="BJ3" s="1344"/>
      <c r="BK3" s="1345"/>
      <c r="BL3" s="1343"/>
      <c r="BM3" s="1344"/>
      <c r="BN3" s="1345"/>
      <c r="BO3" s="1343"/>
      <c r="BP3" s="1344"/>
      <c r="BQ3" s="1345"/>
    </row>
    <row r="4" spans="1:70" s="58" customFormat="1" ht="15.75" customHeight="1" thickBot="1" x14ac:dyDescent="0.25">
      <c r="A4" s="244" t="s">
        <v>40</v>
      </c>
      <c r="B4" s="244" t="s">
        <v>10</v>
      </c>
      <c r="C4" s="244" t="s">
        <v>23</v>
      </c>
      <c r="D4" s="245" t="s">
        <v>171</v>
      </c>
      <c r="E4" s="246" t="s">
        <v>124</v>
      </c>
      <c r="F4" s="247" t="s">
        <v>117</v>
      </c>
      <c r="G4" s="248" t="s">
        <v>171</v>
      </c>
      <c r="H4" s="248" t="s">
        <v>124</v>
      </c>
      <c r="I4" s="249" t="s">
        <v>117</v>
      </c>
      <c r="J4" s="248" t="s">
        <v>171</v>
      </c>
      <c r="K4" s="248" t="s">
        <v>124</v>
      </c>
      <c r="L4" s="249" t="s">
        <v>117</v>
      </c>
      <c r="M4" s="248" t="s">
        <v>171</v>
      </c>
      <c r="N4" s="248" t="s">
        <v>124</v>
      </c>
      <c r="O4" s="249" t="s">
        <v>117</v>
      </c>
      <c r="P4" s="248" t="s">
        <v>171</v>
      </c>
      <c r="Q4" s="248" t="s">
        <v>124</v>
      </c>
      <c r="R4" s="249" t="s">
        <v>117</v>
      </c>
      <c r="S4" s="248" t="s">
        <v>171</v>
      </c>
      <c r="T4" s="248" t="s">
        <v>124</v>
      </c>
      <c r="U4" s="249" t="s">
        <v>117</v>
      </c>
      <c r="V4" s="248" t="s">
        <v>171</v>
      </c>
      <c r="W4" s="248" t="s">
        <v>124</v>
      </c>
      <c r="X4" s="249" t="s">
        <v>117</v>
      </c>
      <c r="Y4" s="248" t="s">
        <v>171</v>
      </c>
      <c r="Z4" s="248" t="s">
        <v>124</v>
      </c>
      <c r="AA4" s="249" t="s">
        <v>117</v>
      </c>
      <c r="AB4" s="248" t="s">
        <v>171</v>
      </c>
      <c r="AC4" s="248" t="s">
        <v>124</v>
      </c>
      <c r="AD4" s="249" t="s">
        <v>117</v>
      </c>
      <c r="AE4" s="248" t="s">
        <v>171</v>
      </c>
      <c r="AF4" s="248" t="s">
        <v>124</v>
      </c>
      <c r="AG4" s="249" t="s">
        <v>117</v>
      </c>
      <c r="AH4" s="248" t="s">
        <v>171</v>
      </c>
      <c r="AI4" s="248" t="s">
        <v>124</v>
      </c>
      <c r="AJ4" s="249" t="s">
        <v>117</v>
      </c>
      <c r="AK4" s="248" t="s">
        <v>171</v>
      </c>
      <c r="AL4" s="248" t="s">
        <v>124</v>
      </c>
      <c r="AM4" s="249" t="s">
        <v>117</v>
      </c>
      <c r="AN4" s="248" t="s">
        <v>171</v>
      </c>
      <c r="AO4" s="248" t="s">
        <v>124</v>
      </c>
      <c r="AP4" s="249" t="s">
        <v>117</v>
      </c>
      <c r="AQ4" s="248" t="s">
        <v>171</v>
      </c>
      <c r="AR4" s="248" t="s">
        <v>124</v>
      </c>
      <c r="AS4" s="249" t="s">
        <v>117</v>
      </c>
      <c r="AT4" s="248" t="s">
        <v>171</v>
      </c>
      <c r="AU4" s="248" t="s">
        <v>124</v>
      </c>
      <c r="AV4" s="249" t="s">
        <v>117</v>
      </c>
      <c r="AW4" s="248" t="s">
        <v>171</v>
      </c>
      <c r="AX4" s="248" t="s">
        <v>124</v>
      </c>
      <c r="AY4" s="249" t="s">
        <v>117</v>
      </c>
      <c r="AZ4" s="248" t="s">
        <v>171</v>
      </c>
      <c r="BA4" s="248" t="s">
        <v>124</v>
      </c>
      <c r="BB4" s="249" t="s">
        <v>117</v>
      </c>
      <c r="BC4" s="248" t="s">
        <v>171</v>
      </c>
      <c r="BD4" s="248" t="s">
        <v>124</v>
      </c>
      <c r="BE4" s="249" t="s">
        <v>117</v>
      </c>
      <c r="BF4" s="248" t="s">
        <v>171</v>
      </c>
      <c r="BG4" s="248" t="s">
        <v>124</v>
      </c>
      <c r="BH4" s="249" t="s">
        <v>117</v>
      </c>
      <c r="BI4" s="248" t="s">
        <v>171</v>
      </c>
      <c r="BJ4" s="248" t="s">
        <v>124</v>
      </c>
      <c r="BK4" s="249" t="s">
        <v>117</v>
      </c>
      <c r="BL4" s="248" t="s">
        <v>171</v>
      </c>
      <c r="BM4" s="248" t="s">
        <v>124</v>
      </c>
      <c r="BN4" s="249" t="s">
        <v>117</v>
      </c>
      <c r="BO4" s="248" t="s">
        <v>171</v>
      </c>
      <c r="BP4" s="248" t="s">
        <v>124</v>
      </c>
      <c r="BQ4" s="249" t="s">
        <v>117</v>
      </c>
      <c r="BR4" s="250"/>
    </row>
    <row r="5" spans="1:70" ht="14.5" customHeight="1" x14ac:dyDescent="0.2">
      <c r="A5" s="1331" t="s">
        <v>235</v>
      </c>
      <c r="B5" s="1334" t="s">
        <v>37</v>
      </c>
      <c r="C5" s="251" t="s">
        <v>25</v>
      </c>
      <c r="D5" s="252">
        <f>SUM(G5,J5,M5,P5,S5,V5,Y5,AB5,AE5,AH5,AK5,AN5,AQ5,AT5,AW5,AZ5,AZ5,BC5,BF5,BI5,BL5,BO5)</f>
        <v>0</v>
      </c>
      <c r="E5" s="253">
        <f>SUM(H5,K5,N5,Q5,T5,W5,Z5,AC5,AF5,AI5,AL5,AO5,AR5,AU5,AX5,BA5,BA5,BD5,BG5,BJ5,BM5,BP5)</f>
        <v>0</v>
      </c>
      <c r="F5" s="254">
        <f>SUM(I5,L5,O5,R5,U5,X5,AA5,AD5,AG5,AJ5,AM5,AP5,AS5,AV5,AY5,BB5,BB5,BE5,BH5,BK5,BN5,BQ5)</f>
        <v>0</v>
      </c>
      <c r="G5" s="542"/>
      <c r="H5" s="543"/>
      <c r="I5" s="257">
        <f>H5-G5</f>
        <v>0</v>
      </c>
      <c r="J5" s="542"/>
      <c r="K5" s="543"/>
      <c r="L5" s="257">
        <f>K5-J5</f>
        <v>0</v>
      </c>
      <c r="M5" s="542"/>
      <c r="N5" s="543"/>
      <c r="O5" s="257">
        <f>N5-M5</f>
        <v>0</v>
      </c>
      <c r="P5" s="255"/>
      <c r="Q5" s="256"/>
      <c r="R5" s="257">
        <f>Q5-P5</f>
        <v>0</v>
      </c>
      <c r="S5" s="255"/>
      <c r="T5" s="256"/>
      <c r="U5" s="257">
        <f>T5-S5</f>
        <v>0</v>
      </c>
      <c r="V5" s="255"/>
      <c r="W5" s="256"/>
      <c r="X5" s="257">
        <f>W5-V5</f>
        <v>0</v>
      </c>
      <c r="Y5" s="255"/>
      <c r="Z5" s="256"/>
      <c r="AA5" s="257">
        <f>Z5-Y5</f>
        <v>0</v>
      </c>
      <c r="AB5" s="255"/>
      <c r="AC5" s="256"/>
      <c r="AD5" s="257">
        <f>AC5-AB5</f>
        <v>0</v>
      </c>
      <c r="AE5" s="255"/>
      <c r="AF5" s="256"/>
      <c r="AG5" s="257">
        <f>AF5-AE5</f>
        <v>0</v>
      </c>
      <c r="AH5" s="255"/>
      <c r="AI5" s="256"/>
      <c r="AJ5" s="257">
        <f>AI5-AH5</f>
        <v>0</v>
      </c>
      <c r="AK5" s="255"/>
      <c r="AL5" s="256"/>
      <c r="AM5" s="257">
        <f>AL5-AK5</f>
        <v>0</v>
      </c>
      <c r="AN5" s="255"/>
      <c r="AO5" s="256"/>
      <c r="AP5" s="257">
        <f>AO5-AN5</f>
        <v>0</v>
      </c>
      <c r="AQ5" s="255"/>
      <c r="AR5" s="256"/>
      <c r="AS5" s="257">
        <f>AR5-AQ5</f>
        <v>0</v>
      </c>
      <c r="AT5" s="255"/>
      <c r="AU5" s="256"/>
      <c r="AV5" s="257">
        <f>AU5-AT5</f>
        <v>0</v>
      </c>
      <c r="AW5" s="255"/>
      <c r="AX5" s="256"/>
      <c r="AY5" s="257">
        <f>AX5-AW5</f>
        <v>0</v>
      </c>
      <c r="AZ5" s="255"/>
      <c r="BA5" s="256"/>
      <c r="BB5" s="257">
        <f>BA5-AZ5</f>
        <v>0</v>
      </c>
      <c r="BC5" s="255"/>
      <c r="BD5" s="256"/>
      <c r="BE5" s="257">
        <f>BD5-BC5</f>
        <v>0</v>
      </c>
      <c r="BF5" s="255"/>
      <c r="BG5" s="256"/>
      <c r="BH5" s="257">
        <f>BG5-BF5</f>
        <v>0</v>
      </c>
      <c r="BI5" s="255"/>
      <c r="BJ5" s="256"/>
      <c r="BK5" s="257">
        <f>BJ5-BI5</f>
        <v>0</v>
      </c>
      <c r="BL5" s="255"/>
      <c r="BM5" s="256"/>
      <c r="BN5" s="257">
        <f>BM5-BL5</f>
        <v>0</v>
      </c>
      <c r="BO5" s="255"/>
      <c r="BP5" s="256"/>
      <c r="BQ5" s="257">
        <f>BP5-BO5</f>
        <v>0</v>
      </c>
      <c r="BR5" s="258">
        <v>0</v>
      </c>
    </row>
    <row r="6" spans="1:70" ht="16" x14ac:dyDescent="0.2">
      <c r="A6" s="1332"/>
      <c r="B6" s="1335"/>
      <c r="C6" s="24" t="s">
        <v>26</v>
      </c>
      <c r="D6" s="259">
        <f t="shared" ref="D6:D14" si="0">SUM(G6,J6,M6,P6,S6,V6,Y6,AB6,AE6,AH6,AK6,AN6,AQ6,AT6,AW6,AZ6,AZ6,BC6,BF6,BI6,BL6,BO6)</f>
        <v>0</v>
      </c>
      <c r="E6" s="260">
        <f t="shared" ref="E6:E14" si="1">SUM(H6,K6,N6,Q6,T6,W6,Z6,AC6,AF6,AI6,AL6,AO6,AR6,AU6,AX6,BA6,BA6,BD6,BG6,BJ6,BM6,BP6)</f>
        <v>0</v>
      </c>
      <c r="F6" s="261">
        <f t="shared" ref="F6:F14" si="2">SUM(I6,L6,O6,R6,U6,X6,AA6,AD6,AG6,AJ6,AM6,AP6,AS6,AV6,AY6,BB6,BB6,BE6,BH6,BK6,BN6,BQ6)</f>
        <v>0</v>
      </c>
      <c r="G6" s="544"/>
      <c r="H6" s="545"/>
      <c r="I6" s="262">
        <f t="shared" ref="I6:I24" si="3">H6-G6</f>
        <v>0</v>
      </c>
      <c r="J6" s="544"/>
      <c r="K6" s="545"/>
      <c r="L6" s="262">
        <f t="shared" ref="L6:L24" si="4">K6-J6</f>
        <v>0</v>
      </c>
      <c r="M6" s="544"/>
      <c r="N6" s="545"/>
      <c r="O6" s="262">
        <f t="shared" ref="O6:O24" si="5">N6-M6</f>
        <v>0</v>
      </c>
      <c r="P6" s="544"/>
      <c r="Q6" s="545"/>
      <c r="R6" s="262">
        <f t="shared" ref="R6:R24" si="6">Q6-P6</f>
        <v>0</v>
      </c>
      <c r="S6" s="544"/>
      <c r="T6" s="545"/>
      <c r="U6" s="262">
        <f t="shared" ref="U6:U24" si="7">T6-S6</f>
        <v>0</v>
      </c>
      <c r="V6" s="544"/>
      <c r="W6" s="545"/>
      <c r="X6" s="262">
        <f t="shared" ref="X6:X24" si="8">W6-V6</f>
        <v>0</v>
      </c>
      <c r="Y6" s="544"/>
      <c r="Z6" s="545"/>
      <c r="AA6" s="262">
        <f t="shared" ref="AA6:AA24" si="9">Z6-Y6</f>
        <v>0</v>
      </c>
      <c r="AB6" s="544"/>
      <c r="AC6" s="545"/>
      <c r="AD6" s="262">
        <f t="shared" ref="AD6:AD24" si="10">AC6-AB6</f>
        <v>0</v>
      </c>
      <c r="AE6" s="544"/>
      <c r="AF6" s="545"/>
      <c r="AG6" s="262">
        <f t="shared" ref="AG6:AG24" si="11">AF6-AE6</f>
        <v>0</v>
      </c>
      <c r="AH6" s="544"/>
      <c r="AI6" s="545"/>
      <c r="AJ6" s="262">
        <f t="shared" ref="AJ6:AJ24" si="12">AI6-AH6</f>
        <v>0</v>
      </c>
      <c r="AK6" s="544"/>
      <c r="AL6" s="545"/>
      <c r="AM6" s="262">
        <f t="shared" ref="AM6:AM24" si="13">AL6-AK6</f>
        <v>0</v>
      </c>
      <c r="AN6" s="544"/>
      <c r="AO6" s="545"/>
      <c r="AP6" s="262">
        <f t="shared" ref="AP6:AP24" si="14">AO6-AN6</f>
        <v>0</v>
      </c>
      <c r="AQ6" s="544"/>
      <c r="AR6" s="545"/>
      <c r="AS6" s="262">
        <f t="shared" ref="AS6:AS24" si="15">AR6-AQ6</f>
        <v>0</v>
      </c>
      <c r="AT6" s="544"/>
      <c r="AU6" s="545"/>
      <c r="AV6" s="262">
        <f t="shared" ref="AV6:AV24" si="16">AU6-AT6</f>
        <v>0</v>
      </c>
      <c r="AW6" s="544"/>
      <c r="AX6" s="545"/>
      <c r="AY6" s="262">
        <f t="shared" ref="AY6:AY24" si="17">AX6-AW6</f>
        <v>0</v>
      </c>
      <c r="AZ6" s="544"/>
      <c r="BA6" s="545"/>
      <c r="BB6" s="262">
        <f t="shared" ref="BB6:BB24" si="18">BA6-AZ6</f>
        <v>0</v>
      </c>
      <c r="BC6" s="544"/>
      <c r="BD6" s="545"/>
      <c r="BE6" s="262">
        <f t="shared" ref="BE6:BE24" si="19">BD6-BC6</f>
        <v>0</v>
      </c>
      <c r="BF6" s="544"/>
      <c r="BG6" s="545"/>
      <c r="BH6" s="262">
        <f t="shared" ref="BH6:BH24" si="20">BG6-BF6</f>
        <v>0</v>
      </c>
      <c r="BI6" s="544"/>
      <c r="BJ6" s="545"/>
      <c r="BK6" s="262">
        <f t="shared" ref="BK6:BK24" si="21">BJ6-BI6</f>
        <v>0</v>
      </c>
      <c r="BL6" s="544"/>
      <c r="BM6" s="545"/>
      <c r="BN6" s="262">
        <f t="shared" ref="BN6:BN24" si="22">BM6-BL6</f>
        <v>0</v>
      </c>
      <c r="BO6" s="544"/>
      <c r="BP6" s="545"/>
      <c r="BQ6" s="262">
        <f t="shared" ref="BQ6:BQ24" si="23">BP6-BO6</f>
        <v>0</v>
      </c>
      <c r="BR6" s="258"/>
    </row>
    <row r="7" spans="1:70" ht="16" x14ac:dyDescent="0.2">
      <c r="A7" s="1332"/>
      <c r="B7" s="1335"/>
      <c r="C7" s="24" t="s">
        <v>27</v>
      </c>
      <c r="D7" s="259">
        <f t="shared" si="0"/>
        <v>0</v>
      </c>
      <c r="E7" s="260">
        <f t="shared" si="1"/>
        <v>0</v>
      </c>
      <c r="F7" s="261">
        <f t="shared" si="2"/>
        <v>0</v>
      </c>
      <c r="G7" s="544"/>
      <c r="H7" s="545"/>
      <c r="I7" s="262">
        <f t="shared" si="3"/>
        <v>0</v>
      </c>
      <c r="J7" s="544"/>
      <c r="K7" s="545"/>
      <c r="L7" s="262">
        <f t="shared" si="4"/>
        <v>0</v>
      </c>
      <c r="M7" s="544"/>
      <c r="N7" s="545"/>
      <c r="O7" s="262">
        <f t="shared" si="5"/>
        <v>0</v>
      </c>
      <c r="P7" s="544"/>
      <c r="Q7" s="545"/>
      <c r="R7" s="262">
        <f t="shared" si="6"/>
        <v>0</v>
      </c>
      <c r="S7" s="544"/>
      <c r="T7" s="545"/>
      <c r="U7" s="262">
        <f t="shared" si="7"/>
        <v>0</v>
      </c>
      <c r="V7" s="544"/>
      <c r="W7" s="545"/>
      <c r="X7" s="262">
        <f t="shared" si="8"/>
        <v>0</v>
      </c>
      <c r="Y7" s="544"/>
      <c r="Z7" s="545"/>
      <c r="AA7" s="262">
        <f t="shared" si="9"/>
        <v>0</v>
      </c>
      <c r="AB7" s="544"/>
      <c r="AC7" s="545"/>
      <c r="AD7" s="262">
        <f t="shared" si="10"/>
        <v>0</v>
      </c>
      <c r="AE7" s="544"/>
      <c r="AF7" s="545"/>
      <c r="AG7" s="262">
        <f t="shared" si="11"/>
        <v>0</v>
      </c>
      <c r="AH7" s="544"/>
      <c r="AI7" s="545"/>
      <c r="AJ7" s="262">
        <f t="shared" si="12"/>
        <v>0</v>
      </c>
      <c r="AK7" s="544"/>
      <c r="AL7" s="545"/>
      <c r="AM7" s="262">
        <f t="shared" si="13"/>
        <v>0</v>
      </c>
      <c r="AN7" s="544"/>
      <c r="AO7" s="545"/>
      <c r="AP7" s="262">
        <f t="shared" si="14"/>
        <v>0</v>
      </c>
      <c r="AQ7" s="544"/>
      <c r="AR7" s="545"/>
      <c r="AS7" s="262">
        <f t="shared" si="15"/>
        <v>0</v>
      </c>
      <c r="AT7" s="544"/>
      <c r="AU7" s="545"/>
      <c r="AV7" s="262">
        <f t="shared" si="16"/>
        <v>0</v>
      </c>
      <c r="AW7" s="544"/>
      <c r="AX7" s="545"/>
      <c r="AY7" s="262">
        <f t="shared" si="17"/>
        <v>0</v>
      </c>
      <c r="AZ7" s="544"/>
      <c r="BA7" s="545"/>
      <c r="BB7" s="262">
        <f t="shared" si="18"/>
        <v>0</v>
      </c>
      <c r="BC7" s="544"/>
      <c r="BD7" s="545"/>
      <c r="BE7" s="262">
        <f t="shared" si="19"/>
        <v>0</v>
      </c>
      <c r="BF7" s="544"/>
      <c r="BG7" s="545"/>
      <c r="BH7" s="262">
        <f t="shared" si="20"/>
        <v>0</v>
      </c>
      <c r="BI7" s="544"/>
      <c r="BJ7" s="545"/>
      <c r="BK7" s="262">
        <f t="shared" si="21"/>
        <v>0</v>
      </c>
      <c r="BL7" s="544"/>
      <c r="BM7" s="545"/>
      <c r="BN7" s="262">
        <f t="shared" si="22"/>
        <v>0</v>
      </c>
      <c r="BO7" s="544"/>
      <c r="BP7" s="545"/>
      <c r="BQ7" s="262">
        <f t="shared" si="23"/>
        <v>0</v>
      </c>
      <c r="BR7" s="258"/>
    </row>
    <row r="8" spans="1:70" ht="16" x14ac:dyDescent="0.2">
      <c r="A8" s="1332"/>
      <c r="B8" s="1335"/>
      <c r="C8" s="24" t="s">
        <v>28</v>
      </c>
      <c r="D8" s="259">
        <f t="shared" si="0"/>
        <v>0</v>
      </c>
      <c r="E8" s="260">
        <f t="shared" si="1"/>
        <v>0</v>
      </c>
      <c r="F8" s="261">
        <f t="shared" si="2"/>
        <v>0</v>
      </c>
      <c r="G8" s="544"/>
      <c r="H8" s="545"/>
      <c r="I8" s="262">
        <f t="shared" si="3"/>
        <v>0</v>
      </c>
      <c r="J8" s="544"/>
      <c r="K8" s="545"/>
      <c r="L8" s="262">
        <f t="shared" si="4"/>
        <v>0</v>
      </c>
      <c r="M8" s="544"/>
      <c r="N8" s="545"/>
      <c r="O8" s="262">
        <f t="shared" si="5"/>
        <v>0</v>
      </c>
      <c r="P8" s="544"/>
      <c r="Q8" s="545"/>
      <c r="R8" s="262">
        <f t="shared" si="6"/>
        <v>0</v>
      </c>
      <c r="S8" s="544"/>
      <c r="T8" s="545"/>
      <c r="U8" s="262">
        <f t="shared" si="7"/>
        <v>0</v>
      </c>
      <c r="V8" s="544"/>
      <c r="W8" s="545"/>
      <c r="X8" s="262">
        <f t="shared" si="8"/>
        <v>0</v>
      </c>
      <c r="Y8" s="544"/>
      <c r="Z8" s="545"/>
      <c r="AA8" s="262">
        <f t="shared" si="9"/>
        <v>0</v>
      </c>
      <c r="AB8" s="544"/>
      <c r="AC8" s="545"/>
      <c r="AD8" s="262">
        <f t="shared" si="10"/>
        <v>0</v>
      </c>
      <c r="AE8" s="544"/>
      <c r="AF8" s="545"/>
      <c r="AG8" s="262">
        <f t="shared" si="11"/>
        <v>0</v>
      </c>
      <c r="AH8" s="544"/>
      <c r="AI8" s="545"/>
      <c r="AJ8" s="262">
        <f t="shared" si="12"/>
        <v>0</v>
      </c>
      <c r="AK8" s="544"/>
      <c r="AL8" s="545"/>
      <c r="AM8" s="262">
        <f t="shared" si="13"/>
        <v>0</v>
      </c>
      <c r="AN8" s="544"/>
      <c r="AO8" s="545"/>
      <c r="AP8" s="262">
        <f t="shared" si="14"/>
        <v>0</v>
      </c>
      <c r="AQ8" s="544"/>
      <c r="AR8" s="545"/>
      <c r="AS8" s="262">
        <f t="shared" si="15"/>
        <v>0</v>
      </c>
      <c r="AT8" s="544"/>
      <c r="AU8" s="545"/>
      <c r="AV8" s="262">
        <f t="shared" si="16"/>
        <v>0</v>
      </c>
      <c r="AW8" s="544"/>
      <c r="AX8" s="545"/>
      <c r="AY8" s="262">
        <f t="shared" si="17"/>
        <v>0</v>
      </c>
      <c r="AZ8" s="544"/>
      <c r="BA8" s="545"/>
      <c r="BB8" s="262">
        <f t="shared" si="18"/>
        <v>0</v>
      </c>
      <c r="BC8" s="544"/>
      <c r="BD8" s="545"/>
      <c r="BE8" s="262">
        <f t="shared" si="19"/>
        <v>0</v>
      </c>
      <c r="BF8" s="544"/>
      <c r="BG8" s="545"/>
      <c r="BH8" s="262">
        <f t="shared" si="20"/>
        <v>0</v>
      </c>
      <c r="BI8" s="544"/>
      <c r="BJ8" s="545"/>
      <c r="BK8" s="262">
        <f t="shared" si="21"/>
        <v>0</v>
      </c>
      <c r="BL8" s="544"/>
      <c r="BM8" s="545"/>
      <c r="BN8" s="262">
        <f t="shared" si="22"/>
        <v>0</v>
      </c>
      <c r="BO8" s="544"/>
      <c r="BP8" s="545"/>
      <c r="BQ8" s="262">
        <f t="shared" si="23"/>
        <v>0</v>
      </c>
      <c r="BR8" s="258"/>
    </row>
    <row r="9" spans="1:70" ht="16" x14ac:dyDescent="0.2">
      <c r="A9" s="1332"/>
      <c r="B9" s="1335"/>
      <c r="C9" s="24" t="s">
        <v>29</v>
      </c>
      <c r="D9" s="259">
        <f t="shared" si="0"/>
        <v>0</v>
      </c>
      <c r="E9" s="260">
        <f t="shared" si="1"/>
        <v>0</v>
      </c>
      <c r="F9" s="261">
        <f t="shared" si="2"/>
        <v>0</v>
      </c>
      <c r="G9" s="544"/>
      <c r="H9" s="545"/>
      <c r="I9" s="262">
        <f t="shared" si="3"/>
        <v>0</v>
      </c>
      <c r="J9" s="544"/>
      <c r="K9" s="545"/>
      <c r="L9" s="262">
        <f t="shared" si="4"/>
        <v>0</v>
      </c>
      <c r="M9" s="544"/>
      <c r="N9" s="545"/>
      <c r="O9" s="262">
        <f t="shared" si="5"/>
        <v>0</v>
      </c>
      <c r="P9" s="544"/>
      <c r="Q9" s="545"/>
      <c r="R9" s="262">
        <f t="shared" si="6"/>
        <v>0</v>
      </c>
      <c r="S9" s="544"/>
      <c r="T9" s="545"/>
      <c r="U9" s="262">
        <f t="shared" si="7"/>
        <v>0</v>
      </c>
      <c r="V9" s="544"/>
      <c r="W9" s="545"/>
      <c r="X9" s="262">
        <f t="shared" si="8"/>
        <v>0</v>
      </c>
      <c r="Y9" s="544"/>
      <c r="Z9" s="545"/>
      <c r="AA9" s="262">
        <f t="shared" si="9"/>
        <v>0</v>
      </c>
      <c r="AB9" s="544"/>
      <c r="AC9" s="545"/>
      <c r="AD9" s="262">
        <f t="shared" si="10"/>
        <v>0</v>
      </c>
      <c r="AE9" s="544"/>
      <c r="AF9" s="545"/>
      <c r="AG9" s="262">
        <f t="shared" si="11"/>
        <v>0</v>
      </c>
      <c r="AH9" s="544"/>
      <c r="AI9" s="545"/>
      <c r="AJ9" s="262">
        <f t="shared" si="12"/>
        <v>0</v>
      </c>
      <c r="AK9" s="544"/>
      <c r="AL9" s="545"/>
      <c r="AM9" s="262">
        <f t="shared" si="13"/>
        <v>0</v>
      </c>
      <c r="AN9" s="544"/>
      <c r="AO9" s="545"/>
      <c r="AP9" s="262">
        <f t="shared" si="14"/>
        <v>0</v>
      </c>
      <c r="AQ9" s="544"/>
      <c r="AR9" s="545"/>
      <c r="AS9" s="262">
        <f t="shared" si="15"/>
        <v>0</v>
      </c>
      <c r="AT9" s="544"/>
      <c r="AU9" s="545"/>
      <c r="AV9" s="262">
        <f t="shared" si="16"/>
        <v>0</v>
      </c>
      <c r="AW9" s="544"/>
      <c r="AX9" s="545"/>
      <c r="AY9" s="262">
        <f t="shared" si="17"/>
        <v>0</v>
      </c>
      <c r="AZ9" s="544"/>
      <c r="BA9" s="545"/>
      <c r="BB9" s="262">
        <f t="shared" si="18"/>
        <v>0</v>
      </c>
      <c r="BC9" s="544"/>
      <c r="BD9" s="545"/>
      <c r="BE9" s="262">
        <f t="shared" si="19"/>
        <v>0</v>
      </c>
      <c r="BF9" s="544"/>
      <c r="BG9" s="545"/>
      <c r="BH9" s="262">
        <f t="shared" si="20"/>
        <v>0</v>
      </c>
      <c r="BI9" s="544"/>
      <c r="BJ9" s="545"/>
      <c r="BK9" s="262">
        <f t="shared" si="21"/>
        <v>0</v>
      </c>
      <c r="BL9" s="544"/>
      <c r="BM9" s="545"/>
      <c r="BN9" s="262">
        <f t="shared" si="22"/>
        <v>0</v>
      </c>
      <c r="BO9" s="544"/>
      <c r="BP9" s="545"/>
      <c r="BQ9" s="262">
        <f t="shared" si="23"/>
        <v>0</v>
      </c>
      <c r="BR9" s="258"/>
    </row>
    <row r="10" spans="1:70" ht="16" x14ac:dyDescent="0.2">
      <c r="A10" s="1332"/>
      <c r="B10" s="1335"/>
      <c r="C10" s="24" t="s">
        <v>30</v>
      </c>
      <c r="D10" s="259">
        <f t="shared" si="0"/>
        <v>0</v>
      </c>
      <c r="E10" s="260">
        <f t="shared" si="1"/>
        <v>0</v>
      </c>
      <c r="F10" s="261">
        <f t="shared" si="2"/>
        <v>0</v>
      </c>
      <c r="G10" s="544"/>
      <c r="H10" s="545"/>
      <c r="I10" s="262">
        <f t="shared" si="3"/>
        <v>0</v>
      </c>
      <c r="J10" s="544"/>
      <c r="K10" s="545"/>
      <c r="L10" s="262">
        <f t="shared" si="4"/>
        <v>0</v>
      </c>
      <c r="M10" s="544"/>
      <c r="N10" s="545"/>
      <c r="O10" s="262">
        <f t="shared" si="5"/>
        <v>0</v>
      </c>
      <c r="P10" s="544"/>
      <c r="Q10" s="545"/>
      <c r="R10" s="262">
        <f t="shared" si="6"/>
        <v>0</v>
      </c>
      <c r="S10" s="544"/>
      <c r="T10" s="545"/>
      <c r="U10" s="262">
        <f t="shared" si="7"/>
        <v>0</v>
      </c>
      <c r="V10" s="544"/>
      <c r="W10" s="545"/>
      <c r="X10" s="262">
        <f t="shared" si="8"/>
        <v>0</v>
      </c>
      <c r="Y10" s="544"/>
      <c r="Z10" s="545"/>
      <c r="AA10" s="262">
        <f t="shared" si="9"/>
        <v>0</v>
      </c>
      <c r="AB10" s="544"/>
      <c r="AC10" s="545"/>
      <c r="AD10" s="262">
        <f t="shared" si="10"/>
        <v>0</v>
      </c>
      <c r="AE10" s="544"/>
      <c r="AF10" s="545"/>
      <c r="AG10" s="262">
        <f t="shared" si="11"/>
        <v>0</v>
      </c>
      <c r="AH10" s="544"/>
      <c r="AI10" s="545"/>
      <c r="AJ10" s="262">
        <f t="shared" si="12"/>
        <v>0</v>
      </c>
      <c r="AK10" s="544"/>
      <c r="AL10" s="545"/>
      <c r="AM10" s="262">
        <f t="shared" si="13"/>
        <v>0</v>
      </c>
      <c r="AN10" s="544"/>
      <c r="AO10" s="545"/>
      <c r="AP10" s="262">
        <f t="shared" si="14"/>
        <v>0</v>
      </c>
      <c r="AQ10" s="544"/>
      <c r="AR10" s="545"/>
      <c r="AS10" s="262">
        <f t="shared" si="15"/>
        <v>0</v>
      </c>
      <c r="AT10" s="544"/>
      <c r="AU10" s="545"/>
      <c r="AV10" s="262">
        <f t="shared" si="16"/>
        <v>0</v>
      </c>
      <c r="AW10" s="544"/>
      <c r="AX10" s="545"/>
      <c r="AY10" s="262">
        <f t="shared" si="17"/>
        <v>0</v>
      </c>
      <c r="AZ10" s="544"/>
      <c r="BA10" s="545"/>
      <c r="BB10" s="262">
        <f t="shared" si="18"/>
        <v>0</v>
      </c>
      <c r="BC10" s="544"/>
      <c r="BD10" s="545"/>
      <c r="BE10" s="262">
        <f t="shared" si="19"/>
        <v>0</v>
      </c>
      <c r="BF10" s="544"/>
      <c r="BG10" s="545"/>
      <c r="BH10" s="262">
        <f t="shared" si="20"/>
        <v>0</v>
      </c>
      <c r="BI10" s="544"/>
      <c r="BJ10" s="545"/>
      <c r="BK10" s="262">
        <f t="shared" si="21"/>
        <v>0</v>
      </c>
      <c r="BL10" s="544"/>
      <c r="BM10" s="545"/>
      <c r="BN10" s="262">
        <f t="shared" si="22"/>
        <v>0</v>
      </c>
      <c r="BO10" s="544"/>
      <c r="BP10" s="545"/>
      <c r="BQ10" s="262">
        <f t="shared" si="23"/>
        <v>0</v>
      </c>
      <c r="BR10" s="258"/>
    </row>
    <row r="11" spans="1:70" ht="16" x14ac:dyDescent="0.2">
      <c r="A11" s="1332"/>
      <c r="B11" s="1335"/>
      <c r="C11" s="24" t="s">
        <v>31</v>
      </c>
      <c r="D11" s="259">
        <f t="shared" si="0"/>
        <v>0</v>
      </c>
      <c r="E11" s="260">
        <f t="shared" si="1"/>
        <v>0</v>
      </c>
      <c r="F11" s="261">
        <f t="shared" si="2"/>
        <v>0</v>
      </c>
      <c r="G11" s="544"/>
      <c r="H11" s="545"/>
      <c r="I11" s="262">
        <f t="shared" si="3"/>
        <v>0</v>
      </c>
      <c r="J11" s="544"/>
      <c r="K11" s="545"/>
      <c r="L11" s="262">
        <f t="shared" si="4"/>
        <v>0</v>
      </c>
      <c r="M11" s="544"/>
      <c r="N11" s="545"/>
      <c r="O11" s="262">
        <f t="shared" si="5"/>
        <v>0</v>
      </c>
      <c r="P11" s="544"/>
      <c r="Q11" s="545"/>
      <c r="R11" s="262">
        <f t="shared" si="6"/>
        <v>0</v>
      </c>
      <c r="S11" s="544"/>
      <c r="T11" s="545"/>
      <c r="U11" s="262">
        <f t="shared" si="7"/>
        <v>0</v>
      </c>
      <c r="V11" s="544"/>
      <c r="W11" s="545"/>
      <c r="X11" s="262">
        <f t="shared" si="8"/>
        <v>0</v>
      </c>
      <c r="Y11" s="544"/>
      <c r="Z11" s="545"/>
      <c r="AA11" s="262">
        <f t="shared" si="9"/>
        <v>0</v>
      </c>
      <c r="AB11" s="544"/>
      <c r="AC11" s="545"/>
      <c r="AD11" s="262">
        <f t="shared" si="10"/>
        <v>0</v>
      </c>
      <c r="AE11" s="544"/>
      <c r="AF11" s="545"/>
      <c r="AG11" s="262">
        <f t="shared" si="11"/>
        <v>0</v>
      </c>
      <c r="AH11" s="544"/>
      <c r="AI11" s="545"/>
      <c r="AJ11" s="262">
        <f t="shared" si="12"/>
        <v>0</v>
      </c>
      <c r="AK11" s="544"/>
      <c r="AL11" s="545"/>
      <c r="AM11" s="262">
        <f t="shared" si="13"/>
        <v>0</v>
      </c>
      <c r="AN11" s="544"/>
      <c r="AO11" s="545"/>
      <c r="AP11" s="262">
        <f t="shared" si="14"/>
        <v>0</v>
      </c>
      <c r="AQ11" s="544"/>
      <c r="AR11" s="545"/>
      <c r="AS11" s="262">
        <f t="shared" si="15"/>
        <v>0</v>
      </c>
      <c r="AT11" s="544"/>
      <c r="AU11" s="545"/>
      <c r="AV11" s="262">
        <f t="shared" si="16"/>
        <v>0</v>
      </c>
      <c r="AW11" s="544"/>
      <c r="AX11" s="545"/>
      <c r="AY11" s="262">
        <f t="shared" si="17"/>
        <v>0</v>
      </c>
      <c r="AZ11" s="544"/>
      <c r="BA11" s="545"/>
      <c r="BB11" s="262">
        <f t="shared" si="18"/>
        <v>0</v>
      </c>
      <c r="BC11" s="544"/>
      <c r="BD11" s="545"/>
      <c r="BE11" s="262">
        <f t="shared" si="19"/>
        <v>0</v>
      </c>
      <c r="BF11" s="544"/>
      <c r="BG11" s="545"/>
      <c r="BH11" s="262">
        <f t="shared" si="20"/>
        <v>0</v>
      </c>
      <c r="BI11" s="544"/>
      <c r="BJ11" s="545"/>
      <c r="BK11" s="262">
        <f t="shared" si="21"/>
        <v>0</v>
      </c>
      <c r="BL11" s="544"/>
      <c r="BM11" s="545"/>
      <c r="BN11" s="262">
        <f t="shared" si="22"/>
        <v>0</v>
      </c>
      <c r="BO11" s="544"/>
      <c r="BP11" s="545"/>
      <c r="BQ11" s="262">
        <f t="shared" si="23"/>
        <v>0</v>
      </c>
      <c r="BR11" s="258"/>
    </row>
    <row r="12" spans="1:70" ht="16" x14ac:dyDescent="0.2">
      <c r="A12" s="1332"/>
      <c r="B12" s="1335"/>
      <c r="C12" s="24" t="s">
        <v>32</v>
      </c>
      <c r="D12" s="259">
        <f t="shared" si="0"/>
        <v>0</v>
      </c>
      <c r="E12" s="260">
        <f t="shared" si="1"/>
        <v>0</v>
      </c>
      <c r="F12" s="261">
        <f t="shared" si="2"/>
        <v>0</v>
      </c>
      <c r="G12" s="544"/>
      <c r="H12" s="545"/>
      <c r="I12" s="262">
        <f t="shared" si="3"/>
        <v>0</v>
      </c>
      <c r="J12" s="544"/>
      <c r="K12" s="545"/>
      <c r="L12" s="262">
        <f t="shared" si="4"/>
        <v>0</v>
      </c>
      <c r="M12" s="544"/>
      <c r="N12" s="545"/>
      <c r="O12" s="262">
        <f t="shared" si="5"/>
        <v>0</v>
      </c>
      <c r="P12" s="544"/>
      <c r="Q12" s="545"/>
      <c r="R12" s="262">
        <f t="shared" si="6"/>
        <v>0</v>
      </c>
      <c r="S12" s="544"/>
      <c r="T12" s="545"/>
      <c r="U12" s="262">
        <f t="shared" si="7"/>
        <v>0</v>
      </c>
      <c r="V12" s="544"/>
      <c r="W12" s="545"/>
      <c r="X12" s="262">
        <f t="shared" si="8"/>
        <v>0</v>
      </c>
      <c r="Y12" s="544"/>
      <c r="Z12" s="545"/>
      <c r="AA12" s="262">
        <f t="shared" si="9"/>
        <v>0</v>
      </c>
      <c r="AB12" s="544"/>
      <c r="AC12" s="545"/>
      <c r="AD12" s="262">
        <f t="shared" si="10"/>
        <v>0</v>
      </c>
      <c r="AE12" s="544"/>
      <c r="AF12" s="545"/>
      <c r="AG12" s="262">
        <f t="shared" si="11"/>
        <v>0</v>
      </c>
      <c r="AH12" s="544"/>
      <c r="AI12" s="545"/>
      <c r="AJ12" s="262">
        <f t="shared" si="12"/>
        <v>0</v>
      </c>
      <c r="AK12" s="544"/>
      <c r="AL12" s="545"/>
      <c r="AM12" s="262">
        <f t="shared" si="13"/>
        <v>0</v>
      </c>
      <c r="AN12" s="544"/>
      <c r="AO12" s="545"/>
      <c r="AP12" s="262">
        <f t="shared" si="14"/>
        <v>0</v>
      </c>
      <c r="AQ12" s="544"/>
      <c r="AR12" s="545"/>
      <c r="AS12" s="262">
        <f t="shared" si="15"/>
        <v>0</v>
      </c>
      <c r="AT12" s="544"/>
      <c r="AU12" s="545"/>
      <c r="AV12" s="262">
        <f t="shared" si="16"/>
        <v>0</v>
      </c>
      <c r="AW12" s="544"/>
      <c r="AX12" s="545"/>
      <c r="AY12" s="262">
        <f t="shared" si="17"/>
        <v>0</v>
      </c>
      <c r="AZ12" s="544"/>
      <c r="BA12" s="545"/>
      <c r="BB12" s="262">
        <f t="shared" si="18"/>
        <v>0</v>
      </c>
      <c r="BC12" s="544"/>
      <c r="BD12" s="545"/>
      <c r="BE12" s="262">
        <f t="shared" si="19"/>
        <v>0</v>
      </c>
      <c r="BF12" s="544"/>
      <c r="BG12" s="545"/>
      <c r="BH12" s="262">
        <f t="shared" si="20"/>
        <v>0</v>
      </c>
      <c r="BI12" s="544"/>
      <c r="BJ12" s="545"/>
      <c r="BK12" s="262">
        <f t="shared" si="21"/>
        <v>0</v>
      </c>
      <c r="BL12" s="544"/>
      <c r="BM12" s="545"/>
      <c r="BN12" s="262">
        <f t="shared" si="22"/>
        <v>0</v>
      </c>
      <c r="BO12" s="544"/>
      <c r="BP12" s="545"/>
      <c r="BQ12" s="262">
        <f t="shared" si="23"/>
        <v>0</v>
      </c>
      <c r="BR12" s="258"/>
    </row>
    <row r="13" spans="1:70" ht="16" x14ac:dyDescent="0.2">
      <c r="A13" s="1332"/>
      <c r="B13" s="1335"/>
      <c r="C13" s="24" t="s">
        <v>33</v>
      </c>
      <c r="D13" s="259">
        <f t="shared" si="0"/>
        <v>0</v>
      </c>
      <c r="E13" s="260">
        <f t="shared" si="1"/>
        <v>0</v>
      </c>
      <c r="F13" s="261">
        <f t="shared" si="2"/>
        <v>0</v>
      </c>
      <c r="G13" s="544"/>
      <c r="H13" s="545"/>
      <c r="I13" s="262">
        <f t="shared" si="3"/>
        <v>0</v>
      </c>
      <c r="J13" s="544"/>
      <c r="K13" s="545"/>
      <c r="L13" s="262">
        <f t="shared" si="4"/>
        <v>0</v>
      </c>
      <c r="M13" s="544"/>
      <c r="N13" s="545"/>
      <c r="O13" s="262">
        <f t="shared" si="5"/>
        <v>0</v>
      </c>
      <c r="P13" s="544"/>
      <c r="Q13" s="545"/>
      <c r="R13" s="262">
        <f t="shared" si="6"/>
        <v>0</v>
      </c>
      <c r="S13" s="544"/>
      <c r="T13" s="545"/>
      <c r="U13" s="262">
        <f t="shared" si="7"/>
        <v>0</v>
      </c>
      <c r="V13" s="544"/>
      <c r="W13" s="545"/>
      <c r="X13" s="262">
        <f t="shared" si="8"/>
        <v>0</v>
      </c>
      <c r="Y13" s="544"/>
      <c r="Z13" s="545"/>
      <c r="AA13" s="262">
        <f t="shared" si="9"/>
        <v>0</v>
      </c>
      <c r="AB13" s="544"/>
      <c r="AC13" s="545"/>
      <c r="AD13" s="262">
        <f t="shared" si="10"/>
        <v>0</v>
      </c>
      <c r="AE13" s="544"/>
      <c r="AF13" s="545"/>
      <c r="AG13" s="262">
        <f t="shared" si="11"/>
        <v>0</v>
      </c>
      <c r="AH13" s="544"/>
      <c r="AI13" s="545"/>
      <c r="AJ13" s="262">
        <f t="shared" si="12"/>
        <v>0</v>
      </c>
      <c r="AK13" s="544"/>
      <c r="AL13" s="545"/>
      <c r="AM13" s="262">
        <f t="shared" si="13"/>
        <v>0</v>
      </c>
      <c r="AN13" s="544"/>
      <c r="AO13" s="545"/>
      <c r="AP13" s="262">
        <f t="shared" si="14"/>
        <v>0</v>
      </c>
      <c r="AQ13" s="544"/>
      <c r="AR13" s="545"/>
      <c r="AS13" s="262">
        <f t="shared" si="15"/>
        <v>0</v>
      </c>
      <c r="AT13" s="544"/>
      <c r="AU13" s="545"/>
      <c r="AV13" s="262">
        <f t="shared" si="16"/>
        <v>0</v>
      </c>
      <c r="AW13" s="544"/>
      <c r="AX13" s="545"/>
      <c r="AY13" s="262">
        <f t="shared" si="17"/>
        <v>0</v>
      </c>
      <c r="AZ13" s="544"/>
      <c r="BA13" s="545"/>
      <c r="BB13" s="262">
        <f t="shared" si="18"/>
        <v>0</v>
      </c>
      <c r="BC13" s="544"/>
      <c r="BD13" s="545"/>
      <c r="BE13" s="262">
        <f t="shared" si="19"/>
        <v>0</v>
      </c>
      <c r="BF13" s="544"/>
      <c r="BG13" s="545"/>
      <c r="BH13" s="262">
        <f t="shared" si="20"/>
        <v>0</v>
      </c>
      <c r="BI13" s="544"/>
      <c r="BJ13" s="545"/>
      <c r="BK13" s="262">
        <f t="shared" si="21"/>
        <v>0</v>
      </c>
      <c r="BL13" s="544"/>
      <c r="BM13" s="545"/>
      <c r="BN13" s="262">
        <f t="shared" si="22"/>
        <v>0</v>
      </c>
      <c r="BO13" s="544"/>
      <c r="BP13" s="545"/>
      <c r="BQ13" s="262">
        <f t="shared" si="23"/>
        <v>0</v>
      </c>
      <c r="BR13" s="258"/>
    </row>
    <row r="14" spans="1:70" ht="17" thickBot="1" x14ac:dyDescent="0.25">
      <c r="A14" s="1333"/>
      <c r="B14" s="1336"/>
      <c r="C14" s="263" t="s">
        <v>34</v>
      </c>
      <c r="D14" s="264">
        <f t="shared" si="0"/>
        <v>0</v>
      </c>
      <c r="E14" s="265">
        <f t="shared" si="1"/>
        <v>0</v>
      </c>
      <c r="F14" s="266">
        <f t="shared" si="2"/>
        <v>0</v>
      </c>
      <c r="G14" s="546"/>
      <c r="H14" s="547"/>
      <c r="I14" s="267">
        <f t="shared" si="3"/>
        <v>0</v>
      </c>
      <c r="J14" s="546"/>
      <c r="K14" s="547"/>
      <c r="L14" s="267">
        <f t="shared" si="4"/>
        <v>0</v>
      </c>
      <c r="M14" s="546"/>
      <c r="N14" s="547"/>
      <c r="O14" s="267">
        <f t="shared" si="5"/>
        <v>0</v>
      </c>
      <c r="P14" s="546"/>
      <c r="Q14" s="547"/>
      <c r="R14" s="267">
        <f t="shared" si="6"/>
        <v>0</v>
      </c>
      <c r="S14" s="546"/>
      <c r="T14" s="547"/>
      <c r="U14" s="267">
        <f t="shared" si="7"/>
        <v>0</v>
      </c>
      <c r="V14" s="546"/>
      <c r="W14" s="547"/>
      <c r="X14" s="267">
        <f t="shared" si="8"/>
        <v>0</v>
      </c>
      <c r="Y14" s="546"/>
      <c r="Z14" s="547"/>
      <c r="AA14" s="267">
        <f t="shared" si="9"/>
        <v>0</v>
      </c>
      <c r="AB14" s="546"/>
      <c r="AC14" s="547"/>
      <c r="AD14" s="267">
        <f t="shared" si="10"/>
        <v>0</v>
      </c>
      <c r="AE14" s="546"/>
      <c r="AF14" s="547"/>
      <c r="AG14" s="267">
        <f t="shared" si="11"/>
        <v>0</v>
      </c>
      <c r="AH14" s="546"/>
      <c r="AI14" s="547"/>
      <c r="AJ14" s="267">
        <f t="shared" si="12"/>
        <v>0</v>
      </c>
      <c r="AK14" s="546"/>
      <c r="AL14" s="547"/>
      <c r="AM14" s="267">
        <f t="shared" si="13"/>
        <v>0</v>
      </c>
      <c r="AN14" s="546"/>
      <c r="AO14" s="547"/>
      <c r="AP14" s="267">
        <f t="shared" si="14"/>
        <v>0</v>
      </c>
      <c r="AQ14" s="546"/>
      <c r="AR14" s="547"/>
      <c r="AS14" s="267">
        <f t="shared" si="15"/>
        <v>0</v>
      </c>
      <c r="AT14" s="546"/>
      <c r="AU14" s="547"/>
      <c r="AV14" s="267">
        <f t="shared" si="16"/>
        <v>0</v>
      </c>
      <c r="AW14" s="546"/>
      <c r="AX14" s="547"/>
      <c r="AY14" s="267">
        <f t="shared" si="17"/>
        <v>0</v>
      </c>
      <c r="AZ14" s="546"/>
      <c r="BA14" s="547"/>
      <c r="BB14" s="267">
        <f t="shared" si="18"/>
        <v>0</v>
      </c>
      <c r="BC14" s="546"/>
      <c r="BD14" s="547"/>
      <c r="BE14" s="267">
        <f t="shared" si="19"/>
        <v>0</v>
      </c>
      <c r="BF14" s="546"/>
      <c r="BG14" s="547"/>
      <c r="BH14" s="267">
        <f t="shared" si="20"/>
        <v>0</v>
      </c>
      <c r="BI14" s="546"/>
      <c r="BJ14" s="547"/>
      <c r="BK14" s="267">
        <f t="shared" si="21"/>
        <v>0</v>
      </c>
      <c r="BL14" s="546"/>
      <c r="BM14" s="547"/>
      <c r="BN14" s="267">
        <f t="shared" si="22"/>
        <v>0</v>
      </c>
      <c r="BO14" s="546"/>
      <c r="BP14" s="547"/>
      <c r="BQ14" s="267">
        <f t="shared" si="23"/>
        <v>0</v>
      </c>
      <c r="BR14" s="258"/>
    </row>
    <row r="15" spans="1:70" ht="16" x14ac:dyDescent="0.2">
      <c r="A15" s="1331" t="s">
        <v>147</v>
      </c>
      <c r="B15" s="1334" t="s">
        <v>13</v>
      </c>
      <c r="C15" s="251" t="s">
        <v>25</v>
      </c>
      <c r="D15" s="268"/>
      <c r="E15" s="269"/>
      <c r="F15" s="270"/>
      <c r="G15" s="548"/>
      <c r="H15" s="549"/>
      <c r="I15" s="271">
        <f t="shared" si="3"/>
        <v>0</v>
      </c>
      <c r="J15" s="548"/>
      <c r="K15" s="549"/>
      <c r="L15" s="271">
        <f t="shared" si="4"/>
        <v>0</v>
      </c>
      <c r="M15" s="548"/>
      <c r="N15" s="549"/>
      <c r="O15" s="271">
        <f t="shared" si="5"/>
        <v>0</v>
      </c>
      <c r="P15" s="548"/>
      <c r="Q15" s="549"/>
      <c r="R15" s="271">
        <f t="shared" si="6"/>
        <v>0</v>
      </c>
      <c r="S15" s="548"/>
      <c r="T15" s="549"/>
      <c r="U15" s="271">
        <f t="shared" si="7"/>
        <v>0</v>
      </c>
      <c r="V15" s="548"/>
      <c r="W15" s="549"/>
      <c r="X15" s="271">
        <f t="shared" si="8"/>
        <v>0</v>
      </c>
      <c r="Y15" s="548"/>
      <c r="Z15" s="549"/>
      <c r="AA15" s="271">
        <f t="shared" si="9"/>
        <v>0</v>
      </c>
      <c r="AB15" s="548"/>
      <c r="AC15" s="549"/>
      <c r="AD15" s="271">
        <f t="shared" si="10"/>
        <v>0</v>
      </c>
      <c r="AE15" s="548"/>
      <c r="AF15" s="549"/>
      <c r="AG15" s="271">
        <f t="shared" si="11"/>
        <v>0</v>
      </c>
      <c r="AH15" s="548"/>
      <c r="AI15" s="549"/>
      <c r="AJ15" s="271">
        <f t="shared" si="12"/>
        <v>0</v>
      </c>
      <c r="AK15" s="548"/>
      <c r="AL15" s="549"/>
      <c r="AM15" s="271">
        <f t="shared" si="13"/>
        <v>0</v>
      </c>
      <c r="AN15" s="548"/>
      <c r="AO15" s="549"/>
      <c r="AP15" s="271">
        <f t="shared" si="14"/>
        <v>0</v>
      </c>
      <c r="AQ15" s="548"/>
      <c r="AR15" s="549"/>
      <c r="AS15" s="271">
        <f t="shared" si="15"/>
        <v>0</v>
      </c>
      <c r="AT15" s="548"/>
      <c r="AU15" s="549"/>
      <c r="AV15" s="271">
        <f t="shared" si="16"/>
        <v>0</v>
      </c>
      <c r="AW15" s="548"/>
      <c r="AX15" s="549"/>
      <c r="AY15" s="271">
        <f t="shared" si="17"/>
        <v>0</v>
      </c>
      <c r="AZ15" s="548"/>
      <c r="BA15" s="549"/>
      <c r="BB15" s="271">
        <f t="shared" si="18"/>
        <v>0</v>
      </c>
      <c r="BC15" s="548"/>
      <c r="BD15" s="549"/>
      <c r="BE15" s="271">
        <f t="shared" si="19"/>
        <v>0</v>
      </c>
      <c r="BF15" s="548"/>
      <c r="BG15" s="549"/>
      <c r="BH15" s="271">
        <f t="shared" si="20"/>
        <v>0</v>
      </c>
      <c r="BI15" s="548"/>
      <c r="BJ15" s="549"/>
      <c r="BK15" s="271">
        <f t="shared" si="21"/>
        <v>0</v>
      </c>
      <c r="BL15" s="548"/>
      <c r="BM15" s="549"/>
      <c r="BN15" s="271">
        <f t="shared" si="22"/>
        <v>0</v>
      </c>
      <c r="BO15" s="548"/>
      <c r="BP15" s="549"/>
      <c r="BQ15" s="271">
        <f t="shared" si="23"/>
        <v>0</v>
      </c>
      <c r="BR15" s="258"/>
    </row>
    <row r="16" spans="1:70" ht="16" x14ac:dyDescent="0.2">
      <c r="A16" s="1332"/>
      <c r="B16" s="1335"/>
      <c r="C16" s="24" t="s">
        <v>26</v>
      </c>
      <c r="D16" s="272"/>
      <c r="E16" s="273"/>
      <c r="F16" s="274"/>
      <c r="G16" s="550"/>
      <c r="H16" s="551"/>
      <c r="I16" s="275">
        <f t="shared" si="3"/>
        <v>0</v>
      </c>
      <c r="J16" s="550"/>
      <c r="K16" s="551"/>
      <c r="L16" s="275">
        <f t="shared" si="4"/>
        <v>0</v>
      </c>
      <c r="M16" s="550"/>
      <c r="N16" s="551"/>
      <c r="O16" s="275">
        <f t="shared" si="5"/>
        <v>0</v>
      </c>
      <c r="P16" s="550"/>
      <c r="Q16" s="551"/>
      <c r="R16" s="275">
        <f t="shared" si="6"/>
        <v>0</v>
      </c>
      <c r="S16" s="550"/>
      <c r="T16" s="551"/>
      <c r="U16" s="275">
        <f t="shared" si="7"/>
        <v>0</v>
      </c>
      <c r="V16" s="550"/>
      <c r="W16" s="551"/>
      <c r="X16" s="275">
        <f t="shared" si="8"/>
        <v>0</v>
      </c>
      <c r="Y16" s="550"/>
      <c r="Z16" s="551"/>
      <c r="AA16" s="275">
        <f t="shared" si="9"/>
        <v>0</v>
      </c>
      <c r="AB16" s="550"/>
      <c r="AC16" s="551"/>
      <c r="AD16" s="275">
        <f t="shared" si="10"/>
        <v>0</v>
      </c>
      <c r="AE16" s="550"/>
      <c r="AF16" s="551"/>
      <c r="AG16" s="275">
        <f t="shared" si="11"/>
        <v>0</v>
      </c>
      <c r="AH16" s="550"/>
      <c r="AI16" s="551"/>
      <c r="AJ16" s="275">
        <f t="shared" si="12"/>
        <v>0</v>
      </c>
      <c r="AK16" s="550"/>
      <c r="AL16" s="551"/>
      <c r="AM16" s="275">
        <f t="shared" si="13"/>
        <v>0</v>
      </c>
      <c r="AN16" s="550"/>
      <c r="AO16" s="551"/>
      <c r="AP16" s="275">
        <f t="shared" si="14"/>
        <v>0</v>
      </c>
      <c r="AQ16" s="550"/>
      <c r="AR16" s="551"/>
      <c r="AS16" s="275">
        <f t="shared" si="15"/>
        <v>0</v>
      </c>
      <c r="AT16" s="550"/>
      <c r="AU16" s="551"/>
      <c r="AV16" s="275">
        <f t="shared" si="16"/>
        <v>0</v>
      </c>
      <c r="AW16" s="550"/>
      <c r="AX16" s="551"/>
      <c r="AY16" s="275">
        <f t="shared" si="17"/>
        <v>0</v>
      </c>
      <c r="AZ16" s="550"/>
      <c r="BA16" s="551"/>
      <c r="BB16" s="275">
        <f t="shared" si="18"/>
        <v>0</v>
      </c>
      <c r="BC16" s="550"/>
      <c r="BD16" s="551"/>
      <c r="BE16" s="275">
        <f t="shared" si="19"/>
        <v>0</v>
      </c>
      <c r="BF16" s="550"/>
      <c r="BG16" s="551"/>
      <c r="BH16" s="275">
        <f t="shared" si="20"/>
        <v>0</v>
      </c>
      <c r="BI16" s="550"/>
      <c r="BJ16" s="551"/>
      <c r="BK16" s="275">
        <f t="shared" si="21"/>
        <v>0</v>
      </c>
      <c r="BL16" s="550"/>
      <c r="BM16" s="551"/>
      <c r="BN16" s="275">
        <f t="shared" si="22"/>
        <v>0</v>
      </c>
      <c r="BO16" s="550"/>
      <c r="BP16" s="551"/>
      <c r="BQ16" s="275">
        <f t="shared" si="23"/>
        <v>0</v>
      </c>
      <c r="BR16" s="258"/>
    </row>
    <row r="17" spans="1:70" ht="16" x14ac:dyDescent="0.2">
      <c r="A17" s="1332"/>
      <c r="B17" s="1335"/>
      <c r="C17" s="24" t="s">
        <v>27</v>
      </c>
      <c r="D17" s="272"/>
      <c r="E17" s="273"/>
      <c r="F17" s="274"/>
      <c r="G17" s="550"/>
      <c r="H17" s="551"/>
      <c r="I17" s="275">
        <f t="shared" si="3"/>
        <v>0</v>
      </c>
      <c r="J17" s="550"/>
      <c r="K17" s="551"/>
      <c r="L17" s="275">
        <f t="shared" si="4"/>
        <v>0</v>
      </c>
      <c r="M17" s="550"/>
      <c r="N17" s="551"/>
      <c r="O17" s="275">
        <f t="shared" si="5"/>
        <v>0</v>
      </c>
      <c r="P17" s="550"/>
      <c r="Q17" s="551"/>
      <c r="R17" s="275">
        <f t="shared" si="6"/>
        <v>0</v>
      </c>
      <c r="S17" s="550"/>
      <c r="T17" s="551"/>
      <c r="U17" s="275">
        <f t="shared" si="7"/>
        <v>0</v>
      </c>
      <c r="V17" s="550"/>
      <c r="W17" s="551"/>
      <c r="X17" s="275">
        <f t="shared" si="8"/>
        <v>0</v>
      </c>
      <c r="Y17" s="550"/>
      <c r="Z17" s="551"/>
      <c r="AA17" s="275">
        <f t="shared" si="9"/>
        <v>0</v>
      </c>
      <c r="AB17" s="550"/>
      <c r="AC17" s="551"/>
      <c r="AD17" s="275">
        <f t="shared" si="10"/>
        <v>0</v>
      </c>
      <c r="AE17" s="550"/>
      <c r="AF17" s="551"/>
      <c r="AG17" s="275">
        <f t="shared" si="11"/>
        <v>0</v>
      </c>
      <c r="AH17" s="550"/>
      <c r="AI17" s="551"/>
      <c r="AJ17" s="275">
        <f t="shared" si="12"/>
        <v>0</v>
      </c>
      <c r="AK17" s="550"/>
      <c r="AL17" s="551"/>
      <c r="AM17" s="275">
        <f t="shared" si="13"/>
        <v>0</v>
      </c>
      <c r="AN17" s="550"/>
      <c r="AO17" s="551"/>
      <c r="AP17" s="275">
        <f t="shared" si="14"/>
        <v>0</v>
      </c>
      <c r="AQ17" s="550"/>
      <c r="AR17" s="551"/>
      <c r="AS17" s="275">
        <f t="shared" si="15"/>
        <v>0</v>
      </c>
      <c r="AT17" s="550"/>
      <c r="AU17" s="551"/>
      <c r="AV17" s="275">
        <f t="shared" si="16"/>
        <v>0</v>
      </c>
      <c r="AW17" s="550"/>
      <c r="AX17" s="551"/>
      <c r="AY17" s="275">
        <f t="shared" si="17"/>
        <v>0</v>
      </c>
      <c r="AZ17" s="550"/>
      <c r="BA17" s="551"/>
      <c r="BB17" s="275">
        <f t="shared" si="18"/>
        <v>0</v>
      </c>
      <c r="BC17" s="550"/>
      <c r="BD17" s="551"/>
      <c r="BE17" s="275">
        <f t="shared" si="19"/>
        <v>0</v>
      </c>
      <c r="BF17" s="550"/>
      <c r="BG17" s="551"/>
      <c r="BH17" s="275">
        <f t="shared" si="20"/>
        <v>0</v>
      </c>
      <c r="BI17" s="550"/>
      <c r="BJ17" s="551"/>
      <c r="BK17" s="275">
        <f t="shared" si="21"/>
        <v>0</v>
      </c>
      <c r="BL17" s="550"/>
      <c r="BM17" s="551"/>
      <c r="BN17" s="275">
        <f t="shared" si="22"/>
        <v>0</v>
      </c>
      <c r="BO17" s="550"/>
      <c r="BP17" s="551"/>
      <c r="BQ17" s="275">
        <f t="shared" si="23"/>
        <v>0</v>
      </c>
      <c r="BR17" s="258"/>
    </row>
    <row r="18" spans="1:70" ht="16" x14ac:dyDescent="0.2">
      <c r="A18" s="1332"/>
      <c r="B18" s="1335"/>
      <c r="C18" s="24" t="s">
        <v>28</v>
      </c>
      <c r="D18" s="272"/>
      <c r="E18" s="273"/>
      <c r="F18" s="274"/>
      <c r="G18" s="550"/>
      <c r="H18" s="551"/>
      <c r="I18" s="275">
        <f t="shared" si="3"/>
        <v>0</v>
      </c>
      <c r="J18" s="550"/>
      <c r="K18" s="551"/>
      <c r="L18" s="275">
        <f t="shared" si="4"/>
        <v>0</v>
      </c>
      <c r="M18" s="550"/>
      <c r="N18" s="551"/>
      <c r="O18" s="275">
        <f t="shared" si="5"/>
        <v>0</v>
      </c>
      <c r="P18" s="550"/>
      <c r="Q18" s="551"/>
      <c r="R18" s="275">
        <f t="shared" si="6"/>
        <v>0</v>
      </c>
      <c r="S18" s="550"/>
      <c r="T18" s="551"/>
      <c r="U18" s="275">
        <f t="shared" si="7"/>
        <v>0</v>
      </c>
      <c r="V18" s="550"/>
      <c r="W18" s="551"/>
      <c r="X18" s="275">
        <f t="shared" si="8"/>
        <v>0</v>
      </c>
      <c r="Y18" s="550"/>
      <c r="Z18" s="551"/>
      <c r="AA18" s="275">
        <f t="shared" si="9"/>
        <v>0</v>
      </c>
      <c r="AB18" s="550"/>
      <c r="AC18" s="551"/>
      <c r="AD18" s="275">
        <f t="shared" si="10"/>
        <v>0</v>
      </c>
      <c r="AE18" s="550"/>
      <c r="AF18" s="551"/>
      <c r="AG18" s="275">
        <f t="shared" si="11"/>
        <v>0</v>
      </c>
      <c r="AH18" s="550"/>
      <c r="AI18" s="551"/>
      <c r="AJ18" s="275">
        <f t="shared" si="12"/>
        <v>0</v>
      </c>
      <c r="AK18" s="550"/>
      <c r="AL18" s="551"/>
      <c r="AM18" s="275">
        <f t="shared" si="13"/>
        <v>0</v>
      </c>
      <c r="AN18" s="550"/>
      <c r="AO18" s="551"/>
      <c r="AP18" s="275">
        <f t="shared" si="14"/>
        <v>0</v>
      </c>
      <c r="AQ18" s="550"/>
      <c r="AR18" s="551"/>
      <c r="AS18" s="275">
        <f t="shared" si="15"/>
        <v>0</v>
      </c>
      <c r="AT18" s="550"/>
      <c r="AU18" s="551"/>
      <c r="AV18" s="275">
        <f t="shared" si="16"/>
        <v>0</v>
      </c>
      <c r="AW18" s="550"/>
      <c r="AX18" s="551"/>
      <c r="AY18" s="275">
        <f t="shared" si="17"/>
        <v>0</v>
      </c>
      <c r="AZ18" s="550"/>
      <c r="BA18" s="551"/>
      <c r="BB18" s="275">
        <f t="shared" si="18"/>
        <v>0</v>
      </c>
      <c r="BC18" s="550"/>
      <c r="BD18" s="551"/>
      <c r="BE18" s="275">
        <f t="shared" si="19"/>
        <v>0</v>
      </c>
      <c r="BF18" s="550"/>
      <c r="BG18" s="551"/>
      <c r="BH18" s="275">
        <f t="shared" si="20"/>
        <v>0</v>
      </c>
      <c r="BI18" s="550"/>
      <c r="BJ18" s="551"/>
      <c r="BK18" s="275">
        <f t="shared" si="21"/>
        <v>0</v>
      </c>
      <c r="BL18" s="550"/>
      <c r="BM18" s="551"/>
      <c r="BN18" s="275">
        <f t="shared" si="22"/>
        <v>0</v>
      </c>
      <c r="BO18" s="550"/>
      <c r="BP18" s="551"/>
      <c r="BQ18" s="275">
        <f t="shared" si="23"/>
        <v>0</v>
      </c>
      <c r="BR18" s="258"/>
    </row>
    <row r="19" spans="1:70" ht="16" x14ac:dyDescent="0.2">
      <c r="A19" s="1332"/>
      <c r="B19" s="1335"/>
      <c r="C19" s="24" t="s">
        <v>29</v>
      </c>
      <c r="D19" s="272"/>
      <c r="E19" s="273"/>
      <c r="F19" s="274"/>
      <c r="G19" s="550"/>
      <c r="H19" s="551"/>
      <c r="I19" s="275">
        <f t="shared" si="3"/>
        <v>0</v>
      </c>
      <c r="J19" s="550"/>
      <c r="K19" s="551"/>
      <c r="L19" s="275">
        <f t="shared" si="4"/>
        <v>0</v>
      </c>
      <c r="M19" s="550"/>
      <c r="N19" s="551"/>
      <c r="O19" s="275">
        <f t="shared" si="5"/>
        <v>0</v>
      </c>
      <c r="P19" s="550"/>
      <c r="Q19" s="551"/>
      <c r="R19" s="275">
        <f t="shared" si="6"/>
        <v>0</v>
      </c>
      <c r="S19" s="550"/>
      <c r="T19" s="551"/>
      <c r="U19" s="275">
        <f t="shared" si="7"/>
        <v>0</v>
      </c>
      <c r="V19" s="550"/>
      <c r="W19" s="551"/>
      <c r="X19" s="275">
        <f t="shared" si="8"/>
        <v>0</v>
      </c>
      <c r="Y19" s="550"/>
      <c r="Z19" s="551"/>
      <c r="AA19" s="275">
        <f t="shared" si="9"/>
        <v>0</v>
      </c>
      <c r="AB19" s="550"/>
      <c r="AC19" s="551"/>
      <c r="AD19" s="275">
        <f t="shared" si="10"/>
        <v>0</v>
      </c>
      <c r="AE19" s="550"/>
      <c r="AF19" s="551"/>
      <c r="AG19" s="275">
        <f t="shared" si="11"/>
        <v>0</v>
      </c>
      <c r="AH19" s="550"/>
      <c r="AI19" s="551"/>
      <c r="AJ19" s="275">
        <f t="shared" si="12"/>
        <v>0</v>
      </c>
      <c r="AK19" s="550"/>
      <c r="AL19" s="551"/>
      <c r="AM19" s="275">
        <f t="shared" si="13"/>
        <v>0</v>
      </c>
      <c r="AN19" s="550"/>
      <c r="AO19" s="551"/>
      <c r="AP19" s="275">
        <f t="shared" si="14"/>
        <v>0</v>
      </c>
      <c r="AQ19" s="550"/>
      <c r="AR19" s="551"/>
      <c r="AS19" s="275">
        <f t="shared" si="15"/>
        <v>0</v>
      </c>
      <c r="AT19" s="550"/>
      <c r="AU19" s="551"/>
      <c r="AV19" s="275">
        <f t="shared" si="16"/>
        <v>0</v>
      </c>
      <c r="AW19" s="550"/>
      <c r="AX19" s="551"/>
      <c r="AY19" s="275">
        <f t="shared" si="17"/>
        <v>0</v>
      </c>
      <c r="AZ19" s="550"/>
      <c r="BA19" s="551"/>
      <c r="BB19" s="275">
        <f t="shared" si="18"/>
        <v>0</v>
      </c>
      <c r="BC19" s="550"/>
      <c r="BD19" s="551"/>
      <c r="BE19" s="275">
        <f t="shared" si="19"/>
        <v>0</v>
      </c>
      <c r="BF19" s="550"/>
      <c r="BG19" s="551"/>
      <c r="BH19" s="275">
        <f t="shared" si="20"/>
        <v>0</v>
      </c>
      <c r="BI19" s="550"/>
      <c r="BJ19" s="551"/>
      <c r="BK19" s="275">
        <f t="shared" si="21"/>
        <v>0</v>
      </c>
      <c r="BL19" s="550"/>
      <c r="BM19" s="551"/>
      <c r="BN19" s="275">
        <f t="shared" si="22"/>
        <v>0</v>
      </c>
      <c r="BO19" s="550"/>
      <c r="BP19" s="551"/>
      <c r="BQ19" s="275">
        <f t="shared" si="23"/>
        <v>0</v>
      </c>
      <c r="BR19" s="258"/>
    </row>
    <row r="20" spans="1:70" ht="16" x14ac:dyDescent="0.2">
      <c r="A20" s="1332"/>
      <c r="B20" s="1335"/>
      <c r="C20" s="24" t="s">
        <v>30</v>
      </c>
      <c r="D20" s="272"/>
      <c r="E20" s="273"/>
      <c r="F20" s="274"/>
      <c r="G20" s="550"/>
      <c r="H20" s="551"/>
      <c r="I20" s="275">
        <f t="shared" si="3"/>
        <v>0</v>
      </c>
      <c r="J20" s="550"/>
      <c r="K20" s="551"/>
      <c r="L20" s="275">
        <f t="shared" si="4"/>
        <v>0</v>
      </c>
      <c r="M20" s="550"/>
      <c r="N20" s="551"/>
      <c r="O20" s="275">
        <f t="shared" si="5"/>
        <v>0</v>
      </c>
      <c r="P20" s="550"/>
      <c r="Q20" s="551"/>
      <c r="R20" s="275">
        <f t="shared" si="6"/>
        <v>0</v>
      </c>
      <c r="S20" s="550"/>
      <c r="T20" s="551"/>
      <c r="U20" s="275">
        <f t="shared" si="7"/>
        <v>0</v>
      </c>
      <c r="V20" s="550"/>
      <c r="W20" s="551"/>
      <c r="X20" s="275">
        <f t="shared" si="8"/>
        <v>0</v>
      </c>
      <c r="Y20" s="550"/>
      <c r="Z20" s="551"/>
      <c r="AA20" s="275">
        <f t="shared" si="9"/>
        <v>0</v>
      </c>
      <c r="AB20" s="550"/>
      <c r="AC20" s="551"/>
      <c r="AD20" s="275">
        <f t="shared" si="10"/>
        <v>0</v>
      </c>
      <c r="AE20" s="550"/>
      <c r="AF20" s="551"/>
      <c r="AG20" s="275">
        <f t="shared" si="11"/>
        <v>0</v>
      </c>
      <c r="AH20" s="550"/>
      <c r="AI20" s="551"/>
      <c r="AJ20" s="275">
        <f t="shared" si="12"/>
        <v>0</v>
      </c>
      <c r="AK20" s="550"/>
      <c r="AL20" s="551"/>
      <c r="AM20" s="275">
        <f t="shared" si="13"/>
        <v>0</v>
      </c>
      <c r="AN20" s="550"/>
      <c r="AO20" s="551"/>
      <c r="AP20" s="275">
        <f t="shared" si="14"/>
        <v>0</v>
      </c>
      <c r="AQ20" s="550"/>
      <c r="AR20" s="551"/>
      <c r="AS20" s="275">
        <f t="shared" si="15"/>
        <v>0</v>
      </c>
      <c r="AT20" s="550"/>
      <c r="AU20" s="551"/>
      <c r="AV20" s="275">
        <f t="shared" si="16"/>
        <v>0</v>
      </c>
      <c r="AW20" s="550"/>
      <c r="AX20" s="551"/>
      <c r="AY20" s="275">
        <f t="shared" si="17"/>
        <v>0</v>
      </c>
      <c r="AZ20" s="550"/>
      <c r="BA20" s="551"/>
      <c r="BB20" s="275">
        <f t="shared" si="18"/>
        <v>0</v>
      </c>
      <c r="BC20" s="550"/>
      <c r="BD20" s="551"/>
      <c r="BE20" s="275">
        <f t="shared" si="19"/>
        <v>0</v>
      </c>
      <c r="BF20" s="550"/>
      <c r="BG20" s="551"/>
      <c r="BH20" s="275">
        <f t="shared" si="20"/>
        <v>0</v>
      </c>
      <c r="BI20" s="550"/>
      <c r="BJ20" s="551"/>
      <c r="BK20" s="275">
        <f t="shared" si="21"/>
        <v>0</v>
      </c>
      <c r="BL20" s="550"/>
      <c r="BM20" s="551"/>
      <c r="BN20" s="275">
        <f t="shared" si="22"/>
        <v>0</v>
      </c>
      <c r="BO20" s="550"/>
      <c r="BP20" s="551"/>
      <c r="BQ20" s="275">
        <f t="shared" si="23"/>
        <v>0</v>
      </c>
      <c r="BR20" s="258"/>
    </row>
    <row r="21" spans="1:70" ht="16" x14ac:dyDescent="0.2">
      <c r="A21" s="1332"/>
      <c r="B21" s="1335"/>
      <c r="C21" s="24" t="s">
        <v>31</v>
      </c>
      <c r="D21" s="272"/>
      <c r="E21" s="273"/>
      <c r="F21" s="274"/>
      <c r="G21" s="550"/>
      <c r="H21" s="551"/>
      <c r="I21" s="275">
        <f t="shared" si="3"/>
        <v>0</v>
      </c>
      <c r="J21" s="550"/>
      <c r="K21" s="551"/>
      <c r="L21" s="275">
        <f t="shared" si="4"/>
        <v>0</v>
      </c>
      <c r="M21" s="550"/>
      <c r="N21" s="551"/>
      <c r="O21" s="275">
        <f t="shared" si="5"/>
        <v>0</v>
      </c>
      <c r="P21" s="550"/>
      <c r="Q21" s="551"/>
      <c r="R21" s="275">
        <f t="shared" si="6"/>
        <v>0</v>
      </c>
      <c r="S21" s="550"/>
      <c r="T21" s="551"/>
      <c r="U21" s="275">
        <f t="shared" si="7"/>
        <v>0</v>
      </c>
      <c r="V21" s="550"/>
      <c r="W21" s="551"/>
      <c r="X21" s="275">
        <f t="shared" si="8"/>
        <v>0</v>
      </c>
      <c r="Y21" s="550"/>
      <c r="Z21" s="551"/>
      <c r="AA21" s="275">
        <f t="shared" si="9"/>
        <v>0</v>
      </c>
      <c r="AB21" s="550"/>
      <c r="AC21" s="551"/>
      <c r="AD21" s="275">
        <f t="shared" si="10"/>
        <v>0</v>
      </c>
      <c r="AE21" s="550"/>
      <c r="AF21" s="551"/>
      <c r="AG21" s="275">
        <f t="shared" si="11"/>
        <v>0</v>
      </c>
      <c r="AH21" s="550"/>
      <c r="AI21" s="551"/>
      <c r="AJ21" s="275">
        <f t="shared" si="12"/>
        <v>0</v>
      </c>
      <c r="AK21" s="550"/>
      <c r="AL21" s="551"/>
      <c r="AM21" s="275">
        <f t="shared" si="13"/>
        <v>0</v>
      </c>
      <c r="AN21" s="550"/>
      <c r="AO21" s="551"/>
      <c r="AP21" s="275">
        <f t="shared" si="14"/>
        <v>0</v>
      </c>
      <c r="AQ21" s="550"/>
      <c r="AR21" s="551"/>
      <c r="AS21" s="275">
        <f t="shared" si="15"/>
        <v>0</v>
      </c>
      <c r="AT21" s="550"/>
      <c r="AU21" s="551"/>
      <c r="AV21" s="275">
        <f t="shared" si="16"/>
        <v>0</v>
      </c>
      <c r="AW21" s="550"/>
      <c r="AX21" s="551"/>
      <c r="AY21" s="275">
        <f t="shared" si="17"/>
        <v>0</v>
      </c>
      <c r="AZ21" s="550"/>
      <c r="BA21" s="551"/>
      <c r="BB21" s="275">
        <f t="shared" si="18"/>
        <v>0</v>
      </c>
      <c r="BC21" s="550"/>
      <c r="BD21" s="551"/>
      <c r="BE21" s="275">
        <f t="shared" si="19"/>
        <v>0</v>
      </c>
      <c r="BF21" s="550"/>
      <c r="BG21" s="551"/>
      <c r="BH21" s="275">
        <f t="shared" si="20"/>
        <v>0</v>
      </c>
      <c r="BI21" s="550"/>
      <c r="BJ21" s="551"/>
      <c r="BK21" s="275">
        <f t="shared" si="21"/>
        <v>0</v>
      </c>
      <c r="BL21" s="550"/>
      <c r="BM21" s="551"/>
      <c r="BN21" s="275">
        <f t="shared" si="22"/>
        <v>0</v>
      </c>
      <c r="BO21" s="550"/>
      <c r="BP21" s="551"/>
      <c r="BQ21" s="275">
        <f t="shared" si="23"/>
        <v>0</v>
      </c>
      <c r="BR21" s="258"/>
    </row>
    <row r="22" spans="1:70" ht="16" x14ac:dyDescent="0.2">
      <c r="A22" s="1332"/>
      <c r="B22" s="1335"/>
      <c r="C22" s="24" t="s">
        <v>32</v>
      </c>
      <c r="D22" s="272"/>
      <c r="E22" s="273"/>
      <c r="F22" s="274"/>
      <c r="G22" s="550"/>
      <c r="H22" s="551"/>
      <c r="I22" s="275">
        <f t="shared" si="3"/>
        <v>0</v>
      </c>
      <c r="J22" s="550"/>
      <c r="K22" s="551"/>
      <c r="L22" s="275">
        <f t="shared" si="4"/>
        <v>0</v>
      </c>
      <c r="M22" s="550"/>
      <c r="N22" s="551"/>
      <c r="O22" s="275">
        <f t="shared" si="5"/>
        <v>0</v>
      </c>
      <c r="P22" s="550"/>
      <c r="Q22" s="551"/>
      <c r="R22" s="275">
        <f t="shared" si="6"/>
        <v>0</v>
      </c>
      <c r="S22" s="550"/>
      <c r="T22" s="551"/>
      <c r="U22" s="275">
        <f t="shared" si="7"/>
        <v>0</v>
      </c>
      <c r="V22" s="550"/>
      <c r="W22" s="551"/>
      <c r="X22" s="275">
        <f t="shared" si="8"/>
        <v>0</v>
      </c>
      <c r="Y22" s="550"/>
      <c r="Z22" s="551"/>
      <c r="AA22" s="275">
        <f t="shared" si="9"/>
        <v>0</v>
      </c>
      <c r="AB22" s="550"/>
      <c r="AC22" s="551"/>
      <c r="AD22" s="275">
        <f t="shared" si="10"/>
        <v>0</v>
      </c>
      <c r="AE22" s="550"/>
      <c r="AF22" s="551"/>
      <c r="AG22" s="275">
        <f t="shared" si="11"/>
        <v>0</v>
      </c>
      <c r="AH22" s="550"/>
      <c r="AI22" s="551"/>
      <c r="AJ22" s="275">
        <f t="shared" si="12"/>
        <v>0</v>
      </c>
      <c r="AK22" s="550"/>
      <c r="AL22" s="551"/>
      <c r="AM22" s="275">
        <f t="shared" si="13"/>
        <v>0</v>
      </c>
      <c r="AN22" s="550"/>
      <c r="AO22" s="551"/>
      <c r="AP22" s="275">
        <f t="shared" si="14"/>
        <v>0</v>
      </c>
      <c r="AQ22" s="550"/>
      <c r="AR22" s="551"/>
      <c r="AS22" s="275">
        <f t="shared" si="15"/>
        <v>0</v>
      </c>
      <c r="AT22" s="550"/>
      <c r="AU22" s="551"/>
      <c r="AV22" s="275">
        <f t="shared" si="16"/>
        <v>0</v>
      </c>
      <c r="AW22" s="550"/>
      <c r="AX22" s="551"/>
      <c r="AY22" s="275">
        <f t="shared" si="17"/>
        <v>0</v>
      </c>
      <c r="AZ22" s="550"/>
      <c r="BA22" s="551"/>
      <c r="BB22" s="275">
        <f t="shared" si="18"/>
        <v>0</v>
      </c>
      <c r="BC22" s="550"/>
      <c r="BD22" s="551"/>
      <c r="BE22" s="275">
        <f t="shared" si="19"/>
        <v>0</v>
      </c>
      <c r="BF22" s="550"/>
      <c r="BG22" s="551"/>
      <c r="BH22" s="275">
        <f t="shared" si="20"/>
        <v>0</v>
      </c>
      <c r="BI22" s="550"/>
      <c r="BJ22" s="551"/>
      <c r="BK22" s="275">
        <f t="shared" si="21"/>
        <v>0</v>
      </c>
      <c r="BL22" s="550"/>
      <c r="BM22" s="551"/>
      <c r="BN22" s="275">
        <f t="shared" si="22"/>
        <v>0</v>
      </c>
      <c r="BO22" s="550"/>
      <c r="BP22" s="551"/>
      <c r="BQ22" s="275">
        <f t="shared" si="23"/>
        <v>0</v>
      </c>
      <c r="BR22" s="258"/>
    </row>
    <row r="23" spans="1:70" ht="16" x14ac:dyDescent="0.2">
      <c r="A23" s="1332"/>
      <c r="B23" s="1335"/>
      <c r="C23" s="24" t="s">
        <v>33</v>
      </c>
      <c r="D23" s="272"/>
      <c r="E23" s="273"/>
      <c r="F23" s="274"/>
      <c r="G23" s="550"/>
      <c r="H23" s="551"/>
      <c r="I23" s="275">
        <f t="shared" si="3"/>
        <v>0</v>
      </c>
      <c r="J23" s="550"/>
      <c r="K23" s="551"/>
      <c r="L23" s="275">
        <f t="shared" si="4"/>
        <v>0</v>
      </c>
      <c r="M23" s="550"/>
      <c r="N23" s="551"/>
      <c r="O23" s="275">
        <f t="shared" si="5"/>
        <v>0</v>
      </c>
      <c r="P23" s="550"/>
      <c r="Q23" s="551"/>
      <c r="R23" s="275">
        <f t="shared" si="6"/>
        <v>0</v>
      </c>
      <c r="S23" s="550"/>
      <c r="T23" s="551"/>
      <c r="U23" s="275">
        <f t="shared" si="7"/>
        <v>0</v>
      </c>
      <c r="V23" s="550"/>
      <c r="W23" s="551"/>
      <c r="X23" s="275">
        <f t="shared" si="8"/>
        <v>0</v>
      </c>
      <c r="Y23" s="550"/>
      <c r="Z23" s="551"/>
      <c r="AA23" s="275">
        <f t="shared" si="9"/>
        <v>0</v>
      </c>
      <c r="AB23" s="550"/>
      <c r="AC23" s="551"/>
      <c r="AD23" s="275">
        <f t="shared" si="10"/>
        <v>0</v>
      </c>
      <c r="AE23" s="550"/>
      <c r="AF23" s="551"/>
      <c r="AG23" s="275">
        <f t="shared" si="11"/>
        <v>0</v>
      </c>
      <c r="AH23" s="550"/>
      <c r="AI23" s="551"/>
      <c r="AJ23" s="275">
        <f t="shared" si="12"/>
        <v>0</v>
      </c>
      <c r="AK23" s="550"/>
      <c r="AL23" s="551"/>
      <c r="AM23" s="275">
        <f t="shared" si="13"/>
        <v>0</v>
      </c>
      <c r="AN23" s="550"/>
      <c r="AO23" s="551"/>
      <c r="AP23" s="275">
        <f t="shared" si="14"/>
        <v>0</v>
      </c>
      <c r="AQ23" s="550"/>
      <c r="AR23" s="551"/>
      <c r="AS23" s="275">
        <f t="shared" si="15"/>
        <v>0</v>
      </c>
      <c r="AT23" s="550"/>
      <c r="AU23" s="551"/>
      <c r="AV23" s="275">
        <f t="shared" si="16"/>
        <v>0</v>
      </c>
      <c r="AW23" s="550"/>
      <c r="AX23" s="551"/>
      <c r="AY23" s="275">
        <f t="shared" si="17"/>
        <v>0</v>
      </c>
      <c r="AZ23" s="550"/>
      <c r="BA23" s="551"/>
      <c r="BB23" s="275">
        <f t="shared" si="18"/>
        <v>0</v>
      </c>
      <c r="BC23" s="550"/>
      <c r="BD23" s="551"/>
      <c r="BE23" s="275">
        <f t="shared" si="19"/>
        <v>0</v>
      </c>
      <c r="BF23" s="550"/>
      <c r="BG23" s="551"/>
      <c r="BH23" s="275">
        <f t="shared" si="20"/>
        <v>0</v>
      </c>
      <c r="BI23" s="550"/>
      <c r="BJ23" s="551"/>
      <c r="BK23" s="275">
        <f t="shared" si="21"/>
        <v>0</v>
      </c>
      <c r="BL23" s="550"/>
      <c r="BM23" s="551"/>
      <c r="BN23" s="275">
        <f t="shared" si="22"/>
        <v>0</v>
      </c>
      <c r="BO23" s="550"/>
      <c r="BP23" s="551"/>
      <c r="BQ23" s="275">
        <f t="shared" si="23"/>
        <v>0</v>
      </c>
      <c r="BR23" s="258"/>
    </row>
    <row r="24" spans="1:70" ht="17" thickBot="1" x14ac:dyDescent="0.25">
      <c r="A24" s="1333"/>
      <c r="B24" s="1336"/>
      <c r="C24" s="263" t="s">
        <v>34</v>
      </c>
      <c r="D24" s="276"/>
      <c r="E24" s="277"/>
      <c r="F24" s="278"/>
      <c r="G24" s="552"/>
      <c r="H24" s="553"/>
      <c r="I24" s="279">
        <f t="shared" si="3"/>
        <v>0</v>
      </c>
      <c r="J24" s="552"/>
      <c r="K24" s="553"/>
      <c r="L24" s="279">
        <f t="shared" si="4"/>
        <v>0</v>
      </c>
      <c r="M24" s="552"/>
      <c r="N24" s="553"/>
      <c r="O24" s="279">
        <f t="shared" si="5"/>
        <v>0</v>
      </c>
      <c r="P24" s="552"/>
      <c r="Q24" s="553"/>
      <c r="R24" s="279">
        <f t="shared" si="6"/>
        <v>0</v>
      </c>
      <c r="S24" s="552"/>
      <c r="T24" s="553"/>
      <c r="U24" s="279">
        <f t="shared" si="7"/>
        <v>0</v>
      </c>
      <c r="V24" s="552"/>
      <c r="W24" s="553"/>
      <c r="X24" s="279">
        <f t="shared" si="8"/>
        <v>0</v>
      </c>
      <c r="Y24" s="552"/>
      <c r="Z24" s="553"/>
      <c r="AA24" s="279">
        <f t="shared" si="9"/>
        <v>0</v>
      </c>
      <c r="AB24" s="552"/>
      <c r="AC24" s="553"/>
      <c r="AD24" s="279">
        <f t="shared" si="10"/>
        <v>0</v>
      </c>
      <c r="AE24" s="552"/>
      <c r="AF24" s="553"/>
      <c r="AG24" s="279">
        <f t="shared" si="11"/>
        <v>0</v>
      </c>
      <c r="AH24" s="552"/>
      <c r="AI24" s="553"/>
      <c r="AJ24" s="279">
        <f t="shared" si="12"/>
        <v>0</v>
      </c>
      <c r="AK24" s="552"/>
      <c r="AL24" s="553"/>
      <c r="AM24" s="279">
        <f t="shared" si="13"/>
        <v>0</v>
      </c>
      <c r="AN24" s="552"/>
      <c r="AO24" s="553"/>
      <c r="AP24" s="279">
        <f t="shared" si="14"/>
        <v>0</v>
      </c>
      <c r="AQ24" s="552"/>
      <c r="AR24" s="553"/>
      <c r="AS24" s="279">
        <f t="shared" si="15"/>
        <v>0</v>
      </c>
      <c r="AT24" s="552"/>
      <c r="AU24" s="553"/>
      <c r="AV24" s="279">
        <f t="shared" si="16"/>
        <v>0</v>
      </c>
      <c r="AW24" s="552"/>
      <c r="AX24" s="553"/>
      <c r="AY24" s="279">
        <f t="shared" si="17"/>
        <v>0</v>
      </c>
      <c r="AZ24" s="552"/>
      <c r="BA24" s="553"/>
      <c r="BB24" s="279">
        <f t="shared" si="18"/>
        <v>0</v>
      </c>
      <c r="BC24" s="552"/>
      <c r="BD24" s="553"/>
      <c r="BE24" s="279">
        <f t="shared" si="19"/>
        <v>0</v>
      </c>
      <c r="BF24" s="552"/>
      <c r="BG24" s="553"/>
      <c r="BH24" s="279">
        <f t="shared" si="20"/>
        <v>0</v>
      </c>
      <c r="BI24" s="552"/>
      <c r="BJ24" s="553"/>
      <c r="BK24" s="279">
        <f t="shared" si="21"/>
        <v>0</v>
      </c>
      <c r="BL24" s="552"/>
      <c r="BM24" s="553"/>
      <c r="BN24" s="279">
        <f t="shared" si="22"/>
        <v>0</v>
      </c>
      <c r="BO24" s="552"/>
      <c r="BP24" s="553"/>
      <c r="BQ24" s="279">
        <f t="shared" si="23"/>
        <v>0</v>
      </c>
      <c r="BR24" s="258"/>
    </row>
    <row r="25" spans="1:70" s="281" customFormat="1" ht="14.25" customHeight="1" x14ac:dyDescent="0.2">
      <c r="A25" s="1331" t="s">
        <v>42</v>
      </c>
      <c r="B25" s="1334" t="s">
        <v>13</v>
      </c>
      <c r="C25" s="251" t="s">
        <v>25</v>
      </c>
      <c r="D25" s="268"/>
      <c r="E25" s="269"/>
      <c r="F25" s="270"/>
      <c r="G25" s="548"/>
      <c r="H25" s="549"/>
      <c r="I25" s="271">
        <f>H25-G25</f>
        <v>0</v>
      </c>
      <c r="J25" s="548"/>
      <c r="K25" s="549"/>
      <c r="L25" s="271">
        <f>K25-J25</f>
        <v>0</v>
      </c>
      <c r="M25" s="548"/>
      <c r="N25" s="549"/>
      <c r="O25" s="271">
        <f>N25-M25</f>
        <v>0</v>
      </c>
      <c r="P25" s="548"/>
      <c r="Q25" s="549"/>
      <c r="R25" s="271">
        <f>Q25-P25</f>
        <v>0</v>
      </c>
      <c r="S25" s="548"/>
      <c r="T25" s="549"/>
      <c r="U25" s="271">
        <f>T25-S25</f>
        <v>0</v>
      </c>
      <c r="V25" s="548"/>
      <c r="W25" s="549"/>
      <c r="X25" s="271">
        <f>W25-V25</f>
        <v>0</v>
      </c>
      <c r="Y25" s="548"/>
      <c r="Z25" s="549"/>
      <c r="AA25" s="271">
        <f>Z25-Y25</f>
        <v>0</v>
      </c>
      <c r="AB25" s="548"/>
      <c r="AC25" s="549"/>
      <c r="AD25" s="271">
        <f>AC25-AB25</f>
        <v>0</v>
      </c>
      <c r="AE25" s="548"/>
      <c r="AF25" s="549"/>
      <c r="AG25" s="271">
        <f>AF25-AE25</f>
        <v>0</v>
      </c>
      <c r="AH25" s="548"/>
      <c r="AI25" s="549"/>
      <c r="AJ25" s="271">
        <f>AI25-AH25</f>
        <v>0</v>
      </c>
      <c r="AK25" s="548"/>
      <c r="AL25" s="549"/>
      <c r="AM25" s="271">
        <f>AL25-AK25</f>
        <v>0</v>
      </c>
      <c r="AN25" s="548"/>
      <c r="AO25" s="549"/>
      <c r="AP25" s="271">
        <f>AO25-AN25</f>
        <v>0</v>
      </c>
      <c r="AQ25" s="548"/>
      <c r="AR25" s="549"/>
      <c r="AS25" s="271">
        <f>AR25-AQ25</f>
        <v>0</v>
      </c>
      <c r="AT25" s="548"/>
      <c r="AU25" s="549"/>
      <c r="AV25" s="271">
        <f>AU25-AT25</f>
        <v>0</v>
      </c>
      <c r="AW25" s="548"/>
      <c r="AX25" s="549"/>
      <c r="AY25" s="271">
        <f>AX25-AW25</f>
        <v>0</v>
      </c>
      <c r="AZ25" s="548"/>
      <c r="BA25" s="549"/>
      <c r="BB25" s="271">
        <f>BA25-AZ25</f>
        <v>0</v>
      </c>
      <c r="BC25" s="548"/>
      <c r="BD25" s="549"/>
      <c r="BE25" s="271">
        <f>BD25-BC25</f>
        <v>0</v>
      </c>
      <c r="BF25" s="548"/>
      <c r="BG25" s="549"/>
      <c r="BH25" s="271">
        <f>BG25-BF25</f>
        <v>0</v>
      </c>
      <c r="BI25" s="548"/>
      <c r="BJ25" s="549"/>
      <c r="BK25" s="271">
        <f>BJ25-BI25</f>
        <v>0</v>
      </c>
      <c r="BL25" s="548"/>
      <c r="BM25" s="549"/>
      <c r="BN25" s="271">
        <f>BM25-BL25</f>
        <v>0</v>
      </c>
      <c r="BO25" s="548"/>
      <c r="BP25" s="549"/>
      <c r="BQ25" s="271">
        <f>BP25-BO25</f>
        <v>0</v>
      </c>
      <c r="BR25" s="280"/>
    </row>
    <row r="26" spans="1:70" ht="16" x14ac:dyDescent="0.2">
      <c r="A26" s="1332"/>
      <c r="B26" s="1335"/>
      <c r="C26" s="24" t="s">
        <v>26</v>
      </c>
      <c r="D26" s="272"/>
      <c r="E26" s="273"/>
      <c r="F26" s="274"/>
      <c r="G26" s="550"/>
      <c r="H26" s="551"/>
      <c r="I26" s="275">
        <f t="shared" ref="I26:I43" si="24">H26-G26</f>
        <v>0</v>
      </c>
      <c r="J26" s="550"/>
      <c r="K26" s="551"/>
      <c r="L26" s="275">
        <f t="shared" ref="L26:L43" si="25">K26-J26</f>
        <v>0</v>
      </c>
      <c r="M26" s="550"/>
      <c r="N26" s="551"/>
      <c r="O26" s="275">
        <f t="shared" ref="O26:O43" si="26">N26-M26</f>
        <v>0</v>
      </c>
      <c r="P26" s="550"/>
      <c r="Q26" s="551"/>
      <c r="R26" s="275">
        <f t="shared" ref="R26:R43" si="27">Q26-P26</f>
        <v>0</v>
      </c>
      <c r="S26" s="550"/>
      <c r="T26" s="551"/>
      <c r="U26" s="275">
        <f t="shared" ref="U26:U43" si="28">T26-S26</f>
        <v>0</v>
      </c>
      <c r="V26" s="550"/>
      <c r="W26" s="551"/>
      <c r="X26" s="275">
        <f t="shared" ref="X26:X43" si="29">W26-V26</f>
        <v>0</v>
      </c>
      <c r="Y26" s="550"/>
      <c r="Z26" s="551"/>
      <c r="AA26" s="275">
        <f t="shared" ref="AA26:AA43" si="30">Z26-Y26</f>
        <v>0</v>
      </c>
      <c r="AB26" s="550"/>
      <c r="AC26" s="551"/>
      <c r="AD26" s="275">
        <f t="shared" ref="AD26:AD43" si="31">AC26-AB26</f>
        <v>0</v>
      </c>
      <c r="AE26" s="550"/>
      <c r="AF26" s="551"/>
      <c r="AG26" s="275">
        <f t="shared" ref="AG26:AG43" si="32">AF26-AE26</f>
        <v>0</v>
      </c>
      <c r="AH26" s="550"/>
      <c r="AI26" s="551"/>
      <c r="AJ26" s="275">
        <f t="shared" ref="AJ26:AJ43" si="33">AI26-AH26</f>
        <v>0</v>
      </c>
      <c r="AK26" s="550"/>
      <c r="AL26" s="551"/>
      <c r="AM26" s="275">
        <f t="shared" ref="AM26:AM43" si="34">AL26-AK26</f>
        <v>0</v>
      </c>
      <c r="AN26" s="550"/>
      <c r="AO26" s="551"/>
      <c r="AP26" s="275">
        <f t="shared" ref="AP26:AP43" si="35">AO26-AN26</f>
        <v>0</v>
      </c>
      <c r="AQ26" s="550"/>
      <c r="AR26" s="551"/>
      <c r="AS26" s="275">
        <f t="shared" ref="AS26:AS43" si="36">AR26-AQ26</f>
        <v>0</v>
      </c>
      <c r="AT26" s="550"/>
      <c r="AU26" s="551"/>
      <c r="AV26" s="275">
        <f t="shared" ref="AV26:AV43" si="37">AU26-AT26</f>
        <v>0</v>
      </c>
      <c r="AW26" s="550"/>
      <c r="AX26" s="551"/>
      <c r="AY26" s="275">
        <f t="shared" ref="AY26:AY43" si="38">AX26-AW26</f>
        <v>0</v>
      </c>
      <c r="AZ26" s="550"/>
      <c r="BA26" s="551"/>
      <c r="BB26" s="275">
        <f t="shared" ref="BB26:BB43" si="39">BA26-AZ26</f>
        <v>0</v>
      </c>
      <c r="BC26" s="550"/>
      <c r="BD26" s="551"/>
      <c r="BE26" s="275">
        <f t="shared" ref="BE26:BE43" si="40">BD26-BC26</f>
        <v>0</v>
      </c>
      <c r="BF26" s="550"/>
      <c r="BG26" s="551"/>
      <c r="BH26" s="275">
        <f t="shared" ref="BH26:BH43" si="41">BG26-BF26</f>
        <v>0</v>
      </c>
      <c r="BI26" s="550"/>
      <c r="BJ26" s="551"/>
      <c r="BK26" s="275">
        <f t="shared" ref="BK26:BK43" si="42">BJ26-BI26</f>
        <v>0</v>
      </c>
      <c r="BL26" s="550"/>
      <c r="BM26" s="551"/>
      <c r="BN26" s="275">
        <f t="shared" ref="BN26:BN43" si="43">BM26-BL26</f>
        <v>0</v>
      </c>
      <c r="BO26" s="550"/>
      <c r="BP26" s="551"/>
      <c r="BQ26" s="275">
        <f t="shared" ref="BQ26:BQ53" si="44">BP26-BO26</f>
        <v>0</v>
      </c>
    </row>
    <row r="27" spans="1:70" ht="16" x14ac:dyDescent="0.2">
      <c r="A27" s="1332"/>
      <c r="B27" s="1335"/>
      <c r="C27" s="24" t="s">
        <v>27</v>
      </c>
      <c r="D27" s="272"/>
      <c r="E27" s="273"/>
      <c r="F27" s="274"/>
      <c r="G27" s="550"/>
      <c r="H27" s="551"/>
      <c r="I27" s="275">
        <f t="shared" si="24"/>
        <v>0</v>
      </c>
      <c r="J27" s="550"/>
      <c r="K27" s="551"/>
      <c r="L27" s="275">
        <f t="shared" si="25"/>
        <v>0</v>
      </c>
      <c r="M27" s="550"/>
      <c r="N27" s="551"/>
      <c r="O27" s="275">
        <f t="shared" si="26"/>
        <v>0</v>
      </c>
      <c r="P27" s="550"/>
      <c r="Q27" s="551"/>
      <c r="R27" s="275">
        <f t="shared" si="27"/>
        <v>0</v>
      </c>
      <c r="S27" s="550"/>
      <c r="T27" s="551"/>
      <c r="U27" s="275">
        <f t="shared" si="28"/>
        <v>0</v>
      </c>
      <c r="V27" s="550"/>
      <c r="W27" s="551"/>
      <c r="X27" s="275">
        <f t="shared" si="29"/>
        <v>0</v>
      </c>
      <c r="Y27" s="550"/>
      <c r="Z27" s="551"/>
      <c r="AA27" s="275">
        <f t="shared" si="30"/>
        <v>0</v>
      </c>
      <c r="AB27" s="550"/>
      <c r="AC27" s="551"/>
      <c r="AD27" s="275">
        <f t="shared" si="31"/>
        <v>0</v>
      </c>
      <c r="AE27" s="550"/>
      <c r="AF27" s="551"/>
      <c r="AG27" s="275">
        <f t="shared" si="32"/>
        <v>0</v>
      </c>
      <c r="AH27" s="550"/>
      <c r="AI27" s="551"/>
      <c r="AJ27" s="275">
        <f t="shared" si="33"/>
        <v>0</v>
      </c>
      <c r="AK27" s="550"/>
      <c r="AL27" s="551"/>
      <c r="AM27" s="275">
        <f t="shared" si="34"/>
        <v>0</v>
      </c>
      <c r="AN27" s="550"/>
      <c r="AO27" s="551"/>
      <c r="AP27" s="275">
        <f t="shared" si="35"/>
        <v>0</v>
      </c>
      <c r="AQ27" s="550"/>
      <c r="AR27" s="551"/>
      <c r="AS27" s="275">
        <f t="shared" si="36"/>
        <v>0</v>
      </c>
      <c r="AT27" s="550"/>
      <c r="AU27" s="551"/>
      <c r="AV27" s="275">
        <f t="shared" si="37"/>
        <v>0</v>
      </c>
      <c r="AW27" s="550"/>
      <c r="AX27" s="551"/>
      <c r="AY27" s="275">
        <f t="shared" si="38"/>
        <v>0</v>
      </c>
      <c r="AZ27" s="550"/>
      <c r="BA27" s="551"/>
      <c r="BB27" s="275">
        <f t="shared" si="39"/>
        <v>0</v>
      </c>
      <c r="BC27" s="550"/>
      <c r="BD27" s="551"/>
      <c r="BE27" s="275">
        <f t="shared" si="40"/>
        <v>0</v>
      </c>
      <c r="BF27" s="550"/>
      <c r="BG27" s="551"/>
      <c r="BH27" s="275">
        <f t="shared" si="41"/>
        <v>0</v>
      </c>
      <c r="BI27" s="550"/>
      <c r="BJ27" s="551"/>
      <c r="BK27" s="275">
        <f t="shared" si="42"/>
        <v>0</v>
      </c>
      <c r="BL27" s="550"/>
      <c r="BM27" s="551"/>
      <c r="BN27" s="275">
        <f t="shared" si="43"/>
        <v>0</v>
      </c>
      <c r="BO27" s="550"/>
      <c r="BP27" s="551"/>
      <c r="BQ27" s="275">
        <f t="shared" si="44"/>
        <v>0</v>
      </c>
    </row>
    <row r="28" spans="1:70" ht="16" x14ac:dyDescent="0.2">
      <c r="A28" s="1332"/>
      <c r="B28" s="1335"/>
      <c r="C28" s="24" t="s">
        <v>28</v>
      </c>
      <c r="D28" s="272"/>
      <c r="E28" s="273"/>
      <c r="F28" s="274"/>
      <c r="G28" s="550"/>
      <c r="H28" s="551"/>
      <c r="I28" s="275">
        <f t="shared" si="24"/>
        <v>0</v>
      </c>
      <c r="J28" s="550"/>
      <c r="K28" s="551"/>
      <c r="L28" s="275">
        <f t="shared" si="25"/>
        <v>0</v>
      </c>
      <c r="M28" s="550"/>
      <c r="N28" s="551"/>
      <c r="O28" s="275">
        <f t="shared" si="26"/>
        <v>0</v>
      </c>
      <c r="P28" s="550"/>
      <c r="Q28" s="551"/>
      <c r="R28" s="275">
        <f t="shared" si="27"/>
        <v>0</v>
      </c>
      <c r="S28" s="550"/>
      <c r="T28" s="551"/>
      <c r="U28" s="275">
        <f t="shared" si="28"/>
        <v>0</v>
      </c>
      <c r="V28" s="550"/>
      <c r="W28" s="551"/>
      <c r="X28" s="275">
        <f t="shared" si="29"/>
        <v>0</v>
      </c>
      <c r="Y28" s="550"/>
      <c r="Z28" s="551"/>
      <c r="AA28" s="275">
        <f t="shared" si="30"/>
        <v>0</v>
      </c>
      <c r="AB28" s="550"/>
      <c r="AC28" s="551"/>
      <c r="AD28" s="275">
        <f t="shared" si="31"/>
        <v>0</v>
      </c>
      <c r="AE28" s="550"/>
      <c r="AF28" s="551"/>
      <c r="AG28" s="275">
        <f t="shared" si="32"/>
        <v>0</v>
      </c>
      <c r="AH28" s="550"/>
      <c r="AI28" s="551"/>
      <c r="AJ28" s="275">
        <f t="shared" si="33"/>
        <v>0</v>
      </c>
      <c r="AK28" s="550"/>
      <c r="AL28" s="551"/>
      <c r="AM28" s="275">
        <f t="shared" si="34"/>
        <v>0</v>
      </c>
      <c r="AN28" s="550"/>
      <c r="AO28" s="551"/>
      <c r="AP28" s="275">
        <f t="shared" si="35"/>
        <v>0</v>
      </c>
      <c r="AQ28" s="550"/>
      <c r="AR28" s="551"/>
      <c r="AS28" s="275">
        <f t="shared" si="36"/>
        <v>0</v>
      </c>
      <c r="AT28" s="550"/>
      <c r="AU28" s="551"/>
      <c r="AV28" s="275">
        <f t="shared" si="37"/>
        <v>0</v>
      </c>
      <c r="AW28" s="550"/>
      <c r="AX28" s="551"/>
      <c r="AY28" s="275">
        <f t="shared" si="38"/>
        <v>0</v>
      </c>
      <c r="AZ28" s="550"/>
      <c r="BA28" s="551"/>
      <c r="BB28" s="275">
        <f t="shared" si="39"/>
        <v>0</v>
      </c>
      <c r="BC28" s="550"/>
      <c r="BD28" s="551"/>
      <c r="BE28" s="275">
        <f t="shared" si="40"/>
        <v>0</v>
      </c>
      <c r="BF28" s="550"/>
      <c r="BG28" s="551"/>
      <c r="BH28" s="275">
        <f t="shared" si="41"/>
        <v>0</v>
      </c>
      <c r="BI28" s="550"/>
      <c r="BJ28" s="551"/>
      <c r="BK28" s="275">
        <f t="shared" si="42"/>
        <v>0</v>
      </c>
      <c r="BL28" s="550"/>
      <c r="BM28" s="551"/>
      <c r="BN28" s="275">
        <f t="shared" si="43"/>
        <v>0</v>
      </c>
      <c r="BO28" s="550"/>
      <c r="BP28" s="551"/>
      <c r="BQ28" s="275">
        <f t="shared" si="44"/>
        <v>0</v>
      </c>
    </row>
    <row r="29" spans="1:70" ht="16" x14ac:dyDescent="0.2">
      <c r="A29" s="1332"/>
      <c r="B29" s="1335"/>
      <c r="C29" s="24" t="s">
        <v>29</v>
      </c>
      <c r="D29" s="272"/>
      <c r="E29" s="273"/>
      <c r="F29" s="274"/>
      <c r="G29" s="550"/>
      <c r="H29" s="551"/>
      <c r="I29" s="275">
        <f t="shared" si="24"/>
        <v>0</v>
      </c>
      <c r="J29" s="550"/>
      <c r="K29" s="551"/>
      <c r="L29" s="275">
        <f t="shared" si="25"/>
        <v>0</v>
      </c>
      <c r="M29" s="550"/>
      <c r="N29" s="551"/>
      <c r="O29" s="275">
        <f t="shared" si="26"/>
        <v>0</v>
      </c>
      <c r="P29" s="550"/>
      <c r="Q29" s="551"/>
      <c r="R29" s="275">
        <f t="shared" si="27"/>
        <v>0</v>
      </c>
      <c r="S29" s="550"/>
      <c r="T29" s="551"/>
      <c r="U29" s="275">
        <f t="shared" si="28"/>
        <v>0</v>
      </c>
      <c r="V29" s="550"/>
      <c r="W29" s="551"/>
      <c r="X29" s="275">
        <f t="shared" si="29"/>
        <v>0</v>
      </c>
      <c r="Y29" s="550"/>
      <c r="Z29" s="551"/>
      <c r="AA29" s="275">
        <f t="shared" si="30"/>
        <v>0</v>
      </c>
      <c r="AB29" s="550"/>
      <c r="AC29" s="551"/>
      <c r="AD29" s="275">
        <f t="shared" si="31"/>
        <v>0</v>
      </c>
      <c r="AE29" s="550"/>
      <c r="AF29" s="551"/>
      <c r="AG29" s="275">
        <f t="shared" si="32"/>
        <v>0</v>
      </c>
      <c r="AH29" s="550"/>
      <c r="AI29" s="551"/>
      <c r="AJ29" s="275">
        <f t="shared" si="33"/>
        <v>0</v>
      </c>
      <c r="AK29" s="550"/>
      <c r="AL29" s="551"/>
      <c r="AM29" s="275">
        <f t="shared" si="34"/>
        <v>0</v>
      </c>
      <c r="AN29" s="550"/>
      <c r="AO29" s="551"/>
      <c r="AP29" s="275">
        <f t="shared" si="35"/>
        <v>0</v>
      </c>
      <c r="AQ29" s="550"/>
      <c r="AR29" s="551"/>
      <c r="AS29" s="275">
        <f t="shared" si="36"/>
        <v>0</v>
      </c>
      <c r="AT29" s="550"/>
      <c r="AU29" s="551"/>
      <c r="AV29" s="275">
        <f t="shared" si="37"/>
        <v>0</v>
      </c>
      <c r="AW29" s="550"/>
      <c r="AX29" s="551"/>
      <c r="AY29" s="275">
        <f t="shared" si="38"/>
        <v>0</v>
      </c>
      <c r="AZ29" s="550"/>
      <c r="BA29" s="551"/>
      <c r="BB29" s="275">
        <f t="shared" si="39"/>
        <v>0</v>
      </c>
      <c r="BC29" s="550"/>
      <c r="BD29" s="551"/>
      <c r="BE29" s="275">
        <f t="shared" si="40"/>
        <v>0</v>
      </c>
      <c r="BF29" s="550"/>
      <c r="BG29" s="551"/>
      <c r="BH29" s="275">
        <f t="shared" si="41"/>
        <v>0</v>
      </c>
      <c r="BI29" s="550"/>
      <c r="BJ29" s="551"/>
      <c r="BK29" s="275">
        <f t="shared" si="42"/>
        <v>0</v>
      </c>
      <c r="BL29" s="550"/>
      <c r="BM29" s="551"/>
      <c r="BN29" s="275">
        <f t="shared" si="43"/>
        <v>0</v>
      </c>
      <c r="BO29" s="550"/>
      <c r="BP29" s="551"/>
      <c r="BQ29" s="275">
        <f t="shared" si="44"/>
        <v>0</v>
      </c>
    </row>
    <row r="30" spans="1:70" ht="16" x14ac:dyDescent="0.2">
      <c r="A30" s="1332"/>
      <c r="B30" s="1335"/>
      <c r="C30" s="24" t="s">
        <v>30</v>
      </c>
      <c r="D30" s="272"/>
      <c r="E30" s="273"/>
      <c r="F30" s="274"/>
      <c r="G30" s="550"/>
      <c r="H30" s="551"/>
      <c r="I30" s="275">
        <f t="shared" si="24"/>
        <v>0</v>
      </c>
      <c r="J30" s="550"/>
      <c r="K30" s="551"/>
      <c r="L30" s="275">
        <f t="shared" si="25"/>
        <v>0</v>
      </c>
      <c r="M30" s="550"/>
      <c r="N30" s="551"/>
      <c r="O30" s="275">
        <f t="shared" si="26"/>
        <v>0</v>
      </c>
      <c r="P30" s="550"/>
      <c r="Q30" s="551"/>
      <c r="R30" s="275">
        <f t="shared" si="27"/>
        <v>0</v>
      </c>
      <c r="S30" s="550"/>
      <c r="T30" s="551"/>
      <c r="U30" s="275">
        <f t="shared" si="28"/>
        <v>0</v>
      </c>
      <c r="V30" s="550"/>
      <c r="W30" s="551"/>
      <c r="X30" s="275">
        <f t="shared" si="29"/>
        <v>0</v>
      </c>
      <c r="Y30" s="550"/>
      <c r="Z30" s="551"/>
      <c r="AA30" s="275">
        <f t="shared" si="30"/>
        <v>0</v>
      </c>
      <c r="AB30" s="550"/>
      <c r="AC30" s="551"/>
      <c r="AD30" s="275">
        <f t="shared" si="31"/>
        <v>0</v>
      </c>
      <c r="AE30" s="550"/>
      <c r="AF30" s="551"/>
      <c r="AG30" s="275">
        <f t="shared" si="32"/>
        <v>0</v>
      </c>
      <c r="AH30" s="550"/>
      <c r="AI30" s="551"/>
      <c r="AJ30" s="275">
        <f t="shared" si="33"/>
        <v>0</v>
      </c>
      <c r="AK30" s="550"/>
      <c r="AL30" s="551"/>
      <c r="AM30" s="275">
        <f t="shared" si="34"/>
        <v>0</v>
      </c>
      <c r="AN30" s="550"/>
      <c r="AO30" s="551"/>
      <c r="AP30" s="275">
        <f t="shared" si="35"/>
        <v>0</v>
      </c>
      <c r="AQ30" s="550"/>
      <c r="AR30" s="551"/>
      <c r="AS30" s="275">
        <f t="shared" si="36"/>
        <v>0</v>
      </c>
      <c r="AT30" s="550"/>
      <c r="AU30" s="551"/>
      <c r="AV30" s="275">
        <f t="shared" si="37"/>
        <v>0</v>
      </c>
      <c r="AW30" s="550"/>
      <c r="AX30" s="551"/>
      <c r="AY30" s="275">
        <f t="shared" si="38"/>
        <v>0</v>
      </c>
      <c r="AZ30" s="550"/>
      <c r="BA30" s="551"/>
      <c r="BB30" s="275">
        <f t="shared" si="39"/>
        <v>0</v>
      </c>
      <c r="BC30" s="550"/>
      <c r="BD30" s="551"/>
      <c r="BE30" s="275">
        <f t="shared" si="40"/>
        <v>0</v>
      </c>
      <c r="BF30" s="550"/>
      <c r="BG30" s="551"/>
      <c r="BH30" s="275">
        <f t="shared" si="41"/>
        <v>0</v>
      </c>
      <c r="BI30" s="550"/>
      <c r="BJ30" s="551"/>
      <c r="BK30" s="275">
        <f t="shared" si="42"/>
        <v>0</v>
      </c>
      <c r="BL30" s="550"/>
      <c r="BM30" s="551"/>
      <c r="BN30" s="275">
        <f t="shared" si="43"/>
        <v>0</v>
      </c>
      <c r="BO30" s="550"/>
      <c r="BP30" s="551"/>
      <c r="BQ30" s="275">
        <f t="shared" si="44"/>
        <v>0</v>
      </c>
    </row>
    <row r="31" spans="1:70" ht="16" x14ac:dyDescent="0.2">
      <c r="A31" s="1332"/>
      <c r="B31" s="1335"/>
      <c r="C31" s="24" t="s">
        <v>31</v>
      </c>
      <c r="D31" s="272"/>
      <c r="E31" s="273"/>
      <c r="F31" s="274"/>
      <c r="G31" s="550"/>
      <c r="H31" s="551"/>
      <c r="I31" s="275">
        <f t="shared" si="24"/>
        <v>0</v>
      </c>
      <c r="J31" s="550"/>
      <c r="K31" s="551"/>
      <c r="L31" s="275">
        <f t="shared" si="25"/>
        <v>0</v>
      </c>
      <c r="M31" s="550"/>
      <c r="N31" s="551"/>
      <c r="O31" s="275">
        <f t="shared" si="26"/>
        <v>0</v>
      </c>
      <c r="P31" s="550"/>
      <c r="Q31" s="551"/>
      <c r="R31" s="275">
        <f t="shared" si="27"/>
        <v>0</v>
      </c>
      <c r="S31" s="550"/>
      <c r="T31" s="551"/>
      <c r="U31" s="275">
        <f t="shared" si="28"/>
        <v>0</v>
      </c>
      <c r="V31" s="550"/>
      <c r="W31" s="551"/>
      <c r="X31" s="275">
        <f t="shared" si="29"/>
        <v>0</v>
      </c>
      <c r="Y31" s="550"/>
      <c r="Z31" s="551"/>
      <c r="AA31" s="275">
        <f t="shared" si="30"/>
        <v>0</v>
      </c>
      <c r="AB31" s="550"/>
      <c r="AC31" s="551"/>
      <c r="AD31" s="275">
        <f t="shared" si="31"/>
        <v>0</v>
      </c>
      <c r="AE31" s="550"/>
      <c r="AF31" s="551"/>
      <c r="AG31" s="275">
        <f t="shared" si="32"/>
        <v>0</v>
      </c>
      <c r="AH31" s="550"/>
      <c r="AI31" s="551"/>
      <c r="AJ31" s="275">
        <f t="shared" si="33"/>
        <v>0</v>
      </c>
      <c r="AK31" s="550"/>
      <c r="AL31" s="551"/>
      <c r="AM31" s="275">
        <f t="shared" si="34"/>
        <v>0</v>
      </c>
      <c r="AN31" s="550"/>
      <c r="AO31" s="551"/>
      <c r="AP31" s="275">
        <f t="shared" si="35"/>
        <v>0</v>
      </c>
      <c r="AQ31" s="550"/>
      <c r="AR31" s="551"/>
      <c r="AS31" s="275">
        <f t="shared" si="36"/>
        <v>0</v>
      </c>
      <c r="AT31" s="550"/>
      <c r="AU31" s="551"/>
      <c r="AV31" s="275">
        <f t="shared" si="37"/>
        <v>0</v>
      </c>
      <c r="AW31" s="550"/>
      <c r="AX31" s="551"/>
      <c r="AY31" s="275">
        <f t="shared" si="38"/>
        <v>0</v>
      </c>
      <c r="AZ31" s="550"/>
      <c r="BA31" s="551"/>
      <c r="BB31" s="275">
        <f t="shared" si="39"/>
        <v>0</v>
      </c>
      <c r="BC31" s="550"/>
      <c r="BD31" s="551"/>
      <c r="BE31" s="275">
        <f t="shared" si="40"/>
        <v>0</v>
      </c>
      <c r="BF31" s="550"/>
      <c r="BG31" s="551"/>
      <c r="BH31" s="275">
        <f t="shared" si="41"/>
        <v>0</v>
      </c>
      <c r="BI31" s="550"/>
      <c r="BJ31" s="551"/>
      <c r="BK31" s="275">
        <f t="shared" si="42"/>
        <v>0</v>
      </c>
      <c r="BL31" s="550"/>
      <c r="BM31" s="551"/>
      <c r="BN31" s="275">
        <f t="shared" si="43"/>
        <v>0</v>
      </c>
      <c r="BO31" s="550"/>
      <c r="BP31" s="551"/>
      <c r="BQ31" s="275">
        <f t="shared" si="44"/>
        <v>0</v>
      </c>
    </row>
    <row r="32" spans="1:70" ht="16" x14ac:dyDescent="0.2">
      <c r="A32" s="1332"/>
      <c r="B32" s="1335"/>
      <c r="C32" s="24" t="s">
        <v>32</v>
      </c>
      <c r="D32" s="272"/>
      <c r="E32" s="273"/>
      <c r="F32" s="274"/>
      <c r="G32" s="550"/>
      <c r="H32" s="551"/>
      <c r="I32" s="275">
        <f t="shared" si="24"/>
        <v>0</v>
      </c>
      <c r="J32" s="550"/>
      <c r="K32" s="551"/>
      <c r="L32" s="275">
        <f t="shared" si="25"/>
        <v>0</v>
      </c>
      <c r="M32" s="550"/>
      <c r="N32" s="551"/>
      <c r="O32" s="275">
        <f t="shared" si="26"/>
        <v>0</v>
      </c>
      <c r="P32" s="550"/>
      <c r="Q32" s="551"/>
      <c r="R32" s="275">
        <f t="shared" si="27"/>
        <v>0</v>
      </c>
      <c r="S32" s="550"/>
      <c r="T32" s="551"/>
      <c r="U32" s="275">
        <f t="shared" si="28"/>
        <v>0</v>
      </c>
      <c r="V32" s="550"/>
      <c r="W32" s="551"/>
      <c r="X32" s="275">
        <f t="shared" si="29"/>
        <v>0</v>
      </c>
      <c r="Y32" s="550"/>
      <c r="Z32" s="551"/>
      <c r="AA32" s="275">
        <f t="shared" si="30"/>
        <v>0</v>
      </c>
      <c r="AB32" s="550"/>
      <c r="AC32" s="551"/>
      <c r="AD32" s="275">
        <f t="shared" si="31"/>
        <v>0</v>
      </c>
      <c r="AE32" s="550"/>
      <c r="AF32" s="551"/>
      <c r="AG32" s="275">
        <f t="shared" si="32"/>
        <v>0</v>
      </c>
      <c r="AH32" s="550"/>
      <c r="AI32" s="551"/>
      <c r="AJ32" s="275">
        <f t="shared" si="33"/>
        <v>0</v>
      </c>
      <c r="AK32" s="550"/>
      <c r="AL32" s="551"/>
      <c r="AM32" s="275">
        <f t="shared" si="34"/>
        <v>0</v>
      </c>
      <c r="AN32" s="550"/>
      <c r="AO32" s="551"/>
      <c r="AP32" s="275">
        <f t="shared" si="35"/>
        <v>0</v>
      </c>
      <c r="AQ32" s="550"/>
      <c r="AR32" s="551"/>
      <c r="AS32" s="275">
        <f t="shared" si="36"/>
        <v>0</v>
      </c>
      <c r="AT32" s="550"/>
      <c r="AU32" s="551"/>
      <c r="AV32" s="275">
        <f t="shared" si="37"/>
        <v>0</v>
      </c>
      <c r="AW32" s="550"/>
      <c r="AX32" s="551"/>
      <c r="AY32" s="275">
        <f t="shared" si="38"/>
        <v>0</v>
      </c>
      <c r="AZ32" s="550"/>
      <c r="BA32" s="551"/>
      <c r="BB32" s="275">
        <f t="shared" si="39"/>
        <v>0</v>
      </c>
      <c r="BC32" s="550"/>
      <c r="BD32" s="551"/>
      <c r="BE32" s="275">
        <f t="shared" si="40"/>
        <v>0</v>
      </c>
      <c r="BF32" s="550"/>
      <c r="BG32" s="551"/>
      <c r="BH32" s="275">
        <f t="shared" si="41"/>
        <v>0</v>
      </c>
      <c r="BI32" s="550"/>
      <c r="BJ32" s="551"/>
      <c r="BK32" s="275">
        <f t="shared" si="42"/>
        <v>0</v>
      </c>
      <c r="BL32" s="550"/>
      <c r="BM32" s="551"/>
      <c r="BN32" s="275">
        <f t="shared" si="43"/>
        <v>0</v>
      </c>
      <c r="BO32" s="550"/>
      <c r="BP32" s="551"/>
      <c r="BQ32" s="275">
        <f t="shared" si="44"/>
        <v>0</v>
      </c>
    </row>
    <row r="33" spans="1:70" ht="16" x14ac:dyDescent="0.2">
      <c r="A33" s="1332"/>
      <c r="B33" s="1335"/>
      <c r="C33" s="24" t="s">
        <v>33</v>
      </c>
      <c r="D33" s="272"/>
      <c r="E33" s="273"/>
      <c r="F33" s="274"/>
      <c r="G33" s="550"/>
      <c r="H33" s="551"/>
      <c r="I33" s="275">
        <f t="shared" si="24"/>
        <v>0</v>
      </c>
      <c r="J33" s="550"/>
      <c r="K33" s="551"/>
      <c r="L33" s="275">
        <f t="shared" si="25"/>
        <v>0</v>
      </c>
      <c r="M33" s="550"/>
      <c r="N33" s="551"/>
      <c r="O33" s="275">
        <f t="shared" si="26"/>
        <v>0</v>
      </c>
      <c r="P33" s="550"/>
      <c r="Q33" s="551"/>
      <c r="R33" s="275">
        <f t="shared" si="27"/>
        <v>0</v>
      </c>
      <c r="S33" s="550"/>
      <c r="T33" s="551"/>
      <c r="U33" s="275">
        <f t="shared" si="28"/>
        <v>0</v>
      </c>
      <c r="V33" s="550"/>
      <c r="W33" s="551"/>
      <c r="X33" s="275">
        <f t="shared" si="29"/>
        <v>0</v>
      </c>
      <c r="Y33" s="550"/>
      <c r="Z33" s="551"/>
      <c r="AA33" s="275">
        <f t="shared" si="30"/>
        <v>0</v>
      </c>
      <c r="AB33" s="550"/>
      <c r="AC33" s="551"/>
      <c r="AD33" s="275">
        <f t="shared" si="31"/>
        <v>0</v>
      </c>
      <c r="AE33" s="550"/>
      <c r="AF33" s="551"/>
      <c r="AG33" s="275">
        <f t="shared" si="32"/>
        <v>0</v>
      </c>
      <c r="AH33" s="550"/>
      <c r="AI33" s="551"/>
      <c r="AJ33" s="275">
        <f t="shared" si="33"/>
        <v>0</v>
      </c>
      <c r="AK33" s="550"/>
      <c r="AL33" s="551"/>
      <c r="AM33" s="275">
        <f t="shared" si="34"/>
        <v>0</v>
      </c>
      <c r="AN33" s="550"/>
      <c r="AO33" s="551"/>
      <c r="AP33" s="275">
        <f t="shared" si="35"/>
        <v>0</v>
      </c>
      <c r="AQ33" s="550"/>
      <c r="AR33" s="551"/>
      <c r="AS33" s="275">
        <f t="shared" si="36"/>
        <v>0</v>
      </c>
      <c r="AT33" s="550"/>
      <c r="AU33" s="551"/>
      <c r="AV33" s="275">
        <f t="shared" si="37"/>
        <v>0</v>
      </c>
      <c r="AW33" s="550"/>
      <c r="AX33" s="551"/>
      <c r="AY33" s="275">
        <f t="shared" si="38"/>
        <v>0</v>
      </c>
      <c r="AZ33" s="550"/>
      <c r="BA33" s="551"/>
      <c r="BB33" s="275">
        <f t="shared" si="39"/>
        <v>0</v>
      </c>
      <c r="BC33" s="550"/>
      <c r="BD33" s="551"/>
      <c r="BE33" s="275">
        <f t="shared" si="40"/>
        <v>0</v>
      </c>
      <c r="BF33" s="550"/>
      <c r="BG33" s="551"/>
      <c r="BH33" s="275">
        <f t="shared" si="41"/>
        <v>0</v>
      </c>
      <c r="BI33" s="550"/>
      <c r="BJ33" s="551"/>
      <c r="BK33" s="275">
        <f t="shared" si="42"/>
        <v>0</v>
      </c>
      <c r="BL33" s="550"/>
      <c r="BM33" s="551"/>
      <c r="BN33" s="275">
        <f t="shared" si="43"/>
        <v>0</v>
      </c>
      <c r="BO33" s="550"/>
      <c r="BP33" s="551"/>
      <c r="BQ33" s="275">
        <f t="shared" si="44"/>
        <v>0</v>
      </c>
    </row>
    <row r="34" spans="1:70" ht="17" thickBot="1" x14ac:dyDescent="0.25">
      <c r="A34" s="1333"/>
      <c r="B34" s="1336"/>
      <c r="C34" s="263" t="s">
        <v>34</v>
      </c>
      <c r="D34" s="276"/>
      <c r="E34" s="277"/>
      <c r="F34" s="278"/>
      <c r="G34" s="552"/>
      <c r="H34" s="553"/>
      <c r="I34" s="279">
        <f t="shared" si="24"/>
        <v>0</v>
      </c>
      <c r="J34" s="552"/>
      <c r="K34" s="553"/>
      <c r="L34" s="279">
        <f t="shared" si="25"/>
        <v>0</v>
      </c>
      <c r="M34" s="552"/>
      <c r="N34" s="553"/>
      <c r="O34" s="279">
        <f t="shared" si="26"/>
        <v>0</v>
      </c>
      <c r="P34" s="552"/>
      <c r="Q34" s="553"/>
      <c r="R34" s="279">
        <f t="shared" si="27"/>
        <v>0</v>
      </c>
      <c r="S34" s="552"/>
      <c r="T34" s="553"/>
      <c r="U34" s="279">
        <f t="shared" si="28"/>
        <v>0</v>
      </c>
      <c r="V34" s="552"/>
      <c r="W34" s="553"/>
      <c r="X34" s="279">
        <f t="shared" si="29"/>
        <v>0</v>
      </c>
      <c r="Y34" s="552"/>
      <c r="Z34" s="553"/>
      <c r="AA34" s="279">
        <f t="shared" si="30"/>
        <v>0</v>
      </c>
      <c r="AB34" s="552"/>
      <c r="AC34" s="553"/>
      <c r="AD34" s="279">
        <f t="shared" si="31"/>
        <v>0</v>
      </c>
      <c r="AE34" s="552"/>
      <c r="AF34" s="553"/>
      <c r="AG34" s="279">
        <f t="shared" si="32"/>
        <v>0</v>
      </c>
      <c r="AH34" s="552"/>
      <c r="AI34" s="553"/>
      <c r="AJ34" s="279">
        <f t="shared" si="33"/>
        <v>0</v>
      </c>
      <c r="AK34" s="552"/>
      <c r="AL34" s="553"/>
      <c r="AM34" s="279">
        <f t="shared" si="34"/>
        <v>0</v>
      </c>
      <c r="AN34" s="552"/>
      <c r="AO34" s="553"/>
      <c r="AP34" s="279">
        <f t="shared" si="35"/>
        <v>0</v>
      </c>
      <c r="AQ34" s="552"/>
      <c r="AR34" s="553"/>
      <c r="AS34" s="279">
        <f t="shared" si="36"/>
        <v>0</v>
      </c>
      <c r="AT34" s="552"/>
      <c r="AU34" s="553"/>
      <c r="AV34" s="279">
        <f t="shared" si="37"/>
        <v>0</v>
      </c>
      <c r="AW34" s="552"/>
      <c r="AX34" s="553"/>
      <c r="AY34" s="279">
        <f t="shared" si="38"/>
        <v>0</v>
      </c>
      <c r="AZ34" s="552"/>
      <c r="BA34" s="553"/>
      <c r="BB34" s="279">
        <f t="shared" si="39"/>
        <v>0</v>
      </c>
      <c r="BC34" s="552"/>
      <c r="BD34" s="553"/>
      <c r="BE34" s="279">
        <f t="shared" si="40"/>
        <v>0</v>
      </c>
      <c r="BF34" s="552"/>
      <c r="BG34" s="553"/>
      <c r="BH34" s="279">
        <f t="shared" si="41"/>
        <v>0</v>
      </c>
      <c r="BI34" s="552"/>
      <c r="BJ34" s="553"/>
      <c r="BK34" s="279">
        <f t="shared" si="42"/>
        <v>0</v>
      </c>
      <c r="BL34" s="552"/>
      <c r="BM34" s="553"/>
      <c r="BN34" s="279">
        <f t="shared" si="43"/>
        <v>0</v>
      </c>
      <c r="BO34" s="552"/>
      <c r="BP34" s="553"/>
      <c r="BQ34" s="279">
        <f t="shared" si="44"/>
        <v>0</v>
      </c>
    </row>
    <row r="35" spans="1:70" s="281" customFormat="1" ht="14.5" customHeight="1" x14ac:dyDescent="0.2">
      <c r="A35" s="1331" t="s">
        <v>151</v>
      </c>
      <c r="B35" s="1334" t="s">
        <v>144</v>
      </c>
      <c r="C35" s="251" t="s">
        <v>25</v>
      </c>
      <c r="D35" s="268"/>
      <c r="E35" s="269"/>
      <c r="F35" s="270"/>
      <c r="G35" s="548"/>
      <c r="H35" s="549"/>
      <c r="I35" s="271">
        <f t="shared" si="24"/>
        <v>0</v>
      </c>
      <c r="J35" s="548"/>
      <c r="K35" s="549"/>
      <c r="L35" s="271">
        <f t="shared" si="25"/>
        <v>0</v>
      </c>
      <c r="M35" s="548"/>
      <c r="N35" s="549"/>
      <c r="O35" s="271">
        <f t="shared" si="26"/>
        <v>0</v>
      </c>
      <c r="P35" s="548"/>
      <c r="Q35" s="549"/>
      <c r="R35" s="271">
        <f t="shared" si="27"/>
        <v>0</v>
      </c>
      <c r="S35" s="548"/>
      <c r="T35" s="549"/>
      <c r="U35" s="271">
        <f t="shared" si="28"/>
        <v>0</v>
      </c>
      <c r="V35" s="548"/>
      <c r="W35" s="549"/>
      <c r="X35" s="271">
        <f t="shared" si="29"/>
        <v>0</v>
      </c>
      <c r="Y35" s="548"/>
      <c r="Z35" s="549"/>
      <c r="AA35" s="271">
        <f t="shared" si="30"/>
        <v>0</v>
      </c>
      <c r="AB35" s="548"/>
      <c r="AC35" s="549"/>
      <c r="AD35" s="271">
        <f t="shared" si="31"/>
        <v>0</v>
      </c>
      <c r="AE35" s="548"/>
      <c r="AF35" s="549"/>
      <c r="AG35" s="271">
        <f t="shared" si="32"/>
        <v>0</v>
      </c>
      <c r="AH35" s="548"/>
      <c r="AI35" s="549"/>
      <c r="AJ35" s="271">
        <f t="shared" si="33"/>
        <v>0</v>
      </c>
      <c r="AK35" s="548"/>
      <c r="AL35" s="549"/>
      <c r="AM35" s="271">
        <f t="shared" si="34"/>
        <v>0</v>
      </c>
      <c r="AN35" s="548"/>
      <c r="AO35" s="549"/>
      <c r="AP35" s="271">
        <f t="shared" si="35"/>
        <v>0</v>
      </c>
      <c r="AQ35" s="548"/>
      <c r="AR35" s="549"/>
      <c r="AS35" s="271">
        <f t="shared" si="36"/>
        <v>0</v>
      </c>
      <c r="AT35" s="548"/>
      <c r="AU35" s="549"/>
      <c r="AV35" s="271">
        <f t="shared" si="37"/>
        <v>0</v>
      </c>
      <c r="AW35" s="548"/>
      <c r="AX35" s="549"/>
      <c r="AY35" s="271">
        <f t="shared" si="38"/>
        <v>0</v>
      </c>
      <c r="AZ35" s="548"/>
      <c r="BA35" s="549"/>
      <c r="BB35" s="271">
        <f t="shared" si="39"/>
        <v>0</v>
      </c>
      <c r="BC35" s="548"/>
      <c r="BD35" s="549"/>
      <c r="BE35" s="271">
        <f t="shared" si="40"/>
        <v>0</v>
      </c>
      <c r="BF35" s="548"/>
      <c r="BG35" s="549"/>
      <c r="BH35" s="271">
        <f t="shared" si="41"/>
        <v>0</v>
      </c>
      <c r="BI35" s="548"/>
      <c r="BJ35" s="549"/>
      <c r="BK35" s="271">
        <f t="shared" si="42"/>
        <v>0</v>
      </c>
      <c r="BL35" s="548"/>
      <c r="BM35" s="549"/>
      <c r="BN35" s="271">
        <f t="shared" si="43"/>
        <v>0</v>
      </c>
      <c r="BO35" s="548"/>
      <c r="BP35" s="549"/>
      <c r="BQ35" s="271">
        <f t="shared" si="44"/>
        <v>0</v>
      </c>
      <c r="BR35" s="280">
        <f>'Analyza citlivosti - AgendovéIS'!N7</f>
        <v>0</v>
      </c>
    </row>
    <row r="36" spans="1:70" ht="16" x14ac:dyDescent="0.2">
      <c r="A36" s="1332"/>
      <c r="B36" s="1335"/>
      <c r="C36" s="24" t="s">
        <v>26</v>
      </c>
      <c r="D36" s="272"/>
      <c r="E36" s="273"/>
      <c r="F36" s="274"/>
      <c r="G36" s="550"/>
      <c r="H36" s="551"/>
      <c r="I36" s="275">
        <f t="shared" si="24"/>
        <v>0</v>
      </c>
      <c r="J36" s="550"/>
      <c r="K36" s="551"/>
      <c r="L36" s="275">
        <f t="shared" si="25"/>
        <v>0</v>
      </c>
      <c r="M36" s="550"/>
      <c r="N36" s="551"/>
      <c r="O36" s="275">
        <f t="shared" si="26"/>
        <v>0</v>
      </c>
      <c r="P36" s="550"/>
      <c r="Q36" s="551"/>
      <c r="R36" s="275">
        <f t="shared" si="27"/>
        <v>0</v>
      </c>
      <c r="S36" s="550"/>
      <c r="T36" s="551"/>
      <c r="U36" s="275">
        <f t="shared" si="28"/>
        <v>0</v>
      </c>
      <c r="V36" s="550"/>
      <c r="W36" s="551"/>
      <c r="X36" s="275">
        <f t="shared" si="29"/>
        <v>0</v>
      </c>
      <c r="Y36" s="550"/>
      <c r="Z36" s="551"/>
      <c r="AA36" s="275">
        <f t="shared" si="30"/>
        <v>0</v>
      </c>
      <c r="AB36" s="550"/>
      <c r="AC36" s="551"/>
      <c r="AD36" s="275">
        <f t="shared" si="31"/>
        <v>0</v>
      </c>
      <c r="AE36" s="550"/>
      <c r="AF36" s="551"/>
      <c r="AG36" s="275">
        <f t="shared" si="32"/>
        <v>0</v>
      </c>
      <c r="AH36" s="550"/>
      <c r="AI36" s="551"/>
      <c r="AJ36" s="275">
        <f t="shared" si="33"/>
        <v>0</v>
      </c>
      <c r="AK36" s="550"/>
      <c r="AL36" s="551"/>
      <c r="AM36" s="275">
        <f t="shared" si="34"/>
        <v>0</v>
      </c>
      <c r="AN36" s="550"/>
      <c r="AO36" s="551"/>
      <c r="AP36" s="275">
        <f t="shared" si="35"/>
        <v>0</v>
      </c>
      <c r="AQ36" s="550"/>
      <c r="AR36" s="551"/>
      <c r="AS36" s="275">
        <f t="shared" si="36"/>
        <v>0</v>
      </c>
      <c r="AT36" s="550"/>
      <c r="AU36" s="551"/>
      <c r="AV36" s="275">
        <f t="shared" si="37"/>
        <v>0</v>
      </c>
      <c r="AW36" s="550"/>
      <c r="AX36" s="551"/>
      <c r="AY36" s="275">
        <f t="shared" si="38"/>
        <v>0</v>
      </c>
      <c r="AZ36" s="550"/>
      <c r="BA36" s="551"/>
      <c r="BB36" s="275">
        <f t="shared" si="39"/>
        <v>0</v>
      </c>
      <c r="BC36" s="550"/>
      <c r="BD36" s="551"/>
      <c r="BE36" s="275">
        <f t="shared" si="40"/>
        <v>0</v>
      </c>
      <c r="BF36" s="550"/>
      <c r="BG36" s="551"/>
      <c r="BH36" s="275">
        <f t="shared" si="41"/>
        <v>0</v>
      </c>
      <c r="BI36" s="550"/>
      <c r="BJ36" s="551"/>
      <c r="BK36" s="275">
        <f t="shared" si="42"/>
        <v>0</v>
      </c>
      <c r="BL36" s="550"/>
      <c r="BM36" s="551"/>
      <c r="BN36" s="275">
        <f t="shared" si="43"/>
        <v>0</v>
      </c>
      <c r="BO36" s="550"/>
      <c r="BP36" s="551"/>
      <c r="BQ36" s="275">
        <f t="shared" si="44"/>
        <v>0</v>
      </c>
    </row>
    <row r="37" spans="1:70" ht="16" x14ac:dyDescent="0.2">
      <c r="A37" s="1332"/>
      <c r="B37" s="1335"/>
      <c r="C37" s="24" t="s">
        <v>27</v>
      </c>
      <c r="D37" s="272"/>
      <c r="E37" s="273"/>
      <c r="F37" s="274"/>
      <c r="G37" s="550"/>
      <c r="H37" s="551"/>
      <c r="I37" s="275">
        <f t="shared" si="24"/>
        <v>0</v>
      </c>
      <c r="J37" s="550"/>
      <c r="K37" s="551"/>
      <c r="L37" s="275">
        <f t="shared" si="25"/>
        <v>0</v>
      </c>
      <c r="M37" s="550"/>
      <c r="N37" s="551"/>
      <c r="O37" s="275">
        <f t="shared" si="26"/>
        <v>0</v>
      </c>
      <c r="P37" s="550"/>
      <c r="Q37" s="551"/>
      <c r="R37" s="275">
        <f t="shared" si="27"/>
        <v>0</v>
      </c>
      <c r="S37" s="550"/>
      <c r="T37" s="551"/>
      <c r="U37" s="275">
        <f t="shared" si="28"/>
        <v>0</v>
      </c>
      <c r="V37" s="550"/>
      <c r="W37" s="551"/>
      <c r="X37" s="275">
        <f t="shared" si="29"/>
        <v>0</v>
      </c>
      <c r="Y37" s="550"/>
      <c r="Z37" s="551"/>
      <c r="AA37" s="275">
        <f t="shared" si="30"/>
        <v>0</v>
      </c>
      <c r="AB37" s="550"/>
      <c r="AC37" s="551"/>
      <c r="AD37" s="275">
        <f t="shared" si="31"/>
        <v>0</v>
      </c>
      <c r="AE37" s="550"/>
      <c r="AF37" s="551"/>
      <c r="AG37" s="275">
        <f t="shared" si="32"/>
        <v>0</v>
      </c>
      <c r="AH37" s="550"/>
      <c r="AI37" s="551"/>
      <c r="AJ37" s="275">
        <f t="shared" si="33"/>
        <v>0</v>
      </c>
      <c r="AK37" s="550"/>
      <c r="AL37" s="551"/>
      <c r="AM37" s="275">
        <f t="shared" si="34"/>
        <v>0</v>
      </c>
      <c r="AN37" s="550"/>
      <c r="AO37" s="551"/>
      <c r="AP37" s="275">
        <f t="shared" si="35"/>
        <v>0</v>
      </c>
      <c r="AQ37" s="550"/>
      <c r="AR37" s="551"/>
      <c r="AS37" s="275">
        <f t="shared" si="36"/>
        <v>0</v>
      </c>
      <c r="AT37" s="550"/>
      <c r="AU37" s="551"/>
      <c r="AV37" s="275">
        <f t="shared" si="37"/>
        <v>0</v>
      </c>
      <c r="AW37" s="550"/>
      <c r="AX37" s="551"/>
      <c r="AY37" s="275">
        <f t="shared" si="38"/>
        <v>0</v>
      </c>
      <c r="AZ37" s="550"/>
      <c r="BA37" s="551"/>
      <c r="BB37" s="275">
        <f t="shared" si="39"/>
        <v>0</v>
      </c>
      <c r="BC37" s="550"/>
      <c r="BD37" s="551"/>
      <c r="BE37" s="275">
        <f t="shared" si="40"/>
        <v>0</v>
      </c>
      <c r="BF37" s="550"/>
      <c r="BG37" s="551"/>
      <c r="BH37" s="275">
        <f t="shared" si="41"/>
        <v>0</v>
      </c>
      <c r="BI37" s="550"/>
      <c r="BJ37" s="551"/>
      <c r="BK37" s="275">
        <f t="shared" si="42"/>
        <v>0</v>
      </c>
      <c r="BL37" s="550"/>
      <c r="BM37" s="551"/>
      <c r="BN37" s="275">
        <f t="shared" si="43"/>
        <v>0</v>
      </c>
      <c r="BO37" s="550"/>
      <c r="BP37" s="551"/>
      <c r="BQ37" s="275">
        <f t="shared" si="44"/>
        <v>0</v>
      </c>
    </row>
    <row r="38" spans="1:70" ht="16" x14ac:dyDescent="0.2">
      <c r="A38" s="1332"/>
      <c r="B38" s="1335"/>
      <c r="C38" s="24" t="s">
        <v>28</v>
      </c>
      <c r="D38" s="272"/>
      <c r="E38" s="273"/>
      <c r="F38" s="274"/>
      <c r="G38" s="550"/>
      <c r="H38" s="551"/>
      <c r="I38" s="275">
        <f t="shared" si="24"/>
        <v>0</v>
      </c>
      <c r="J38" s="550"/>
      <c r="K38" s="551"/>
      <c r="L38" s="275">
        <f t="shared" si="25"/>
        <v>0</v>
      </c>
      <c r="M38" s="550"/>
      <c r="N38" s="551"/>
      <c r="O38" s="275">
        <f t="shared" si="26"/>
        <v>0</v>
      </c>
      <c r="P38" s="550"/>
      <c r="Q38" s="551"/>
      <c r="R38" s="275">
        <f t="shared" si="27"/>
        <v>0</v>
      </c>
      <c r="S38" s="550"/>
      <c r="T38" s="551"/>
      <c r="U38" s="275">
        <f t="shared" si="28"/>
        <v>0</v>
      </c>
      <c r="V38" s="550"/>
      <c r="W38" s="551"/>
      <c r="X38" s="275">
        <f t="shared" si="29"/>
        <v>0</v>
      </c>
      <c r="Y38" s="550"/>
      <c r="Z38" s="551"/>
      <c r="AA38" s="275">
        <f t="shared" si="30"/>
        <v>0</v>
      </c>
      <c r="AB38" s="550"/>
      <c r="AC38" s="551"/>
      <c r="AD38" s="275">
        <f t="shared" si="31"/>
        <v>0</v>
      </c>
      <c r="AE38" s="550"/>
      <c r="AF38" s="551"/>
      <c r="AG38" s="275">
        <f t="shared" si="32"/>
        <v>0</v>
      </c>
      <c r="AH38" s="550"/>
      <c r="AI38" s="551"/>
      <c r="AJ38" s="275">
        <f t="shared" si="33"/>
        <v>0</v>
      </c>
      <c r="AK38" s="550"/>
      <c r="AL38" s="551"/>
      <c r="AM38" s="275">
        <f t="shared" si="34"/>
        <v>0</v>
      </c>
      <c r="AN38" s="550"/>
      <c r="AO38" s="551"/>
      <c r="AP38" s="275">
        <f t="shared" si="35"/>
        <v>0</v>
      </c>
      <c r="AQ38" s="550"/>
      <c r="AR38" s="551"/>
      <c r="AS38" s="275">
        <f t="shared" si="36"/>
        <v>0</v>
      </c>
      <c r="AT38" s="550"/>
      <c r="AU38" s="551"/>
      <c r="AV38" s="275">
        <f t="shared" si="37"/>
        <v>0</v>
      </c>
      <c r="AW38" s="550"/>
      <c r="AX38" s="551"/>
      <c r="AY38" s="275">
        <f t="shared" si="38"/>
        <v>0</v>
      </c>
      <c r="AZ38" s="550"/>
      <c r="BA38" s="551"/>
      <c r="BB38" s="275">
        <f t="shared" si="39"/>
        <v>0</v>
      </c>
      <c r="BC38" s="550"/>
      <c r="BD38" s="551"/>
      <c r="BE38" s="275">
        <f t="shared" si="40"/>
        <v>0</v>
      </c>
      <c r="BF38" s="550"/>
      <c r="BG38" s="551"/>
      <c r="BH38" s="275">
        <f t="shared" si="41"/>
        <v>0</v>
      </c>
      <c r="BI38" s="550"/>
      <c r="BJ38" s="551"/>
      <c r="BK38" s="275">
        <f t="shared" si="42"/>
        <v>0</v>
      </c>
      <c r="BL38" s="550"/>
      <c r="BM38" s="551"/>
      <c r="BN38" s="275">
        <f t="shared" si="43"/>
        <v>0</v>
      </c>
      <c r="BO38" s="550"/>
      <c r="BP38" s="551"/>
      <c r="BQ38" s="275">
        <f t="shared" si="44"/>
        <v>0</v>
      </c>
    </row>
    <row r="39" spans="1:70" ht="16" x14ac:dyDescent="0.2">
      <c r="A39" s="1332"/>
      <c r="B39" s="1335"/>
      <c r="C39" s="24" t="s">
        <v>29</v>
      </c>
      <c r="D39" s="272"/>
      <c r="E39" s="273"/>
      <c r="F39" s="274"/>
      <c r="G39" s="550"/>
      <c r="H39" s="551"/>
      <c r="I39" s="275">
        <f t="shared" si="24"/>
        <v>0</v>
      </c>
      <c r="J39" s="550"/>
      <c r="K39" s="551"/>
      <c r="L39" s="275">
        <f t="shared" si="25"/>
        <v>0</v>
      </c>
      <c r="M39" s="550"/>
      <c r="N39" s="551"/>
      <c r="O39" s="275">
        <f t="shared" si="26"/>
        <v>0</v>
      </c>
      <c r="P39" s="550"/>
      <c r="Q39" s="551"/>
      <c r="R39" s="275">
        <f t="shared" si="27"/>
        <v>0</v>
      </c>
      <c r="S39" s="550"/>
      <c r="T39" s="551"/>
      <c r="U39" s="275">
        <f t="shared" si="28"/>
        <v>0</v>
      </c>
      <c r="V39" s="550"/>
      <c r="W39" s="551"/>
      <c r="X39" s="275">
        <f t="shared" si="29"/>
        <v>0</v>
      </c>
      <c r="Y39" s="550"/>
      <c r="Z39" s="551"/>
      <c r="AA39" s="275">
        <f t="shared" si="30"/>
        <v>0</v>
      </c>
      <c r="AB39" s="550"/>
      <c r="AC39" s="551"/>
      <c r="AD39" s="275">
        <f t="shared" si="31"/>
        <v>0</v>
      </c>
      <c r="AE39" s="550"/>
      <c r="AF39" s="551"/>
      <c r="AG39" s="275">
        <f t="shared" si="32"/>
        <v>0</v>
      </c>
      <c r="AH39" s="550"/>
      <c r="AI39" s="551"/>
      <c r="AJ39" s="275">
        <f t="shared" si="33"/>
        <v>0</v>
      </c>
      <c r="AK39" s="550"/>
      <c r="AL39" s="551"/>
      <c r="AM39" s="275">
        <f t="shared" si="34"/>
        <v>0</v>
      </c>
      <c r="AN39" s="550"/>
      <c r="AO39" s="551"/>
      <c r="AP39" s="275">
        <f t="shared" si="35"/>
        <v>0</v>
      </c>
      <c r="AQ39" s="550"/>
      <c r="AR39" s="551"/>
      <c r="AS39" s="275">
        <f t="shared" si="36"/>
        <v>0</v>
      </c>
      <c r="AT39" s="550"/>
      <c r="AU39" s="551"/>
      <c r="AV39" s="275">
        <f t="shared" si="37"/>
        <v>0</v>
      </c>
      <c r="AW39" s="550"/>
      <c r="AX39" s="551"/>
      <c r="AY39" s="275">
        <f t="shared" si="38"/>
        <v>0</v>
      </c>
      <c r="AZ39" s="550"/>
      <c r="BA39" s="551"/>
      <c r="BB39" s="275">
        <f t="shared" si="39"/>
        <v>0</v>
      </c>
      <c r="BC39" s="550"/>
      <c r="BD39" s="551"/>
      <c r="BE39" s="275">
        <f t="shared" si="40"/>
        <v>0</v>
      </c>
      <c r="BF39" s="550"/>
      <c r="BG39" s="551"/>
      <c r="BH39" s="275">
        <f t="shared" si="41"/>
        <v>0</v>
      </c>
      <c r="BI39" s="550"/>
      <c r="BJ39" s="551"/>
      <c r="BK39" s="275">
        <f t="shared" si="42"/>
        <v>0</v>
      </c>
      <c r="BL39" s="550"/>
      <c r="BM39" s="551"/>
      <c r="BN39" s="275">
        <f t="shared" si="43"/>
        <v>0</v>
      </c>
      <c r="BO39" s="550"/>
      <c r="BP39" s="551"/>
      <c r="BQ39" s="275">
        <f t="shared" si="44"/>
        <v>0</v>
      </c>
    </row>
    <row r="40" spans="1:70" ht="16" x14ac:dyDescent="0.2">
      <c r="A40" s="1332"/>
      <c r="B40" s="1335"/>
      <c r="C40" s="24" t="s">
        <v>30</v>
      </c>
      <c r="D40" s="272"/>
      <c r="E40" s="273"/>
      <c r="F40" s="274"/>
      <c r="G40" s="550"/>
      <c r="H40" s="551"/>
      <c r="I40" s="275">
        <f t="shared" si="24"/>
        <v>0</v>
      </c>
      <c r="J40" s="550"/>
      <c r="K40" s="551"/>
      <c r="L40" s="275">
        <f t="shared" si="25"/>
        <v>0</v>
      </c>
      <c r="M40" s="550"/>
      <c r="N40" s="551"/>
      <c r="O40" s="275">
        <f t="shared" si="26"/>
        <v>0</v>
      </c>
      <c r="P40" s="550"/>
      <c r="Q40" s="551"/>
      <c r="R40" s="275">
        <f t="shared" si="27"/>
        <v>0</v>
      </c>
      <c r="S40" s="550"/>
      <c r="T40" s="551"/>
      <c r="U40" s="275">
        <f t="shared" si="28"/>
        <v>0</v>
      </c>
      <c r="V40" s="550"/>
      <c r="W40" s="551"/>
      <c r="X40" s="275">
        <f t="shared" si="29"/>
        <v>0</v>
      </c>
      <c r="Y40" s="550"/>
      <c r="Z40" s="551"/>
      <c r="AA40" s="275">
        <f t="shared" si="30"/>
        <v>0</v>
      </c>
      <c r="AB40" s="550"/>
      <c r="AC40" s="551"/>
      <c r="AD40" s="275">
        <f t="shared" si="31"/>
        <v>0</v>
      </c>
      <c r="AE40" s="550"/>
      <c r="AF40" s="551"/>
      <c r="AG40" s="275">
        <f t="shared" si="32"/>
        <v>0</v>
      </c>
      <c r="AH40" s="550"/>
      <c r="AI40" s="551"/>
      <c r="AJ40" s="275">
        <f t="shared" si="33"/>
        <v>0</v>
      </c>
      <c r="AK40" s="550"/>
      <c r="AL40" s="551"/>
      <c r="AM40" s="275">
        <f t="shared" si="34"/>
        <v>0</v>
      </c>
      <c r="AN40" s="550"/>
      <c r="AO40" s="551"/>
      <c r="AP40" s="275">
        <f t="shared" si="35"/>
        <v>0</v>
      </c>
      <c r="AQ40" s="550"/>
      <c r="AR40" s="551"/>
      <c r="AS40" s="275">
        <f t="shared" si="36"/>
        <v>0</v>
      </c>
      <c r="AT40" s="550"/>
      <c r="AU40" s="551"/>
      <c r="AV40" s="275">
        <f t="shared" si="37"/>
        <v>0</v>
      </c>
      <c r="AW40" s="550"/>
      <c r="AX40" s="551"/>
      <c r="AY40" s="275">
        <f t="shared" si="38"/>
        <v>0</v>
      </c>
      <c r="AZ40" s="550"/>
      <c r="BA40" s="551"/>
      <c r="BB40" s="275">
        <f t="shared" si="39"/>
        <v>0</v>
      </c>
      <c r="BC40" s="550"/>
      <c r="BD40" s="551"/>
      <c r="BE40" s="275">
        <f t="shared" si="40"/>
        <v>0</v>
      </c>
      <c r="BF40" s="550"/>
      <c r="BG40" s="551"/>
      <c r="BH40" s="275">
        <f t="shared" si="41"/>
        <v>0</v>
      </c>
      <c r="BI40" s="550"/>
      <c r="BJ40" s="551"/>
      <c r="BK40" s="275">
        <f t="shared" si="42"/>
        <v>0</v>
      </c>
      <c r="BL40" s="550"/>
      <c r="BM40" s="551"/>
      <c r="BN40" s="275">
        <f t="shared" si="43"/>
        <v>0</v>
      </c>
      <c r="BO40" s="550"/>
      <c r="BP40" s="551"/>
      <c r="BQ40" s="275">
        <f t="shared" si="44"/>
        <v>0</v>
      </c>
    </row>
    <row r="41" spans="1:70" ht="16" x14ac:dyDescent="0.2">
      <c r="A41" s="1332"/>
      <c r="B41" s="1335"/>
      <c r="C41" s="24" t="s">
        <v>31</v>
      </c>
      <c r="D41" s="272"/>
      <c r="E41" s="273"/>
      <c r="F41" s="274"/>
      <c r="G41" s="550"/>
      <c r="H41" s="551"/>
      <c r="I41" s="275">
        <f t="shared" si="24"/>
        <v>0</v>
      </c>
      <c r="J41" s="550"/>
      <c r="K41" s="551"/>
      <c r="L41" s="275">
        <f t="shared" si="25"/>
        <v>0</v>
      </c>
      <c r="M41" s="550"/>
      <c r="N41" s="551"/>
      <c r="O41" s="275">
        <f t="shared" si="26"/>
        <v>0</v>
      </c>
      <c r="P41" s="550"/>
      <c r="Q41" s="551"/>
      <c r="R41" s="275">
        <f t="shared" si="27"/>
        <v>0</v>
      </c>
      <c r="S41" s="550"/>
      <c r="T41" s="551"/>
      <c r="U41" s="275">
        <f t="shared" si="28"/>
        <v>0</v>
      </c>
      <c r="V41" s="550"/>
      <c r="W41" s="551"/>
      <c r="X41" s="275">
        <f t="shared" si="29"/>
        <v>0</v>
      </c>
      <c r="Y41" s="550"/>
      <c r="Z41" s="551"/>
      <c r="AA41" s="275">
        <f t="shared" si="30"/>
        <v>0</v>
      </c>
      <c r="AB41" s="550"/>
      <c r="AC41" s="551"/>
      <c r="AD41" s="275">
        <f t="shared" si="31"/>
        <v>0</v>
      </c>
      <c r="AE41" s="550"/>
      <c r="AF41" s="551"/>
      <c r="AG41" s="275">
        <f t="shared" si="32"/>
        <v>0</v>
      </c>
      <c r="AH41" s="550"/>
      <c r="AI41" s="551"/>
      <c r="AJ41" s="275">
        <f t="shared" si="33"/>
        <v>0</v>
      </c>
      <c r="AK41" s="550"/>
      <c r="AL41" s="551"/>
      <c r="AM41" s="275">
        <f t="shared" si="34"/>
        <v>0</v>
      </c>
      <c r="AN41" s="550"/>
      <c r="AO41" s="551"/>
      <c r="AP41" s="275">
        <f t="shared" si="35"/>
        <v>0</v>
      </c>
      <c r="AQ41" s="550"/>
      <c r="AR41" s="551"/>
      <c r="AS41" s="275">
        <f t="shared" si="36"/>
        <v>0</v>
      </c>
      <c r="AT41" s="550"/>
      <c r="AU41" s="551"/>
      <c r="AV41" s="275">
        <f t="shared" si="37"/>
        <v>0</v>
      </c>
      <c r="AW41" s="550"/>
      <c r="AX41" s="551"/>
      <c r="AY41" s="275">
        <f t="shared" si="38"/>
        <v>0</v>
      </c>
      <c r="AZ41" s="550"/>
      <c r="BA41" s="551"/>
      <c r="BB41" s="275">
        <f t="shared" si="39"/>
        <v>0</v>
      </c>
      <c r="BC41" s="550"/>
      <c r="BD41" s="551"/>
      <c r="BE41" s="275">
        <f t="shared" si="40"/>
        <v>0</v>
      </c>
      <c r="BF41" s="550"/>
      <c r="BG41" s="551"/>
      <c r="BH41" s="275">
        <f t="shared" si="41"/>
        <v>0</v>
      </c>
      <c r="BI41" s="550"/>
      <c r="BJ41" s="551"/>
      <c r="BK41" s="275">
        <f t="shared" si="42"/>
        <v>0</v>
      </c>
      <c r="BL41" s="550"/>
      <c r="BM41" s="551"/>
      <c r="BN41" s="275">
        <f t="shared" si="43"/>
        <v>0</v>
      </c>
      <c r="BO41" s="550"/>
      <c r="BP41" s="551"/>
      <c r="BQ41" s="275">
        <f t="shared" si="44"/>
        <v>0</v>
      </c>
    </row>
    <row r="42" spans="1:70" ht="16" x14ac:dyDescent="0.2">
      <c r="A42" s="1332"/>
      <c r="B42" s="1335"/>
      <c r="C42" s="24" t="s">
        <v>32</v>
      </c>
      <c r="D42" s="272"/>
      <c r="E42" s="273"/>
      <c r="F42" s="274"/>
      <c r="G42" s="550"/>
      <c r="H42" s="551"/>
      <c r="I42" s="275">
        <f t="shared" si="24"/>
        <v>0</v>
      </c>
      <c r="J42" s="550"/>
      <c r="K42" s="551"/>
      <c r="L42" s="275">
        <f t="shared" si="25"/>
        <v>0</v>
      </c>
      <c r="M42" s="550"/>
      <c r="N42" s="551"/>
      <c r="O42" s="275">
        <f t="shared" si="26"/>
        <v>0</v>
      </c>
      <c r="P42" s="550"/>
      <c r="Q42" s="551"/>
      <c r="R42" s="275">
        <f t="shared" si="27"/>
        <v>0</v>
      </c>
      <c r="S42" s="550"/>
      <c r="T42" s="551"/>
      <c r="U42" s="275">
        <f t="shared" si="28"/>
        <v>0</v>
      </c>
      <c r="V42" s="550"/>
      <c r="W42" s="551"/>
      <c r="X42" s="275">
        <f t="shared" si="29"/>
        <v>0</v>
      </c>
      <c r="Y42" s="550"/>
      <c r="Z42" s="551"/>
      <c r="AA42" s="275">
        <f t="shared" si="30"/>
        <v>0</v>
      </c>
      <c r="AB42" s="550"/>
      <c r="AC42" s="551"/>
      <c r="AD42" s="275">
        <f t="shared" si="31"/>
        <v>0</v>
      </c>
      <c r="AE42" s="550"/>
      <c r="AF42" s="551"/>
      <c r="AG42" s="275">
        <f t="shared" si="32"/>
        <v>0</v>
      </c>
      <c r="AH42" s="550"/>
      <c r="AI42" s="551"/>
      <c r="AJ42" s="275">
        <f t="shared" si="33"/>
        <v>0</v>
      </c>
      <c r="AK42" s="550"/>
      <c r="AL42" s="551"/>
      <c r="AM42" s="275">
        <f t="shared" si="34"/>
        <v>0</v>
      </c>
      <c r="AN42" s="550"/>
      <c r="AO42" s="551"/>
      <c r="AP42" s="275">
        <f t="shared" si="35"/>
        <v>0</v>
      </c>
      <c r="AQ42" s="550"/>
      <c r="AR42" s="551"/>
      <c r="AS42" s="275">
        <f t="shared" si="36"/>
        <v>0</v>
      </c>
      <c r="AT42" s="550"/>
      <c r="AU42" s="551"/>
      <c r="AV42" s="275">
        <f t="shared" si="37"/>
        <v>0</v>
      </c>
      <c r="AW42" s="550"/>
      <c r="AX42" s="551"/>
      <c r="AY42" s="275">
        <f t="shared" si="38"/>
        <v>0</v>
      </c>
      <c r="AZ42" s="550"/>
      <c r="BA42" s="551"/>
      <c r="BB42" s="275">
        <f t="shared" si="39"/>
        <v>0</v>
      </c>
      <c r="BC42" s="550"/>
      <c r="BD42" s="551"/>
      <c r="BE42" s="275">
        <f t="shared" si="40"/>
        <v>0</v>
      </c>
      <c r="BF42" s="550"/>
      <c r="BG42" s="551"/>
      <c r="BH42" s="275">
        <f t="shared" si="41"/>
        <v>0</v>
      </c>
      <c r="BI42" s="550"/>
      <c r="BJ42" s="551"/>
      <c r="BK42" s="275">
        <f t="shared" si="42"/>
        <v>0</v>
      </c>
      <c r="BL42" s="550"/>
      <c r="BM42" s="551"/>
      <c r="BN42" s="275">
        <f t="shared" si="43"/>
        <v>0</v>
      </c>
      <c r="BO42" s="550"/>
      <c r="BP42" s="551"/>
      <c r="BQ42" s="275">
        <f t="shared" si="44"/>
        <v>0</v>
      </c>
    </row>
    <row r="43" spans="1:70" ht="16" x14ac:dyDescent="0.2">
      <c r="A43" s="1332"/>
      <c r="B43" s="1335"/>
      <c r="C43" s="24" t="s">
        <v>33</v>
      </c>
      <c r="D43" s="272"/>
      <c r="E43" s="273"/>
      <c r="F43" s="274"/>
      <c r="G43" s="550"/>
      <c r="H43" s="551"/>
      <c r="I43" s="275">
        <f t="shared" si="24"/>
        <v>0</v>
      </c>
      <c r="J43" s="550"/>
      <c r="K43" s="551"/>
      <c r="L43" s="275">
        <f t="shared" si="25"/>
        <v>0</v>
      </c>
      <c r="M43" s="550"/>
      <c r="N43" s="551"/>
      <c r="O43" s="275">
        <f t="shared" si="26"/>
        <v>0</v>
      </c>
      <c r="P43" s="550"/>
      <c r="Q43" s="551"/>
      <c r="R43" s="275">
        <f t="shared" si="27"/>
        <v>0</v>
      </c>
      <c r="S43" s="550"/>
      <c r="T43" s="551"/>
      <c r="U43" s="275">
        <f t="shared" si="28"/>
        <v>0</v>
      </c>
      <c r="V43" s="550"/>
      <c r="W43" s="551"/>
      <c r="X43" s="275">
        <f t="shared" si="29"/>
        <v>0</v>
      </c>
      <c r="Y43" s="550"/>
      <c r="Z43" s="551"/>
      <c r="AA43" s="275">
        <f t="shared" si="30"/>
        <v>0</v>
      </c>
      <c r="AB43" s="550"/>
      <c r="AC43" s="551"/>
      <c r="AD43" s="275">
        <f t="shared" si="31"/>
        <v>0</v>
      </c>
      <c r="AE43" s="550"/>
      <c r="AF43" s="551"/>
      <c r="AG43" s="275">
        <f t="shared" si="32"/>
        <v>0</v>
      </c>
      <c r="AH43" s="550"/>
      <c r="AI43" s="551"/>
      <c r="AJ43" s="275">
        <f t="shared" si="33"/>
        <v>0</v>
      </c>
      <c r="AK43" s="550"/>
      <c r="AL43" s="551"/>
      <c r="AM43" s="275">
        <f t="shared" si="34"/>
        <v>0</v>
      </c>
      <c r="AN43" s="550"/>
      <c r="AO43" s="551"/>
      <c r="AP43" s="275">
        <f t="shared" si="35"/>
        <v>0</v>
      </c>
      <c r="AQ43" s="550"/>
      <c r="AR43" s="551"/>
      <c r="AS43" s="275">
        <f t="shared" si="36"/>
        <v>0</v>
      </c>
      <c r="AT43" s="550"/>
      <c r="AU43" s="551"/>
      <c r="AV43" s="275">
        <f t="shared" si="37"/>
        <v>0</v>
      </c>
      <c r="AW43" s="550"/>
      <c r="AX43" s="551"/>
      <c r="AY43" s="275">
        <f t="shared" si="38"/>
        <v>0</v>
      </c>
      <c r="AZ43" s="550"/>
      <c r="BA43" s="551"/>
      <c r="BB43" s="275">
        <f t="shared" si="39"/>
        <v>0</v>
      </c>
      <c r="BC43" s="550"/>
      <c r="BD43" s="551"/>
      <c r="BE43" s="275">
        <f t="shared" si="40"/>
        <v>0</v>
      </c>
      <c r="BF43" s="550"/>
      <c r="BG43" s="551"/>
      <c r="BH43" s="275">
        <f t="shared" si="41"/>
        <v>0</v>
      </c>
      <c r="BI43" s="550"/>
      <c r="BJ43" s="551"/>
      <c r="BK43" s="275">
        <f t="shared" si="42"/>
        <v>0</v>
      </c>
      <c r="BL43" s="550"/>
      <c r="BM43" s="551"/>
      <c r="BN43" s="275">
        <f t="shared" si="43"/>
        <v>0</v>
      </c>
      <c r="BO43" s="550"/>
      <c r="BP43" s="551"/>
      <c r="BQ43" s="275">
        <f t="shared" si="44"/>
        <v>0</v>
      </c>
    </row>
    <row r="44" spans="1:70" ht="17" thickBot="1" x14ac:dyDescent="0.25">
      <c r="A44" s="1333"/>
      <c r="B44" s="1336"/>
      <c r="C44" s="263" t="s">
        <v>34</v>
      </c>
      <c r="D44" s="276"/>
      <c r="E44" s="277"/>
      <c r="F44" s="278"/>
      <c r="G44" s="552"/>
      <c r="H44" s="553"/>
      <c r="I44" s="279">
        <f>H44-G44</f>
        <v>0</v>
      </c>
      <c r="J44" s="552"/>
      <c r="K44" s="553"/>
      <c r="L44" s="279">
        <f>K44-J44</f>
        <v>0</v>
      </c>
      <c r="M44" s="552"/>
      <c r="N44" s="553"/>
      <c r="O44" s="279">
        <f>N44-M44</f>
        <v>0</v>
      </c>
      <c r="P44" s="552"/>
      <c r="Q44" s="553"/>
      <c r="R44" s="279">
        <f>Q44-P44</f>
        <v>0</v>
      </c>
      <c r="S44" s="552"/>
      <c r="T44" s="553"/>
      <c r="U44" s="279">
        <f>T44-S44</f>
        <v>0</v>
      </c>
      <c r="V44" s="552"/>
      <c r="W44" s="553"/>
      <c r="X44" s="279">
        <f>W44-V44</f>
        <v>0</v>
      </c>
      <c r="Y44" s="552"/>
      <c r="Z44" s="553"/>
      <c r="AA44" s="279">
        <f>Z44-Y44</f>
        <v>0</v>
      </c>
      <c r="AB44" s="552"/>
      <c r="AC44" s="553"/>
      <c r="AD44" s="279">
        <f>AC44-AB44</f>
        <v>0</v>
      </c>
      <c r="AE44" s="552"/>
      <c r="AF44" s="553"/>
      <c r="AG44" s="279">
        <f>AF44-AE44</f>
        <v>0</v>
      </c>
      <c r="AH44" s="552"/>
      <c r="AI44" s="553"/>
      <c r="AJ44" s="279">
        <f>AI44-AH44</f>
        <v>0</v>
      </c>
      <c r="AK44" s="552"/>
      <c r="AL44" s="553"/>
      <c r="AM44" s="279">
        <f>AL44-AK44</f>
        <v>0</v>
      </c>
      <c r="AN44" s="552"/>
      <c r="AO44" s="553"/>
      <c r="AP44" s="279">
        <f>AO44-AN44</f>
        <v>0</v>
      </c>
      <c r="AQ44" s="552"/>
      <c r="AR44" s="553"/>
      <c r="AS44" s="279">
        <f>AR44-AQ44</f>
        <v>0</v>
      </c>
      <c r="AT44" s="552"/>
      <c r="AU44" s="553"/>
      <c r="AV44" s="279">
        <f>AU44-AT44</f>
        <v>0</v>
      </c>
      <c r="AW44" s="552"/>
      <c r="AX44" s="553"/>
      <c r="AY44" s="279">
        <f>AX44-AW44</f>
        <v>0</v>
      </c>
      <c r="AZ44" s="552"/>
      <c r="BA44" s="553"/>
      <c r="BB44" s="279">
        <f>BA44-AZ44</f>
        <v>0</v>
      </c>
      <c r="BC44" s="552"/>
      <c r="BD44" s="553"/>
      <c r="BE44" s="279">
        <f>BD44-BC44</f>
        <v>0</v>
      </c>
      <c r="BF44" s="552"/>
      <c r="BG44" s="553"/>
      <c r="BH44" s="279">
        <f>BG44-BF44</f>
        <v>0</v>
      </c>
      <c r="BI44" s="552"/>
      <c r="BJ44" s="553"/>
      <c r="BK44" s="279">
        <f>BJ44-BI44</f>
        <v>0</v>
      </c>
      <c r="BL44" s="552"/>
      <c r="BM44" s="553"/>
      <c r="BN44" s="279">
        <f>BM44-BL44</f>
        <v>0</v>
      </c>
      <c r="BO44" s="552"/>
      <c r="BP44" s="553"/>
      <c r="BQ44" s="279">
        <f>BP44-BO44</f>
        <v>0</v>
      </c>
    </row>
    <row r="45" spans="1:70" s="281" customFormat="1" ht="14.5" customHeight="1" x14ac:dyDescent="0.2">
      <c r="A45" s="1331" t="s">
        <v>150</v>
      </c>
      <c r="B45" s="1334" t="s">
        <v>38</v>
      </c>
      <c r="C45" s="251" t="s">
        <v>25</v>
      </c>
      <c r="D45" s="445">
        <f t="shared" ref="D45" si="45">SUM(G45,J45,M45,P45,S45,V45,Y45,AB45,AE45,AH45,AK45,AN45,AQ45,AT45,AW45,AZ45,AZ45,BC45,BF45,BI45,BL45,BO45)</f>
        <v>0</v>
      </c>
      <c r="E45" s="446">
        <f t="shared" ref="E45:E64" si="46">SUM(H45,K45,N45,Q45,T45,W45,Z45,AC45,AF45,AI45,AL45,AO45,AR45,AU45,AX45,BA45,BA45,BD45,BG45,BJ45,BM45,BP45)</f>
        <v>0</v>
      </c>
      <c r="F45" s="270">
        <f>D45-E45</f>
        <v>0</v>
      </c>
      <c r="G45" s="548"/>
      <c r="H45" s="549"/>
      <c r="I45" s="271">
        <f t="shared" ref="I45:I53" si="47">H45-G45</f>
        <v>0</v>
      </c>
      <c r="J45" s="548"/>
      <c r="K45" s="549"/>
      <c r="L45" s="271">
        <f t="shared" ref="L45:L53" si="48">K45-J45</f>
        <v>0</v>
      </c>
      <c r="M45" s="548"/>
      <c r="N45" s="549"/>
      <c r="O45" s="271">
        <f t="shared" ref="O45:O53" si="49">N45-M45</f>
        <v>0</v>
      </c>
      <c r="P45" s="548"/>
      <c r="Q45" s="549"/>
      <c r="R45" s="271">
        <f t="shared" ref="R45:R53" si="50">Q45-P45</f>
        <v>0</v>
      </c>
      <c r="S45" s="548"/>
      <c r="T45" s="549"/>
      <c r="U45" s="271">
        <f t="shared" ref="U45:U53" si="51">T45-S45</f>
        <v>0</v>
      </c>
      <c r="V45" s="548">
        <v>0</v>
      </c>
      <c r="W45" s="549">
        <v>0</v>
      </c>
      <c r="X45" s="271">
        <f t="shared" ref="X45:X53" si="52">W45-V45</f>
        <v>0</v>
      </c>
      <c r="Y45" s="548"/>
      <c r="Z45" s="549"/>
      <c r="AA45" s="271">
        <f t="shared" ref="AA45:AA53" si="53">Z45-Y45</f>
        <v>0</v>
      </c>
      <c r="AB45" s="548"/>
      <c r="AC45" s="549"/>
      <c r="AD45" s="271">
        <f t="shared" ref="AD45:AD53" si="54">AC45-AB45</f>
        <v>0</v>
      </c>
      <c r="AE45" s="548"/>
      <c r="AF45" s="549"/>
      <c r="AG45" s="271">
        <f t="shared" ref="AG45:AG53" si="55">AF45-AE45</f>
        <v>0</v>
      </c>
      <c r="AH45" s="548"/>
      <c r="AI45" s="549"/>
      <c r="AJ45" s="271">
        <f t="shared" ref="AJ45:AJ53" si="56">AI45-AH45</f>
        <v>0</v>
      </c>
      <c r="AK45" s="548">
        <v>0</v>
      </c>
      <c r="AL45" s="549">
        <v>0</v>
      </c>
      <c r="AM45" s="271">
        <f t="shared" ref="AM45:AM53" si="57">AL45-AK45</f>
        <v>0</v>
      </c>
      <c r="AN45" s="548"/>
      <c r="AO45" s="549"/>
      <c r="AP45" s="271">
        <f t="shared" ref="AP45:AP53" si="58">AO45-AN45</f>
        <v>0</v>
      </c>
      <c r="AQ45" s="548"/>
      <c r="AR45" s="549"/>
      <c r="AS45" s="271">
        <f t="shared" ref="AS45:AS53" si="59">AR45-AQ45</f>
        <v>0</v>
      </c>
      <c r="AT45" s="548"/>
      <c r="AU45" s="549"/>
      <c r="AV45" s="271">
        <f t="shared" ref="AV45:AV53" si="60">AU45-AT45</f>
        <v>0</v>
      </c>
      <c r="AW45" s="548"/>
      <c r="AX45" s="549"/>
      <c r="AY45" s="271">
        <f t="shared" ref="AY45:AY53" si="61">AX45-AW45</f>
        <v>0</v>
      </c>
      <c r="AZ45" s="548">
        <v>0</v>
      </c>
      <c r="BA45" s="549">
        <v>0</v>
      </c>
      <c r="BB45" s="271">
        <f t="shared" ref="BB45:BB53" si="62">BA45-AZ45</f>
        <v>0</v>
      </c>
      <c r="BC45" s="548"/>
      <c r="BD45" s="549"/>
      <c r="BE45" s="271">
        <f t="shared" ref="BE45:BE53" si="63">BD45-BC45</f>
        <v>0</v>
      </c>
      <c r="BF45" s="548"/>
      <c r="BG45" s="549"/>
      <c r="BH45" s="271">
        <f t="shared" ref="BH45:BH53" si="64">BG45-BF45</f>
        <v>0</v>
      </c>
      <c r="BI45" s="548"/>
      <c r="BJ45" s="549"/>
      <c r="BK45" s="271">
        <f t="shared" ref="BK45:BK53" si="65">BJ45-BI45</f>
        <v>0</v>
      </c>
      <c r="BL45" s="548"/>
      <c r="BM45" s="549"/>
      <c r="BN45" s="271">
        <f t="shared" ref="BN45:BN53" si="66">BM45-BL45</f>
        <v>0</v>
      </c>
      <c r="BO45" s="548">
        <v>0</v>
      </c>
      <c r="BP45" s="549">
        <v>0</v>
      </c>
      <c r="BQ45" s="271">
        <f t="shared" si="44"/>
        <v>0</v>
      </c>
      <c r="BR45" s="280">
        <f>'Analyza citlivosti - AgendovéIS'!Q7</f>
        <v>0</v>
      </c>
    </row>
    <row r="46" spans="1:70" ht="16" x14ac:dyDescent="0.2">
      <c r="A46" s="1332"/>
      <c r="B46" s="1335"/>
      <c r="C46" s="24" t="s">
        <v>26</v>
      </c>
      <c r="D46" s="447">
        <f t="shared" ref="D46:D61" si="67">SUM(G46,J46,M46,P46,S46,V46,Y46,AB46,AE46,AH46,AK46,AN46,AQ46,AT46,AW46,AZ46,AZ46,BC46,BF46,BI46,BL46,BO46)</f>
        <v>0</v>
      </c>
      <c r="E46" s="448">
        <f t="shared" si="46"/>
        <v>0</v>
      </c>
      <c r="F46" s="274">
        <f t="shared" ref="F46:F54" si="68">D46-E46</f>
        <v>0</v>
      </c>
      <c r="G46" s="550"/>
      <c r="H46" s="551"/>
      <c r="I46" s="275">
        <f t="shared" si="47"/>
        <v>0</v>
      </c>
      <c r="J46" s="550"/>
      <c r="K46" s="551"/>
      <c r="L46" s="275">
        <f t="shared" si="48"/>
        <v>0</v>
      </c>
      <c r="M46" s="550"/>
      <c r="N46" s="551"/>
      <c r="O46" s="275">
        <f t="shared" si="49"/>
        <v>0</v>
      </c>
      <c r="P46" s="550"/>
      <c r="Q46" s="551"/>
      <c r="R46" s="275">
        <f t="shared" si="50"/>
        <v>0</v>
      </c>
      <c r="S46" s="550"/>
      <c r="T46" s="551"/>
      <c r="U46" s="275">
        <f t="shared" si="51"/>
        <v>0</v>
      </c>
      <c r="V46" s="550">
        <v>0</v>
      </c>
      <c r="W46" s="551">
        <v>0</v>
      </c>
      <c r="X46" s="275">
        <f t="shared" si="52"/>
        <v>0</v>
      </c>
      <c r="Y46" s="550"/>
      <c r="Z46" s="551"/>
      <c r="AA46" s="275">
        <f t="shared" si="53"/>
        <v>0</v>
      </c>
      <c r="AB46" s="550"/>
      <c r="AC46" s="551"/>
      <c r="AD46" s="275">
        <f t="shared" si="54"/>
        <v>0</v>
      </c>
      <c r="AE46" s="550"/>
      <c r="AF46" s="551"/>
      <c r="AG46" s="275">
        <f t="shared" si="55"/>
        <v>0</v>
      </c>
      <c r="AH46" s="550"/>
      <c r="AI46" s="551"/>
      <c r="AJ46" s="275">
        <f t="shared" si="56"/>
        <v>0</v>
      </c>
      <c r="AK46" s="550">
        <v>0</v>
      </c>
      <c r="AL46" s="551">
        <v>0</v>
      </c>
      <c r="AM46" s="275">
        <f t="shared" si="57"/>
        <v>0</v>
      </c>
      <c r="AN46" s="550"/>
      <c r="AO46" s="551"/>
      <c r="AP46" s="275">
        <f t="shared" si="58"/>
        <v>0</v>
      </c>
      <c r="AQ46" s="550"/>
      <c r="AR46" s="551"/>
      <c r="AS46" s="275">
        <f t="shared" si="59"/>
        <v>0</v>
      </c>
      <c r="AT46" s="550"/>
      <c r="AU46" s="551"/>
      <c r="AV46" s="275">
        <f t="shared" si="60"/>
        <v>0</v>
      </c>
      <c r="AW46" s="550"/>
      <c r="AX46" s="551"/>
      <c r="AY46" s="275">
        <f t="shared" si="61"/>
        <v>0</v>
      </c>
      <c r="AZ46" s="550">
        <v>0</v>
      </c>
      <c r="BA46" s="551">
        <v>0</v>
      </c>
      <c r="BB46" s="275">
        <f t="shared" si="62"/>
        <v>0</v>
      </c>
      <c r="BC46" s="550"/>
      <c r="BD46" s="551"/>
      <c r="BE46" s="275">
        <f t="shared" si="63"/>
        <v>0</v>
      </c>
      <c r="BF46" s="550"/>
      <c r="BG46" s="551"/>
      <c r="BH46" s="275">
        <f t="shared" si="64"/>
        <v>0</v>
      </c>
      <c r="BI46" s="550"/>
      <c r="BJ46" s="551"/>
      <c r="BK46" s="275">
        <f t="shared" si="65"/>
        <v>0</v>
      </c>
      <c r="BL46" s="550"/>
      <c r="BM46" s="551"/>
      <c r="BN46" s="275">
        <f t="shared" si="66"/>
        <v>0</v>
      </c>
      <c r="BO46" s="550">
        <v>0</v>
      </c>
      <c r="BP46" s="551">
        <v>0</v>
      </c>
      <c r="BQ46" s="275">
        <f t="shared" si="44"/>
        <v>0</v>
      </c>
    </row>
    <row r="47" spans="1:70" ht="16" x14ac:dyDescent="0.2">
      <c r="A47" s="1332"/>
      <c r="B47" s="1335"/>
      <c r="C47" s="24" t="s">
        <v>27</v>
      </c>
      <c r="D47" s="447">
        <f t="shared" si="67"/>
        <v>0</v>
      </c>
      <c r="E47" s="448">
        <f t="shared" si="46"/>
        <v>0</v>
      </c>
      <c r="F47" s="274">
        <f t="shared" si="68"/>
        <v>0</v>
      </c>
      <c r="G47" s="550"/>
      <c r="H47" s="551"/>
      <c r="I47" s="275">
        <f t="shared" si="47"/>
        <v>0</v>
      </c>
      <c r="J47" s="550"/>
      <c r="K47" s="551"/>
      <c r="L47" s="275">
        <f t="shared" si="48"/>
        <v>0</v>
      </c>
      <c r="M47" s="550"/>
      <c r="N47" s="551"/>
      <c r="O47" s="275">
        <f t="shared" si="49"/>
        <v>0</v>
      </c>
      <c r="P47" s="550"/>
      <c r="Q47" s="551"/>
      <c r="R47" s="275">
        <f t="shared" si="50"/>
        <v>0</v>
      </c>
      <c r="S47" s="550"/>
      <c r="T47" s="551"/>
      <c r="U47" s="275">
        <f t="shared" si="51"/>
        <v>0</v>
      </c>
      <c r="V47" s="550">
        <v>0</v>
      </c>
      <c r="W47" s="551">
        <v>0</v>
      </c>
      <c r="X47" s="275">
        <f t="shared" si="52"/>
        <v>0</v>
      </c>
      <c r="Y47" s="550"/>
      <c r="Z47" s="551"/>
      <c r="AA47" s="275">
        <f t="shared" si="53"/>
        <v>0</v>
      </c>
      <c r="AB47" s="550"/>
      <c r="AC47" s="551"/>
      <c r="AD47" s="275">
        <f t="shared" si="54"/>
        <v>0</v>
      </c>
      <c r="AE47" s="550"/>
      <c r="AF47" s="551"/>
      <c r="AG47" s="275">
        <f t="shared" si="55"/>
        <v>0</v>
      </c>
      <c r="AH47" s="550"/>
      <c r="AI47" s="551"/>
      <c r="AJ47" s="275">
        <f t="shared" si="56"/>
        <v>0</v>
      </c>
      <c r="AK47" s="550">
        <v>0</v>
      </c>
      <c r="AL47" s="551">
        <v>0</v>
      </c>
      <c r="AM47" s="275">
        <f t="shared" si="57"/>
        <v>0</v>
      </c>
      <c r="AN47" s="550"/>
      <c r="AO47" s="551"/>
      <c r="AP47" s="275">
        <f t="shared" si="58"/>
        <v>0</v>
      </c>
      <c r="AQ47" s="550"/>
      <c r="AR47" s="551"/>
      <c r="AS47" s="275">
        <f t="shared" si="59"/>
        <v>0</v>
      </c>
      <c r="AT47" s="550"/>
      <c r="AU47" s="551"/>
      <c r="AV47" s="275">
        <f t="shared" si="60"/>
        <v>0</v>
      </c>
      <c r="AW47" s="550"/>
      <c r="AX47" s="551"/>
      <c r="AY47" s="275">
        <f t="shared" si="61"/>
        <v>0</v>
      </c>
      <c r="AZ47" s="550">
        <v>0</v>
      </c>
      <c r="BA47" s="551">
        <v>0</v>
      </c>
      <c r="BB47" s="275">
        <f t="shared" si="62"/>
        <v>0</v>
      </c>
      <c r="BC47" s="550"/>
      <c r="BD47" s="551"/>
      <c r="BE47" s="275">
        <f t="shared" si="63"/>
        <v>0</v>
      </c>
      <c r="BF47" s="550"/>
      <c r="BG47" s="551"/>
      <c r="BH47" s="275">
        <f t="shared" si="64"/>
        <v>0</v>
      </c>
      <c r="BI47" s="550"/>
      <c r="BJ47" s="551"/>
      <c r="BK47" s="275">
        <f t="shared" si="65"/>
        <v>0</v>
      </c>
      <c r="BL47" s="550"/>
      <c r="BM47" s="551"/>
      <c r="BN47" s="275">
        <f t="shared" si="66"/>
        <v>0</v>
      </c>
      <c r="BO47" s="550">
        <v>0</v>
      </c>
      <c r="BP47" s="551">
        <v>0</v>
      </c>
      <c r="BQ47" s="275">
        <f t="shared" si="44"/>
        <v>0</v>
      </c>
    </row>
    <row r="48" spans="1:70" ht="16" x14ac:dyDescent="0.2">
      <c r="A48" s="1332"/>
      <c r="B48" s="1335"/>
      <c r="C48" s="24" t="s">
        <v>28</v>
      </c>
      <c r="D48" s="447">
        <f t="shared" si="67"/>
        <v>0</v>
      </c>
      <c r="E48" s="448">
        <f t="shared" si="46"/>
        <v>0</v>
      </c>
      <c r="F48" s="274">
        <f t="shared" si="68"/>
        <v>0</v>
      </c>
      <c r="G48" s="550"/>
      <c r="H48" s="551"/>
      <c r="I48" s="275">
        <f t="shared" si="47"/>
        <v>0</v>
      </c>
      <c r="J48" s="550"/>
      <c r="K48" s="551"/>
      <c r="L48" s="275">
        <f t="shared" si="48"/>
        <v>0</v>
      </c>
      <c r="M48" s="550"/>
      <c r="N48" s="551"/>
      <c r="O48" s="275">
        <f t="shared" si="49"/>
        <v>0</v>
      </c>
      <c r="P48" s="550"/>
      <c r="Q48" s="551"/>
      <c r="R48" s="275">
        <f t="shared" si="50"/>
        <v>0</v>
      </c>
      <c r="S48" s="550"/>
      <c r="T48" s="551"/>
      <c r="U48" s="275">
        <f t="shared" si="51"/>
        <v>0</v>
      </c>
      <c r="V48" s="550">
        <v>0</v>
      </c>
      <c r="W48" s="551">
        <v>0</v>
      </c>
      <c r="X48" s="275">
        <f t="shared" si="52"/>
        <v>0</v>
      </c>
      <c r="Y48" s="550"/>
      <c r="Z48" s="551"/>
      <c r="AA48" s="275">
        <f t="shared" si="53"/>
        <v>0</v>
      </c>
      <c r="AB48" s="550"/>
      <c r="AC48" s="551"/>
      <c r="AD48" s="275">
        <f t="shared" si="54"/>
        <v>0</v>
      </c>
      <c r="AE48" s="550"/>
      <c r="AF48" s="551"/>
      <c r="AG48" s="275">
        <f t="shared" si="55"/>
        <v>0</v>
      </c>
      <c r="AH48" s="550"/>
      <c r="AI48" s="551"/>
      <c r="AJ48" s="275">
        <f t="shared" si="56"/>
        <v>0</v>
      </c>
      <c r="AK48" s="550">
        <v>0</v>
      </c>
      <c r="AL48" s="551">
        <v>0</v>
      </c>
      <c r="AM48" s="275">
        <f t="shared" si="57"/>
        <v>0</v>
      </c>
      <c r="AN48" s="550"/>
      <c r="AO48" s="551"/>
      <c r="AP48" s="275">
        <f t="shared" si="58"/>
        <v>0</v>
      </c>
      <c r="AQ48" s="550"/>
      <c r="AR48" s="551"/>
      <c r="AS48" s="275">
        <f t="shared" si="59"/>
        <v>0</v>
      </c>
      <c r="AT48" s="550"/>
      <c r="AU48" s="551"/>
      <c r="AV48" s="275">
        <f t="shared" si="60"/>
        <v>0</v>
      </c>
      <c r="AW48" s="550"/>
      <c r="AX48" s="551"/>
      <c r="AY48" s="275">
        <f t="shared" si="61"/>
        <v>0</v>
      </c>
      <c r="AZ48" s="550">
        <v>0</v>
      </c>
      <c r="BA48" s="551">
        <v>0</v>
      </c>
      <c r="BB48" s="275">
        <f t="shared" si="62"/>
        <v>0</v>
      </c>
      <c r="BC48" s="550"/>
      <c r="BD48" s="551"/>
      <c r="BE48" s="275">
        <f t="shared" si="63"/>
        <v>0</v>
      </c>
      <c r="BF48" s="550"/>
      <c r="BG48" s="551"/>
      <c r="BH48" s="275">
        <f t="shared" si="64"/>
        <v>0</v>
      </c>
      <c r="BI48" s="550"/>
      <c r="BJ48" s="551"/>
      <c r="BK48" s="275">
        <f t="shared" si="65"/>
        <v>0</v>
      </c>
      <c r="BL48" s="550"/>
      <c r="BM48" s="551"/>
      <c r="BN48" s="275">
        <f t="shared" si="66"/>
        <v>0</v>
      </c>
      <c r="BO48" s="550">
        <v>0</v>
      </c>
      <c r="BP48" s="551">
        <v>0</v>
      </c>
      <c r="BQ48" s="275">
        <f t="shared" si="44"/>
        <v>0</v>
      </c>
    </row>
    <row r="49" spans="1:70" ht="16" x14ac:dyDescent="0.2">
      <c r="A49" s="1332"/>
      <c r="B49" s="1335"/>
      <c r="C49" s="24" t="s">
        <v>29</v>
      </c>
      <c r="D49" s="447">
        <f t="shared" si="67"/>
        <v>0</v>
      </c>
      <c r="E49" s="448">
        <f t="shared" si="46"/>
        <v>0</v>
      </c>
      <c r="F49" s="274">
        <f t="shared" si="68"/>
        <v>0</v>
      </c>
      <c r="G49" s="550"/>
      <c r="H49" s="551"/>
      <c r="I49" s="275">
        <f t="shared" si="47"/>
        <v>0</v>
      </c>
      <c r="J49" s="550"/>
      <c r="K49" s="551"/>
      <c r="L49" s="275">
        <f t="shared" si="48"/>
        <v>0</v>
      </c>
      <c r="M49" s="550"/>
      <c r="N49" s="551"/>
      <c r="O49" s="275">
        <f t="shared" si="49"/>
        <v>0</v>
      </c>
      <c r="P49" s="550"/>
      <c r="Q49" s="551"/>
      <c r="R49" s="275">
        <f t="shared" si="50"/>
        <v>0</v>
      </c>
      <c r="S49" s="550"/>
      <c r="T49" s="551"/>
      <c r="U49" s="275">
        <f t="shared" si="51"/>
        <v>0</v>
      </c>
      <c r="V49" s="550">
        <v>0</v>
      </c>
      <c r="W49" s="551">
        <v>0</v>
      </c>
      <c r="X49" s="275">
        <f t="shared" si="52"/>
        <v>0</v>
      </c>
      <c r="Y49" s="550"/>
      <c r="Z49" s="551"/>
      <c r="AA49" s="275">
        <f t="shared" si="53"/>
        <v>0</v>
      </c>
      <c r="AB49" s="550"/>
      <c r="AC49" s="551"/>
      <c r="AD49" s="275">
        <f t="shared" si="54"/>
        <v>0</v>
      </c>
      <c r="AE49" s="550"/>
      <c r="AF49" s="551"/>
      <c r="AG49" s="275">
        <f t="shared" si="55"/>
        <v>0</v>
      </c>
      <c r="AH49" s="550"/>
      <c r="AI49" s="551"/>
      <c r="AJ49" s="275">
        <f t="shared" si="56"/>
        <v>0</v>
      </c>
      <c r="AK49" s="550">
        <v>0</v>
      </c>
      <c r="AL49" s="551">
        <v>0</v>
      </c>
      <c r="AM49" s="275">
        <f t="shared" si="57"/>
        <v>0</v>
      </c>
      <c r="AN49" s="550"/>
      <c r="AO49" s="551"/>
      <c r="AP49" s="275">
        <f t="shared" si="58"/>
        <v>0</v>
      </c>
      <c r="AQ49" s="550"/>
      <c r="AR49" s="551"/>
      <c r="AS49" s="275">
        <f t="shared" si="59"/>
        <v>0</v>
      </c>
      <c r="AT49" s="550"/>
      <c r="AU49" s="551"/>
      <c r="AV49" s="275">
        <f t="shared" si="60"/>
        <v>0</v>
      </c>
      <c r="AW49" s="550"/>
      <c r="AX49" s="551"/>
      <c r="AY49" s="275">
        <f t="shared" si="61"/>
        <v>0</v>
      </c>
      <c r="AZ49" s="550">
        <v>0</v>
      </c>
      <c r="BA49" s="551">
        <v>0</v>
      </c>
      <c r="BB49" s="275">
        <f t="shared" si="62"/>
        <v>0</v>
      </c>
      <c r="BC49" s="550"/>
      <c r="BD49" s="551"/>
      <c r="BE49" s="275">
        <f t="shared" si="63"/>
        <v>0</v>
      </c>
      <c r="BF49" s="550"/>
      <c r="BG49" s="551"/>
      <c r="BH49" s="275">
        <f t="shared" si="64"/>
        <v>0</v>
      </c>
      <c r="BI49" s="550"/>
      <c r="BJ49" s="551"/>
      <c r="BK49" s="275">
        <f t="shared" si="65"/>
        <v>0</v>
      </c>
      <c r="BL49" s="550"/>
      <c r="BM49" s="551"/>
      <c r="BN49" s="275">
        <f t="shared" si="66"/>
        <v>0</v>
      </c>
      <c r="BO49" s="550">
        <v>0</v>
      </c>
      <c r="BP49" s="551">
        <v>0</v>
      </c>
      <c r="BQ49" s="275">
        <f t="shared" si="44"/>
        <v>0</v>
      </c>
    </row>
    <row r="50" spans="1:70" ht="16" x14ac:dyDescent="0.2">
      <c r="A50" s="1332"/>
      <c r="B50" s="1335"/>
      <c r="C50" s="24" t="s">
        <v>30</v>
      </c>
      <c r="D50" s="447">
        <f t="shared" si="67"/>
        <v>0</v>
      </c>
      <c r="E50" s="448">
        <f t="shared" si="46"/>
        <v>0</v>
      </c>
      <c r="F50" s="274">
        <f t="shared" si="68"/>
        <v>0</v>
      </c>
      <c r="G50" s="550"/>
      <c r="H50" s="551"/>
      <c r="I50" s="275">
        <f t="shared" si="47"/>
        <v>0</v>
      </c>
      <c r="J50" s="550"/>
      <c r="K50" s="551"/>
      <c r="L50" s="275">
        <f t="shared" si="48"/>
        <v>0</v>
      </c>
      <c r="M50" s="550"/>
      <c r="N50" s="551"/>
      <c r="O50" s="275">
        <f t="shared" si="49"/>
        <v>0</v>
      </c>
      <c r="P50" s="550"/>
      <c r="Q50" s="551"/>
      <c r="R50" s="275">
        <f t="shared" si="50"/>
        <v>0</v>
      </c>
      <c r="S50" s="550"/>
      <c r="T50" s="551"/>
      <c r="U50" s="275">
        <f t="shared" si="51"/>
        <v>0</v>
      </c>
      <c r="V50" s="550">
        <v>0</v>
      </c>
      <c r="W50" s="551">
        <v>0</v>
      </c>
      <c r="X50" s="275">
        <f t="shared" si="52"/>
        <v>0</v>
      </c>
      <c r="Y50" s="550"/>
      <c r="Z50" s="551"/>
      <c r="AA50" s="275">
        <f t="shared" si="53"/>
        <v>0</v>
      </c>
      <c r="AB50" s="550"/>
      <c r="AC50" s="551"/>
      <c r="AD50" s="275">
        <f t="shared" si="54"/>
        <v>0</v>
      </c>
      <c r="AE50" s="550"/>
      <c r="AF50" s="551"/>
      <c r="AG50" s="275">
        <f t="shared" si="55"/>
        <v>0</v>
      </c>
      <c r="AH50" s="550"/>
      <c r="AI50" s="551"/>
      <c r="AJ50" s="275">
        <f t="shared" si="56"/>
        <v>0</v>
      </c>
      <c r="AK50" s="550">
        <v>0</v>
      </c>
      <c r="AL50" s="551">
        <v>0</v>
      </c>
      <c r="AM50" s="275">
        <f t="shared" si="57"/>
        <v>0</v>
      </c>
      <c r="AN50" s="550"/>
      <c r="AO50" s="551"/>
      <c r="AP50" s="275">
        <f t="shared" si="58"/>
        <v>0</v>
      </c>
      <c r="AQ50" s="550"/>
      <c r="AR50" s="551"/>
      <c r="AS50" s="275">
        <f t="shared" si="59"/>
        <v>0</v>
      </c>
      <c r="AT50" s="550"/>
      <c r="AU50" s="551"/>
      <c r="AV50" s="275">
        <f t="shared" si="60"/>
        <v>0</v>
      </c>
      <c r="AW50" s="550"/>
      <c r="AX50" s="551"/>
      <c r="AY50" s="275">
        <f t="shared" si="61"/>
        <v>0</v>
      </c>
      <c r="AZ50" s="550">
        <v>0</v>
      </c>
      <c r="BA50" s="551">
        <v>0</v>
      </c>
      <c r="BB50" s="275">
        <f t="shared" si="62"/>
        <v>0</v>
      </c>
      <c r="BC50" s="550"/>
      <c r="BD50" s="551"/>
      <c r="BE50" s="275">
        <f t="shared" si="63"/>
        <v>0</v>
      </c>
      <c r="BF50" s="550"/>
      <c r="BG50" s="551"/>
      <c r="BH50" s="275">
        <f t="shared" si="64"/>
        <v>0</v>
      </c>
      <c r="BI50" s="550"/>
      <c r="BJ50" s="551"/>
      <c r="BK50" s="275">
        <f t="shared" si="65"/>
        <v>0</v>
      </c>
      <c r="BL50" s="550"/>
      <c r="BM50" s="551"/>
      <c r="BN50" s="275">
        <f t="shared" si="66"/>
        <v>0</v>
      </c>
      <c r="BO50" s="550">
        <v>0</v>
      </c>
      <c r="BP50" s="551">
        <v>0</v>
      </c>
      <c r="BQ50" s="275">
        <f t="shared" si="44"/>
        <v>0</v>
      </c>
    </row>
    <row r="51" spans="1:70" ht="16" x14ac:dyDescent="0.2">
      <c r="A51" s="1332"/>
      <c r="B51" s="1335"/>
      <c r="C51" s="24" t="s">
        <v>31</v>
      </c>
      <c r="D51" s="447">
        <f t="shared" si="67"/>
        <v>0</v>
      </c>
      <c r="E51" s="448">
        <f t="shared" si="46"/>
        <v>0</v>
      </c>
      <c r="F51" s="274">
        <f t="shared" si="68"/>
        <v>0</v>
      </c>
      <c r="G51" s="550"/>
      <c r="H51" s="551"/>
      <c r="I51" s="275">
        <f t="shared" si="47"/>
        <v>0</v>
      </c>
      <c r="J51" s="550"/>
      <c r="K51" s="551"/>
      <c r="L51" s="275">
        <f t="shared" si="48"/>
        <v>0</v>
      </c>
      <c r="M51" s="550"/>
      <c r="N51" s="551"/>
      <c r="O51" s="275">
        <f t="shared" si="49"/>
        <v>0</v>
      </c>
      <c r="P51" s="550"/>
      <c r="Q51" s="551"/>
      <c r="R51" s="275">
        <f t="shared" si="50"/>
        <v>0</v>
      </c>
      <c r="S51" s="550"/>
      <c r="T51" s="551"/>
      <c r="U51" s="275">
        <f t="shared" si="51"/>
        <v>0</v>
      </c>
      <c r="V51" s="550">
        <v>0</v>
      </c>
      <c r="W51" s="551">
        <v>0</v>
      </c>
      <c r="X51" s="275">
        <f t="shared" si="52"/>
        <v>0</v>
      </c>
      <c r="Y51" s="550"/>
      <c r="Z51" s="551"/>
      <c r="AA51" s="275">
        <f t="shared" si="53"/>
        <v>0</v>
      </c>
      <c r="AB51" s="550"/>
      <c r="AC51" s="551"/>
      <c r="AD51" s="275">
        <f t="shared" si="54"/>
        <v>0</v>
      </c>
      <c r="AE51" s="550"/>
      <c r="AF51" s="551"/>
      <c r="AG51" s="275">
        <f t="shared" si="55"/>
        <v>0</v>
      </c>
      <c r="AH51" s="550"/>
      <c r="AI51" s="551"/>
      <c r="AJ51" s="275">
        <f t="shared" si="56"/>
        <v>0</v>
      </c>
      <c r="AK51" s="550">
        <v>0</v>
      </c>
      <c r="AL51" s="551">
        <v>0</v>
      </c>
      <c r="AM51" s="275">
        <f t="shared" si="57"/>
        <v>0</v>
      </c>
      <c r="AN51" s="550"/>
      <c r="AO51" s="551"/>
      <c r="AP51" s="275">
        <f t="shared" si="58"/>
        <v>0</v>
      </c>
      <c r="AQ51" s="550"/>
      <c r="AR51" s="551"/>
      <c r="AS51" s="275">
        <f t="shared" si="59"/>
        <v>0</v>
      </c>
      <c r="AT51" s="550"/>
      <c r="AU51" s="551"/>
      <c r="AV51" s="275">
        <f t="shared" si="60"/>
        <v>0</v>
      </c>
      <c r="AW51" s="550"/>
      <c r="AX51" s="551"/>
      <c r="AY51" s="275">
        <f t="shared" si="61"/>
        <v>0</v>
      </c>
      <c r="AZ51" s="550">
        <v>0</v>
      </c>
      <c r="BA51" s="551">
        <v>0</v>
      </c>
      <c r="BB51" s="275">
        <f t="shared" si="62"/>
        <v>0</v>
      </c>
      <c r="BC51" s="550"/>
      <c r="BD51" s="551"/>
      <c r="BE51" s="275">
        <f t="shared" si="63"/>
        <v>0</v>
      </c>
      <c r="BF51" s="550"/>
      <c r="BG51" s="551"/>
      <c r="BH51" s="275">
        <f t="shared" si="64"/>
        <v>0</v>
      </c>
      <c r="BI51" s="550"/>
      <c r="BJ51" s="551"/>
      <c r="BK51" s="275">
        <f t="shared" si="65"/>
        <v>0</v>
      </c>
      <c r="BL51" s="550"/>
      <c r="BM51" s="551"/>
      <c r="BN51" s="275">
        <f t="shared" si="66"/>
        <v>0</v>
      </c>
      <c r="BO51" s="550">
        <v>0</v>
      </c>
      <c r="BP51" s="551">
        <v>0</v>
      </c>
      <c r="BQ51" s="275">
        <f t="shared" si="44"/>
        <v>0</v>
      </c>
    </row>
    <row r="52" spans="1:70" ht="16" x14ac:dyDescent="0.2">
      <c r="A52" s="1332"/>
      <c r="B52" s="1335"/>
      <c r="C52" s="24" t="s">
        <v>32</v>
      </c>
      <c r="D52" s="447">
        <f t="shared" si="67"/>
        <v>0</v>
      </c>
      <c r="E52" s="448">
        <f t="shared" si="46"/>
        <v>0</v>
      </c>
      <c r="F52" s="274">
        <f t="shared" si="68"/>
        <v>0</v>
      </c>
      <c r="G52" s="550"/>
      <c r="H52" s="551"/>
      <c r="I52" s="275">
        <f t="shared" si="47"/>
        <v>0</v>
      </c>
      <c r="J52" s="550"/>
      <c r="K52" s="551"/>
      <c r="L52" s="275">
        <f t="shared" si="48"/>
        <v>0</v>
      </c>
      <c r="M52" s="550"/>
      <c r="N52" s="551"/>
      <c r="O52" s="275">
        <f t="shared" si="49"/>
        <v>0</v>
      </c>
      <c r="P52" s="550"/>
      <c r="Q52" s="551"/>
      <c r="R52" s="275">
        <f t="shared" si="50"/>
        <v>0</v>
      </c>
      <c r="S52" s="550"/>
      <c r="T52" s="551"/>
      <c r="U52" s="275">
        <f t="shared" si="51"/>
        <v>0</v>
      </c>
      <c r="V52" s="550">
        <v>0</v>
      </c>
      <c r="W52" s="551">
        <v>0</v>
      </c>
      <c r="X52" s="275">
        <f t="shared" si="52"/>
        <v>0</v>
      </c>
      <c r="Y52" s="550"/>
      <c r="Z52" s="551"/>
      <c r="AA52" s="275">
        <f t="shared" si="53"/>
        <v>0</v>
      </c>
      <c r="AB52" s="550"/>
      <c r="AC52" s="551"/>
      <c r="AD52" s="275">
        <f t="shared" si="54"/>
        <v>0</v>
      </c>
      <c r="AE52" s="550"/>
      <c r="AF52" s="551"/>
      <c r="AG52" s="275">
        <f t="shared" si="55"/>
        <v>0</v>
      </c>
      <c r="AH52" s="550"/>
      <c r="AI52" s="551"/>
      <c r="AJ52" s="275">
        <f t="shared" si="56"/>
        <v>0</v>
      </c>
      <c r="AK52" s="550">
        <v>0</v>
      </c>
      <c r="AL52" s="551">
        <v>0</v>
      </c>
      <c r="AM52" s="275">
        <f t="shared" si="57"/>
        <v>0</v>
      </c>
      <c r="AN52" s="550"/>
      <c r="AO52" s="551"/>
      <c r="AP52" s="275">
        <f t="shared" si="58"/>
        <v>0</v>
      </c>
      <c r="AQ52" s="550"/>
      <c r="AR52" s="551"/>
      <c r="AS52" s="275">
        <f t="shared" si="59"/>
        <v>0</v>
      </c>
      <c r="AT52" s="550"/>
      <c r="AU52" s="551"/>
      <c r="AV52" s="275">
        <f t="shared" si="60"/>
        <v>0</v>
      </c>
      <c r="AW52" s="550"/>
      <c r="AX52" s="551"/>
      <c r="AY52" s="275">
        <f t="shared" si="61"/>
        <v>0</v>
      </c>
      <c r="AZ52" s="550">
        <v>0</v>
      </c>
      <c r="BA52" s="551">
        <v>0</v>
      </c>
      <c r="BB52" s="275">
        <f t="shared" si="62"/>
        <v>0</v>
      </c>
      <c r="BC52" s="550"/>
      <c r="BD52" s="551"/>
      <c r="BE52" s="275">
        <f t="shared" si="63"/>
        <v>0</v>
      </c>
      <c r="BF52" s="550"/>
      <c r="BG52" s="551"/>
      <c r="BH52" s="275">
        <f t="shared" si="64"/>
        <v>0</v>
      </c>
      <c r="BI52" s="550"/>
      <c r="BJ52" s="551"/>
      <c r="BK52" s="275">
        <f t="shared" si="65"/>
        <v>0</v>
      </c>
      <c r="BL52" s="550"/>
      <c r="BM52" s="551"/>
      <c r="BN52" s="275">
        <f t="shared" si="66"/>
        <v>0</v>
      </c>
      <c r="BO52" s="550">
        <v>0</v>
      </c>
      <c r="BP52" s="551">
        <v>0</v>
      </c>
      <c r="BQ52" s="275">
        <f t="shared" si="44"/>
        <v>0</v>
      </c>
    </row>
    <row r="53" spans="1:70" ht="16" x14ac:dyDescent="0.2">
      <c r="A53" s="1332"/>
      <c r="B53" s="1335"/>
      <c r="C53" s="24" t="s">
        <v>33</v>
      </c>
      <c r="D53" s="447">
        <f t="shared" si="67"/>
        <v>0</v>
      </c>
      <c r="E53" s="448">
        <f t="shared" si="46"/>
        <v>0</v>
      </c>
      <c r="F53" s="274">
        <f t="shared" si="68"/>
        <v>0</v>
      </c>
      <c r="G53" s="550"/>
      <c r="H53" s="551"/>
      <c r="I53" s="275">
        <f t="shared" si="47"/>
        <v>0</v>
      </c>
      <c r="J53" s="550"/>
      <c r="K53" s="551"/>
      <c r="L53" s="275">
        <f t="shared" si="48"/>
        <v>0</v>
      </c>
      <c r="M53" s="550"/>
      <c r="N53" s="551"/>
      <c r="O53" s="275">
        <f t="shared" si="49"/>
        <v>0</v>
      </c>
      <c r="P53" s="550"/>
      <c r="Q53" s="551"/>
      <c r="R53" s="275">
        <f t="shared" si="50"/>
        <v>0</v>
      </c>
      <c r="S53" s="550"/>
      <c r="T53" s="551"/>
      <c r="U53" s="275">
        <f t="shared" si="51"/>
        <v>0</v>
      </c>
      <c r="V53" s="550">
        <v>0</v>
      </c>
      <c r="W53" s="551">
        <v>0</v>
      </c>
      <c r="X53" s="275">
        <f t="shared" si="52"/>
        <v>0</v>
      </c>
      <c r="Y53" s="550"/>
      <c r="Z53" s="551"/>
      <c r="AA53" s="275">
        <f t="shared" si="53"/>
        <v>0</v>
      </c>
      <c r="AB53" s="550"/>
      <c r="AC53" s="551"/>
      <c r="AD53" s="275">
        <f t="shared" si="54"/>
        <v>0</v>
      </c>
      <c r="AE53" s="550"/>
      <c r="AF53" s="551"/>
      <c r="AG53" s="275">
        <f t="shared" si="55"/>
        <v>0</v>
      </c>
      <c r="AH53" s="550"/>
      <c r="AI53" s="551"/>
      <c r="AJ53" s="275">
        <f t="shared" si="56"/>
        <v>0</v>
      </c>
      <c r="AK53" s="550">
        <v>0</v>
      </c>
      <c r="AL53" s="551">
        <v>0</v>
      </c>
      <c r="AM53" s="275">
        <f t="shared" si="57"/>
        <v>0</v>
      </c>
      <c r="AN53" s="550"/>
      <c r="AO53" s="551"/>
      <c r="AP53" s="275">
        <f t="shared" si="58"/>
        <v>0</v>
      </c>
      <c r="AQ53" s="550"/>
      <c r="AR53" s="551"/>
      <c r="AS53" s="275">
        <f t="shared" si="59"/>
        <v>0</v>
      </c>
      <c r="AT53" s="550"/>
      <c r="AU53" s="551"/>
      <c r="AV53" s="275">
        <f t="shared" si="60"/>
        <v>0</v>
      </c>
      <c r="AW53" s="550"/>
      <c r="AX53" s="551"/>
      <c r="AY53" s="275">
        <f t="shared" si="61"/>
        <v>0</v>
      </c>
      <c r="AZ53" s="550">
        <v>0</v>
      </c>
      <c r="BA53" s="551">
        <v>0</v>
      </c>
      <c r="BB53" s="275">
        <f t="shared" si="62"/>
        <v>0</v>
      </c>
      <c r="BC53" s="550"/>
      <c r="BD53" s="551"/>
      <c r="BE53" s="275">
        <f t="shared" si="63"/>
        <v>0</v>
      </c>
      <c r="BF53" s="550"/>
      <c r="BG53" s="551"/>
      <c r="BH53" s="275">
        <f t="shared" si="64"/>
        <v>0</v>
      </c>
      <c r="BI53" s="550"/>
      <c r="BJ53" s="551"/>
      <c r="BK53" s="275">
        <f t="shared" si="65"/>
        <v>0</v>
      </c>
      <c r="BL53" s="550"/>
      <c r="BM53" s="551"/>
      <c r="BN53" s="275">
        <f t="shared" si="66"/>
        <v>0</v>
      </c>
      <c r="BO53" s="550">
        <v>0</v>
      </c>
      <c r="BP53" s="551">
        <v>0</v>
      </c>
      <c r="BQ53" s="275">
        <f t="shared" si="44"/>
        <v>0</v>
      </c>
    </row>
    <row r="54" spans="1:70" ht="17" thickBot="1" x14ac:dyDescent="0.25">
      <c r="A54" s="1333"/>
      <c r="B54" s="1336"/>
      <c r="C54" s="263" t="s">
        <v>34</v>
      </c>
      <c r="D54" s="449">
        <f t="shared" si="67"/>
        <v>0</v>
      </c>
      <c r="E54" s="450">
        <f t="shared" si="46"/>
        <v>0</v>
      </c>
      <c r="F54" s="278">
        <f t="shared" si="68"/>
        <v>0</v>
      </c>
      <c r="G54" s="552"/>
      <c r="H54" s="553"/>
      <c r="I54" s="279">
        <f>H54-G54</f>
        <v>0</v>
      </c>
      <c r="J54" s="552"/>
      <c r="K54" s="553"/>
      <c r="L54" s="279">
        <f>K54-J54</f>
        <v>0</v>
      </c>
      <c r="M54" s="552"/>
      <c r="N54" s="553"/>
      <c r="O54" s="279">
        <f>N54-M54</f>
        <v>0</v>
      </c>
      <c r="P54" s="552"/>
      <c r="Q54" s="553"/>
      <c r="R54" s="279">
        <f>Q54-P54</f>
        <v>0</v>
      </c>
      <c r="S54" s="552"/>
      <c r="T54" s="553"/>
      <c r="U54" s="279">
        <f>T54-S54</f>
        <v>0</v>
      </c>
      <c r="V54" s="552">
        <v>0</v>
      </c>
      <c r="W54" s="553">
        <v>0</v>
      </c>
      <c r="X54" s="279">
        <f>W54-V54</f>
        <v>0</v>
      </c>
      <c r="Y54" s="552"/>
      <c r="Z54" s="553"/>
      <c r="AA54" s="279">
        <f>Z54-Y54</f>
        <v>0</v>
      </c>
      <c r="AB54" s="552"/>
      <c r="AC54" s="553"/>
      <c r="AD54" s="279">
        <f>AC54-AB54</f>
        <v>0</v>
      </c>
      <c r="AE54" s="552"/>
      <c r="AF54" s="553"/>
      <c r="AG54" s="279">
        <f>AF54-AE54</f>
        <v>0</v>
      </c>
      <c r="AH54" s="552"/>
      <c r="AI54" s="553"/>
      <c r="AJ54" s="279">
        <f>AI54-AH54</f>
        <v>0</v>
      </c>
      <c r="AK54" s="552">
        <v>0</v>
      </c>
      <c r="AL54" s="553">
        <v>0</v>
      </c>
      <c r="AM54" s="279">
        <f>AL54-AK54</f>
        <v>0</v>
      </c>
      <c r="AN54" s="552"/>
      <c r="AO54" s="553"/>
      <c r="AP54" s="279">
        <f>AO54-AN54</f>
        <v>0</v>
      </c>
      <c r="AQ54" s="552"/>
      <c r="AR54" s="553"/>
      <c r="AS54" s="279">
        <f>AR54-AQ54</f>
        <v>0</v>
      </c>
      <c r="AT54" s="552"/>
      <c r="AU54" s="553"/>
      <c r="AV54" s="279">
        <f>AU54-AT54</f>
        <v>0</v>
      </c>
      <c r="AW54" s="552"/>
      <c r="AX54" s="553"/>
      <c r="AY54" s="279">
        <f>AX54-AW54</f>
        <v>0</v>
      </c>
      <c r="AZ54" s="552">
        <v>0</v>
      </c>
      <c r="BA54" s="553">
        <v>0</v>
      </c>
      <c r="BB54" s="279">
        <f>BA54-AZ54</f>
        <v>0</v>
      </c>
      <c r="BC54" s="552"/>
      <c r="BD54" s="553"/>
      <c r="BE54" s="279">
        <f>BD54-BC54</f>
        <v>0</v>
      </c>
      <c r="BF54" s="552"/>
      <c r="BG54" s="553"/>
      <c r="BH54" s="279">
        <f>BG54-BF54</f>
        <v>0</v>
      </c>
      <c r="BI54" s="552"/>
      <c r="BJ54" s="553"/>
      <c r="BK54" s="279">
        <f>BJ54-BI54</f>
        <v>0</v>
      </c>
      <c r="BL54" s="552"/>
      <c r="BM54" s="553"/>
      <c r="BN54" s="279">
        <f>BM54-BL54</f>
        <v>0</v>
      </c>
      <c r="BO54" s="552">
        <v>0</v>
      </c>
      <c r="BP54" s="553">
        <v>0</v>
      </c>
      <c r="BQ54" s="279">
        <f>BP54-BO54</f>
        <v>0</v>
      </c>
    </row>
    <row r="55" spans="1:70" s="281" customFormat="1" ht="14.25" customHeight="1" x14ac:dyDescent="0.2">
      <c r="A55" s="1332" t="s">
        <v>39</v>
      </c>
      <c r="B55" s="1335" t="s">
        <v>13</v>
      </c>
      <c r="C55" s="24" t="s">
        <v>25</v>
      </c>
      <c r="D55" s="252">
        <f t="shared" si="67"/>
        <v>0</v>
      </c>
      <c r="E55" s="253">
        <f t="shared" si="46"/>
        <v>0</v>
      </c>
      <c r="F55" s="254">
        <f t="shared" ref="F55:F64" si="69">SUM(I55,L55,O55,R55,U55,X55,AA55,AD55,AG55,AJ55,AM55,AP55,AS55,AV55,AY55,BB55,BB55,BE55,BH55,BK55,BN55,BQ55)</f>
        <v>0</v>
      </c>
      <c r="G55" s="542"/>
      <c r="H55" s="543"/>
      <c r="I55" s="257">
        <f t="shared" ref="I55:I64" si="70">H55-G55</f>
        <v>0</v>
      </c>
      <c r="J55" s="542"/>
      <c r="K55" s="543"/>
      <c r="L55" s="257">
        <f t="shared" ref="L55:L64" si="71">K55-J55</f>
        <v>0</v>
      </c>
      <c r="M55" s="542"/>
      <c r="N55" s="543"/>
      <c r="O55" s="257">
        <f t="shared" ref="O55:O64" si="72">N55-M55</f>
        <v>0</v>
      </c>
      <c r="P55" s="542"/>
      <c r="Q55" s="543"/>
      <c r="R55" s="257">
        <f t="shared" ref="R55:R64" si="73">Q55-P55</f>
        <v>0</v>
      </c>
      <c r="S55" s="542"/>
      <c r="T55" s="543"/>
      <c r="U55" s="257">
        <f t="shared" ref="U55:U64" si="74">T55-S55</f>
        <v>0</v>
      </c>
      <c r="V55" s="542"/>
      <c r="W55" s="543"/>
      <c r="X55" s="257">
        <f t="shared" ref="X55:X64" si="75">W55-V55</f>
        <v>0</v>
      </c>
      <c r="Y55" s="542"/>
      <c r="Z55" s="543"/>
      <c r="AA55" s="257">
        <f t="shared" ref="AA55:AA64" si="76">Z55-Y55</f>
        <v>0</v>
      </c>
      <c r="AB55" s="542"/>
      <c r="AC55" s="543"/>
      <c r="AD55" s="257">
        <f t="shared" ref="AD55:AD64" si="77">AC55-AB55</f>
        <v>0</v>
      </c>
      <c r="AE55" s="542"/>
      <c r="AF55" s="543"/>
      <c r="AG55" s="257">
        <f t="shared" ref="AG55:AG64" si="78">AF55-AE55</f>
        <v>0</v>
      </c>
      <c r="AH55" s="542"/>
      <c r="AI55" s="543"/>
      <c r="AJ55" s="257">
        <f t="shared" ref="AJ55:AJ64" si="79">AI55-AH55</f>
        <v>0</v>
      </c>
      <c r="AK55" s="542"/>
      <c r="AL55" s="543"/>
      <c r="AM55" s="257">
        <f t="shared" ref="AM55:AM64" si="80">AL55-AK55</f>
        <v>0</v>
      </c>
      <c r="AN55" s="542"/>
      <c r="AO55" s="543"/>
      <c r="AP55" s="257">
        <f t="shared" ref="AP55:AP64" si="81">AO55-AN55</f>
        <v>0</v>
      </c>
      <c r="AQ55" s="542"/>
      <c r="AR55" s="543"/>
      <c r="AS55" s="257">
        <f t="shared" ref="AS55:AS64" si="82">AR55-AQ55</f>
        <v>0</v>
      </c>
      <c r="AT55" s="542"/>
      <c r="AU55" s="543"/>
      <c r="AV55" s="257">
        <f t="shared" ref="AV55:AV64" si="83">AU55-AT55</f>
        <v>0</v>
      </c>
      <c r="AW55" s="542"/>
      <c r="AX55" s="543"/>
      <c r="AY55" s="257">
        <f t="shared" ref="AY55:AY64" si="84">AX55-AW55</f>
        <v>0</v>
      </c>
      <c r="AZ55" s="542"/>
      <c r="BA55" s="543"/>
      <c r="BB55" s="257">
        <f t="shared" ref="BB55:BB64" si="85">BA55-AZ55</f>
        <v>0</v>
      </c>
      <c r="BC55" s="542"/>
      <c r="BD55" s="543"/>
      <c r="BE55" s="257">
        <f t="shared" ref="BE55:BE64" si="86">BD55-BC55</f>
        <v>0</v>
      </c>
      <c r="BF55" s="542"/>
      <c r="BG55" s="543"/>
      <c r="BH55" s="257">
        <f t="shared" ref="BH55:BH64" si="87">BG55-BF55</f>
        <v>0</v>
      </c>
      <c r="BI55" s="542"/>
      <c r="BJ55" s="543"/>
      <c r="BK55" s="257">
        <f t="shared" ref="BK55:BK64" si="88">BJ55-BI55</f>
        <v>0</v>
      </c>
      <c r="BL55" s="542"/>
      <c r="BM55" s="543"/>
      <c r="BN55" s="257">
        <f t="shared" ref="BN55:BN64" si="89">BM55-BL55</f>
        <v>0</v>
      </c>
      <c r="BO55" s="542"/>
      <c r="BP55" s="543"/>
      <c r="BQ55" s="257">
        <f t="shared" ref="BQ55:BQ64" si="90">BP55-BO55</f>
        <v>0</v>
      </c>
      <c r="BR55" s="280"/>
    </row>
    <row r="56" spans="1:70" ht="16" x14ac:dyDescent="0.2">
      <c r="A56" s="1332"/>
      <c r="B56" s="1335"/>
      <c r="C56" s="24" t="s">
        <v>26</v>
      </c>
      <c r="D56" s="259">
        <f t="shared" si="67"/>
        <v>0</v>
      </c>
      <c r="E56" s="260">
        <f t="shared" si="46"/>
        <v>0</v>
      </c>
      <c r="F56" s="261">
        <f t="shared" si="69"/>
        <v>0</v>
      </c>
      <c r="G56" s="544"/>
      <c r="H56" s="545"/>
      <c r="I56" s="262">
        <f t="shared" si="70"/>
        <v>0</v>
      </c>
      <c r="J56" s="544"/>
      <c r="K56" s="545"/>
      <c r="L56" s="262">
        <f t="shared" si="71"/>
        <v>0</v>
      </c>
      <c r="M56" s="544"/>
      <c r="N56" s="545"/>
      <c r="O56" s="262">
        <f t="shared" si="72"/>
        <v>0</v>
      </c>
      <c r="P56" s="544"/>
      <c r="Q56" s="545"/>
      <c r="R56" s="262">
        <f t="shared" si="73"/>
        <v>0</v>
      </c>
      <c r="S56" s="544"/>
      <c r="T56" s="545"/>
      <c r="U56" s="262">
        <f t="shared" si="74"/>
        <v>0</v>
      </c>
      <c r="V56" s="544"/>
      <c r="W56" s="545"/>
      <c r="X56" s="262">
        <f t="shared" si="75"/>
        <v>0</v>
      </c>
      <c r="Y56" s="544"/>
      <c r="Z56" s="545"/>
      <c r="AA56" s="262">
        <f t="shared" si="76"/>
        <v>0</v>
      </c>
      <c r="AB56" s="544"/>
      <c r="AC56" s="545"/>
      <c r="AD56" s="262">
        <f t="shared" si="77"/>
        <v>0</v>
      </c>
      <c r="AE56" s="544"/>
      <c r="AF56" s="545"/>
      <c r="AG56" s="262">
        <f t="shared" si="78"/>
        <v>0</v>
      </c>
      <c r="AH56" s="544"/>
      <c r="AI56" s="545"/>
      <c r="AJ56" s="262">
        <f t="shared" si="79"/>
        <v>0</v>
      </c>
      <c r="AK56" s="544"/>
      <c r="AL56" s="545"/>
      <c r="AM56" s="262">
        <f t="shared" si="80"/>
        <v>0</v>
      </c>
      <c r="AN56" s="544"/>
      <c r="AO56" s="545"/>
      <c r="AP56" s="262">
        <f t="shared" si="81"/>
        <v>0</v>
      </c>
      <c r="AQ56" s="544"/>
      <c r="AR56" s="545"/>
      <c r="AS56" s="262">
        <f t="shared" si="82"/>
        <v>0</v>
      </c>
      <c r="AT56" s="544"/>
      <c r="AU56" s="545"/>
      <c r="AV56" s="262">
        <f t="shared" si="83"/>
        <v>0</v>
      </c>
      <c r="AW56" s="544"/>
      <c r="AX56" s="545"/>
      <c r="AY56" s="262">
        <f t="shared" si="84"/>
        <v>0</v>
      </c>
      <c r="AZ56" s="544"/>
      <c r="BA56" s="545"/>
      <c r="BB56" s="262">
        <f t="shared" si="85"/>
        <v>0</v>
      </c>
      <c r="BC56" s="544"/>
      <c r="BD56" s="545"/>
      <c r="BE56" s="262">
        <f t="shared" si="86"/>
        <v>0</v>
      </c>
      <c r="BF56" s="544"/>
      <c r="BG56" s="545"/>
      <c r="BH56" s="262">
        <f t="shared" si="87"/>
        <v>0</v>
      </c>
      <c r="BI56" s="544"/>
      <c r="BJ56" s="545"/>
      <c r="BK56" s="262">
        <f t="shared" si="88"/>
        <v>0</v>
      </c>
      <c r="BL56" s="544"/>
      <c r="BM56" s="545"/>
      <c r="BN56" s="262">
        <f t="shared" si="89"/>
        <v>0</v>
      </c>
      <c r="BO56" s="544"/>
      <c r="BP56" s="545"/>
      <c r="BQ56" s="262">
        <f t="shared" si="90"/>
        <v>0</v>
      </c>
    </row>
    <row r="57" spans="1:70" ht="16" x14ac:dyDescent="0.2">
      <c r="A57" s="1332"/>
      <c r="B57" s="1335"/>
      <c r="C57" s="24" t="s">
        <v>27</v>
      </c>
      <c r="D57" s="259">
        <f t="shared" si="67"/>
        <v>0</v>
      </c>
      <c r="E57" s="260">
        <f t="shared" si="46"/>
        <v>3054919.8884074399</v>
      </c>
      <c r="F57" s="261">
        <f t="shared" si="69"/>
        <v>3054919.8884074399</v>
      </c>
      <c r="G57" s="544"/>
      <c r="H57" s="545">
        <f>'Vyhodnotenie benefitov NetAcad'!J$79*(Sumarizácia!$E$3/Sumarizácia!$D$3)</f>
        <v>1213874.6529555467</v>
      </c>
      <c r="I57" s="262">
        <f t="shared" si="70"/>
        <v>1213874.6529555467</v>
      </c>
      <c r="J57" s="544"/>
      <c r="K57" s="545">
        <f>'Vyhodnotenie benefitov NetAcad'!J79*(Sumarizácia!$F$3/Sumarizácia!$D$3)</f>
        <v>236547.07280916075</v>
      </c>
      <c r="L57" s="262">
        <f t="shared" si="71"/>
        <v>236547.07280916075</v>
      </c>
      <c r="M57" s="544"/>
      <c r="N57" s="545">
        <f>'Vyhodnotenie benefitov NetAcad'!J79*(Sumarizácia!$G$3/Sumarizácia!$D$3)</f>
        <v>57819.80083159871</v>
      </c>
      <c r="O57" s="262">
        <f t="shared" si="72"/>
        <v>57819.80083159871</v>
      </c>
      <c r="P57" s="544"/>
      <c r="Q57" s="545">
        <f>'Vyhodnotenie benefitov NetAcad'!J79*(Sumarizácia!$H$3/Sumarizácia!$D$3)</f>
        <v>56426.957661914574</v>
      </c>
      <c r="R57" s="262">
        <f t="shared" si="73"/>
        <v>56426.957661914574</v>
      </c>
      <c r="S57" s="544"/>
      <c r="T57" s="545">
        <f>'Vyhodnotenie benefitov NetAcad'!J79*(Sumarizácia!$I$3/Sumarizácia!$D$3)</f>
        <v>180669.33673379297</v>
      </c>
      <c r="U57" s="262">
        <f t="shared" si="74"/>
        <v>180669.33673379297</v>
      </c>
      <c r="V57" s="544"/>
      <c r="W57" s="545">
        <f>'Vyhodnotenie benefitov NetAcad'!J79*(Sumarizácia!$J$3/Sumarizácia!$D$3)</f>
        <v>57674.89163276778</v>
      </c>
      <c r="X57" s="262">
        <f t="shared" si="75"/>
        <v>57674.89163276778</v>
      </c>
      <c r="Y57" s="544"/>
      <c r="Z57" s="545">
        <f>'Vyhodnotenie benefitov NetAcad'!J79*(Sumarizácia!$K$3/Sumarizácia!$D$3)</f>
        <v>603235.54218005645</v>
      </c>
      <c r="AA57" s="262">
        <f t="shared" si="76"/>
        <v>603235.54218005645</v>
      </c>
      <c r="AB57" s="544"/>
      <c r="AC57" s="545">
        <f>'Vyhodnotenie benefitov NetAcad'!J79*(Sumarizácia!$L$3/Sumarizácia!$D$3)</f>
        <v>300053.37850897416</v>
      </c>
      <c r="AD57" s="262">
        <f t="shared" si="77"/>
        <v>300053.37850897416</v>
      </c>
      <c r="AE57" s="544"/>
      <c r="AF57" s="545">
        <f>'Vyhodnotenie benefitov NetAcad'!J79*(Sumarizácia!$M$3/Sumarizácia!$D$3)</f>
        <v>93668.749718778199</v>
      </c>
      <c r="AG57" s="262">
        <f t="shared" si="78"/>
        <v>93668.749718778199</v>
      </c>
      <c r="AH57" s="544"/>
      <c r="AI57" s="545">
        <f>'Vyhodnotenie benefitov NetAcad'!J79*(Sumarizácia!$N$3/Sumarizácia!$D$3)</f>
        <v>2920.9193022503332</v>
      </c>
      <c r="AJ57" s="262">
        <f t="shared" si="79"/>
        <v>2920.9193022503332</v>
      </c>
      <c r="AK57" s="544"/>
      <c r="AL57" s="545">
        <f>'Vyhodnotenie benefitov NetAcad'!J79*(Sumarizácia!$O$3/Sumarizácia!$D$3)</f>
        <v>252028.58607259908</v>
      </c>
      <c r="AM57" s="262">
        <f t="shared" si="80"/>
        <v>252028.58607259908</v>
      </c>
      <c r="AN57" s="544"/>
      <c r="AO57" s="545"/>
      <c r="AP57" s="262">
        <f t="shared" si="81"/>
        <v>0</v>
      </c>
      <c r="AQ57" s="544"/>
      <c r="AR57" s="545"/>
      <c r="AS57" s="262">
        <f t="shared" si="82"/>
        <v>0</v>
      </c>
      <c r="AT57" s="544"/>
      <c r="AU57" s="545"/>
      <c r="AV57" s="262">
        <f t="shared" si="83"/>
        <v>0</v>
      </c>
      <c r="AW57" s="544"/>
      <c r="AX57" s="545"/>
      <c r="AY57" s="262">
        <f t="shared" si="84"/>
        <v>0</v>
      </c>
      <c r="AZ57" s="544"/>
      <c r="BA57" s="545"/>
      <c r="BB57" s="262">
        <f t="shared" si="85"/>
        <v>0</v>
      </c>
      <c r="BC57" s="544"/>
      <c r="BD57" s="545"/>
      <c r="BE57" s="262">
        <f t="shared" si="86"/>
        <v>0</v>
      </c>
      <c r="BF57" s="544"/>
      <c r="BG57" s="545"/>
      <c r="BH57" s="262">
        <f t="shared" si="87"/>
        <v>0</v>
      </c>
      <c r="BI57" s="544"/>
      <c r="BJ57" s="545"/>
      <c r="BK57" s="262">
        <f t="shared" si="88"/>
        <v>0</v>
      </c>
      <c r="BL57" s="544"/>
      <c r="BM57" s="545"/>
      <c r="BN57" s="262">
        <f t="shared" si="89"/>
        <v>0</v>
      </c>
      <c r="BO57" s="544"/>
      <c r="BP57" s="545"/>
      <c r="BQ57" s="262">
        <f t="shared" si="90"/>
        <v>0</v>
      </c>
    </row>
    <row r="58" spans="1:70" ht="16" x14ac:dyDescent="0.2">
      <c r="A58" s="1332"/>
      <c r="B58" s="1335"/>
      <c r="C58" s="24" t="s">
        <v>28</v>
      </c>
      <c r="D58" s="259">
        <f t="shared" si="67"/>
        <v>0</v>
      </c>
      <c r="E58" s="260">
        <f t="shared" si="46"/>
        <v>3054919.8884074399</v>
      </c>
      <c r="F58" s="261">
        <f t="shared" si="69"/>
        <v>3054919.8884074399</v>
      </c>
      <c r="G58" s="544"/>
      <c r="H58" s="545">
        <f>'Vyhodnotenie benefitov NetAcad'!K$79*(Sumarizácia!$E$3/Sumarizácia!$D$3)</f>
        <v>1213874.6529555467</v>
      </c>
      <c r="I58" s="262">
        <f t="shared" si="70"/>
        <v>1213874.6529555467</v>
      </c>
      <c r="J58" s="544"/>
      <c r="K58" s="545">
        <f>'Vyhodnotenie benefitov NetAcad'!K$79*(Sumarizácia!$F$3/Sumarizácia!$D$3)</f>
        <v>236547.07280916075</v>
      </c>
      <c r="L58" s="262">
        <f t="shared" si="71"/>
        <v>236547.07280916075</v>
      </c>
      <c r="M58" s="544"/>
      <c r="N58" s="545">
        <f>'Vyhodnotenie benefitov NetAcad'!K$79*(Sumarizácia!$G$3/Sumarizácia!$D$3)</f>
        <v>57819.80083159871</v>
      </c>
      <c r="O58" s="262">
        <f t="shared" si="72"/>
        <v>57819.80083159871</v>
      </c>
      <c r="P58" s="544"/>
      <c r="Q58" s="545">
        <f>'Vyhodnotenie benefitov NetAcad'!K$79*(Sumarizácia!$H$3/Sumarizácia!$D$3)</f>
        <v>56426.957661914574</v>
      </c>
      <c r="R58" s="262">
        <f t="shared" si="73"/>
        <v>56426.957661914574</v>
      </c>
      <c r="S58" s="544"/>
      <c r="T58" s="545">
        <f>'Vyhodnotenie benefitov NetAcad'!K$79*(Sumarizácia!$I$3/Sumarizácia!$D$3)</f>
        <v>180669.33673379297</v>
      </c>
      <c r="U58" s="262">
        <f t="shared" si="74"/>
        <v>180669.33673379297</v>
      </c>
      <c r="V58" s="544"/>
      <c r="W58" s="545">
        <f>'Vyhodnotenie benefitov NetAcad'!K$79*(Sumarizácia!$J$3/Sumarizácia!$D$3)</f>
        <v>57674.89163276778</v>
      </c>
      <c r="X58" s="262">
        <f t="shared" si="75"/>
        <v>57674.89163276778</v>
      </c>
      <c r="Y58" s="544"/>
      <c r="Z58" s="545">
        <f>'Vyhodnotenie benefitov NetAcad'!K$79*(Sumarizácia!$K$3/Sumarizácia!$D$3)</f>
        <v>603235.54218005645</v>
      </c>
      <c r="AA58" s="262">
        <f t="shared" si="76"/>
        <v>603235.54218005645</v>
      </c>
      <c r="AB58" s="544"/>
      <c r="AC58" s="545">
        <f>'Vyhodnotenie benefitov NetAcad'!K$79*(Sumarizácia!$L$3/Sumarizácia!$D$3)</f>
        <v>300053.37850897416</v>
      </c>
      <c r="AD58" s="262">
        <f t="shared" si="77"/>
        <v>300053.37850897416</v>
      </c>
      <c r="AE58" s="544"/>
      <c r="AF58" s="545">
        <f>'Vyhodnotenie benefitov NetAcad'!K$79*(Sumarizácia!$M$3/Sumarizácia!$D$3)</f>
        <v>93668.749718778199</v>
      </c>
      <c r="AG58" s="262">
        <f t="shared" si="78"/>
        <v>93668.749718778199</v>
      </c>
      <c r="AH58" s="544"/>
      <c r="AI58" s="545">
        <f>'Vyhodnotenie benefitov NetAcad'!K$79*(Sumarizácia!$N$3/Sumarizácia!$D$3)</f>
        <v>2920.9193022503332</v>
      </c>
      <c r="AJ58" s="262">
        <f t="shared" si="79"/>
        <v>2920.9193022503332</v>
      </c>
      <c r="AK58" s="544"/>
      <c r="AL58" s="545">
        <f>'Vyhodnotenie benefitov NetAcad'!K$79*(Sumarizácia!$O$3/Sumarizácia!$D$3)</f>
        <v>252028.58607259908</v>
      </c>
      <c r="AM58" s="262">
        <f t="shared" si="80"/>
        <v>252028.58607259908</v>
      </c>
      <c r="AN58" s="544"/>
      <c r="AO58" s="545"/>
      <c r="AP58" s="262">
        <f t="shared" si="81"/>
        <v>0</v>
      </c>
      <c r="AQ58" s="544"/>
      <c r="AR58" s="545"/>
      <c r="AS58" s="262">
        <f t="shared" si="82"/>
        <v>0</v>
      </c>
      <c r="AT58" s="544"/>
      <c r="AU58" s="545"/>
      <c r="AV58" s="262">
        <f t="shared" si="83"/>
        <v>0</v>
      </c>
      <c r="AW58" s="544"/>
      <c r="AX58" s="545"/>
      <c r="AY58" s="262">
        <f t="shared" si="84"/>
        <v>0</v>
      </c>
      <c r="AZ58" s="544"/>
      <c r="BA58" s="545"/>
      <c r="BB58" s="262">
        <f t="shared" si="85"/>
        <v>0</v>
      </c>
      <c r="BC58" s="544"/>
      <c r="BD58" s="545"/>
      <c r="BE58" s="262">
        <f t="shared" si="86"/>
        <v>0</v>
      </c>
      <c r="BF58" s="544"/>
      <c r="BG58" s="545"/>
      <c r="BH58" s="262">
        <f t="shared" si="87"/>
        <v>0</v>
      </c>
      <c r="BI58" s="544"/>
      <c r="BJ58" s="545"/>
      <c r="BK58" s="262">
        <f t="shared" si="88"/>
        <v>0</v>
      </c>
      <c r="BL58" s="544"/>
      <c r="BM58" s="545"/>
      <c r="BN58" s="262">
        <f t="shared" si="89"/>
        <v>0</v>
      </c>
      <c r="BO58" s="544"/>
      <c r="BP58" s="545"/>
      <c r="BQ58" s="262">
        <f t="shared" si="90"/>
        <v>0</v>
      </c>
    </row>
    <row r="59" spans="1:70" ht="16" x14ac:dyDescent="0.2">
      <c r="A59" s="1332"/>
      <c r="B59" s="1335"/>
      <c r="C59" s="24" t="s">
        <v>29</v>
      </c>
      <c r="D59" s="259">
        <f t="shared" si="67"/>
        <v>0</v>
      </c>
      <c r="E59" s="260">
        <f t="shared" si="46"/>
        <v>4069455.4791245125</v>
      </c>
      <c r="F59" s="261">
        <f t="shared" si="69"/>
        <v>4069455.4791245125</v>
      </c>
      <c r="G59" s="544"/>
      <c r="H59" s="545">
        <f>'Vyhodnotenie benefitov NetAcad'!L$79*(Sumarizácia!$E$3/Sumarizácia!$D$3)</f>
        <v>1617001.112266642</v>
      </c>
      <c r="I59" s="262">
        <f t="shared" si="70"/>
        <v>1617001.112266642</v>
      </c>
      <c r="J59" s="544"/>
      <c r="K59" s="545">
        <f>'Vyhodnotenie benefitov NetAcad'!L$79*(Sumarizácia!$F$3/Sumarizácia!$D$3)</f>
        <v>315104.09983808984</v>
      </c>
      <c r="L59" s="262">
        <f t="shared" si="71"/>
        <v>315104.09983808984</v>
      </c>
      <c r="M59" s="544"/>
      <c r="N59" s="545">
        <f>'Vyhodnotenie benefitov NetAcad'!L$79*(Sumarizácia!$G$3/Sumarizácia!$D$3)</f>
        <v>77021.694149465606</v>
      </c>
      <c r="O59" s="262">
        <f t="shared" si="72"/>
        <v>77021.694149465606</v>
      </c>
      <c r="P59" s="544"/>
      <c r="Q59" s="545">
        <f>'Vyhodnotenie benefitov NetAcad'!L$79*(Sumarizácia!$H$3/Sumarizácia!$D$3)</f>
        <v>75166.289269638422</v>
      </c>
      <c r="R59" s="262">
        <f t="shared" si="73"/>
        <v>75166.289269638422</v>
      </c>
      <c r="S59" s="544"/>
      <c r="T59" s="545">
        <f>'Vyhodnotenie benefitov NetAcad'!L$79*(Sumarizácia!$I$3/Sumarizácia!$D$3)</f>
        <v>240669.42804984844</v>
      </c>
      <c r="U59" s="262">
        <f t="shared" si="74"/>
        <v>240669.42804984844</v>
      </c>
      <c r="V59" s="544"/>
      <c r="W59" s="545">
        <f>'Vyhodnotenie benefitov NetAcad'!L$79*(Sumarizácia!$J$3/Sumarizácia!$D$3)</f>
        <v>76828.660762437736</v>
      </c>
      <c r="X59" s="262">
        <f t="shared" si="75"/>
        <v>76828.660762437736</v>
      </c>
      <c r="Y59" s="544"/>
      <c r="Z59" s="545">
        <f>'Vyhodnotenie benefitov NetAcad'!L$79*(Sumarizácia!$K$3/Sumarizácia!$D$3)</f>
        <v>803569.41327420855</v>
      </c>
      <c r="AA59" s="262">
        <f t="shared" si="76"/>
        <v>803569.41327420855</v>
      </c>
      <c r="AB59" s="544"/>
      <c r="AC59" s="545">
        <f>'Vyhodnotenie benefitov NetAcad'!L$79*(Sumarizácia!$L$3/Sumarizácia!$D$3)</f>
        <v>399700.7809719402</v>
      </c>
      <c r="AD59" s="262">
        <f t="shared" si="77"/>
        <v>399700.7809719402</v>
      </c>
      <c r="AE59" s="544"/>
      <c r="AF59" s="545">
        <f>'Vyhodnotenie benefitov NetAcad'!L$79*(Sumarizácia!$M$3/Sumarizácia!$D$3)</f>
        <v>124776.04018759979</v>
      </c>
      <c r="AG59" s="262">
        <f t="shared" si="78"/>
        <v>124776.04018759979</v>
      </c>
      <c r="AH59" s="544"/>
      <c r="AI59" s="545">
        <f>'Vyhodnotenie benefitov NetAcad'!L$79*(Sumarizácia!$N$3/Sumarizácia!$D$3)</f>
        <v>3890.9534432406158</v>
      </c>
      <c r="AJ59" s="262">
        <f t="shared" si="79"/>
        <v>3890.9534432406158</v>
      </c>
      <c r="AK59" s="544"/>
      <c r="AL59" s="545">
        <f>'Vyhodnotenie benefitov NetAcad'!L$79*(Sumarizácia!$O$3/Sumarizácia!$D$3)</f>
        <v>335727.0069114014</v>
      </c>
      <c r="AM59" s="262">
        <f t="shared" si="80"/>
        <v>335727.0069114014</v>
      </c>
      <c r="AN59" s="544"/>
      <c r="AO59" s="545"/>
      <c r="AP59" s="262">
        <f t="shared" si="81"/>
        <v>0</v>
      </c>
      <c r="AQ59" s="544"/>
      <c r="AR59" s="545"/>
      <c r="AS59" s="262">
        <f t="shared" si="82"/>
        <v>0</v>
      </c>
      <c r="AT59" s="544"/>
      <c r="AU59" s="545"/>
      <c r="AV59" s="262">
        <f t="shared" si="83"/>
        <v>0</v>
      </c>
      <c r="AW59" s="544"/>
      <c r="AX59" s="545"/>
      <c r="AY59" s="262">
        <f t="shared" si="84"/>
        <v>0</v>
      </c>
      <c r="AZ59" s="544"/>
      <c r="BA59" s="545"/>
      <c r="BB59" s="262">
        <f t="shared" si="85"/>
        <v>0</v>
      </c>
      <c r="BC59" s="544"/>
      <c r="BD59" s="545"/>
      <c r="BE59" s="262">
        <f t="shared" si="86"/>
        <v>0</v>
      </c>
      <c r="BF59" s="544"/>
      <c r="BG59" s="545"/>
      <c r="BH59" s="262">
        <f t="shared" si="87"/>
        <v>0</v>
      </c>
      <c r="BI59" s="544"/>
      <c r="BJ59" s="545"/>
      <c r="BK59" s="262">
        <f t="shared" si="88"/>
        <v>0</v>
      </c>
      <c r="BL59" s="544"/>
      <c r="BM59" s="545"/>
      <c r="BN59" s="262">
        <f t="shared" si="89"/>
        <v>0</v>
      </c>
      <c r="BO59" s="544"/>
      <c r="BP59" s="545"/>
      <c r="BQ59" s="262">
        <f t="shared" si="90"/>
        <v>0</v>
      </c>
    </row>
    <row r="60" spans="1:70" ht="16" x14ac:dyDescent="0.2">
      <c r="A60" s="1332"/>
      <c r="B60" s="1335"/>
      <c r="C60" s="24" t="s">
        <v>30</v>
      </c>
      <c r="D60" s="259">
        <f t="shared" si="67"/>
        <v>0</v>
      </c>
      <c r="E60" s="260">
        <f t="shared" si="46"/>
        <v>7581424.5520049995</v>
      </c>
      <c r="F60" s="261">
        <f t="shared" si="69"/>
        <v>7581424.5520049995</v>
      </c>
      <c r="G60" s="544"/>
      <c r="H60" s="545">
        <f>'Vyhodnotenie benefitov NetAcad'!M$79*(Sumarizácia!$E$3/Sumarizácia!$D$3)</f>
        <v>3012484.5930972332</v>
      </c>
      <c r="I60" s="262">
        <f t="shared" si="70"/>
        <v>3012484.5930972332</v>
      </c>
      <c r="J60" s="544"/>
      <c r="K60" s="545">
        <f>'Vyhodnotenie benefitov NetAcad'!M$79*(Sumarizácia!$F$3/Sumarizácia!$D$3)</f>
        <v>587041.18307835038</v>
      </c>
      <c r="L60" s="262">
        <f t="shared" si="71"/>
        <v>587041.18307835038</v>
      </c>
      <c r="M60" s="544"/>
      <c r="N60" s="545">
        <f>'Vyhodnotenie benefitov NetAcad'!M$79*(Sumarizácia!$G$3/Sumarizácia!$D$3)</f>
        <v>143491.96497104911</v>
      </c>
      <c r="O60" s="262">
        <f t="shared" si="72"/>
        <v>143491.96497104911</v>
      </c>
      <c r="P60" s="544"/>
      <c r="Q60" s="545">
        <f>'Vyhodnotenie benefitov NetAcad'!M$79*(Sumarizácia!$H$3/Sumarizácia!$D$3)</f>
        <v>140035.33246038755</v>
      </c>
      <c r="R60" s="262">
        <f t="shared" si="73"/>
        <v>140035.33246038755</v>
      </c>
      <c r="S60" s="544"/>
      <c r="T60" s="545">
        <f>'Vyhodnotenie benefitov NetAcad'!M$79*(Sumarizácia!$I$3/Sumarizácia!$D$3)</f>
        <v>448368.85919849481</v>
      </c>
      <c r="U60" s="262">
        <f t="shared" si="74"/>
        <v>448368.85919849481</v>
      </c>
      <c r="V60" s="544"/>
      <c r="W60" s="545">
        <f>'Vyhodnotenie benefitov NetAcad'!M$79*(Sumarizácia!$J$3/Sumarizácia!$D$3)</f>
        <v>143132.34239567581</v>
      </c>
      <c r="X60" s="262">
        <f t="shared" si="75"/>
        <v>143132.34239567581</v>
      </c>
      <c r="Y60" s="544"/>
      <c r="Z60" s="545">
        <f>'Vyhodnotenie benefitov NetAcad'!M$79*(Sumarizácia!$K$3/Sumarizácia!$D$3)</f>
        <v>1497055.542268272</v>
      </c>
      <c r="AA60" s="262">
        <f t="shared" si="76"/>
        <v>1497055.542268272</v>
      </c>
      <c r="AB60" s="544"/>
      <c r="AC60" s="545">
        <f>'Vyhodnotenie benefitov NetAcad'!M$79*(Sumarizácia!$L$3/Sumarizácia!$D$3)</f>
        <v>744645.40277220786</v>
      </c>
      <c r="AD60" s="262">
        <f t="shared" si="77"/>
        <v>744645.40277220786</v>
      </c>
      <c r="AE60" s="544"/>
      <c r="AF60" s="545">
        <f>'Vyhodnotenie benefitov NetAcad'!M$79*(Sumarizácia!$M$3/Sumarizácia!$D$3)</f>
        <v>232458.65188424333</v>
      </c>
      <c r="AG60" s="262">
        <f t="shared" si="78"/>
        <v>232458.65188424333</v>
      </c>
      <c r="AH60" s="544"/>
      <c r="AI60" s="545">
        <f>'Vyhodnotenie benefitov NetAcad'!M$79*(Sumarizácia!$N$3/Sumarizácia!$D$3)</f>
        <v>7248.8739873470986</v>
      </c>
      <c r="AJ60" s="262">
        <f t="shared" si="79"/>
        <v>7248.8739873470986</v>
      </c>
      <c r="AK60" s="544"/>
      <c r="AL60" s="545">
        <f>'Vyhodnotenie benefitov NetAcad'!M$79*(Sumarizácia!$O$3/Sumarizácia!$D$3)</f>
        <v>625461.80589173932</v>
      </c>
      <c r="AM60" s="262">
        <f t="shared" si="80"/>
        <v>625461.80589173932</v>
      </c>
      <c r="AN60" s="544"/>
      <c r="AO60" s="545"/>
      <c r="AP60" s="262">
        <f t="shared" si="81"/>
        <v>0</v>
      </c>
      <c r="AQ60" s="544"/>
      <c r="AR60" s="545"/>
      <c r="AS60" s="262">
        <f t="shared" si="82"/>
        <v>0</v>
      </c>
      <c r="AT60" s="544"/>
      <c r="AU60" s="545"/>
      <c r="AV60" s="262">
        <f t="shared" si="83"/>
        <v>0</v>
      </c>
      <c r="AW60" s="544"/>
      <c r="AX60" s="545"/>
      <c r="AY60" s="262">
        <f t="shared" si="84"/>
        <v>0</v>
      </c>
      <c r="AZ60" s="544"/>
      <c r="BA60" s="545"/>
      <c r="BB60" s="262">
        <f t="shared" si="85"/>
        <v>0</v>
      </c>
      <c r="BC60" s="544"/>
      <c r="BD60" s="545"/>
      <c r="BE60" s="262">
        <f t="shared" si="86"/>
        <v>0</v>
      </c>
      <c r="BF60" s="544"/>
      <c r="BG60" s="545"/>
      <c r="BH60" s="262">
        <f t="shared" si="87"/>
        <v>0</v>
      </c>
      <c r="BI60" s="544"/>
      <c r="BJ60" s="545"/>
      <c r="BK60" s="262">
        <f t="shared" si="88"/>
        <v>0</v>
      </c>
      <c r="BL60" s="544"/>
      <c r="BM60" s="545"/>
      <c r="BN60" s="262">
        <f t="shared" si="89"/>
        <v>0</v>
      </c>
      <c r="BO60" s="544"/>
      <c r="BP60" s="545"/>
      <c r="BQ60" s="262">
        <f t="shared" si="90"/>
        <v>0</v>
      </c>
    </row>
    <row r="61" spans="1:70" ht="16" x14ac:dyDescent="0.2">
      <c r="A61" s="1332"/>
      <c r="B61" s="1335"/>
      <c r="C61" s="24" t="s">
        <v>31</v>
      </c>
      <c r="D61" s="259">
        <f t="shared" si="67"/>
        <v>0</v>
      </c>
      <c r="E61" s="260">
        <f t="shared" si="46"/>
        <v>7581424.5520049995</v>
      </c>
      <c r="F61" s="261">
        <f t="shared" si="69"/>
        <v>7581424.5520049995</v>
      </c>
      <c r="G61" s="544"/>
      <c r="H61" s="545">
        <f>'Vyhodnotenie benefitov NetAcad'!N$79*(Sumarizácia!$E$3/Sumarizácia!$D$3)</f>
        <v>3012484.5930972332</v>
      </c>
      <c r="I61" s="262">
        <f t="shared" si="70"/>
        <v>3012484.5930972332</v>
      </c>
      <c r="J61" s="544"/>
      <c r="K61" s="545">
        <f>'Vyhodnotenie benefitov NetAcad'!N$79*(Sumarizácia!$F$3/Sumarizácia!$D$3)</f>
        <v>587041.18307835038</v>
      </c>
      <c r="L61" s="262">
        <f t="shared" si="71"/>
        <v>587041.18307835038</v>
      </c>
      <c r="M61" s="544"/>
      <c r="N61" s="545">
        <f>'Vyhodnotenie benefitov NetAcad'!N$79*(Sumarizácia!$G$3/Sumarizácia!$D$3)</f>
        <v>143491.96497104911</v>
      </c>
      <c r="O61" s="262">
        <f t="shared" si="72"/>
        <v>143491.96497104911</v>
      </c>
      <c r="P61" s="544"/>
      <c r="Q61" s="545">
        <f>'Vyhodnotenie benefitov NetAcad'!N$79*(Sumarizácia!$H$3/Sumarizácia!$D$3)</f>
        <v>140035.33246038755</v>
      </c>
      <c r="R61" s="262">
        <f t="shared" si="73"/>
        <v>140035.33246038755</v>
      </c>
      <c r="S61" s="544"/>
      <c r="T61" s="545">
        <f>'Vyhodnotenie benefitov NetAcad'!N$79*(Sumarizácia!$I$3/Sumarizácia!$D$3)</f>
        <v>448368.85919849481</v>
      </c>
      <c r="U61" s="262">
        <f t="shared" si="74"/>
        <v>448368.85919849481</v>
      </c>
      <c r="V61" s="544"/>
      <c r="W61" s="545">
        <f>'Vyhodnotenie benefitov NetAcad'!N$79*(Sumarizácia!$J$3/Sumarizácia!$D$3)</f>
        <v>143132.34239567581</v>
      </c>
      <c r="X61" s="262">
        <f t="shared" si="75"/>
        <v>143132.34239567581</v>
      </c>
      <c r="Y61" s="544"/>
      <c r="Z61" s="545">
        <f>'Vyhodnotenie benefitov NetAcad'!N$79*(Sumarizácia!$K$3/Sumarizácia!$D$3)</f>
        <v>1497055.542268272</v>
      </c>
      <c r="AA61" s="262">
        <f t="shared" si="76"/>
        <v>1497055.542268272</v>
      </c>
      <c r="AB61" s="544"/>
      <c r="AC61" s="545">
        <f>'Vyhodnotenie benefitov NetAcad'!N$79*(Sumarizácia!$L$3/Sumarizácia!$D$3)</f>
        <v>744645.40277220786</v>
      </c>
      <c r="AD61" s="262">
        <f t="shared" si="77"/>
        <v>744645.40277220786</v>
      </c>
      <c r="AE61" s="544"/>
      <c r="AF61" s="545">
        <f>'Vyhodnotenie benefitov NetAcad'!N$79*(Sumarizácia!$M$3/Sumarizácia!$D$3)</f>
        <v>232458.65188424333</v>
      </c>
      <c r="AG61" s="262">
        <f t="shared" si="78"/>
        <v>232458.65188424333</v>
      </c>
      <c r="AH61" s="544"/>
      <c r="AI61" s="545">
        <f>'Vyhodnotenie benefitov NetAcad'!N$79*(Sumarizácia!$N$3/Sumarizácia!$D$3)</f>
        <v>7248.8739873470986</v>
      </c>
      <c r="AJ61" s="262">
        <f t="shared" si="79"/>
        <v>7248.8739873470986</v>
      </c>
      <c r="AK61" s="544"/>
      <c r="AL61" s="545">
        <f>'Vyhodnotenie benefitov NetAcad'!N$79*(Sumarizácia!$O$3/Sumarizácia!$D$3)</f>
        <v>625461.80589173932</v>
      </c>
      <c r="AM61" s="262">
        <f t="shared" si="80"/>
        <v>625461.80589173932</v>
      </c>
      <c r="AN61" s="544"/>
      <c r="AO61" s="545"/>
      <c r="AP61" s="262">
        <f t="shared" si="81"/>
        <v>0</v>
      </c>
      <c r="AQ61" s="544"/>
      <c r="AR61" s="545"/>
      <c r="AS61" s="262">
        <f t="shared" si="82"/>
        <v>0</v>
      </c>
      <c r="AT61" s="544"/>
      <c r="AU61" s="545"/>
      <c r="AV61" s="262">
        <f t="shared" si="83"/>
        <v>0</v>
      </c>
      <c r="AW61" s="544"/>
      <c r="AX61" s="545"/>
      <c r="AY61" s="262">
        <f t="shared" si="84"/>
        <v>0</v>
      </c>
      <c r="AZ61" s="544"/>
      <c r="BA61" s="545"/>
      <c r="BB61" s="262">
        <f t="shared" si="85"/>
        <v>0</v>
      </c>
      <c r="BC61" s="544"/>
      <c r="BD61" s="545"/>
      <c r="BE61" s="262">
        <f t="shared" si="86"/>
        <v>0</v>
      </c>
      <c r="BF61" s="544"/>
      <c r="BG61" s="545"/>
      <c r="BH61" s="262">
        <f t="shared" si="87"/>
        <v>0</v>
      </c>
      <c r="BI61" s="544"/>
      <c r="BJ61" s="545"/>
      <c r="BK61" s="262">
        <f t="shared" si="88"/>
        <v>0</v>
      </c>
      <c r="BL61" s="544"/>
      <c r="BM61" s="545"/>
      <c r="BN61" s="262">
        <f t="shared" si="89"/>
        <v>0</v>
      </c>
      <c r="BO61" s="544"/>
      <c r="BP61" s="545"/>
      <c r="BQ61" s="262">
        <f t="shared" si="90"/>
        <v>0</v>
      </c>
    </row>
    <row r="62" spans="1:70" ht="16" x14ac:dyDescent="0.2">
      <c r="A62" s="1332"/>
      <c r="B62" s="1335"/>
      <c r="C62" s="24" t="s">
        <v>32</v>
      </c>
      <c r="D62" s="259">
        <f t="shared" ref="D62:D64" si="91">SUM(G62,J62,M62,P62,S62,V62,Y62,AB62,AE62,AH62,AK62,AN62,AQ62,AT62,AW62,AZ62,AZ62,BC62,BF62,BI62,BL62,BO62)</f>
        <v>0</v>
      </c>
      <c r="E62" s="260">
        <f t="shared" si="46"/>
        <v>7581424.5520049995</v>
      </c>
      <c r="F62" s="261">
        <f t="shared" si="69"/>
        <v>7581424.5520049995</v>
      </c>
      <c r="G62" s="544"/>
      <c r="H62" s="545">
        <f>'Vyhodnotenie benefitov NetAcad'!O$79*(Sumarizácia!$E$3/Sumarizácia!$D$3)</f>
        <v>3012484.5930972332</v>
      </c>
      <c r="I62" s="262">
        <f t="shared" si="70"/>
        <v>3012484.5930972332</v>
      </c>
      <c r="J62" s="544"/>
      <c r="K62" s="545">
        <f>'Vyhodnotenie benefitov NetAcad'!O$79*(Sumarizácia!$F$3/Sumarizácia!$D$3)</f>
        <v>587041.18307835038</v>
      </c>
      <c r="L62" s="262">
        <f t="shared" si="71"/>
        <v>587041.18307835038</v>
      </c>
      <c r="M62" s="544"/>
      <c r="N62" s="545">
        <f>'Vyhodnotenie benefitov NetAcad'!O$79*(Sumarizácia!$G$3/Sumarizácia!$D$3)</f>
        <v>143491.96497104911</v>
      </c>
      <c r="O62" s="262">
        <f t="shared" si="72"/>
        <v>143491.96497104911</v>
      </c>
      <c r="P62" s="544"/>
      <c r="Q62" s="545">
        <f>'Vyhodnotenie benefitov NetAcad'!O$79*(Sumarizácia!$H$3/Sumarizácia!$D$3)</f>
        <v>140035.33246038755</v>
      </c>
      <c r="R62" s="262">
        <f t="shared" si="73"/>
        <v>140035.33246038755</v>
      </c>
      <c r="S62" s="544"/>
      <c r="T62" s="545">
        <f>'Vyhodnotenie benefitov NetAcad'!O$79*(Sumarizácia!$I$3/Sumarizácia!$D$3)</f>
        <v>448368.85919849481</v>
      </c>
      <c r="U62" s="262">
        <f t="shared" si="74"/>
        <v>448368.85919849481</v>
      </c>
      <c r="V62" s="544"/>
      <c r="W62" s="545">
        <f>'Vyhodnotenie benefitov NetAcad'!O$79*(Sumarizácia!$J$3/Sumarizácia!$D$3)</f>
        <v>143132.34239567581</v>
      </c>
      <c r="X62" s="262">
        <f t="shared" si="75"/>
        <v>143132.34239567581</v>
      </c>
      <c r="Y62" s="544"/>
      <c r="Z62" s="545">
        <f>'Vyhodnotenie benefitov NetAcad'!O$79*(Sumarizácia!$K$3/Sumarizácia!$D$3)</f>
        <v>1497055.542268272</v>
      </c>
      <c r="AA62" s="262">
        <f t="shared" si="76"/>
        <v>1497055.542268272</v>
      </c>
      <c r="AB62" s="544"/>
      <c r="AC62" s="545">
        <f>'Vyhodnotenie benefitov NetAcad'!O$79*(Sumarizácia!$L$3/Sumarizácia!$D$3)</f>
        <v>744645.40277220786</v>
      </c>
      <c r="AD62" s="262">
        <f t="shared" si="77"/>
        <v>744645.40277220786</v>
      </c>
      <c r="AE62" s="544"/>
      <c r="AF62" s="545">
        <f>'Vyhodnotenie benefitov NetAcad'!O$79*(Sumarizácia!$M$3/Sumarizácia!$D$3)</f>
        <v>232458.65188424333</v>
      </c>
      <c r="AG62" s="262">
        <f t="shared" si="78"/>
        <v>232458.65188424333</v>
      </c>
      <c r="AH62" s="544"/>
      <c r="AI62" s="545">
        <f>'Vyhodnotenie benefitov NetAcad'!O$79*(Sumarizácia!$N$3/Sumarizácia!$D$3)</f>
        <v>7248.8739873470986</v>
      </c>
      <c r="AJ62" s="262">
        <f t="shared" si="79"/>
        <v>7248.8739873470986</v>
      </c>
      <c r="AK62" s="544"/>
      <c r="AL62" s="545">
        <f>'Vyhodnotenie benefitov NetAcad'!O$79*(Sumarizácia!$O$3/Sumarizácia!$D$3)</f>
        <v>625461.80589173932</v>
      </c>
      <c r="AM62" s="262">
        <f t="shared" si="80"/>
        <v>625461.80589173932</v>
      </c>
      <c r="AN62" s="544"/>
      <c r="AO62" s="545"/>
      <c r="AP62" s="262">
        <f t="shared" si="81"/>
        <v>0</v>
      </c>
      <c r="AQ62" s="544"/>
      <c r="AR62" s="545"/>
      <c r="AS62" s="262">
        <f t="shared" si="82"/>
        <v>0</v>
      </c>
      <c r="AT62" s="544"/>
      <c r="AU62" s="545"/>
      <c r="AV62" s="262">
        <f t="shared" si="83"/>
        <v>0</v>
      </c>
      <c r="AW62" s="544"/>
      <c r="AX62" s="545"/>
      <c r="AY62" s="262">
        <f t="shared" si="84"/>
        <v>0</v>
      </c>
      <c r="AZ62" s="544"/>
      <c r="BA62" s="545"/>
      <c r="BB62" s="262">
        <f t="shared" si="85"/>
        <v>0</v>
      </c>
      <c r="BC62" s="544"/>
      <c r="BD62" s="545"/>
      <c r="BE62" s="262">
        <f t="shared" si="86"/>
        <v>0</v>
      </c>
      <c r="BF62" s="544"/>
      <c r="BG62" s="545"/>
      <c r="BH62" s="262">
        <f t="shared" si="87"/>
        <v>0</v>
      </c>
      <c r="BI62" s="544"/>
      <c r="BJ62" s="545"/>
      <c r="BK62" s="262">
        <f t="shared" si="88"/>
        <v>0</v>
      </c>
      <c r="BL62" s="544"/>
      <c r="BM62" s="545"/>
      <c r="BN62" s="262">
        <f t="shared" si="89"/>
        <v>0</v>
      </c>
      <c r="BO62" s="544"/>
      <c r="BP62" s="545"/>
      <c r="BQ62" s="262">
        <f t="shared" si="90"/>
        <v>0</v>
      </c>
    </row>
    <row r="63" spans="1:70" ht="16" x14ac:dyDescent="0.2">
      <c r="A63" s="1332"/>
      <c r="B63" s="1335"/>
      <c r="C63" s="24" t="s">
        <v>33</v>
      </c>
      <c r="D63" s="259">
        <f t="shared" si="91"/>
        <v>0</v>
      </c>
      <c r="E63" s="260">
        <f t="shared" si="46"/>
        <v>7581424.5520049995</v>
      </c>
      <c r="F63" s="261">
        <f t="shared" si="69"/>
        <v>7581424.5520049995</v>
      </c>
      <c r="G63" s="544"/>
      <c r="H63" s="545">
        <f>'Vyhodnotenie benefitov NetAcad'!P$79*(Sumarizácia!$E$3/Sumarizácia!$D$3)</f>
        <v>3012484.5930972332</v>
      </c>
      <c r="I63" s="262">
        <f t="shared" si="70"/>
        <v>3012484.5930972332</v>
      </c>
      <c r="J63" s="544"/>
      <c r="K63" s="545">
        <f>'Vyhodnotenie benefitov NetAcad'!P$79*(Sumarizácia!$F$3/Sumarizácia!$D$3)</f>
        <v>587041.18307835038</v>
      </c>
      <c r="L63" s="262">
        <f t="shared" si="71"/>
        <v>587041.18307835038</v>
      </c>
      <c r="M63" s="544"/>
      <c r="N63" s="545">
        <f>'Vyhodnotenie benefitov NetAcad'!P$79*(Sumarizácia!$G$3/Sumarizácia!$D$3)</f>
        <v>143491.96497104911</v>
      </c>
      <c r="O63" s="262">
        <f t="shared" si="72"/>
        <v>143491.96497104911</v>
      </c>
      <c r="P63" s="544"/>
      <c r="Q63" s="545">
        <f>'Vyhodnotenie benefitov NetAcad'!P$79*(Sumarizácia!$H$3/Sumarizácia!$D$3)</f>
        <v>140035.33246038755</v>
      </c>
      <c r="R63" s="262">
        <f t="shared" si="73"/>
        <v>140035.33246038755</v>
      </c>
      <c r="S63" s="544"/>
      <c r="T63" s="545">
        <f>'Vyhodnotenie benefitov NetAcad'!P$79*(Sumarizácia!$I$3/Sumarizácia!$D$3)</f>
        <v>448368.85919849481</v>
      </c>
      <c r="U63" s="262">
        <f t="shared" si="74"/>
        <v>448368.85919849481</v>
      </c>
      <c r="V63" s="544"/>
      <c r="W63" s="545">
        <f>'Vyhodnotenie benefitov NetAcad'!P$79*(Sumarizácia!$J$3/Sumarizácia!$D$3)</f>
        <v>143132.34239567581</v>
      </c>
      <c r="X63" s="262">
        <f t="shared" si="75"/>
        <v>143132.34239567581</v>
      </c>
      <c r="Y63" s="544"/>
      <c r="Z63" s="545">
        <f>'Vyhodnotenie benefitov NetAcad'!P$79*(Sumarizácia!$K$3/Sumarizácia!$D$3)</f>
        <v>1497055.542268272</v>
      </c>
      <c r="AA63" s="262">
        <f t="shared" si="76"/>
        <v>1497055.542268272</v>
      </c>
      <c r="AB63" s="544"/>
      <c r="AC63" s="545">
        <f>'Vyhodnotenie benefitov NetAcad'!P$79*(Sumarizácia!$L$3/Sumarizácia!$D$3)</f>
        <v>744645.40277220786</v>
      </c>
      <c r="AD63" s="262">
        <f t="shared" si="77"/>
        <v>744645.40277220786</v>
      </c>
      <c r="AE63" s="544"/>
      <c r="AF63" s="545">
        <f>'Vyhodnotenie benefitov NetAcad'!P$79*(Sumarizácia!$M$3/Sumarizácia!$D$3)</f>
        <v>232458.65188424333</v>
      </c>
      <c r="AG63" s="262">
        <f t="shared" si="78"/>
        <v>232458.65188424333</v>
      </c>
      <c r="AH63" s="544"/>
      <c r="AI63" s="545">
        <f>'Vyhodnotenie benefitov NetAcad'!P$79*(Sumarizácia!$N$3/Sumarizácia!$D$3)</f>
        <v>7248.8739873470986</v>
      </c>
      <c r="AJ63" s="262">
        <f t="shared" si="79"/>
        <v>7248.8739873470986</v>
      </c>
      <c r="AK63" s="544"/>
      <c r="AL63" s="545">
        <f>'Vyhodnotenie benefitov NetAcad'!P$79*(Sumarizácia!$O$3/Sumarizácia!$D$3)</f>
        <v>625461.80589173932</v>
      </c>
      <c r="AM63" s="262">
        <f t="shared" si="80"/>
        <v>625461.80589173932</v>
      </c>
      <c r="AN63" s="544"/>
      <c r="AO63" s="545"/>
      <c r="AP63" s="262">
        <f t="shared" si="81"/>
        <v>0</v>
      </c>
      <c r="AQ63" s="544"/>
      <c r="AR63" s="545"/>
      <c r="AS63" s="262">
        <f t="shared" si="82"/>
        <v>0</v>
      </c>
      <c r="AT63" s="544"/>
      <c r="AU63" s="545"/>
      <c r="AV63" s="262">
        <f t="shared" si="83"/>
        <v>0</v>
      </c>
      <c r="AW63" s="544"/>
      <c r="AX63" s="545"/>
      <c r="AY63" s="262">
        <f t="shared" si="84"/>
        <v>0</v>
      </c>
      <c r="AZ63" s="544"/>
      <c r="BA63" s="545"/>
      <c r="BB63" s="262">
        <f t="shared" si="85"/>
        <v>0</v>
      </c>
      <c r="BC63" s="544"/>
      <c r="BD63" s="545"/>
      <c r="BE63" s="262">
        <f t="shared" si="86"/>
        <v>0</v>
      </c>
      <c r="BF63" s="544"/>
      <c r="BG63" s="545"/>
      <c r="BH63" s="262">
        <f t="shared" si="87"/>
        <v>0</v>
      </c>
      <c r="BI63" s="544"/>
      <c r="BJ63" s="545"/>
      <c r="BK63" s="262">
        <f t="shared" si="88"/>
        <v>0</v>
      </c>
      <c r="BL63" s="544"/>
      <c r="BM63" s="545"/>
      <c r="BN63" s="262">
        <f t="shared" si="89"/>
        <v>0</v>
      </c>
      <c r="BO63" s="544"/>
      <c r="BP63" s="545"/>
      <c r="BQ63" s="262">
        <f t="shared" si="90"/>
        <v>0</v>
      </c>
    </row>
    <row r="64" spans="1:70" s="283" customFormat="1" ht="17" thickBot="1" x14ac:dyDescent="0.25">
      <c r="A64" s="1333"/>
      <c r="B64" s="1336"/>
      <c r="C64" s="263" t="s">
        <v>34</v>
      </c>
      <c r="D64" s="264">
        <f t="shared" si="91"/>
        <v>0</v>
      </c>
      <c r="E64" s="265">
        <f t="shared" si="46"/>
        <v>7581424.5520049995</v>
      </c>
      <c r="F64" s="266">
        <f t="shared" si="69"/>
        <v>7581424.5520049995</v>
      </c>
      <c r="G64" s="546"/>
      <c r="H64" s="545">
        <f>'Vyhodnotenie benefitov NetAcad'!Q$79*(Sumarizácia!$E$3/Sumarizácia!$D$3)</f>
        <v>3012484.5930972332</v>
      </c>
      <c r="I64" s="267">
        <f t="shared" si="70"/>
        <v>3012484.5930972332</v>
      </c>
      <c r="J64" s="546"/>
      <c r="K64" s="545">
        <f>'Vyhodnotenie benefitov NetAcad'!Q$79*(Sumarizácia!$F$3/Sumarizácia!$D$3)</f>
        <v>587041.18307835038</v>
      </c>
      <c r="L64" s="267">
        <f t="shared" si="71"/>
        <v>587041.18307835038</v>
      </c>
      <c r="M64" s="546"/>
      <c r="N64" s="545">
        <f>'Vyhodnotenie benefitov NetAcad'!Q$79*(Sumarizácia!$G$3/Sumarizácia!$D$3)</f>
        <v>143491.96497104911</v>
      </c>
      <c r="O64" s="267">
        <f t="shared" si="72"/>
        <v>143491.96497104911</v>
      </c>
      <c r="P64" s="546"/>
      <c r="Q64" s="545">
        <f>'Vyhodnotenie benefitov NetAcad'!Q$79*(Sumarizácia!$H$3/Sumarizácia!$D$3)</f>
        <v>140035.33246038755</v>
      </c>
      <c r="R64" s="267">
        <f t="shared" si="73"/>
        <v>140035.33246038755</v>
      </c>
      <c r="S64" s="546"/>
      <c r="T64" s="545">
        <f>'Vyhodnotenie benefitov NetAcad'!Q$79*(Sumarizácia!$I$3/Sumarizácia!$D$3)</f>
        <v>448368.85919849481</v>
      </c>
      <c r="U64" s="267">
        <f t="shared" si="74"/>
        <v>448368.85919849481</v>
      </c>
      <c r="V64" s="546"/>
      <c r="W64" s="545">
        <f>'Vyhodnotenie benefitov NetAcad'!Q$79*(Sumarizácia!$J$3/Sumarizácia!$D$3)</f>
        <v>143132.34239567581</v>
      </c>
      <c r="X64" s="267">
        <f t="shared" si="75"/>
        <v>143132.34239567581</v>
      </c>
      <c r="Y64" s="546"/>
      <c r="Z64" s="545">
        <f>'Vyhodnotenie benefitov NetAcad'!Q$79*(Sumarizácia!$K$3/Sumarizácia!$D$3)</f>
        <v>1497055.542268272</v>
      </c>
      <c r="AA64" s="267">
        <f t="shared" si="76"/>
        <v>1497055.542268272</v>
      </c>
      <c r="AB64" s="546"/>
      <c r="AC64" s="545">
        <f>'Vyhodnotenie benefitov NetAcad'!Q$79*(Sumarizácia!$L$3/Sumarizácia!$D$3)</f>
        <v>744645.40277220786</v>
      </c>
      <c r="AD64" s="267">
        <f t="shared" si="77"/>
        <v>744645.40277220786</v>
      </c>
      <c r="AE64" s="546"/>
      <c r="AF64" s="545">
        <f>'Vyhodnotenie benefitov NetAcad'!Q$79*(Sumarizácia!$M$3/Sumarizácia!$D$3)</f>
        <v>232458.65188424333</v>
      </c>
      <c r="AG64" s="267">
        <f t="shared" si="78"/>
        <v>232458.65188424333</v>
      </c>
      <c r="AH64" s="546"/>
      <c r="AI64" s="545">
        <f>'Vyhodnotenie benefitov NetAcad'!Q$79*(Sumarizácia!$N$3/Sumarizácia!$D$3)</f>
        <v>7248.8739873470986</v>
      </c>
      <c r="AJ64" s="267">
        <f t="shared" si="79"/>
        <v>7248.8739873470986</v>
      </c>
      <c r="AK64" s="546"/>
      <c r="AL64" s="545">
        <f>'Vyhodnotenie benefitov NetAcad'!Q$79*(Sumarizácia!$O$3/Sumarizácia!$D$3)</f>
        <v>625461.80589173932</v>
      </c>
      <c r="AM64" s="267">
        <f t="shared" si="80"/>
        <v>625461.80589173932</v>
      </c>
      <c r="AN64" s="546"/>
      <c r="AO64" s="547"/>
      <c r="AP64" s="267">
        <f t="shared" si="81"/>
        <v>0</v>
      </c>
      <c r="AQ64" s="546"/>
      <c r="AR64" s="547"/>
      <c r="AS64" s="267">
        <f t="shared" si="82"/>
        <v>0</v>
      </c>
      <c r="AT64" s="546"/>
      <c r="AU64" s="547"/>
      <c r="AV64" s="267">
        <f t="shared" si="83"/>
        <v>0</v>
      </c>
      <c r="AW64" s="546"/>
      <c r="AX64" s="547"/>
      <c r="AY64" s="267">
        <f t="shared" si="84"/>
        <v>0</v>
      </c>
      <c r="AZ64" s="546"/>
      <c r="BA64" s="547"/>
      <c r="BB64" s="267">
        <f t="shared" si="85"/>
        <v>0</v>
      </c>
      <c r="BC64" s="546"/>
      <c r="BD64" s="547"/>
      <c r="BE64" s="267">
        <f t="shared" si="86"/>
        <v>0</v>
      </c>
      <c r="BF64" s="546"/>
      <c r="BG64" s="547"/>
      <c r="BH64" s="267">
        <f t="shared" si="87"/>
        <v>0</v>
      </c>
      <c r="BI64" s="546"/>
      <c r="BJ64" s="547"/>
      <c r="BK64" s="267">
        <f t="shared" si="88"/>
        <v>0</v>
      </c>
      <c r="BL64" s="546"/>
      <c r="BM64" s="547"/>
      <c r="BN64" s="267">
        <f t="shared" si="89"/>
        <v>0</v>
      </c>
      <c r="BO64" s="546"/>
      <c r="BP64" s="547"/>
      <c r="BQ64" s="267">
        <f t="shared" si="90"/>
        <v>0</v>
      </c>
      <c r="BR64" s="282"/>
    </row>
    <row r="65" spans="1:70" ht="17" thickBot="1" x14ac:dyDescent="0.25">
      <c r="A65" s="284"/>
      <c r="B65" s="285"/>
      <c r="C65" s="286"/>
      <c r="D65" s="285"/>
      <c r="E65" s="285"/>
      <c r="F65" s="287" t="s">
        <v>102</v>
      </c>
      <c r="G65" s="288"/>
      <c r="H65" s="288"/>
      <c r="I65" s="289"/>
      <c r="J65" s="288"/>
      <c r="K65" s="288"/>
      <c r="L65" s="289"/>
      <c r="M65" s="288"/>
      <c r="N65" s="288"/>
      <c r="O65" s="289"/>
      <c r="P65" s="288"/>
      <c r="Q65" s="288"/>
      <c r="R65" s="289"/>
      <c r="S65" s="288"/>
      <c r="T65" s="288"/>
      <c r="U65" s="289"/>
      <c r="V65" s="288"/>
      <c r="W65" s="288"/>
      <c r="X65" s="289"/>
      <c r="Y65" s="288"/>
      <c r="Z65" s="288"/>
      <c r="AA65" s="289"/>
      <c r="AB65" s="288"/>
      <c r="AC65" s="288"/>
      <c r="AD65" s="289"/>
      <c r="AE65" s="288"/>
      <c r="AF65" s="288"/>
      <c r="AG65" s="289"/>
      <c r="AH65" s="288"/>
      <c r="AI65" s="288"/>
      <c r="AJ65" s="289"/>
      <c r="AK65" s="288"/>
      <c r="AL65" s="288"/>
      <c r="AM65" s="289"/>
      <c r="AN65" s="288"/>
      <c r="AO65" s="288"/>
      <c r="AP65" s="289"/>
      <c r="AQ65" s="288"/>
      <c r="AR65" s="288"/>
      <c r="AS65" s="289"/>
      <c r="AT65" s="288"/>
      <c r="AU65" s="288"/>
      <c r="AV65" s="289"/>
      <c r="AW65" s="288"/>
      <c r="AX65" s="288"/>
      <c r="AY65" s="289"/>
      <c r="AZ65" s="288"/>
      <c r="BA65" s="288"/>
      <c r="BB65" s="289"/>
      <c r="BC65" s="288"/>
      <c r="BD65" s="288"/>
      <c r="BE65" s="289"/>
      <c r="BF65" s="288"/>
      <c r="BG65" s="288"/>
      <c r="BH65" s="289"/>
      <c r="BI65" s="288"/>
      <c r="BJ65" s="288"/>
      <c r="BK65" s="289"/>
      <c r="BL65" s="288"/>
      <c r="BM65" s="288"/>
      <c r="BN65" s="289"/>
      <c r="BO65" s="288"/>
      <c r="BP65" s="288"/>
      <c r="BQ65" s="289"/>
    </row>
    <row r="66" spans="1:70" ht="16" x14ac:dyDescent="0.2">
      <c r="A66" s="1346" t="s">
        <v>235</v>
      </c>
      <c r="B66" s="1348" t="s">
        <v>37</v>
      </c>
      <c r="C66" s="290" t="s">
        <v>25</v>
      </c>
      <c r="D66" s="291">
        <f t="shared" ref="D66:D75" si="92">SUM(G66,J66,M66,P66,S66,V66,Y66,AB66,AE66,AH66,AK66,AN66,AQ66,AT66,AW66,AZ66,AZ66,BC66,BF66,BI66,BL66,BO66)</f>
        <v>0</v>
      </c>
      <c r="E66" s="292">
        <f t="shared" ref="E66:E75" si="93">SUM(H66,K66,N66,Q66,T66,W66,Z66,AC66,AF66,AI66,AL66,AO66,AR66,AU66,AX66,BA66,BA66,BD66,BG66,BJ66,BM66,BP66)</f>
        <v>0</v>
      </c>
      <c r="F66" s="293">
        <f t="shared" ref="F66:F75" si="94">SUM(I66,L66,O66,R66,U66,X66,AA66,AD66,AG66,AJ66,AM66,AP66,AS66,AV66,AY66,BB66,BB66,BE66,BH66,BK66,BN66,BQ66)</f>
        <v>0</v>
      </c>
      <c r="G66" s="294">
        <f t="shared" ref="G66:G75" si="95">G5</f>
        <v>0</v>
      </c>
      <c r="H66" s="295">
        <f t="shared" ref="H66:H75" si="96">H5*(1+$BR$66)</f>
        <v>0</v>
      </c>
      <c r="I66" s="296">
        <f>H66-G66</f>
        <v>0</v>
      </c>
      <c r="J66" s="294">
        <f t="shared" ref="J66:J75" si="97">J5</f>
        <v>0</v>
      </c>
      <c r="K66" s="295">
        <f t="shared" ref="K66:K75" si="98">K5*(1+$BR$66)</f>
        <v>0</v>
      </c>
      <c r="L66" s="296">
        <f>K66-J66</f>
        <v>0</v>
      </c>
      <c r="M66" s="294">
        <f t="shared" ref="M66:M75" si="99">M5</f>
        <v>0</v>
      </c>
      <c r="N66" s="295">
        <f t="shared" ref="N66:N75" si="100">N5*(1+$BR$66)</f>
        <v>0</v>
      </c>
      <c r="O66" s="296">
        <f>N66-M66</f>
        <v>0</v>
      </c>
      <c r="P66" s="294">
        <f t="shared" ref="P66:P75" si="101">P5</f>
        <v>0</v>
      </c>
      <c r="Q66" s="295">
        <f t="shared" ref="Q66:Q75" si="102">Q5*(1+$BR$66)</f>
        <v>0</v>
      </c>
      <c r="R66" s="296">
        <f t="shared" ref="R66:R75" si="103">Q66-P66</f>
        <v>0</v>
      </c>
      <c r="S66" s="294">
        <f t="shared" ref="S66:S75" si="104">S5</f>
        <v>0</v>
      </c>
      <c r="T66" s="295">
        <f t="shared" ref="T66:T75" si="105">T5*(1+$BR$66)</f>
        <v>0</v>
      </c>
      <c r="U66" s="296">
        <f t="shared" ref="U66:U75" si="106">T66-S66</f>
        <v>0</v>
      </c>
      <c r="V66" s="294">
        <f t="shared" ref="V66:V75" si="107">V5</f>
        <v>0</v>
      </c>
      <c r="W66" s="295">
        <f t="shared" ref="W66:W75" si="108">W5*(1+$BR$66)</f>
        <v>0</v>
      </c>
      <c r="X66" s="296">
        <f t="shared" ref="X66:X75" si="109">W66-V66</f>
        <v>0</v>
      </c>
      <c r="Y66" s="294">
        <f t="shared" ref="Y66:Y75" si="110">Y5</f>
        <v>0</v>
      </c>
      <c r="Z66" s="295">
        <f t="shared" ref="Z66:Z75" si="111">Z5*(1+$BR$66)</f>
        <v>0</v>
      </c>
      <c r="AA66" s="296">
        <f>Z66-Y66</f>
        <v>0</v>
      </c>
      <c r="AB66" s="294">
        <f t="shared" ref="AB66:AB75" si="112">AB5</f>
        <v>0</v>
      </c>
      <c r="AC66" s="295">
        <f t="shared" ref="AC66:AC75" si="113">AC5*(1+$BR$66)</f>
        <v>0</v>
      </c>
      <c r="AD66" s="296">
        <f>AC66-AB66</f>
        <v>0</v>
      </c>
      <c r="AE66" s="294">
        <f t="shared" ref="AE66:AE75" si="114">AE5</f>
        <v>0</v>
      </c>
      <c r="AF66" s="295">
        <f t="shared" ref="AF66:AF75" si="115">AF5*(1+$BR$66)</f>
        <v>0</v>
      </c>
      <c r="AG66" s="296">
        <f t="shared" ref="AG66:AG75" si="116">AF66-AE66</f>
        <v>0</v>
      </c>
      <c r="AH66" s="294">
        <f t="shared" ref="AH66:AH75" si="117">AH5</f>
        <v>0</v>
      </c>
      <c r="AI66" s="295">
        <f t="shared" ref="AI66:AI75" si="118">AI5*(1+$BR$66)</f>
        <v>0</v>
      </c>
      <c r="AJ66" s="296">
        <f t="shared" ref="AJ66:AJ75" si="119">AI66-AH66</f>
        <v>0</v>
      </c>
      <c r="AK66" s="294">
        <f t="shared" ref="AK66:AK75" si="120">AK5</f>
        <v>0</v>
      </c>
      <c r="AL66" s="295">
        <f t="shared" ref="AL66:AL75" si="121">AL5*(1+$BR$66)</f>
        <v>0</v>
      </c>
      <c r="AM66" s="296">
        <f t="shared" ref="AM66:AM75" si="122">AL66-AK66</f>
        <v>0</v>
      </c>
      <c r="AN66" s="294">
        <f t="shared" ref="AN66:AN75" si="123">AN5</f>
        <v>0</v>
      </c>
      <c r="AO66" s="295">
        <f t="shared" ref="AO66:AO75" si="124">AO5*(1+$BR$66)</f>
        <v>0</v>
      </c>
      <c r="AP66" s="296">
        <f>AO66-AN66</f>
        <v>0</v>
      </c>
      <c r="AQ66" s="294">
        <f t="shared" ref="AQ66:AQ75" si="125">AQ5</f>
        <v>0</v>
      </c>
      <c r="AR66" s="295">
        <f t="shared" ref="AR66:AR75" si="126">AR5*(1+$BR$66)</f>
        <v>0</v>
      </c>
      <c r="AS66" s="296">
        <f>AR66-AQ66</f>
        <v>0</v>
      </c>
      <c r="AT66" s="294">
        <f t="shared" ref="AT66:AT75" si="127">AT5</f>
        <v>0</v>
      </c>
      <c r="AU66" s="295">
        <f t="shared" ref="AU66:AU75" si="128">AU5*(1+$BR$66)</f>
        <v>0</v>
      </c>
      <c r="AV66" s="296">
        <f t="shared" ref="AV66:AV75" si="129">AU66-AT66</f>
        <v>0</v>
      </c>
      <c r="AW66" s="294">
        <f t="shared" ref="AW66:AW75" si="130">AW5</f>
        <v>0</v>
      </c>
      <c r="AX66" s="295">
        <f t="shared" ref="AX66:AX75" si="131">AX5*(1+$BR$66)</f>
        <v>0</v>
      </c>
      <c r="AY66" s="296">
        <f t="shared" ref="AY66:AY75" si="132">AX66-AW66</f>
        <v>0</v>
      </c>
      <c r="AZ66" s="294">
        <f t="shared" ref="AZ66:AZ75" si="133">AZ5</f>
        <v>0</v>
      </c>
      <c r="BA66" s="295">
        <f t="shared" ref="BA66:BA75" si="134">BA5*(1+$BR$66)</f>
        <v>0</v>
      </c>
      <c r="BB66" s="296">
        <f t="shared" ref="BB66:BB75" si="135">BA66-AZ66</f>
        <v>0</v>
      </c>
      <c r="BC66" s="294">
        <f t="shared" ref="BC66:BC75" si="136">BC5</f>
        <v>0</v>
      </c>
      <c r="BD66" s="295">
        <f t="shared" ref="BD66:BD75" si="137">BD5*(1+$BR$66)</f>
        <v>0</v>
      </c>
      <c r="BE66" s="296">
        <f>BD66-BC66</f>
        <v>0</v>
      </c>
      <c r="BF66" s="294">
        <f t="shared" ref="BF66:BF75" si="138">BF5</f>
        <v>0</v>
      </c>
      <c r="BG66" s="295">
        <f t="shared" ref="BG66:BG75" si="139">BG5*(1+$BR$66)</f>
        <v>0</v>
      </c>
      <c r="BH66" s="296">
        <f>BG66-BF66</f>
        <v>0</v>
      </c>
      <c r="BI66" s="294">
        <f t="shared" ref="BI66:BI75" si="140">BI5</f>
        <v>0</v>
      </c>
      <c r="BJ66" s="295">
        <f t="shared" ref="BJ66:BJ75" si="141">BJ5*(1+$BR$66)</f>
        <v>0</v>
      </c>
      <c r="BK66" s="296">
        <f t="shared" ref="BK66:BK75" si="142">BJ66-BI66</f>
        <v>0</v>
      </c>
      <c r="BL66" s="294">
        <f t="shared" ref="BL66:BL75" si="143">BL5</f>
        <v>0</v>
      </c>
      <c r="BM66" s="295">
        <f t="shared" ref="BM66:BM75" si="144">BM5*(1+$BR$66)</f>
        <v>0</v>
      </c>
      <c r="BN66" s="296">
        <f t="shared" ref="BN66:BN75" si="145">BM66-BL66</f>
        <v>0</v>
      </c>
      <c r="BO66" s="294">
        <f t="shared" ref="BO66:BO75" si="146">BO5</f>
        <v>0</v>
      </c>
      <c r="BP66" s="295">
        <f t="shared" ref="BP66:BP75" si="147">BP5*(1+$BR$66)</f>
        <v>0</v>
      </c>
      <c r="BQ66" s="296">
        <f t="shared" ref="BQ66:BQ75" si="148">BP66-BO66</f>
        <v>0</v>
      </c>
      <c r="BR66" s="297">
        <f>'Analyza citlivosti - AgendovéIS'!K7</f>
        <v>0</v>
      </c>
    </row>
    <row r="67" spans="1:70" ht="16" x14ac:dyDescent="0.2">
      <c r="A67" s="1346"/>
      <c r="B67" s="1348"/>
      <c r="C67" s="290" t="s">
        <v>26</v>
      </c>
      <c r="D67" s="291">
        <f t="shared" si="92"/>
        <v>0</v>
      </c>
      <c r="E67" s="292">
        <f t="shared" si="93"/>
        <v>0</v>
      </c>
      <c r="F67" s="293">
        <f t="shared" si="94"/>
        <v>0</v>
      </c>
      <c r="G67" s="298">
        <f t="shared" si="95"/>
        <v>0</v>
      </c>
      <c r="H67" s="299">
        <f t="shared" si="96"/>
        <v>0</v>
      </c>
      <c r="I67" s="262">
        <f t="shared" ref="I67:I75" si="149">H67-G67</f>
        <v>0</v>
      </c>
      <c r="J67" s="298">
        <f t="shared" si="97"/>
        <v>0</v>
      </c>
      <c r="K67" s="299">
        <f t="shared" si="98"/>
        <v>0</v>
      </c>
      <c r="L67" s="262">
        <f t="shared" ref="L67:L75" si="150">K67-J67</f>
        <v>0</v>
      </c>
      <c r="M67" s="298">
        <f t="shared" si="99"/>
        <v>0</v>
      </c>
      <c r="N67" s="299">
        <f t="shared" si="100"/>
        <v>0</v>
      </c>
      <c r="O67" s="262">
        <f t="shared" ref="O67:O75" si="151">N67-M67</f>
        <v>0</v>
      </c>
      <c r="P67" s="298">
        <f t="shared" si="101"/>
        <v>0</v>
      </c>
      <c r="Q67" s="299">
        <f t="shared" si="102"/>
        <v>0</v>
      </c>
      <c r="R67" s="262">
        <f t="shared" si="103"/>
        <v>0</v>
      </c>
      <c r="S67" s="298">
        <f t="shared" si="104"/>
        <v>0</v>
      </c>
      <c r="T67" s="299">
        <f t="shared" si="105"/>
        <v>0</v>
      </c>
      <c r="U67" s="262">
        <f t="shared" si="106"/>
        <v>0</v>
      </c>
      <c r="V67" s="298">
        <f t="shared" si="107"/>
        <v>0</v>
      </c>
      <c r="W67" s="299">
        <f t="shared" si="108"/>
        <v>0</v>
      </c>
      <c r="X67" s="262">
        <f t="shared" si="109"/>
        <v>0</v>
      </c>
      <c r="Y67" s="298">
        <f t="shared" si="110"/>
        <v>0</v>
      </c>
      <c r="Z67" s="299">
        <f t="shared" si="111"/>
        <v>0</v>
      </c>
      <c r="AA67" s="262">
        <f t="shared" ref="AA67:AA75" si="152">Z67-Y67</f>
        <v>0</v>
      </c>
      <c r="AB67" s="298">
        <f t="shared" si="112"/>
        <v>0</v>
      </c>
      <c r="AC67" s="299">
        <f t="shared" si="113"/>
        <v>0</v>
      </c>
      <c r="AD67" s="262">
        <f t="shared" ref="AD67:AD75" si="153">AC67-AB67</f>
        <v>0</v>
      </c>
      <c r="AE67" s="298">
        <f t="shared" si="114"/>
        <v>0</v>
      </c>
      <c r="AF67" s="299">
        <f t="shared" si="115"/>
        <v>0</v>
      </c>
      <c r="AG67" s="262">
        <f t="shared" si="116"/>
        <v>0</v>
      </c>
      <c r="AH67" s="298">
        <f t="shared" si="117"/>
        <v>0</v>
      </c>
      <c r="AI67" s="299">
        <f t="shared" si="118"/>
        <v>0</v>
      </c>
      <c r="AJ67" s="262">
        <f t="shared" si="119"/>
        <v>0</v>
      </c>
      <c r="AK67" s="298">
        <f t="shared" si="120"/>
        <v>0</v>
      </c>
      <c r="AL67" s="299">
        <f t="shared" si="121"/>
        <v>0</v>
      </c>
      <c r="AM67" s="262">
        <f t="shared" si="122"/>
        <v>0</v>
      </c>
      <c r="AN67" s="298">
        <f t="shared" si="123"/>
        <v>0</v>
      </c>
      <c r="AO67" s="299">
        <f t="shared" si="124"/>
        <v>0</v>
      </c>
      <c r="AP67" s="262">
        <f t="shared" ref="AP67:AP75" si="154">AO67-AN67</f>
        <v>0</v>
      </c>
      <c r="AQ67" s="298">
        <f t="shared" si="125"/>
        <v>0</v>
      </c>
      <c r="AR67" s="299">
        <f t="shared" si="126"/>
        <v>0</v>
      </c>
      <c r="AS67" s="262">
        <f t="shared" ref="AS67:AS75" si="155">AR67-AQ67</f>
        <v>0</v>
      </c>
      <c r="AT67" s="298">
        <f t="shared" si="127"/>
        <v>0</v>
      </c>
      <c r="AU67" s="299">
        <f t="shared" si="128"/>
        <v>0</v>
      </c>
      <c r="AV67" s="262">
        <f t="shared" si="129"/>
        <v>0</v>
      </c>
      <c r="AW67" s="298">
        <f t="shared" si="130"/>
        <v>0</v>
      </c>
      <c r="AX67" s="299">
        <f t="shared" si="131"/>
        <v>0</v>
      </c>
      <c r="AY67" s="262">
        <f t="shared" si="132"/>
        <v>0</v>
      </c>
      <c r="AZ67" s="298">
        <f t="shared" si="133"/>
        <v>0</v>
      </c>
      <c r="BA67" s="299">
        <f t="shared" si="134"/>
        <v>0</v>
      </c>
      <c r="BB67" s="262">
        <f t="shared" si="135"/>
        <v>0</v>
      </c>
      <c r="BC67" s="298">
        <f t="shared" si="136"/>
        <v>0</v>
      </c>
      <c r="BD67" s="299">
        <f t="shared" si="137"/>
        <v>0</v>
      </c>
      <c r="BE67" s="262">
        <f t="shared" ref="BE67:BE75" si="156">BD67-BC67</f>
        <v>0</v>
      </c>
      <c r="BF67" s="298">
        <f t="shared" si="138"/>
        <v>0</v>
      </c>
      <c r="BG67" s="299">
        <f t="shared" si="139"/>
        <v>0</v>
      </c>
      <c r="BH67" s="262">
        <f t="shared" ref="BH67:BH75" si="157">BG67-BF67</f>
        <v>0</v>
      </c>
      <c r="BI67" s="298">
        <f t="shared" si="140"/>
        <v>0</v>
      </c>
      <c r="BJ67" s="299">
        <f t="shared" si="141"/>
        <v>0</v>
      </c>
      <c r="BK67" s="262">
        <f t="shared" si="142"/>
        <v>0</v>
      </c>
      <c r="BL67" s="298">
        <f t="shared" si="143"/>
        <v>0</v>
      </c>
      <c r="BM67" s="299">
        <f t="shared" si="144"/>
        <v>0</v>
      </c>
      <c r="BN67" s="262">
        <f t="shared" si="145"/>
        <v>0</v>
      </c>
      <c r="BO67" s="298">
        <f t="shared" si="146"/>
        <v>0</v>
      </c>
      <c r="BP67" s="299">
        <f t="shared" si="147"/>
        <v>0</v>
      </c>
      <c r="BQ67" s="262">
        <f t="shared" si="148"/>
        <v>0</v>
      </c>
    </row>
    <row r="68" spans="1:70" ht="16" x14ac:dyDescent="0.2">
      <c r="A68" s="1346"/>
      <c r="B68" s="1348"/>
      <c r="C68" s="290" t="s">
        <v>27</v>
      </c>
      <c r="D68" s="291">
        <f t="shared" si="92"/>
        <v>0</v>
      </c>
      <c r="E68" s="292">
        <f t="shared" si="93"/>
        <v>0</v>
      </c>
      <c r="F68" s="293">
        <f t="shared" si="94"/>
        <v>0</v>
      </c>
      <c r="G68" s="298">
        <f t="shared" si="95"/>
        <v>0</v>
      </c>
      <c r="H68" s="299">
        <f t="shared" si="96"/>
        <v>0</v>
      </c>
      <c r="I68" s="262">
        <f t="shared" si="149"/>
        <v>0</v>
      </c>
      <c r="J68" s="298">
        <f t="shared" si="97"/>
        <v>0</v>
      </c>
      <c r="K68" s="299">
        <f t="shared" si="98"/>
        <v>0</v>
      </c>
      <c r="L68" s="262">
        <f t="shared" si="150"/>
        <v>0</v>
      </c>
      <c r="M68" s="298">
        <f t="shared" si="99"/>
        <v>0</v>
      </c>
      <c r="N68" s="299">
        <f t="shared" si="100"/>
        <v>0</v>
      </c>
      <c r="O68" s="262">
        <f t="shared" si="151"/>
        <v>0</v>
      </c>
      <c r="P68" s="298">
        <f t="shared" si="101"/>
        <v>0</v>
      </c>
      <c r="Q68" s="299">
        <f t="shared" si="102"/>
        <v>0</v>
      </c>
      <c r="R68" s="262">
        <f t="shared" si="103"/>
        <v>0</v>
      </c>
      <c r="S68" s="298">
        <f t="shared" si="104"/>
        <v>0</v>
      </c>
      <c r="T68" s="299">
        <f t="shared" si="105"/>
        <v>0</v>
      </c>
      <c r="U68" s="262">
        <f t="shared" si="106"/>
        <v>0</v>
      </c>
      <c r="V68" s="298">
        <f t="shared" si="107"/>
        <v>0</v>
      </c>
      <c r="W68" s="299">
        <f t="shared" si="108"/>
        <v>0</v>
      </c>
      <c r="X68" s="262">
        <f t="shared" si="109"/>
        <v>0</v>
      </c>
      <c r="Y68" s="298">
        <f t="shared" si="110"/>
        <v>0</v>
      </c>
      <c r="Z68" s="299">
        <f t="shared" si="111"/>
        <v>0</v>
      </c>
      <c r="AA68" s="262">
        <f t="shared" si="152"/>
        <v>0</v>
      </c>
      <c r="AB68" s="298">
        <f t="shared" si="112"/>
        <v>0</v>
      </c>
      <c r="AC68" s="299">
        <f t="shared" si="113"/>
        <v>0</v>
      </c>
      <c r="AD68" s="262">
        <f t="shared" si="153"/>
        <v>0</v>
      </c>
      <c r="AE68" s="298">
        <f t="shared" si="114"/>
        <v>0</v>
      </c>
      <c r="AF68" s="299">
        <f t="shared" si="115"/>
        <v>0</v>
      </c>
      <c r="AG68" s="262">
        <f t="shared" si="116"/>
        <v>0</v>
      </c>
      <c r="AH68" s="298">
        <f t="shared" si="117"/>
        <v>0</v>
      </c>
      <c r="AI68" s="299">
        <f t="shared" si="118"/>
        <v>0</v>
      </c>
      <c r="AJ68" s="262">
        <f t="shared" si="119"/>
        <v>0</v>
      </c>
      <c r="AK68" s="298">
        <f t="shared" si="120"/>
        <v>0</v>
      </c>
      <c r="AL68" s="299">
        <f t="shared" si="121"/>
        <v>0</v>
      </c>
      <c r="AM68" s="262">
        <f t="shared" si="122"/>
        <v>0</v>
      </c>
      <c r="AN68" s="298">
        <f t="shared" si="123"/>
        <v>0</v>
      </c>
      <c r="AO68" s="299">
        <f t="shared" si="124"/>
        <v>0</v>
      </c>
      <c r="AP68" s="262">
        <f t="shared" si="154"/>
        <v>0</v>
      </c>
      <c r="AQ68" s="298">
        <f t="shared" si="125"/>
        <v>0</v>
      </c>
      <c r="AR68" s="299">
        <f t="shared" si="126"/>
        <v>0</v>
      </c>
      <c r="AS68" s="262">
        <f t="shared" si="155"/>
        <v>0</v>
      </c>
      <c r="AT68" s="298">
        <f t="shared" si="127"/>
        <v>0</v>
      </c>
      <c r="AU68" s="299">
        <f t="shared" si="128"/>
        <v>0</v>
      </c>
      <c r="AV68" s="262">
        <f t="shared" si="129"/>
        <v>0</v>
      </c>
      <c r="AW68" s="298">
        <f t="shared" si="130"/>
        <v>0</v>
      </c>
      <c r="AX68" s="299">
        <f t="shared" si="131"/>
        <v>0</v>
      </c>
      <c r="AY68" s="262">
        <f t="shared" si="132"/>
        <v>0</v>
      </c>
      <c r="AZ68" s="298">
        <f t="shared" si="133"/>
        <v>0</v>
      </c>
      <c r="BA68" s="299">
        <f t="shared" si="134"/>
        <v>0</v>
      </c>
      <c r="BB68" s="262">
        <f t="shared" si="135"/>
        <v>0</v>
      </c>
      <c r="BC68" s="298">
        <f t="shared" si="136"/>
        <v>0</v>
      </c>
      <c r="BD68" s="299">
        <f t="shared" si="137"/>
        <v>0</v>
      </c>
      <c r="BE68" s="262">
        <f t="shared" si="156"/>
        <v>0</v>
      </c>
      <c r="BF68" s="298">
        <f t="shared" si="138"/>
        <v>0</v>
      </c>
      <c r="BG68" s="299">
        <f t="shared" si="139"/>
        <v>0</v>
      </c>
      <c r="BH68" s="262">
        <f t="shared" si="157"/>
        <v>0</v>
      </c>
      <c r="BI68" s="298">
        <f t="shared" si="140"/>
        <v>0</v>
      </c>
      <c r="BJ68" s="299">
        <f t="shared" si="141"/>
        <v>0</v>
      </c>
      <c r="BK68" s="262">
        <f t="shared" si="142"/>
        <v>0</v>
      </c>
      <c r="BL68" s="298">
        <f t="shared" si="143"/>
        <v>0</v>
      </c>
      <c r="BM68" s="299">
        <f t="shared" si="144"/>
        <v>0</v>
      </c>
      <c r="BN68" s="262">
        <f t="shared" si="145"/>
        <v>0</v>
      </c>
      <c r="BO68" s="298">
        <f t="shared" si="146"/>
        <v>0</v>
      </c>
      <c r="BP68" s="299">
        <f t="shared" si="147"/>
        <v>0</v>
      </c>
      <c r="BQ68" s="262">
        <f t="shared" si="148"/>
        <v>0</v>
      </c>
    </row>
    <row r="69" spans="1:70" ht="16" x14ac:dyDescent="0.2">
      <c r="A69" s="1346"/>
      <c r="B69" s="1348"/>
      <c r="C69" s="290" t="s">
        <v>28</v>
      </c>
      <c r="D69" s="291">
        <f t="shared" si="92"/>
        <v>0</v>
      </c>
      <c r="E69" s="292">
        <f t="shared" si="93"/>
        <v>0</v>
      </c>
      <c r="F69" s="293">
        <f t="shared" si="94"/>
        <v>0</v>
      </c>
      <c r="G69" s="298">
        <f t="shared" si="95"/>
        <v>0</v>
      </c>
      <c r="H69" s="299">
        <f t="shared" si="96"/>
        <v>0</v>
      </c>
      <c r="I69" s="262">
        <f t="shared" si="149"/>
        <v>0</v>
      </c>
      <c r="J69" s="298">
        <f t="shared" si="97"/>
        <v>0</v>
      </c>
      <c r="K69" s="299">
        <f t="shared" si="98"/>
        <v>0</v>
      </c>
      <c r="L69" s="262">
        <f t="shared" si="150"/>
        <v>0</v>
      </c>
      <c r="M69" s="298">
        <f t="shared" si="99"/>
        <v>0</v>
      </c>
      <c r="N69" s="299">
        <f t="shared" si="100"/>
        <v>0</v>
      </c>
      <c r="O69" s="262">
        <f t="shared" si="151"/>
        <v>0</v>
      </c>
      <c r="P69" s="298">
        <f t="shared" si="101"/>
        <v>0</v>
      </c>
      <c r="Q69" s="299">
        <f t="shared" si="102"/>
        <v>0</v>
      </c>
      <c r="R69" s="262">
        <f t="shared" si="103"/>
        <v>0</v>
      </c>
      <c r="S69" s="298">
        <f t="shared" si="104"/>
        <v>0</v>
      </c>
      <c r="T69" s="299">
        <f t="shared" si="105"/>
        <v>0</v>
      </c>
      <c r="U69" s="262">
        <f t="shared" si="106"/>
        <v>0</v>
      </c>
      <c r="V69" s="298">
        <f t="shared" si="107"/>
        <v>0</v>
      </c>
      <c r="W69" s="299">
        <f t="shared" si="108"/>
        <v>0</v>
      </c>
      <c r="X69" s="262">
        <f t="shared" si="109"/>
        <v>0</v>
      </c>
      <c r="Y69" s="298">
        <f t="shared" si="110"/>
        <v>0</v>
      </c>
      <c r="Z69" s="299">
        <f t="shared" si="111"/>
        <v>0</v>
      </c>
      <c r="AA69" s="262">
        <f t="shared" si="152"/>
        <v>0</v>
      </c>
      <c r="AB69" s="298">
        <f t="shared" si="112"/>
        <v>0</v>
      </c>
      <c r="AC69" s="299">
        <f t="shared" si="113"/>
        <v>0</v>
      </c>
      <c r="AD69" s="262">
        <f t="shared" si="153"/>
        <v>0</v>
      </c>
      <c r="AE69" s="298">
        <f t="shared" si="114"/>
        <v>0</v>
      </c>
      <c r="AF69" s="299">
        <f t="shared" si="115"/>
        <v>0</v>
      </c>
      <c r="AG69" s="262">
        <f t="shared" si="116"/>
        <v>0</v>
      </c>
      <c r="AH69" s="298">
        <f t="shared" si="117"/>
        <v>0</v>
      </c>
      <c r="AI69" s="299">
        <f t="shared" si="118"/>
        <v>0</v>
      </c>
      <c r="AJ69" s="262">
        <f t="shared" si="119"/>
        <v>0</v>
      </c>
      <c r="AK69" s="298">
        <f t="shared" si="120"/>
        <v>0</v>
      </c>
      <c r="AL69" s="299">
        <f t="shared" si="121"/>
        <v>0</v>
      </c>
      <c r="AM69" s="262">
        <f t="shared" si="122"/>
        <v>0</v>
      </c>
      <c r="AN69" s="298">
        <f t="shared" si="123"/>
        <v>0</v>
      </c>
      <c r="AO69" s="299">
        <f t="shared" si="124"/>
        <v>0</v>
      </c>
      <c r="AP69" s="262">
        <f t="shared" si="154"/>
        <v>0</v>
      </c>
      <c r="AQ69" s="298">
        <f t="shared" si="125"/>
        <v>0</v>
      </c>
      <c r="AR69" s="299">
        <f t="shared" si="126"/>
        <v>0</v>
      </c>
      <c r="AS69" s="262">
        <f t="shared" si="155"/>
        <v>0</v>
      </c>
      <c r="AT69" s="298">
        <f t="shared" si="127"/>
        <v>0</v>
      </c>
      <c r="AU69" s="299">
        <f t="shared" si="128"/>
        <v>0</v>
      </c>
      <c r="AV69" s="262">
        <f t="shared" si="129"/>
        <v>0</v>
      </c>
      <c r="AW69" s="298">
        <f t="shared" si="130"/>
        <v>0</v>
      </c>
      <c r="AX69" s="299">
        <f t="shared" si="131"/>
        <v>0</v>
      </c>
      <c r="AY69" s="262">
        <f t="shared" si="132"/>
        <v>0</v>
      </c>
      <c r="AZ69" s="298">
        <f t="shared" si="133"/>
        <v>0</v>
      </c>
      <c r="BA69" s="299">
        <f t="shared" si="134"/>
        <v>0</v>
      </c>
      <c r="BB69" s="262">
        <f t="shared" si="135"/>
        <v>0</v>
      </c>
      <c r="BC69" s="298">
        <f t="shared" si="136"/>
        <v>0</v>
      </c>
      <c r="BD69" s="299">
        <f t="shared" si="137"/>
        <v>0</v>
      </c>
      <c r="BE69" s="262">
        <f t="shared" si="156"/>
        <v>0</v>
      </c>
      <c r="BF69" s="298">
        <f t="shared" si="138"/>
        <v>0</v>
      </c>
      <c r="BG69" s="299">
        <f t="shared" si="139"/>
        <v>0</v>
      </c>
      <c r="BH69" s="262">
        <f t="shared" si="157"/>
        <v>0</v>
      </c>
      <c r="BI69" s="298">
        <f t="shared" si="140"/>
        <v>0</v>
      </c>
      <c r="BJ69" s="299">
        <f t="shared" si="141"/>
        <v>0</v>
      </c>
      <c r="BK69" s="262">
        <f t="shared" si="142"/>
        <v>0</v>
      </c>
      <c r="BL69" s="298">
        <f t="shared" si="143"/>
        <v>0</v>
      </c>
      <c r="BM69" s="299">
        <f t="shared" si="144"/>
        <v>0</v>
      </c>
      <c r="BN69" s="262">
        <f t="shared" si="145"/>
        <v>0</v>
      </c>
      <c r="BO69" s="298">
        <f t="shared" si="146"/>
        <v>0</v>
      </c>
      <c r="BP69" s="299">
        <f t="shared" si="147"/>
        <v>0</v>
      </c>
      <c r="BQ69" s="262">
        <f t="shared" si="148"/>
        <v>0</v>
      </c>
    </row>
    <row r="70" spans="1:70" ht="16" x14ac:dyDescent="0.2">
      <c r="A70" s="1346"/>
      <c r="B70" s="1348"/>
      <c r="C70" s="290" t="s">
        <v>29</v>
      </c>
      <c r="D70" s="291">
        <f t="shared" si="92"/>
        <v>0</v>
      </c>
      <c r="E70" s="292">
        <f t="shared" si="93"/>
        <v>0</v>
      </c>
      <c r="F70" s="293">
        <f t="shared" si="94"/>
        <v>0</v>
      </c>
      <c r="G70" s="298">
        <f t="shared" si="95"/>
        <v>0</v>
      </c>
      <c r="H70" s="299">
        <f t="shared" si="96"/>
        <v>0</v>
      </c>
      <c r="I70" s="262">
        <f t="shared" si="149"/>
        <v>0</v>
      </c>
      <c r="J70" s="298">
        <f t="shared" si="97"/>
        <v>0</v>
      </c>
      <c r="K70" s="299">
        <f t="shared" si="98"/>
        <v>0</v>
      </c>
      <c r="L70" s="262">
        <f t="shared" si="150"/>
        <v>0</v>
      </c>
      <c r="M70" s="298">
        <f t="shared" si="99"/>
        <v>0</v>
      </c>
      <c r="N70" s="299">
        <f t="shared" si="100"/>
        <v>0</v>
      </c>
      <c r="O70" s="262">
        <f t="shared" si="151"/>
        <v>0</v>
      </c>
      <c r="P70" s="298">
        <f t="shared" si="101"/>
        <v>0</v>
      </c>
      <c r="Q70" s="299">
        <f t="shared" si="102"/>
        <v>0</v>
      </c>
      <c r="R70" s="262">
        <f t="shared" si="103"/>
        <v>0</v>
      </c>
      <c r="S70" s="298">
        <f t="shared" si="104"/>
        <v>0</v>
      </c>
      <c r="T70" s="299">
        <f t="shared" si="105"/>
        <v>0</v>
      </c>
      <c r="U70" s="262">
        <f t="shared" si="106"/>
        <v>0</v>
      </c>
      <c r="V70" s="298">
        <f t="shared" si="107"/>
        <v>0</v>
      </c>
      <c r="W70" s="299">
        <f t="shared" si="108"/>
        <v>0</v>
      </c>
      <c r="X70" s="262">
        <f t="shared" si="109"/>
        <v>0</v>
      </c>
      <c r="Y70" s="298">
        <f t="shared" si="110"/>
        <v>0</v>
      </c>
      <c r="Z70" s="299">
        <f t="shared" si="111"/>
        <v>0</v>
      </c>
      <c r="AA70" s="262">
        <f t="shared" si="152"/>
        <v>0</v>
      </c>
      <c r="AB70" s="298">
        <f t="shared" si="112"/>
        <v>0</v>
      </c>
      <c r="AC70" s="299">
        <f t="shared" si="113"/>
        <v>0</v>
      </c>
      <c r="AD70" s="262">
        <f t="shared" si="153"/>
        <v>0</v>
      </c>
      <c r="AE70" s="298">
        <f t="shared" si="114"/>
        <v>0</v>
      </c>
      <c r="AF70" s="299">
        <f t="shared" si="115"/>
        <v>0</v>
      </c>
      <c r="AG70" s="262">
        <f t="shared" si="116"/>
        <v>0</v>
      </c>
      <c r="AH70" s="298">
        <f t="shared" si="117"/>
        <v>0</v>
      </c>
      <c r="AI70" s="299">
        <f t="shared" si="118"/>
        <v>0</v>
      </c>
      <c r="AJ70" s="262">
        <f t="shared" si="119"/>
        <v>0</v>
      </c>
      <c r="AK70" s="298">
        <f t="shared" si="120"/>
        <v>0</v>
      </c>
      <c r="AL70" s="299">
        <f t="shared" si="121"/>
        <v>0</v>
      </c>
      <c r="AM70" s="262">
        <f t="shared" si="122"/>
        <v>0</v>
      </c>
      <c r="AN70" s="298">
        <f t="shared" si="123"/>
        <v>0</v>
      </c>
      <c r="AO70" s="299">
        <f t="shared" si="124"/>
        <v>0</v>
      </c>
      <c r="AP70" s="262">
        <f t="shared" si="154"/>
        <v>0</v>
      </c>
      <c r="AQ70" s="298">
        <f t="shared" si="125"/>
        <v>0</v>
      </c>
      <c r="AR70" s="299">
        <f t="shared" si="126"/>
        <v>0</v>
      </c>
      <c r="AS70" s="262">
        <f t="shared" si="155"/>
        <v>0</v>
      </c>
      <c r="AT70" s="298">
        <f t="shared" si="127"/>
        <v>0</v>
      </c>
      <c r="AU70" s="299">
        <f t="shared" si="128"/>
        <v>0</v>
      </c>
      <c r="AV70" s="262">
        <f t="shared" si="129"/>
        <v>0</v>
      </c>
      <c r="AW70" s="298">
        <f t="shared" si="130"/>
        <v>0</v>
      </c>
      <c r="AX70" s="299">
        <f t="shared" si="131"/>
        <v>0</v>
      </c>
      <c r="AY70" s="262">
        <f t="shared" si="132"/>
        <v>0</v>
      </c>
      <c r="AZ70" s="298">
        <f t="shared" si="133"/>
        <v>0</v>
      </c>
      <c r="BA70" s="299">
        <f t="shared" si="134"/>
        <v>0</v>
      </c>
      <c r="BB70" s="262">
        <f t="shared" si="135"/>
        <v>0</v>
      </c>
      <c r="BC70" s="298">
        <f t="shared" si="136"/>
        <v>0</v>
      </c>
      <c r="BD70" s="299">
        <f t="shared" si="137"/>
        <v>0</v>
      </c>
      <c r="BE70" s="262">
        <f t="shared" si="156"/>
        <v>0</v>
      </c>
      <c r="BF70" s="298">
        <f t="shared" si="138"/>
        <v>0</v>
      </c>
      <c r="BG70" s="299">
        <f t="shared" si="139"/>
        <v>0</v>
      </c>
      <c r="BH70" s="262">
        <f t="shared" si="157"/>
        <v>0</v>
      </c>
      <c r="BI70" s="298">
        <f t="shared" si="140"/>
        <v>0</v>
      </c>
      <c r="BJ70" s="299">
        <f t="shared" si="141"/>
        <v>0</v>
      </c>
      <c r="BK70" s="262">
        <f t="shared" si="142"/>
        <v>0</v>
      </c>
      <c r="BL70" s="298">
        <f t="shared" si="143"/>
        <v>0</v>
      </c>
      <c r="BM70" s="299">
        <f t="shared" si="144"/>
        <v>0</v>
      </c>
      <c r="BN70" s="262">
        <f t="shared" si="145"/>
        <v>0</v>
      </c>
      <c r="BO70" s="298">
        <f t="shared" si="146"/>
        <v>0</v>
      </c>
      <c r="BP70" s="299">
        <f t="shared" si="147"/>
        <v>0</v>
      </c>
      <c r="BQ70" s="262">
        <f t="shared" si="148"/>
        <v>0</v>
      </c>
    </row>
    <row r="71" spans="1:70" ht="16" x14ac:dyDescent="0.2">
      <c r="A71" s="1346"/>
      <c r="B71" s="1348"/>
      <c r="C71" s="290" t="s">
        <v>30</v>
      </c>
      <c r="D71" s="291">
        <f t="shared" si="92"/>
        <v>0</v>
      </c>
      <c r="E71" s="292">
        <f t="shared" si="93"/>
        <v>0</v>
      </c>
      <c r="F71" s="293">
        <f t="shared" si="94"/>
        <v>0</v>
      </c>
      <c r="G71" s="298">
        <f t="shared" si="95"/>
        <v>0</v>
      </c>
      <c r="H71" s="299">
        <f t="shared" si="96"/>
        <v>0</v>
      </c>
      <c r="I71" s="262">
        <f t="shared" si="149"/>
        <v>0</v>
      </c>
      <c r="J71" s="298">
        <f t="shared" si="97"/>
        <v>0</v>
      </c>
      <c r="K71" s="299">
        <f t="shared" si="98"/>
        <v>0</v>
      </c>
      <c r="L71" s="262">
        <f t="shared" si="150"/>
        <v>0</v>
      </c>
      <c r="M71" s="298">
        <f t="shared" si="99"/>
        <v>0</v>
      </c>
      <c r="N71" s="299">
        <f t="shared" si="100"/>
        <v>0</v>
      </c>
      <c r="O71" s="262">
        <f t="shared" si="151"/>
        <v>0</v>
      </c>
      <c r="P71" s="298">
        <f t="shared" si="101"/>
        <v>0</v>
      </c>
      <c r="Q71" s="299">
        <f t="shared" si="102"/>
        <v>0</v>
      </c>
      <c r="R71" s="262">
        <f t="shared" si="103"/>
        <v>0</v>
      </c>
      <c r="S71" s="298">
        <f t="shared" si="104"/>
        <v>0</v>
      </c>
      <c r="T71" s="299">
        <f t="shared" si="105"/>
        <v>0</v>
      </c>
      <c r="U71" s="262">
        <f t="shared" si="106"/>
        <v>0</v>
      </c>
      <c r="V71" s="298">
        <f t="shared" si="107"/>
        <v>0</v>
      </c>
      <c r="W71" s="299">
        <f t="shared" si="108"/>
        <v>0</v>
      </c>
      <c r="X71" s="262">
        <f t="shared" si="109"/>
        <v>0</v>
      </c>
      <c r="Y71" s="298">
        <f t="shared" si="110"/>
        <v>0</v>
      </c>
      <c r="Z71" s="299">
        <f t="shared" si="111"/>
        <v>0</v>
      </c>
      <c r="AA71" s="262">
        <f t="shared" si="152"/>
        <v>0</v>
      </c>
      <c r="AB71" s="298">
        <f t="shared" si="112"/>
        <v>0</v>
      </c>
      <c r="AC71" s="299">
        <f t="shared" si="113"/>
        <v>0</v>
      </c>
      <c r="AD71" s="262">
        <f t="shared" si="153"/>
        <v>0</v>
      </c>
      <c r="AE71" s="298">
        <f t="shared" si="114"/>
        <v>0</v>
      </c>
      <c r="AF71" s="299">
        <f t="shared" si="115"/>
        <v>0</v>
      </c>
      <c r="AG71" s="262">
        <f t="shared" si="116"/>
        <v>0</v>
      </c>
      <c r="AH71" s="298">
        <f t="shared" si="117"/>
        <v>0</v>
      </c>
      <c r="AI71" s="299">
        <f t="shared" si="118"/>
        <v>0</v>
      </c>
      <c r="AJ71" s="262">
        <f t="shared" si="119"/>
        <v>0</v>
      </c>
      <c r="AK71" s="298">
        <f t="shared" si="120"/>
        <v>0</v>
      </c>
      <c r="AL71" s="299">
        <f t="shared" si="121"/>
        <v>0</v>
      </c>
      <c r="AM71" s="262">
        <f t="shared" si="122"/>
        <v>0</v>
      </c>
      <c r="AN71" s="298">
        <f t="shared" si="123"/>
        <v>0</v>
      </c>
      <c r="AO71" s="299">
        <f t="shared" si="124"/>
        <v>0</v>
      </c>
      <c r="AP71" s="262">
        <f t="shared" si="154"/>
        <v>0</v>
      </c>
      <c r="AQ71" s="298">
        <f t="shared" si="125"/>
        <v>0</v>
      </c>
      <c r="AR71" s="299">
        <f t="shared" si="126"/>
        <v>0</v>
      </c>
      <c r="AS71" s="262">
        <f t="shared" si="155"/>
        <v>0</v>
      </c>
      <c r="AT71" s="298">
        <f t="shared" si="127"/>
        <v>0</v>
      </c>
      <c r="AU71" s="299">
        <f t="shared" si="128"/>
        <v>0</v>
      </c>
      <c r="AV71" s="262">
        <f t="shared" si="129"/>
        <v>0</v>
      </c>
      <c r="AW71" s="298">
        <f t="shared" si="130"/>
        <v>0</v>
      </c>
      <c r="AX71" s="299">
        <f t="shared" si="131"/>
        <v>0</v>
      </c>
      <c r="AY71" s="262">
        <f t="shared" si="132"/>
        <v>0</v>
      </c>
      <c r="AZ71" s="298">
        <f t="shared" si="133"/>
        <v>0</v>
      </c>
      <c r="BA71" s="299">
        <f t="shared" si="134"/>
        <v>0</v>
      </c>
      <c r="BB71" s="262">
        <f t="shared" si="135"/>
        <v>0</v>
      </c>
      <c r="BC71" s="298">
        <f t="shared" si="136"/>
        <v>0</v>
      </c>
      <c r="BD71" s="299">
        <f t="shared" si="137"/>
        <v>0</v>
      </c>
      <c r="BE71" s="262">
        <f t="shared" si="156"/>
        <v>0</v>
      </c>
      <c r="BF71" s="298">
        <f t="shared" si="138"/>
        <v>0</v>
      </c>
      <c r="BG71" s="299">
        <f t="shared" si="139"/>
        <v>0</v>
      </c>
      <c r="BH71" s="262">
        <f t="shared" si="157"/>
        <v>0</v>
      </c>
      <c r="BI71" s="298">
        <f t="shared" si="140"/>
        <v>0</v>
      </c>
      <c r="BJ71" s="299">
        <f t="shared" si="141"/>
        <v>0</v>
      </c>
      <c r="BK71" s="262">
        <f t="shared" si="142"/>
        <v>0</v>
      </c>
      <c r="BL71" s="298">
        <f t="shared" si="143"/>
        <v>0</v>
      </c>
      <c r="BM71" s="299">
        <f t="shared" si="144"/>
        <v>0</v>
      </c>
      <c r="BN71" s="262">
        <f t="shared" si="145"/>
        <v>0</v>
      </c>
      <c r="BO71" s="298">
        <f t="shared" si="146"/>
        <v>0</v>
      </c>
      <c r="BP71" s="299">
        <f t="shared" si="147"/>
        <v>0</v>
      </c>
      <c r="BQ71" s="262">
        <f t="shared" si="148"/>
        <v>0</v>
      </c>
    </row>
    <row r="72" spans="1:70" ht="16" x14ac:dyDescent="0.2">
      <c r="A72" s="1346"/>
      <c r="B72" s="1348"/>
      <c r="C72" s="290" t="s">
        <v>31</v>
      </c>
      <c r="D72" s="291">
        <f t="shared" si="92"/>
        <v>0</v>
      </c>
      <c r="E72" s="292">
        <f t="shared" si="93"/>
        <v>0</v>
      </c>
      <c r="F72" s="293">
        <f t="shared" si="94"/>
        <v>0</v>
      </c>
      <c r="G72" s="298">
        <f t="shared" si="95"/>
        <v>0</v>
      </c>
      <c r="H72" s="299">
        <f t="shared" si="96"/>
        <v>0</v>
      </c>
      <c r="I72" s="262">
        <f t="shared" si="149"/>
        <v>0</v>
      </c>
      <c r="J72" s="298">
        <f t="shared" si="97"/>
        <v>0</v>
      </c>
      <c r="K72" s="299">
        <f t="shared" si="98"/>
        <v>0</v>
      </c>
      <c r="L72" s="262">
        <f t="shared" si="150"/>
        <v>0</v>
      </c>
      <c r="M72" s="298">
        <f t="shared" si="99"/>
        <v>0</v>
      </c>
      <c r="N72" s="299">
        <f t="shared" si="100"/>
        <v>0</v>
      </c>
      <c r="O72" s="262">
        <f t="shared" si="151"/>
        <v>0</v>
      </c>
      <c r="P72" s="298">
        <f t="shared" si="101"/>
        <v>0</v>
      </c>
      <c r="Q72" s="299">
        <f t="shared" si="102"/>
        <v>0</v>
      </c>
      <c r="R72" s="262">
        <f t="shared" si="103"/>
        <v>0</v>
      </c>
      <c r="S72" s="298">
        <f t="shared" si="104"/>
        <v>0</v>
      </c>
      <c r="T72" s="299">
        <f t="shared" si="105"/>
        <v>0</v>
      </c>
      <c r="U72" s="262">
        <f t="shared" si="106"/>
        <v>0</v>
      </c>
      <c r="V72" s="298">
        <f t="shared" si="107"/>
        <v>0</v>
      </c>
      <c r="W72" s="299">
        <f t="shared" si="108"/>
        <v>0</v>
      </c>
      <c r="X72" s="262">
        <f t="shared" si="109"/>
        <v>0</v>
      </c>
      <c r="Y72" s="298">
        <f t="shared" si="110"/>
        <v>0</v>
      </c>
      <c r="Z72" s="299">
        <f t="shared" si="111"/>
        <v>0</v>
      </c>
      <c r="AA72" s="262">
        <f t="shared" si="152"/>
        <v>0</v>
      </c>
      <c r="AB72" s="298">
        <f t="shared" si="112"/>
        <v>0</v>
      </c>
      <c r="AC72" s="299">
        <f t="shared" si="113"/>
        <v>0</v>
      </c>
      <c r="AD72" s="262">
        <f t="shared" si="153"/>
        <v>0</v>
      </c>
      <c r="AE72" s="298">
        <f t="shared" si="114"/>
        <v>0</v>
      </c>
      <c r="AF72" s="299">
        <f t="shared" si="115"/>
        <v>0</v>
      </c>
      <c r="AG72" s="262">
        <f t="shared" si="116"/>
        <v>0</v>
      </c>
      <c r="AH72" s="298">
        <f t="shared" si="117"/>
        <v>0</v>
      </c>
      <c r="AI72" s="299">
        <f t="shared" si="118"/>
        <v>0</v>
      </c>
      <c r="AJ72" s="262">
        <f t="shared" si="119"/>
        <v>0</v>
      </c>
      <c r="AK72" s="298">
        <f t="shared" si="120"/>
        <v>0</v>
      </c>
      <c r="AL72" s="299">
        <f t="shared" si="121"/>
        <v>0</v>
      </c>
      <c r="AM72" s="262">
        <f t="shared" si="122"/>
        <v>0</v>
      </c>
      <c r="AN72" s="298">
        <f t="shared" si="123"/>
        <v>0</v>
      </c>
      <c r="AO72" s="299">
        <f t="shared" si="124"/>
        <v>0</v>
      </c>
      <c r="AP72" s="262">
        <f t="shared" si="154"/>
        <v>0</v>
      </c>
      <c r="AQ72" s="298">
        <f t="shared" si="125"/>
        <v>0</v>
      </c>
      <c r="AR72" s="299">
        <f t="shared" si="126"/>
        <v>0</v>
      </c>
      <c r="AS72" s="262">
        <f t="shared" si="155"/>
        <v>0</v>
      </c>
      <c r="AT72" s="298">
        <f t="shared" si="127"/>
        <v>0</v>
      </c>
      <c r="AU72" s="299">
        <f t="shared" si="128"/>
        <v>0</v>
      </c>
      <c r="AV72" s="262">
        <f t="shared" si="129"/>
        <v>0</v>
      </c>
      <c r="AW72" s="298">
        <f t="shared" si="130"/>
        <v>0</v>
      </c>
      <c r="AX72" s="299">
        <f t="shared" si="131"/>
        <v>0</v>
      </c>
      <c r="AY72" s="262">
        <f t="shared" si="132"/>
        <v>0</v>
      </c>
      <c r="AZ72" s="298">
        <f t="shared" si="133"/>
        <v>0</v>
      </c>
      <c r="BA72" s="299">
        <f t="shared" si="134"/>
        <v>0</v>
      </c>
      <c r="BB72" s="262">
        <f t="shared" si="135"/>
        <v>0</v>
      </c>
      <c r="BC72" s="298">
        <f t="shared" si="136"/>
        <v>0</v>
      </c>
      <c r="BD72" s="299">
        <f t="shared" si="137"/>
        <v>0</v>
      </c>
      <c r="BE72" s="262">
        <f t="shared" si="156"/>
        <v>0</v>
      </c>
      <c r="BF72" s="298">
        <f t="shared" si="138"/>
        <v>0</v>
      </c>
      <c r="BG72" s="299">
        <f t="shared" si="139"/>
        <v>0</v>
      </c>
      <c r="BH72" s="262">
        <f t="shared" si="157"/>
        <v>0</v>
      </c>
      <c r="BI72" s="298">
        <f t="shared" si="140"/>
        <v>0</v>
      </c>
      <c r="BJ72" s="299">
        <f t="shared" si="141"/>
        <v>0</v>
      </c>
      <c r="BK72" s="262">
        <f t="shared" si="142"/>
        <v>0</v>
      </c>
      <c r="BL72" s="298">
        <f t="shared" si="143"/>
        <v>0</v>
      </c>
      <c r="BM72" s="299">
        <f t="shared" si="144"/>
        <v>0</v>
      </c>
      <c r="BN72" s="262">
        <f t="shared" si="145"/>
        <v>0</v>
      </c>
      <c r="BO72" s="298">
        <f t="shared" si="146"/>
        <v>0</v>
      </c>
      <c r="BP72" s="299">
        <f t="shared" si="147"/>
        <v>0</v>
      </c>
      <c r="BQ72" s="262">
        <f t="shared" si="148"/>
        <v>0</v>
      </c>
    </row>
    <row r="73" spans="1:70" ht="16" x14ac:dyDescent="0.2">
      <c r="A73" s="1346"/>
      <c r="B73" s="1348"/>
      <c r="C73" s="290" t="s">
        <v>32</v>
      </c>
      <c r="D73" s="291">
        <f t="shared" si="92"/>
        <v>0</v>
      </c>
      <c r="E73" s="292">
        <f t="shared" si="93"/>
        <v>0</v>
      </c>
      <c r="F73" s="293">
        <f t="shared" si="94"/>
        <v>0</v>
      </c>
      <c r="G73" s="298">
        <f t="shared" si="95"/>
        <v>0</v>
      </c>
      <c r="H73" s="299">
        <f t="shared" si="96"/>
        <v>0</v>
      </c>
      <c r="I73" s="262">
        <f t="shared" si="149"/>
        <v>0</v>
      </c>
      <c r="J73" s="298">
        <f t="shared" si="97"/>
        <v>0</v>
      </c>
      <c r="K73" s="299">
        <f t="shared" si="98"/>
        <v>0</v>
      </c>
      <c r="L73" s="262">
        <f t="shared" si="150"/>
        <v>0</v>
      </c>
      <c r="M73" s="298">
        <f t="shared" si="99"/>
        <v>0</v>
      </c>
      <c r="N73" s="299">
        <f t="shared" si="100"/>
        <v>0</v>
      </c>
      <c r="O73" s="262">
        <f t="shared" si="151"/>
        <v>0</v>
      </c>
      <c r="P73" s="298">
        <f t="shared" si="101"/>
        <v>0</v>
      </c>
      <c r="Q73" s="299">
        <f t="shared" si="102"/>
        <v>0</v>
      </c>
      <c r="R73" s="262">
        <f t="shared" si="103"/>
        <v>0</v>
      </c>
      <c r="S73" s="298">
        <f t="shared" si="104"/>
        <v>0</v>
      </c>
      <c r="T73" s="299">
        <f t="shared" si="105"/>
        <v>0</v>
      </c>
      <c r="U73" s="262">
        <f t="shared" si="106"/>
        <v>0</v>
      </c>
      <c r="V73" s="298">
        <f t="shared" si="107"/>
        <v>0</v>
      </c>
      <c r="W73" s="299">
        <f t="shared" si="108"/>
        <v>0</v>
      </c>
      <c r="X73" s="262">
        <f t="shared" si="109"/>
        <v>0</v>
      </c>
      <c r="Y73" s="298">
        <f t="shared" si="110"/>
        <v>0</v>
      </c>
      <c r="Z73" s="299">
        <f t="shared" si="111"/>
        <v>0</v>
      </c>
      <c r="AA73" s="262">
        <f t="shared" si="152"/>
        <v>0</v>
      </c>
      <c r="AB73" s="298">
        <f t="shared" si="112"/>
        <v>0</v>
      </c>
      <c r="AC73" s="299">
        <f t="shared" si="113"/>
        <v>0</v>
      </c>
      <c r="AD73" s="262">
        <f t="shared" si="153"/>
        <v>0</v>
      </c>
      <c r="AE73" s="298">
        <f t="shared" si="114"/>
        <v>0</v>
      </c>
      <c r="AF73" s="299">
        <f t="shared" si="115"/>
        <v>0</v>
      </c>
      <c r="AG73" s="262">
        <f t="shared" si="116"/>
        <v>0</v>
      </c>
      <c r="AH73" s="298">
        <f t="shared" si="117"/>
        <v>0</v>
      </c>
      <c r="AI73" s="299">
        <f t="shared" si="118"/>
        <v>0</v>
      </c>
      <c r="AJ73" s="262">
        <f t="shared" si="119"/>
        <v>0</v>
      </c>
      <c r="AK73" s="298">
        <f t="shared" si="120"/>
        <v>0</v>
      </c>
      <c r="AL73" s="299">
        <f t="shared" si="121"/>
        <v>0</v>
      </c>
      <c r="AM73" s="262">
        <f t="shared" si="122"/>
        <v>0</v>
      </c>
      <c r="AN73" s="298">
        <f t="shared" si="123"/>
        <v>0</v>
      </c>
      <c r="AO73" s="299">
        <f t="shared" si="124"/>
        <v>0</v>
      </c>
      <c r="AP73" s="262">
        <f t="shared" si="154"/>
        <v>0</v>
      </c>
      <c r="AQ73" s="298">
        <f t="shared" si="125"/>
        <v>0</v>
      </c>
      <c r="AR73" s="299">
        <f t="shared" si="126"/>
        <v>0</v>
      </c>
      <c r="AS73" s="262">
        <f t="shared" si="155"/>
        <v>0</v>
      </c>
      <c r="AT73" s="298">
        <f t="shared" si="127"/>
        <v>0</v>
      </c>
      <c r="AU73" s="299">
        <f t="shared" si="128"/>
        <v>0</v>
      </c>
      <c r="AV73" s="262">
        <f t="shared" si="129"/>
        <v>0</v>
      </c>
      <c r="AW73" s="298">
        <f t="shared" si="130"/>
        <v>0</v>
      </c>
      <c r="AX73" s="299">
        <f t="shared" si="131"/>
        <v>0</v>
      </c>
      <c r="AY73" s="262">
        <f t="shared" si="132"/>
        <v>0</v>
      </c>
      <c r="AZ73" s="298">
        <f t="shared" si="133"/>
        <v>0</v>
      </c>
      <c r="BA73" s="299">
        <f t="shared" si="134"/>
        <v>0</v>
      </c>
      <c r="BB73" s="262">
        <f t="shared" si="135"/>
        <v>0</v>
      </c>
      <c r="BC73" s="298">
        <f t="shared" si="136"/>
        <v>0</v>
      </c>
      <c r="BD73" s="299">
        <f t="shared" si="137"/>
        <v>0</v>
      </c>
      <c r="BE73" s="262">
        <f t="shared" si="156"/>
        <v>0</v>
      </c>
      <c r="BF73" s="298">
        <f t="shared" si="138"/>
        <v>0</v>
      </c>
      <c r="BG73" s="299">
        <f t="shared" si="139"/>
        <v>0</v>
      </c>
      <c r="BH73" s="262">
        <f t="shared" si="157"/>
        <v>0</v>
      </c>
      <c r="BI73" s="298">
        <f t="shared" si="140"/>
        <v>0</v>
      </c>
      <c r="BJ73" s="299">
        <f t="shared" si="141"/>
        <v>0</v>
      </c>
      <c r="BK73" s="262">
        <f t="shared" si="142"/>
        <v>0</v>
      </c>
      <c r="BL73" s="298">
        <f t="shared" si="143"/>
        <v>0</v>
      </c>
      <c r="BM73" s="299">
        <f t="shared" si="144"/>
        <v>0</v>
      </c>
      <c r="BN73" s="262">
        <f t="shared" si="145"/>
        <v>0</v>
      </c>
      <c r="BO73" s="298">
        <f t="shared" si="146"/>
        <v>0</v>
      </c>
      <c r="BP73" s="299">
        <f t="shared" si="147"/>
        <v>0</v>
      </c>
      <c r="BQ73" s="262">
        <f t="shared" si="148"/>
        <v>0</v>
      </c>
    </row>
    <row r="74" spans="1:70" ht="16" x14ac:dyDescent="0.2">
      <c r="A74" s="1346"/>
      <c r="B74" s="1348"/>
      <c r="C74" s="290" t="s">
        <v>33</v>
      </c>
      <c r="D74" s="291">
        <f t="shared" si="92"/>
        <v>0</v>
      </c>
      <c r="E74" s="292">
        <f t="shared" si="93"/>
        <v>0</v>
      </c>
      <c r="F74" s="293">
        <f t="shared" si="94"/>
        <v>0</v>
      </c>
      <c r="G74" s="298">
        <f t="shared" si="95"/>
        <v>0</v>
      </c>
      <c r="H74" s="299">
        <f t="shared" si="96"/>
        <v>0</v>
      </c>
      <c r="I74" s="262">
        <f t="shared" si="149"/>
        <v>0</v>
      </c>
      <c r="J74" s="298">
        <f t="shared" si="97"/>
        <v>0</v>
      </c>
      <c r="K74" s="299">
        <f t="shared" si="98"/>
        <v>0</v>
      </c>
      <c r="L74" s="262">
        <f t="shared" si="150"/>
        <v>0</v>
      </c>
      <c r="M74" s="298">
        <f t="shared" si="99"/>
        <v>0</v>
      </c>
      <c r="N74" s="299">
        <f t="shared" si="100"/>
        <v>0</v>
      </c>
      <c r="O74" s="262">
        <f t="shared" si="151"/>
        <v>0</v>
      </c>
      <c r="P74" s="298">
        <f t="shared" si="101"/>
        <v>0</v>
      </c>
      <c r="Q74" s="299">
        <f t="shared" si="102"/>
        <v>0</v>
      </c>
      <c r="R74" s="262">
        <f t="shared" si="103"/>
        <v>0</v>
      </c>
      <c r="S74" s="298">
        <f t="shared" si="104"/>
        <v>0</v>
      </c>
      <c r="T74" s="299">
        <f t="shared" si="105"/>
        <v>0</v>
      </c>
      <c r="U74" s="262">
        <f t="shared" si="106"/>
        <v>0</v>
      </c>
      <c r="V74" s="298">
        <f t="shared" si="107"/>
        <v>0</v>
      </c>
      <c r="W74" s="299">
        <f t="shared" si="108"/>
        <v>0</v>
      </c>
      <c r="X74" s="262">
        <f t="shared" si="109"/>
        <v>0</v>
      </c>
      <c r="Y74" s="298">
        <f t="shared" si="110"/>
        <v>0</v>
      </c>
      <c r="Z74" s="299">
        <f t="shared" si="111"/>
        <v>0</v>
      </c>
      <c r="AA74" s="262">
        <f t="shared" si="152"/>
        <v>0</v>
      </c>
      <c r="AB74" s="298">
        <f t="shared" si="112"/>
        <v>0</v>
      </c>
      <c r="AC74" s="299">
        <f t="shared" si="113"/>
        <v>0</v>
      </c>
      <c r="AD74" s="262">
        <f t="shared" si="153"/>
        <v>0</v>
      </c>
      <c r="AE74" s="298">
        <f t="shared" si="114"/>
        <v>0</v>
      </c>
      <c r="AF74" s="299">
        <f t="shared" si="115"/>
        <v>0</v>
      </c>
      <c r="AG74" s="262">
        <f t="shared" si="116"/>
        <v>0</v>
      </c>
      <c r="AH74" s="298">
        <f t="shared" si="117"/>
        <v>0</v>
      </c>
      <c r="AI74" s="299">
        <f t="shared" si="118"/>
        <v>0</v>
      </c>
      <c r="AJ74" s="262">
        <f t="shared" si="119"/>
        <v>0</v>
      </c>
      <c r="AK74" s="298">
        <f t="shared" si="120"/>
        <v>0</v>
      </c>
      <c r="AL74" s="299">
        <f t="shared" si="121"/>
        <v>0</v>
      </c>
      <c r="AM74" s="262">
        <f t="shared" si="122"/>
        <v>0</v>
      </c>
      <c r="AN74" s="298">
        <f t="shared" si="123"/>
        <v>0</v>
      </c>
      <c r="AO74" s="299">
        <f t="shared" si="124"/>
        <v>0</v>
      </c>
      <c r="AP74" s="262">
        <f t="shared" si="154"/>
        <v>0</v>
      </c>
      <c r="AQ74" s="298">
        <f t="shared" si="125"/>
        <v>0</v>
      </c>
      <c r="AR74" s="299">
        <f t="shared" si="126"/>
        <v>0</v>
      </c>
      <c r="AS74" s="262">
        <f t="shared" si="155"/>
        <v>0</v>
      </c>
      <c r="AT74" s="298">
        <f t="shared" si="127"/>
        <v>0</v>
      </c>
      <c r="AU74" s="299">
        <f t="shared" si="128"/>
        <v>0</v>
      </c>
      <c r="AV74" s="262">
        <f t="shared" si="129"/>
        <v>0</v>
      </c>
      <c r="AW74" s="298">
        <f t="shared" si="130"/>
        <v>0</v>
      </c>
      <c r="AX74" s="299">
        <f t="shared" si="131"/>
        <v>0</v>
      </c>
      <c r="AY74" s="262">
        <f t="shared" si="132"/>
        <v>0</v>
      </c>
      <c r="AZ74" s="298">
        <f t="shared" si="133"/>
        <v>0</v>
      </c>
      <c r="BA74" s="299">
        <f t="shared" si="134"/>
        <v>0</v>
      </c>
      <c r="BB74" s="262">
        <f t="shared" si="135"/>
        <v>0</v>
      </c>
      <c r="BC74" s="298">
        <f t="shared" si="136"/>
        <v>0</v>
      </c>
      <c r="BD74" s="299">
        <f t="shared" si="137"/>
        <v>0</v>
      </c>
      <c r="BE74" s="262">
        <f t="shared" si="156"/>
        <v>0</v>
      </c>
      <c r="BF74" s="298">
        <f t="shared" si="138"/>
        <v>0</v>
      </c>
      <c r="BG74" s="299">
        <f t="shared" si="139"/>
        <v>0</v>
      </c>
      <c r="BH74" s="262">
        <f t="shared" si="157"/>
        <v>0</v>
      </c>
      <c r="BI74" s="298">
        <f t="shared" si="140"/>
        <v>0</v>
      </c>
      <c r="BJ74" s="299">
        <f t="shared" si="141"/>
        <v>0</v>
      </c>
      <c r="BK74" s="262">
        <f t="shared" si="142"/>
        <v>0</v>
      </c>
      <c r="BL74" s="298">
        <f t="shared" si="143"/>
        <v>0</v>
      </c>
      <c r="BM74" s="299">
        <f t="shared" si="144"/>
        <v>0</v>
      </c>
      <c r="BN74" s="262">
        <f t="shared" si="145"/>
        <v>0</v>
      </c>
      <c r="BO74" s="298">
        <f t="shared" si="146"/>
        <v>0</v>
      </c>
      <c r="BP74" s="299">
        <f t="shared" si="147"/>
        <v>0</v>
      </c>
      <c r="BQ74" s="262">
        <f t="shared" si="148"/>
        <v>0</v>
      </c>
    </row>
    <row r="75" spans="1:70" ht="17" thickBot="1" x14ac:dyDescent="0.25">
      <c r="A75" s="1347"/>
      <c r="B75" s="1349"/>
      <c r="C75" s="300" t="s">
        <v>34</v>
      </c>
      <c r="D75" s="301">
        <f t="shared" si="92"/>
        <v>0</v>
      </c>
      <c r="E75" s="302">
        <f t="shared" si="93"/>
        <v>0</v>
      </c>
      <c r="F75" s="303">
        <f t="shared" si="94"/>
        <v>0</v>
      </c>
      <c r="G75" s="304">
        <f t="shared" si="95"/>
        <v>0</v>
      </c>
      <c r="H75" s="305">
        <f t="shared" si="96"/>
        <v>0</v>
      </c>
      <c r="I75" s="267">
        <f t="shared" si="149"/>
        <v>0</v>
      </c>
      <c r="J75" s="304">
        <f t="shared" si="97"/>
        <v>0</v>
      </c>
      <c r="K75" s="305">
        <f t="shared" si="98"/>
        <v>0</v>
      </c>
      <c r="L75" s="267">
        <f t="shared" si="150"/>
        <v>0</v>
      </c>
      <c r="M75" s="304">
        <f t="shared" si="99"/>
        <v>0</v>
      </c>
      <c r="N75" s="305">
        <f t="shared" si="100"/>
        <v>0</v>
      </c>
      <c r="O75" s="267">
        <f t="shared" si="151"/>
        <v>0</v>
      </c>
      <c r="P75" s="304">
        <f t="shared" si="101"/>
        <v>0</v>
      </c>
      <c r="Q75" s="305">
        <f t="shared" si="102"/>
        <v>0</v>
      </c>
      <c r="R75" s="267">
        <f t="shared" si="103"/>
        <v>0</v>
      </c>
      <c r="S75" s="304">
        <f t="shared" si="104"/>
        <v>0</v>
      </c>
      <c r="T75" s="305">
        <f t="shared" si="105"/>
        <v>0</v>
      </c>
      <c r="U75" s="267">
        <f t="shared" si="106"/>
        <v>0</v>
      </c>
      <c r="V75" s="304">
        <f t="shared" si="107"/>
        <v>0</v>
      </c>
      <c r="W75" s="305">
        <f t="shared" si="108"/>
        <v>0</v>
      </c>
      <c r="X75" s="267">
        <f t="shared" si="109"/>
        <v>0</v>
      </c>
      <c r="Y75" s="304">
        <f t="shared" si="110"/>
        <v>0</v>
      </c>
      <c r="Z75" s="305">
        <f t="shared" si="111"/>
        <v>0</v>
      </c>
      <c r="AA75" s="267">
        <f t="shared" si="152"/>
        <v>0</v>
      </c>
      <c r="AB75" s="304">
        <f t="shared" si="112"/>
        <v>0</v>
      </c>
      <c r="AC75" s="305">
        <f t="shared" si="113"/>
        <v>0</v>
      </c>
      <c r="AD75" s="267">
        <f t="shared" si="153"/>
        <v>0</v>
      </c>
      <c r="AE75" s="304">
        <f t="shared" si="114"/>
        <v>0</v>
      </c>
      <c r="AF75" s="305">
        <f t="shared" si="115"/>
        <v>0</v>
      </c>
      <c r="AG75" s="267">
        <f t="shared" si="116"/>
        <v>0</v>
      </c>
      <c r="AH75" s="304">
        <f t="shared" si="117"/>
        <v>0</v>
      </c>
      <c r="AI75" s="305">
        <f t="shared" si="118"/>
        <v>0</v>
      </c>
      <c r="AJ75" s="267">
        <f t="shared" si="119"/>
        <v>0</v>
      </c>
      <c r="AK75" s="304">
        <f t="shared" si="120"/>
        <v>0</v>
      </c>
      <c r="AL75" s="305">
        <f t="shared" si="121"/>
        <v>0</v>
      </c>
      <c r="AM75" s="267">
        <f t="shared" si="122"/>
        <v>0</v>
      </c>
      <c r="AN75" s="304">
        <f t="shared" si="123"/>
        <v>0</v>
      </c>
      <c r="AO75" s="305">
        <f t="shared" si="124"/>
        <v>0</v>
      </c>
      <c r="AP75" s="267">
        <f t="shared" si="154"/>
        <v>0</v>
      </c>
      <c r="AQ75" s="304">
        <f t="shared" si="125"/>
        <v>0</v>
      </c>
      <c r="AR75" s="305">
        <f t="shared" si="126"/>
        <v>0</v>
      </c>
      <c r="AS75" s="267">
        <f t="shared" si="155"/>
        <v>0</v>
      </c>
      <c r="AT75" s="304">
        <f t="shared" si="127"/>
        <v>0</v>
      </c>
      <c r="AU75" s="305">
        <f t="shared" si="128"/>
        <v>0</v>
      </c>
      <c r="AV75" s="267">
        <f t="shared" si="129"/>
        <v>0</v>
      </c>
      <c r="AW75" s="304">
        <f t="shared" si="130"/>
        <v>0</v>
      </c>
      <c r="AX75" s="305">
        <f t="shared" si="131"/>
        <v>0</v>
      </c>
      <c r="AY75" s="267">
        <f t="shared" si="132"/>
        <v>0</v>
      </c>
      <c r="AZ75" s="304">
        <f t="shared" si="133"/>
        <v>0</v>
      </c>
      <c r="BA75" s="305">
        <f t="shared" si="134"/>
        <v>0</v>
      </c>
      <c r="BB75" s="267">
        <f t="shared" si="135"/>
        <v>0</v>
      </c>
      <c r="BC75" s="304">
        <f t="shared" si="136"/>
        <v>0</v>
      </c>
      <c r="BD75" s="305">
        <f t="shared" si="137"/>
        <v>0</v>
      </c>
      <c r="BE75" s="267">
        <f t="shared" si="156"/>
        <v>0</v>
      </c>
      <c r="BF75" s="304">
        <f t="shared" si="138"/>
        <v>0</v>
      </c>
      <c r="BG75" s="305">
        <f t="shared" si="139"/>
        <v>0</v>
      </c>
      <c r="BH75" s="267">
        <f t="shared" si="157"/>
        <v>0</v>
      </c>
      <c r="BI75" s="304">
        <f t="shared" si="140"/>
        <v>0</v>
      </c>
      <c r="BJ75" s="305">
        <f t="shared" si="141"/>
        <v>0</v>
      </c>
      <c r="BK75" s="267">
        <f t="shared" si="142"/>
        <v>0</v>
      </c>
      <c r="BL75" s="304">
        <f t="shared" si="143"/>
        <v>0</v>
      </c>
      <c r="BM75" s="305">
        <f t="shared" si="144"/>
        <v>0</v>
      </c>
      <c r="BN75" s="267">
        <f t="shared" si="145"/>
        <v>0</v>
      </c>
      <c r="BO75" s="304">
        <f t="shared" si="146"/>
        <v>0</v>
      </c>
      <c r="BP75" s="305">
        <f t="shared" si="147"/>
        <v>0</v>
      </c>
      <c r="BQ75" s="267">
        <f t="shared" si="148"/>
        <v>0</v>
      </c>
    </row>
    <row r="76" spans="1:70" ht="16" x14ac:dyDescent="0.2">
      <c r="A76" s="1346" t="s">
        <v>146</v>
      </c>
      <c r="B76" s="1348" t="s">
        <v>13</v>
      </c>
      <c r="C76" s="290" t="s">
        <v>25</v>
      </c>
      <c r="D76" s="291">
        <f t="shared" ref="D76:D95" si="158">SUM(G76,J76,M76,P76,S76,V76,Y76,AB76,AE76,AH76,AK76,AN76,AQ76,AT76,AW76,AZ76,AZ76,BC76,BF76,BI76,BL76,BO76)</f>
        <v>0</v>
      </c>
      <c r="E76" s="292">
        <f t="shared" ref="E76:E135" si="159">SUM(H76,K76,N76,Q76,T76,W76,Z76,AC76,AF76,AI76,AL76,AO76,AR76,AU76,AX76,BA76,BA76,BD76,BG76,BJ76,BM76,BP76)</f>
        <v>0</v>
      </c>
      <c r="F76" s="293">
        <f t="shared" ref="F76:F105" si="160">SUM(I76,L76,O76,R76,U76,X76,AA76,AD76,AG76,AJ76,AM76,AP76,AS76,AV76,AY76,BB76,BB76,BE76,BH76,BK76,BN76,BQ76)</f>
        <v>0</v>
      </c>
      <c r="G76" s="306">
        <f>G5*G35*Faktory!$D$8</f>
        <v>0</v>
      </c>
      <c r="H76" s="307">
        <f>((H66*G35)-(H66*((G35-H35)*(1+$BR$35))))*Faktory!$D$8</f>
        <v>0</v>
      </c>
      <c r="I76" s="257">
        <f>H76-G76</f>
        <v>0</v>
      </c>
      <c r="J76" s="306">
        <f>J5*J35*Faktory!$D$8</f>
        <v>0</v>
      </c>
      <c r="K76" s="307">
        <f>((K66*J35)-(K66*((J35-K35)*(1+$BR$35))))*Faktory!$D$8</f>
        <v>0</v>
      </c>
      <c r="L76" s="257">
        <f>K76-J76</f>
        <v>0</v>
      </c>
      <c r="M76" s="306">
        <f>M5*M35*Faktory!$D$8</f>
        <v>0</v>
      </c>
      <c r="N76" s="307">
        <f>((N66*M35)-(N66*((M35-N35)*(1+$BR$35))))*Faktory!$D$8</f>
        <v>0</v>
      </c>
      <c r="O76" s="257">
        <f>N76-M76</f>
        <v>0</v>
      </c>
      <c r="P76" s="306">
        <f>P5*P35*Faktory!$D$8</f>
        <v>0</v>
      </c>
      <c r="Q76" s="307">
        <f>((Q66*P35)-(Q66*((P35-Q35)*(1+$BR$35))))*Faktory!$D$8</f>
        <v>0</v>
      </c>
      <c r="R76" s="257">
        <f>Q76-P76</f>
        <v>0</v>
      </c>
      <c r="S76" s="306">
        <f>S5*S35*Faktory!$D$8</f>
        <v>0</v>
      </c>
      <c r="T76" s="307">
        <f>((T66*S35)-(T66*((S35-T35)*(1+$BR$35))))*Faktory!$D$8</f>
        <v>0</v>
      </c>
      <c r="U76" s="257">
        <f>T76-S76</f>
        <v>0</v>
      </c>
      <c r="V76" s="306">
        <f>V5*V35*Faktory!$D$8</f>
        <v>0</v>
      </c>
      <c r="W76" s="307">
        <f>((W66*V35)-(W66*((V35-W35)*(1+$BR$35))))*Faktory!$D$8</f>
        <v>0</v>
      </c>
      <c r="X76" s="257">
        <f>W76-V76</f>
        <v>0</v>
      </c>
      <c r="Y76" s="306">
        <f>Y5*Y35*Faktory!$D$8</f>
        <v>0</v>
      </c>
      <c r="Z76" s="307">
        <f>((Z66*Y35)-(Z66*((Y35-Z35)*(1+$BR$35))))*Faktory!$D$8</f>
        <v>0</v>
      </c>
      <c r="AA76" s="257">
        <f>Z76-Y76</f>
        <v>0</v>
      </c>
      <c r="AB76" s="306">
        <f>AB5*AB35*Faktory!$D$8</f>
        <v>0</v>
      </c>
      <c r="AC76" s="307">
        <f>((AC66*AB35)-(AC66*((AB35-AC35)*(1+$BR$35))))*Faktory!$D$8</f>
        <v>0</v>
      </c>
      <c r="AD76" s="257">
        <f>AC76-AB76</f>
        <v>0</v>
      </c>
      <c r="AE76" s="306">
        <f>AE5*AE35*Faktory!$D$8</f>
        <v>0</v>
      </c>
      <c r="AF76" s="307">
        <f>((AF66*AE35)-(AF66*((AE35-AF35)*(1+$BR$35))))*Faktory!$D$8</f>
        <v>0</v>
      </c>
      <c r="AG76" s="257">
        <f>AF76-AE76</f>
        <v>0</v>
      </c>
      <c r="AH76" s="306">
        <f>AH5*AH35*Faktory!$D$8</f>
        <v>0</v>
      </c>
      <c r="AI76" s="307">
        <f>((AI66*AH35)-(AI66*((AH35-AI35)*(1+$BR$35))))*Faktory!$D$8</f>
        <v>0</v>
      </c>
      <c r="AJ76" s="257">
        <f>AI76-AH76</f>
        <v>0</v>
      </c>
      <c r="AK76" s="306">
        <f>AK5*AK35*Faktory!$D$8</f>
        <v>0</v>
      </c>
      <c r="AL76" s="307">
        <f>((AL66*AK35)-(AL66*((AK35-AL35)*(1+$BR$35))))*Faktory!$D$8</f>
        <v>0</v>
      </c>
      <c r="AM76" s="257">
        <f>AL76-AK76</f>
        <v>0</v>
      </c>
      <c r="AN76" s="306">
        <f>AN5*AN35*Faktory!$D$8</f>
        <v>0</v>
      </c>
      <c r="AO76" s="307">
        <f>((AO66*AN35)-(AO66*((AN35-AO35)*(1+$BR$35))))*Faktory!$D$8</f>
        <v>0</v>
      </c>
      <c r="AP76" s="257">
        <f>AO76-AN76</f>
        <v>0</v>
      </c>
      <c r="AQ76" s="306">
        <f>AQ5*AQ35*Faktory!$D$8</f>
        <v>0</v>
      </c>
      <c r="AR76" s="307">
        <f>((AR66*AQ35)-(AR66*((AQ35-AR35)*(1+$BR$35))))*Faktory!$D$8</f>
        <v>0</v>
      </c>
      <c r="AS76" s="257">
        <f>AR76-AQ76</f>
        <v>0</v>
      </c>
      <c r="AT76" s="306">
        <f>AT5*AT35*Faktory!$D$8</f>
        <v>0</v>
      </c>
      <c r="AU76" s="307">
        <f>((AU66*AT35)-(AU66*((AT35-AU35)*(1+$BR$35))))*Faktory!$D$8</f>
        <v>0</v>
      </c>
      <c r="AV76" s="257">
        <f>AU76-AT76</f>
        <v>0</v>
      </c>
      <c r="AW76" s="306">
        <f>AW5*AW35*Faktory!$D$8</f>
        <v>0</v>
      </c>
      <c r="AX76" s="307">
        <f>((AX66*AW35)-(AX66*((AW35-AX35)*(1+$BR$35))))*Faktory!$D$8</f>
        <v>0</v>
      </c>
      <c r="AY76" s="257">
        <f>AX76-AW76</f>
        <v>0</v>
      </c>
      <c r="AZ76" s="306">
        <f>AZ5*AZ35*Faktory!$D$8</f>
        <v>0</v>
      </c>
      <c r="BA76" s="307">
        <f>((BA66*AZ35)-(BA66*((AZ35-BA35)*(1+$BR$35))))*Faktory!$D$8</f>
        <v>0</v>
      </c>
      <c r="BB76" s="257">
        <f>BA76-AZ76</f>
        <v>0</v>
      </c>
      <c r="BC76" s="306">
        <f>BC5*BC35*Faktory!$D$8</f>
        <v>0</v>
      </c>
      <c r="BD76" s="307">
        <f>((BD66*BC35)-(BD66*((BC35-BD35)*(1+$BR$35))))*Faktory!$D$8</f>
        <v>0</v>
      </c>
      <c r="BE76" s="257">
        <f>BD76-BC76</f>
        <v>0</v>
      </c>
      <c r="BF76" s="306">
        <f>BF5*BF35*Faktory!$D$8</f>
        <v>0</v>
      </c>
      <c r="BG76" s="307">
        <f>((BG66*BF35)-(BG66*((BF35-BG35)*(1+$BR$35))))*Faktory!$D$8</f>
        <v>0</v>
      </c>
      <c r="BH76" s="257">
        <f>BG76-BF76</f>
        <v>0</v>
      </c>
      <c r="BI76" s="306">
        <f>BI5*BI35*Faktory!$D$8</f>
        <v>0</v>
      </c>
      <c r="BJ76" s="307">
        <f>((BJ66*BI35)-(BJ66*((BI35-BJ35)*(1+$BR$35))))*Faktory!$D$8</f>
        <v>0</v>
      </c>
      <c r="BK76" s="257">
        <f>BJ76-BI76</f>
        <v>0</v>
      </c>
      <c r="BL76" s="306">
        <f>BL5*BL35*Faktory!$D$8</f>
        <v>0</v>
      </c>
      <c r="BM76" s="307">
        <f>((BM66*BL35)-(BM66*((BL35-BM35)*(1+$BR$35))))*Faktory!$D$8</f>
        <v>0</v>
      </c>
      <c r="BN76" s="257">
        <f>BM76-BL76</f>
        <v>0</v>
      </c>
      <c r="BO76" s="306">
        <f>BO5*BO35*Faktory!$D$8</f>
        <v>0</v>
      </c>
      <c r="BP76" s="307">
        <f>((BP66*BO35)-(BP66*((BO35-BP35)*(1+$BR$35))))*Faktory!$D$8</f>
        <v>0</v>
      </c>
      <c r="BQ76" s="257">
        <f>BP76-BO76</f>
        <v>0</v>
      </c>
    </row>
    <row r="77" spans="1:70" ht="16" x14ac:dyDescent="0.2">
      <c r="A77" s="1346"/>
      <c r="B77" s="1348"/>
      <c r="C77" s="290" t="s">
        <v>26</v>
      </c>
      <c r="D77" s="291">
        <f t="shared" si="158"/>
        <v>0</v>
      </c>
      <c r="E77" s="292">
        <f t="shared" si="159"/>
        <v>0</v>
      </c>
      <c r="F77" s="293">
        <f t="shared" si="160"/>
        <v>0</v>
      </c>
      <c r="G77" s="298">
        <f>G6*G36*Faktory!$D$8</f>
        <v>0</v>
      </c>
      <c r="H77" s="299">
        <f>((H67*G36)-(H67*((G36-H36)*(1+$BR$35))))*Faktory!$D$8</f>
        <v>0</v>
      </c>
      <c r="I77" s="262">
        <f t="shared" ref="I77:I95" si="161">H77-G77</f>
        <v>0</v>
      </c>
      <c r="J77" s="298">
        <f>J6*J36*Faktory!$D$8</f>
        <v>0</v>
      </c>
      <c r="K77" s="299">
        <f>((K67*J36)-(K67*((J36-K36)*(1+$BR$35))))*Faktory!$D$8</f>
        <v>0</v>
      </c>
      <c r="L77" s="262">
        <f t="shared" ref="L77:L95" si="162">K77-J77</f>
        <v>0</v>
      </c>
      <c r="M77" s="298">
        <f>M6*M36*Faktory!$D$8</f>
        <v>0</v>
      </c>
      <c r="N77" s="299">
        <f>((N67*M36)-(N67*((M36-N36)*(1+$BR$35))))*Faktory!$D$8</f>
        <v>0</v>
      </c>
      <c r="O77" s="262">
        <f t="shared" ref="O77:O95" si="163">N77-M77</f>
        <v>0</v>
      </c>
      <c r="P77" s="298">
        <f>P6*P36*Faktory!$D$8</f>
        <v>0</v>
      </c>
      <c r="Q77" s="299">
        <f>((Q67*P36)-(Q67*((P36-Q36)*(1+$BR$35))))*Faktory!$D$8</f>
        <v>0</v>
      </c>
      <c r="R77" s="262">
        <f t="shared" ref="R77:R95" si="164">Q77-P77</f>
        <v>0</v>
      </c>
      <c r="S77" s="298">
        <f>S6*S36*Faktory!$D$8</f>
        <v>0</v>
      </c>
      <c r="T77" s="299">
        <f>((T67*S36)-(T67*((S36-T36)*(1+$BR$35))))*Faktory!$D$8</f>
        <v>0</v>
      </c>
      <c r="U77" s="262">
        <f t="shared" ref="U77:U95" si="165">T77-S77</f>
        <v>0</v>
      </c>
      <c r="V77" s="298">
        <f>V6*V36*Faktory!$D$8</f>
        <v>0</v>
      </c>
      <c r="W77" s="299">
        <f>((W67*V36)-(W67*((V36-W36)*(1+$BR$35))))*Faktory!$D$8</f>
        <v>0</v>
      </c>
      <c r="X77" s="262">
        <f t="shared" ref="X77:X95" si="166">W77-V77</f>
        <v>0</v>
      </c>
      <c r="Y77" s="298">
        <f>Y6*Y36*Faktory!$D$8</f>
        <v>0</v>
      </c>
      <c r="Z77" s="299">
        <f>((Z67*Y36)-(Z67*((Y36-Z36)*(1+$BR$35))))*Faktory!$D$8</f>
        <v>0</v>
      </c>
      <c r="AA77" s="262">
        <f t="shared" ref="AA77:AA95" si="167">Z77-Y77</f>
        <v>0</v>
      </c>
      <c r="AB77" s="298">
        <f>AB6*AB36*Faktory!$D$8</f>
        <v>0</v>
      </c>
      <c r="AC77" s="299">
        <f>((AC67*AB36)-(AC67*((AB36-AC36)*(1+$BR$35))))*Faktory!$D$8</f>
        <v>0</v>
      </c>
      <c r="AD77" s="262">
        <f t="shared" ref="AD77:AD95" si="168">AC77-AB77</f>
        <v>0</v>
      </c>
      <c r="AE77" s="298">
        <f>AE6*AE36*Faktory!$D$8</f>
        <v>0</v>
      </c>
      <c r="AF77" s="299">
        <f>((AF67*AE36)-(AF67*((AE36-AF36)*(1+$BR$35))))*Faktory!$D$8</f>
        <v>0</v>
      </c>
      <c r="AG77" s="262">
        <f t="shared" ref="AG77:AG95" si="169">AF77-AE77</f>
        <v>0</v>
      </c>
      <c r="AH77" s="298">
        <f>AH6*AH36*Faktory!$D$8</f>
        <v>0</v>
      </c>
      <c r="AI77" s="299">
        <f>((AI67*AH36)-(AI67*((AH36-AI36)*(1+$BR$35))))*Faktory!$D$8</f>
        <v>0</v>
      </c>
      <c r="AJ77" s="262">
        <f t="shared" ref="AJ77:AJ95" si="170">AI77-AH77</f>
        <v>0</v>
      </c>
      <c r="AK77" s="298">
        <f>AK6*AK36*Faktory!$D$8</f>
        <v>0</v>
      </c>
      <c r="AL77" s="299">
        <f>((AL67*AK36)-(AL67*((AK36-AL36)*(1+$BR$35))))*Faktory!$D$8</f>
        <v>0</v>
      </c>
      <c r="AM77" s="262">
        <f t="shared" ref="AM77:AM95" si="171">AL77-AK77</f>
        <v>0</v>
      </c>
      <c r="AN77" s="298">
        <f>AN6*AN36*Faktory!$D$8</f>
        <v>0</v>
      </c>
      <c r="AO77" s="299">
        <f>((AO67*AN36)-(AO67*((AN36-AO36)*(1+$BR$35))))*Faktory!$D$8</f>
        <v>0</v>
      </c>
      <c r="AP77" s="262">
        <f t="shared" ref="AP77:AP95" si="172">AO77-AN77</f>
        <v>0</v>
      </c>
      <c r="AQ77" s="298">
        <f>AQ6*AQ36*Faktory!$D$8</f>
        <v>0</v>
      </c>
      <c r="AR77" s="299">
        <f>((AR67*AQ36)-(AR67*((AQ36-AR36)*(1+$BR$35))))*Faktory!$D$8</f>
        <v>0</v>
      </c>
      <c r="AS77" s="262">
        <f t="shared" ref="AS77:AS95" si="173">AR77-AQ77</f>
        <v>0</v>
      </c>
      <c r="AT77" s="298">
        <f>AT6*AT36*Faktory!$D$8</f>
        <v>0</v>
      </c>
      <c r="AU77" s="299">
        <f>((AU67*AT36)-(AU67*((AT36-AU36)*(1+$BR$35))))*Faktory!$D$8</f>
        <v>0</v>
      </c>
      <c r="AV77" s="262">
        <f t="shared" ref="AV77:AV95" si="174">AU77-AT77</f>
        <v>0</v>
      </c>
      <c r="AW77" s="298">
        <f>AW6*AW36*Faktory!$D$8</f>
        <v>0</v>
      </c>
      <c r="AX77" s="299">
        <f>((AX67*AW36)-(AX67*((AW36-AX36)*(1+$BR$35))))*Faktory!$D$8</f>
        <v>0</v>
      </c>
      <c r="AY77" s="262">
        <f t="shared" ref="AY77:AY95" si="175">AX77-AW77</f>
        <v>0</v>
      </c>
      <c r="AZ77" s="298">
        <f>AZ6*AZ36*Faktory!$D$8</f>
        <v>0</v>
      </c>
      <c r="BA77" s="299">
        <f>((BA67*AZ36)-(BA67*((AZ36-BA36)*(1+$BR$35))))*Faktory!$D$8</f>
        <v>0</v>
      </c>
      <c r="BB77" s="262">
        <f t="shared" ref="BB77:BB95" si="176">BA77-AZ77</f>
        <v>0</v>
      </c>
      <c r="BC77" s="298">
        <f>BC6*BC36*Faktory!$D$8</f>
        <v>0</v>
      </c>
      <c r="BD77" s="299">
        <f>((BD67*BC36)-(BD67*((BC36-BD36)*(1+$BR$35))))*Faktory!$D$8</f>
        <v>0</v>
      </c>
      <c r="BE77" s="262">
        <f t="shared" ref="BE77:BE95" si="177">BD77-BC77</f>
        <v>0</v>
      </c>
      <c r="BF77" s="298">
        <f>BF6*BF36*Faktory!$D$8</f>
        <v>0</v>
      </c>
      <c r="BG77" s="299">
        <f>((BG67*BF36)-(BG67*((BF36-BG36)*(1+$BR$35))))*Faktory!$D$8</f>
        <v>0</v>
      </c>
      <c r="BH77" s="262">
        <f t="shared" ref="BH77:BH95" si="178">BG77-BF77</f>
        <v>0</v>
      </c>
      <c r="BI77" s="298">
        <f>BI6*BI36*Faktory!$D$8</f>
        <v>0</v>
      </c>
      <c r="BJ77" s="299">
        <f>((BJ67*BI36)-(BJ67*((BI36-BJ36)*(1+$BR$35))))*Faktory!$D$8</f>
        <v>0</v>
      </c>
      <c r="BK77" s="262">
        <f t="shared" ref="BK77:BK95" si="179">BJ77-BI77</f>
        <v>0</v>
      </c>
      <c r="BL77" s="298">
        <f>BL6*BL36*Faktory!$D$8</f>
        <v>0</v>
      </c>
      <c r="BM77" s="299">
        <f>((BM67*BL36)-(BM67*((BL36-BM36)*(1+$BR$35))))*Faktory!$D$8</f>
        <v>0</v>
      </c>
      <c r="BN77" s="262">
        <f t="shared" ref="BN77:BN95" si="180">BM77-BL77</f>
        <v>0</v>
      </c>
      <c r="BO77" s="298">
        <f>BO6*BO36*Faktory!$D$8</f>
        <v>0</v>
      </c>
      <c r="BP77" s="299">
        <f>((BP67*BO36)-(BP67*((BO36-BP36)*(1+$BR$35))))*Faktory!$D$8</f>
        <v>0</v>
      </c>
      <c r="BQ77" s="262">
        <f t="shared" ref="BQ77:BQ95" si="181">BP77-BO77</f>
        <v>0</v>
      </c>
    </row>
    <row r="78" spans="1:70" ht="16" x14ac:dyDescent="0.2">
      <c r="A78" s="1346"/>
      <c r="B78" s="1348"/>
      <c r="C78" s="290" t="s">
        <v>27</v>
      </c>
      <c r="D78" s="291">
        <f t="shared" si="158"/>
        <v>0</v>
      </c>
      <c r="E78" s="292">
        <f t="shared" si="159"/>
        <v>0</v>
      </c>
      <c r="F78" s="293">
        <f t="shared" si="160"/>
        <v>0</v>
      </c>
      <c r="G78" s="298">
        <f>G7*G37*Faktory!$D$8</f>
        <v>0</v>
      </c>
      <c r="H78" s="299">
        <f>((H68*G37)-(H68*((G37-H37)*(1+$BR$35))))*Faktory!$D$8</f>
        <v>0</v>
      </c>
      <c r="I78" s="262">
        <f t="shared" si="161"/>
        <v>0</v>
      </c>
      <c r="J78" s="298">
        <f>J7*J37*Faktory!$D$8</f>
        <v>0</v>
      </c>
      <c r="K78" s="299">
        <f>((K68*J37)-(K68*((J37-K37)*(1+$BR$35))))*Faktory!$D$8</f>
        <v>0</v>
      </c>
      <c r="L78" s="262">
        <f t="shared" si="162"/>
        <v>0</v>
      </c>
      <c r="M78" s="298">
        <f>M7*M37*Faktory!$D$8</f>
        <v>0</v>
      </c>
      <c r="N78" s="299">
        <f>((N68*M37)-(N68*((M37-N37)*(1+$BR$35))))*Faktory!$D$8</f>
        <v>0</v>
      </c>
      <c r="O78" s="262">
        <f t="shared" si="163"/>
        <v>0</v>
      </c>
      <c r="P78" s="298">
        <f>P7*P37*Faktory!$D$8</f>
        <v>0</v>
      </c>
      <c r="Q78" s="299">
        <f>((Q68*P37)-(Q68*((P37-Q37)*(1+$BR$35))))*Faktory!$D$8</f>
        <v>0</v>
      </c>
      <c r="R78" s="262">
        <f t="shared" si="164"/>
        <v>0</v>
      </c>
      <c r="S78" s="298">
        <f>S7*S37*Faktory!$D$8</f>
        <v>0</v>
      </c>
      <c r="T78" s="299">
        <f>((T68*S37)-(T68*((S37-T37)*(1+$BR$35))))*Faktory!$D$8</f>
        <v>0</v>
      </c>
      <c r="U78" s="262">
        <f t="shared" si="165"/>
        <v>0</v>
      </c>
      <c r="V78" s="298">
        <f>V7*V37*Faktory!$D$8</f>
        <v>0</v>
      </c>
      <c r="W78" s="299">
        <f>((W68*V37)-(W68*((V37-W37)*(1+$BR$35))))*Faktory!$D$8</f>
        <v>0</v>
      </c>
      <c r="X78" s="262">
        <f t="shared" si="166"/>
        <v>0</v>
      </c>
      <c r="Y78" s="298">
        <f>Y7*Y37*Faktory!$D$8</f>
        <v>0</v>
      </c>
      <c r="Z78" s="299">
        <f>((Z68*Y37)-(Z68*((Y37-Z37)*(1+$BR$35))))*Faktory!$D$8</f>
        <v>0</v>
      </c>
      <c r="AA78" s="262">
        <f t="shared" si="167"/>
        <v>0</v>
      </c>
      <c r="AB78" s="298">
        <f>AB7*AB37*Faktory!$D$8</f>
        <v>0</v>
      </c>
      <c r="AC78" s="299">
        <f>((AC68*AB37)-(AC68*((AB37-AC37)*(1+$BR$35))))*Faktory!$D$8</f>
        <v>0</v>
      </c>
      <c r="AD78" s="262">
        <f t="shared" si="168"/>
        <v>0</v>
      </c>
      <c r="AE78" s="298">
        <f>AE7*AE37*Faktory!$D$8</f>
        <v>0</v>
      </c>
      <c r="AF78" s="299">
        <f>((AF68*AE37)-(AF68*((AE37-AF37)*(1+$BR$35))))*Faktory!$D$8</f>
        <v>0</v>
      </c>
      <c r="AG78" s="262">
        <f t="shared" si="169"/>
        <v>0</v>
      </c>
      <c r="AH78" s="298">
        <f>AH7*AH37*Faktory!$D$8</f>
        <v>0</v>
      </c>
      <c r="AI78" s="299">
        <f>((AI68*AH37)-(AI68*((AH37-AI37)*(1+$BR$35))))*Faktory!$D$8</f>
        <v>0</v>
      </c>
      <c r="AJ78" s="262">
        <f t="shared" si="170"/>
        <v>0</v>
      </c>
      <c r="AK78" s="298">
        <f>AK7*AK37*Faktory!$D$8</f>
        <v>0</v>
      </c>
      <c r="AL78" s="299">
        <f>((AL68*AK37)-(AL68*((AK37-AL37)*(1+$BR$35))))*Faktory!$D$8</f>
        <v>0</v>
      </c>
      <c r="AM78" s="262">
        <f t="shared" si="171"/>
        <v>0</v>
      </c>
      <c r="AN78" s="298">
        <f>AN7*AN37*Faktory!$D$8</f>
        <v>0</v>
      </c>
      <c r="AO78" s="299">
        <f>((AO68*AN37)-(AO68*((AN37-AO37)*(1+$BR$35))))*Faktory!$D$8</f>
        <v>0</v>
      </c>
      <c r="AP78" s="262">
        <f t="shared" si="172"/>
        <v>0</v>
      </c>
      <c r="AQ78" s="298">
        <f>AQ7*AQ37*Faktory!$D$8</f>
        <v>0</v>
      </c>
      <c r="AR78" s="299">
        <f>((AR68*AQ37)-(AR68*((AQ37-AR37)*(1+$BR$35))))*Faktory!$D$8</f>
        <v>0</v>
      </c>
      <c r="AS78" s="262">
        <f t="shared" si="173"/>
        <v>0</v>
      </c>
      <c r="AT78" s="298">
        <f>AT7*AT37*Faktory!$D$8</f>
        <v>0</v>
      </c>
      <c r="AU78" s="299">
        <f>((AU68*AT37)-(AU68*((AT37-AU37)*(1+$BR$35))))*Faktory!$D$8</f>
        <v>0</v>
      </c>
      <c r="AV78" s="262">
        <f t="shared" si="174"/>
        <v>0</v>
      </c>
      <c r="AW78" s="298">
        <f>AW7*AW37*Faktory!$D$8</f>
        <v>0</v>
      </c>
      <c r="AX78" s="299">
        <f>((AX68*AW37)-(AX68*((AW37-AX37)*(1+$BR$35))))*Faktory!$D$8</f>
        <v>0</v>
      </c>
      <c r="AY78" s="262">
        <f t="shared" si="175"/>
        <v>0</v>
      </c>
      <c r="AZ78" s="298">
        <f>AZ7*AZ37*Faktory!$D$8</f>
        <v>0</v>
      </c>
      <c r="BA78" s="299">
        <f>((BA68*AZ37)-(BA68*((AZ37-BA37)*(1+$BR$35))))*Faktory!$D$8</f>
        <v>0</v>
      </c>
      <c r="BB78" s="262">
        <f t="shared" si="176"/>
        <v>0</v>
      </c>
      <c r="BC78" s="298">
        <f>BC7*BC37*Faktory!$D$8</f>
        <v>0</v>
      </c>
      <c r="BD78" s="299">
        <f>((BD68*BC37)-(BD68*((BC37-BD37)*(1+$BR$35))))*Faktory!$D$8</f>
        <v>0</v>
      </c>
      <c r="BE78" s="262">
        <f t="shared" si="177"/>
        <v>0</v>
      </c>
      <c r="BF78" s="298">
        <f>BF7*BF37*Faktory!$D$8</f>
        <v>0</v>
      </c>
      <c r="BG78" s="299">
        <f>((BG68*BF37)-(BG68*((BF37-BG37)*(1+$BR$35))))*Faktory!$D$8</f>
        <v>0</v>
      </c>
      <c r="BH78" s="262">
        <f t="shared" si="178"/>
        <v>0</v>
      </c>
      <c r="BI78" s="298">
        <f>BI7*BI37*Faktory!$D$8</f>
        <v>0</v>
      </c>
      <c r="BJ78" s="299">
        <f>((BJ68*BI37)-(BJ68*((BI37-BJ37)*(1+$BR$35))))*Faktory!$D$8</f>
        <v>0</v>
      </c>
      <c r="BK78" s="262">
        <f t="shared" si="179"/>
        <v>0</v>
      </c>
      <c r="BL78" s="298">
        <f>BL7*BL37*Faktory!$D$8</f>
        <v>0</v>
      </c>
      <c r="BM78" s="299">
        <f>((BM68*BL37)-(BM68*((BL37-BM37)*(1+$BR$35))))*Faktory!$D$8</f>
        <v>0</v>
      </c>
      <c r="BN78" s="262">
        <f t="shared" si="180"/>
        <v>0</v>
      </c>
      <c r="BO78" s="298">
        <f>BO7*BO37*Faktory!$D$8</f>
        <v>0</v>
      </c>
      <c r="BP78" s="299">
        <f>((BP68*BO37)-(BP68*((BO37-BP37)*(1+$BR$35))))*Faktory!$D$8</f>
        <v>0</v>
      </c>
      <c r="BQ78" s="262">
        <f t="shared" si="181"/>
        <v>0</v>
      </c>
    </row>
    <row r="79" spans="1:70" ht="16" x14ac:dyDescent="0.2">
      <c r="A79" s="1346"/>
      <c r="B79" s="1348"/>
      <c r="C79" s="290" t="s">
        <v>28</v>
      </c>
      <c r="D79" s="291">
        <f t="shared" si="158"/>
        <v>0</v>
      </c>
      <c r="E79" s="292">
        <f t="shared" si="159"/>
        <v>0</v>
      </c>
      <c r="F79" s="293">
        <f t="shared" si="160"/>
        <v>0</v>
      </c>
      <c r="G79" s="298">
        <f>G8*G38*Faktory!$D$8</f>
        <v>0</v>
      </c>
      <c r="H79" s="299">
        <f>((H69*G38)-(H69*((G38-H38)*(1+$BR$35))))*Faktory!$D$8</f>
        <v>0</v>
      </c>
      <c r="I79" s="262">
        <f t="shared" si="161"/>
        <v>0</v>
      </c>
      <c r="J79" s="298">
        <f>J8*J38*Faktory!$D$8</f>
        <v>0</v>
      </c>
      <c r="K79" s="299">
        <f>((K69*J38)-(K69*((J38-K38)*(1+$BR$35))))*Faktory!$D$8</f>
        <v>0</v>
      </c>
      <c r="L79" s="262">
        <f t="shared" si="162"/>
        <v>0</v>
      </c>
      <c r="M79" s="298">
        <f>M8*M38*Faktory!$D$8</f>
        <v>0</v>
      </c>
      <c r="N79" s="299">
        <f>((N69*M38)-(N69*((M38-N38)*(1+$BR$35))))*Faktory!$D$8</f>
        <v>0</v>
      </c>
      <c r="O79" s="262">
        <f t="shared" si="163"/>
        <v>0</v>
      </c>
      <c r="P79" s="298">
        <f>P8*P38*Faktory!$D$8</f>
        <v>0</v>
      </c>
      <c r="Q79" s="299">
        <f>((Q69*P38)-(Q69*((P38-Q38)*(1+$BR$35))))*Faktory!$D$8</f>
        <v>0</v>
      </c>
      <c r="R79" s="262">
        <f t="shared" si="164"/>
        <v>0</v>
      </c>
      <c r="S79" s="298">
        <f>S8*S38*Faktory!$D$8</f>
        <v>0</v>
      </c>
      <c r="T79" s="299">
        <f>((T69*S38)-(T69*((S38-T38)*(1+$BR$35))))*Faktory!$D$8</f>
        <v>0</v>
      </c>
      <c r="U79" s="262">
        <f t="shared" si="165"/>
        <v>0</v>
      </c>
      <c r="V79" s="298">
        <f>V8*V38*Faktory!$D$8</f>
        <v>0</v>
      </c>
      <c r="W79" s="299">
        <f>((W69*V38)-(W69*((V38-W38)*(1+$BR$35))))*Faktory!$D$8</f>
        <v>0</v>
      </c>
      <c r="X79" s="262">
        <f t="shared" si="166"/>
        <v>0</v>
      </c>
      <c r="Y79" s="298">
        <f>Y8*Y38*Faktory!$D$8</f>
        <v>0</v>
      </c>
      <c r="Z79" s="299">
        <f>((Z69*Y38)-(Z69*((Y38-Z38)*(1+$BR$35))))*Faktory!$D$8</f>
        <v>0</v>
      </c>
      <c r="AA79" s="262">
        <f t="shared" si="167"/>
        <v>0</v>
      </c>
      <c r="AB79" s="298">
        <f>AB8*AB38*Faktory!$D$8</f>
        <v>0</v>
      </c>
      <c r="AC79" s="299">
        <f>((AC69*AB38)-(AC69*((AB38-AC38)*(1+$BR$35))))*Faktory!$D$8</f>
        <v>0</v>
      </c>
      <c r="AD79" s="262">
        <f t="shared" si="168"/>
        <v>0</v>
      </c>
      <c r="AE79" s="298">
        <f>AE8*AE38*Faktory!$D$8</f>
        <v>0</v>
      </c>
      <c r="AF79" s="299">
        <f>((AF69*AE38)-(AF69*((AE38-AF38)*(1+$BR$35))))*Faktory!$D$8</f>
        <v>0</v>
      </c>
      <c r="AG79" s="262">
        <f t="shared" si="169"/>
        <v>0</v>
      </c>
      <c r="AH79" s="298">
        <f>AH8*AH38*Faktory!$D$8</f>
        <v>0</v>
      </c>
      <c r="AI79" s="299">
        <f>((AI69*AH38)-(AI69*((AH38-AI38)*(1+$BR$35))))*Faktory!$D$8</f>
        <v>0</v>
      </c>
      <c r="AJ79" s="262">
        <f t="shared" si="170"/>
        <v>0</v>
      </c>
      <c r="AK79" s="298">
        <f>AK8*AK38*Faktory!$D$8</f>
        <v>0</v>
      </c>
      <c r="AL79" s="299">
        <f>((AL69*AK38)-(AL69*((AK38-AL38)*(1+$BR$35))))*Faktory!$D$8</f>
        <v>0</v>
      </c>
      <c r="AM79" s="262">
        <f t="shared" si="171"/>
        <v>0</v>
      </c>
      <c r="AN79" s="298">
        <f>AN8*AN38*Faktory!$D$8</f>
        <v>0</v>
      </c>
      <c r="AO79" s="299">
        <f>((AO69*AN38)-(AO69*((AN38-AO38)*(1+$BR$35))))*Faktory!$D$8</f>
        <v>0</v>
      </c>
      <c r="AP79" s="262">
        <f t="shared" si="172"/>
        <v>0</v>
      </c>
      <c r="AQ79" s="298">
        <f>AQ8*AQ38*Faktory!$D$8</f>
        <v>0</v>
      </c>
      <c r="AR79" s="299">
        <f>((AR69*AQ38)-(AR69*((AQ38-AR38)*(1+$BR$35))))*Faktory!$D$8</f>
        <v>0</v>
      </c>
      <c r="AS79" s="262">
        <f t="shared" si="173"/>
        <v>0</v>
      </c>
      <c r="AT79" s="298">
        <f>AT8*AT38*Faktory!$D$8</f>
        <v>0</v>
      </c>
      <c r="AU79" s="299">
        <f>((AU69*AT38)-(AU69*((AT38-AU38)*(1+$BR$35))))*Faktory!$D$8</f>
        <v>0</v>
      </c>
      <c r="AV79" s="262">
        <f t="shared" si="174"/>
        <v>0</v>
      </c>
      <c r="AW79" s="298">
        <f>AW8*AW38*Faktory!$D$8</f>
        <v>0</v>
      </c>
      <c r="AX79" s="299">
        <f>((AX69*AW38)-(AX69*((AW38-AX38)*(1+$BR$35))))*Faktory!$D$8</f>
        <v>0</v>
      </c>
      <c r="AY79" s="262">
        <f t="shared" si="175"/>
        <v>0</v>
      </c>
      <c r="AZ79" s="298">
        <f>AZ8*AZ38*Faktory!$D$8</f>
        <v>0</v>
      </c>
      <c r="BA79" s="299">
        <f>((BA69*AZ38)-(BA69*((AZ38-BA38)*(1+$BR$35))))*Faktory!$D$8</f>
        <v>0</v>
      </c>
      <c r="BB79" s="262">
        <f t="shared" si="176"/>
        <v>0</v>
      </c>
      <c r="BC79" s="298">
        <f>BC8*BC38*Faktory!$D$8</f>
        <v>0</v>
      </c>
      <c r="BD79" s="299">
        <f>((BD69*BC38)-(BD69*((BC38-BD38)*(1+$BR$35))))*Faktory!$D$8</f>
        <v>0</v>
      </c>
      <c r="BE79" s="262">
        <f t="shared" si="177"/>
        <v>0</v>
      </c>
      <c r="BF79" s="298">
        <f>BF8*BF38*Faktory!$D$8</f>
        <v>0</v>
      </c>
      <c r="BG79" s="299">
        <f>((BG69*BF38)-(BG69*((BF38-BG38)*(1+$BR$35))))*Faktory!$D$8</f>
        <v>0</v>
      </c>
      <c r="BH79" s="262">
        <f t="shared" si="178"/>
        <v>0</v>
      </c>
      <c r="BI79" s="298">
        <f>BI8*BI38*Faktory!$D$8</f>
        <v>0</v>
      </c>
      <c r="BJ79" s="299">
        <f>((BJ69*BI38)-(BJ69*((BI38-BJ38)*(1+$BR$35))))*Faktory!$D$8</f>
        <v>0</v>
      </c>
      <c r="BK79" s="262">
        <f t="shared" si="179"/>
        <v>0</v>
      </c>
      <c r="BL79" s="298">
        <f>BL8*BL38*Faktory!$D$8</f>
        <v>0</v>
      </c>
      <c r="BM79" s="299">
        <f>((BM69*BL38)-(BM69*((BL38-BM38)*(1+$BR$35))))*Faktory!$D$8</f>
        <v>0</v>
      </c>
      <c r="BN79" s="262">
        <f t="shared" si="180"/>
        <v>0</v>
      </c>
      <c r="BO79" s="298">
        <f>BO8*BO38*Faktory!$D$8</f>
        <v>0</v>
      </c>
      <c r="BP79" s="299">
        <f>((BP69*BO38)-(BP69*((BO38-BP38)*(1+$BR$35))))*Faktory!$D$8</f>
        <v>0</v>
      </c>
      <c r="BQ79" s="262">
        <f t="shared" si="181"/>
        <v>0</v>
      </c>
    </row>
    <row r="80" spans="1:70" ht="16" x14ac:dyDescent="0.2">
      <c r="A80" s="1346"/>
      <c r="B80" s="1348"/>
      <c r="C80" s="290" t="s">
        <v>29</v>
      </c>
      <c r="D80" s="291">
        <f t="shared" si="158"/>
        <v>0</v>
      </c>
      <c r="E80" s="292">
        <f t="shared" si="159"/>
        <v>0</v>
      </c>
      <c r="F80" s="293">
        <f t="shared" si="160"/>
        <v>0</v>
      </c>
      <c r="G80" s="298">
        <f>G9*G39*Faktory!$D$8</f>
        <v>0</v>
      </c>
      <c r="H80" s="299">
        <f>((H70*G39)-(H70*((G39-H39)*(1+$BR$35))))*Faktory!$D$8</f>
        <v>0</v>
      </c>
      <c r="I80" s="262">
        <f t="shared" si="161"/>
        <v>0</v>
      </c>
      <c r="J80" s="298">
        <f>J9*J39*Faktory!$D$8</f>
        <v>0</v>
      </c>
      <c r="K80" s="299">
        <f>((K70*J39)-(K70*((J39-K39)*(1+$BR$35))))*Faktory!$D$8</f>
        <v>0</v>
      </c>
      <c r="L80" s="262">
        <f t="shared" si="162"/>
        <v>0</v>
      </c>
      <c r="M80" s="298">
        <f>M9*M39*Faktory!$D$8</f>
        <v>0</v>
      </c>
      <c r="N80" s="299">
        <f>((N70*M39)-(N70*((M39-N39)*(1+$BR$35))))*Faktory!$D$8</f>
        <v>0</v>
      </c>
      <c r="O80" s="262">
        <f t="shared" si="163"/>
        <v>0</v>
      </c>
      <c r="P80" s="298">
        <f>P9*P39*Faktory!$D$8</f>
        <v>0</v>
      </c>
      <c r="Q80" s="299">
        <f>((Q70*P39)-(Q70*((P39-Q39)*(1+$BR$35))))*Faktory!$D$8</f>
        <v>0</v>
      </c>
      <c r="R80" s="262">
        <f t="shared" si="164"/>
        <v>0</v>
      </c>
      <c r="S80" s="298">
        <f>S9*S39*Faktory!$D$8</f>
        <v>0</v>
      </c>
      <c r="T80" s="299">
        <f>((T70*S39)-(T70*((S39-T39)*(1+$BR$35))))*Faktory!$D$8</f>
        <v>0</v>
      </c>
      <c r="U80" s="262">
        <f t="shared" si="165"/>
        <v>0</v>
      </c>
      <c r="V80" s="298">
        <f>V9*V39*Faktory!$D$8</f>
        <v>0</v>
      </c>
      <c r="W80" s="299">
        <f>((W70*V39)-(W70*((V39-W39)*(1+$BR$35))))*Faktory!$D$8</f>
        <v>0</v>
      </c>
      <c r="X80" s="262">
        <f t="shared" si="166"/>
        <v>0</v>
      </c>
      <c r="Y80" s="298">
        <f>Y9*Y39*Faktory!$D$8</f>
        <v>0</v>
      </c>
      <c r="Z80" s="299">
        <f>((Z70*Y39)-(Z70*((Y39-Z39)*(1+$BR$35))))*Faktory!$D$8</f>
        <v>0</v>
      </c>
      <c r="AA80" s="262">
        <f t="shared" si="167"/>
        <v>0</v>
      </c>
      <c r="AB80" s="298">
        <f>AB9*AB39*Faktory!$D$8</f>
        <v>0</v>
      </c>
      <c r="AC80" s="299">
        <f>((AC70*AB39)-(AC70*((AB39-AC39)*(1+$BR$35))))*Faktory!$D$8</f>
        <v>0</v>
      </c>
      <c r="AD80" s="262">
        <f t="shared" si="168"/>
        <v>0</v>
      </c>
      <c r="AE80" s="298">
        <f>AE9*AE39*Faktory!$D$8</f>
        <v>0</v>
      </c>
      <c r="AF80" s="299">
        <f>((AF70*AE39)-(AF70*((AE39-AF39)*(1+$BR$35))))*Faktory!$D$8</f>
        <v>0</v>
      </c>
      <c r="AG80" s="262">
        <f t="shared" si="169"/>
        <v>0</v>
      </c>
      <c r="AH80" s="298">
        <f>AH9*AH39*Faktory!$D$8</f>
        <v>0</v>
      </c>
      <c r="AI80" s="299">
        <f>((AI70*AH39)-(AI70*((AH39-AI39)*(1+$BR$35))))*Faktory!$D$8</f>
        <v>0</v>
      </c>
      <c r="AJ80" s="262">
        <f t="shared" si="170"/>
        <v>0</v>
      </c>
      <c r="AK80" s="298">
        <f>AK9*AK39*Faktory!$D$8</f>
        <v>0</v>
      </c>
      <c r="AL80" s="299">
        <f>((AL70*AK39)-(AL70*((AK39-AL39)*(1+$BR$35))))*Faktory!$D$8</f>
        <v>0</v>
      </c>
      <c r="AM80" s="262">
        <f t="shared" si="171"/>
        <v>0</v>
      </c>
      <c r="AN80" s="298">
        <f>AN9*AN39*Faktory!$D$8</f>
        <v>0</v>
      </c>
      <c r="AO80" s="299">
        <f>((AO70*AN39)-(AO70*((AN39-AO39)*(1+$BR$35))))*Faktory!$D$8</f>
        <v>0</v>
      </c>
      <c r="AP80" s="262">
        <f t="shared" si="172"/>
        <v>0</v>
      </c>
      <c r="AQ80" s="298">
        <f>AQ9*AQ39*Faktory!$D$8</f>
        <v>0</v>
      </c>
      <c r="AR80" s="299">
        <f>((AR70*AQ39)-(AR70*((AQ39-AR39)*(1+$BR$35))))*Faktory!$D$8</f>
        <v>0</v>
      </c>
      <c r="AS80" s="262">
        <f t="shared" si="173"/>
        <v>0</v>
      </c>
      <c r="AT80" s="298">
        <f>AT9*AT39*Faktory!$D$8</f>
        <v>0</v>
      </c>
      <c r="AU80" s="299">
        <f>((AU70*AT39)-(AU70*((AT39-AU39)*(1+$BR$35))))*Faktory!$D$8</f>
        <v>0</v>
      </c>
      <c r="AV80" s="262">
        <f t="shared" si="174"/>
        <v>0</v>
      </c>
      <c r="AW80" s="298">
        <f>AW9*AW39*Faktory!$D$8</f>
        <v>0</v>
      </c>
      <c r="AX80" s="299">
        <f>((AX70*AW39)-(AX70*((AW39-AX39)*(1+$BR$35))))*Faktory!$D$8</f>
        <v>0</v>
      </c>
      <c r="AY80" s="262">
        <f t="shared" si="175"/>
        <v>0</v>
      </c>
      <c r="AZ80" s="298">
        <f>AZ9*AZ39*Faktory!$D$8</f>
        <v>0</v>
      </c>
      <c r="BA80" s="299">
        <f>((BA70*AZ39)-(BA70*((AZ39-BA39)*(1+$BR$35))))*Faktory!$D$8</f>
        <v>0</v>
      </c>
      <c r="BB80" s="262">
        <f t="shared" si="176"/>
        <v>0</v>
      </c>
      <c r="BC80" s="298">
        <f>BC9*BC39*Faktory!$D$8</f>
        <v>0</v>
      </c>
      <c r="BD80" s="299">
        <f>((BD70*BC39)-(BD70*((BC39-BD39)*(1+$BR$35))))*Faktory!$D$8</f>
        <v>0</v>
      </c>
      <c r="BE80" s="262">
        <f t="shared" si="177"/>
        <v>0</v>
      </c>
      <c r="BF80" s="298">
        <f>BF9*BF39*Faktory!$D$8</f>
        <v>0</v>
      </c>
      <c r="BG80" s="299">
        <f>((BG70*BF39)-(BG70*((BF39-BG39)*(1+$BR$35))))*Faktory!$D$8</f>
        <v>0</v>
      </c>
      <c r="BH80" s="262">
        <f t="shared" si="178"/>
        <v>0</v>
      </c>
      <c r="BI80" s="298">
        <f>BI9*BI39*Faktory!$D$8</f>
        <v>0</v>
      </c>
      <c r="BJ80" s="299">
        <f>((BJ70*BI39)-(BJ70*((BI39-BJ39)*(1+$BR$35))))*Faktory!$D$8</f>
        <v>0</v>
      </c>
      <c r="BK80" s="262">
        <f t="shared" si="179"/>
        <v>0</v>
      </c>
      <c r="BL80" s="298">
        <f>BL9*BL39*Faktory!$D$8</f>
        <v>0</v>
      </c>
      <c r="BM80" s="299">
        <f>((BM70*BL39)-(BM70*((BL39-BM39)*(1+$BR$35))))*Faktory!$D$8</f>
        <v>0</v>
      </c>
      <c r="BN80" s="262">
        <f t="shared" si="180"/>
        <v>0</v>
      </c>
      <c r="BO80" s="298">
        <f>BO9*BO39*Faktory!$D$8</f>
        <v>0</v>
      </c>
      <c r="BP80" s="299">
        <f>((BP70*BO39)-(BP70*((BO39-BP39)*(1+$BR$35))))*Faktory!$D$8</f>
        <v>0</v>
      </c>
      <c r="BQ80" s="262">
        <f t="shared" si="181"/>
        <v>0</v>
      </c>
    </row>
    <row r="81" spans="1:69" ht="16" x14ac:dyDescent="0.2">
      <c r="A81" s="1346"/>
      <c r="B81" s="1348"/>
      <c r="C81" s="290" t="s">
        <v>30</v>
      </c>
      <c r="D81" s="291">
        <f t="shared" si="158"/>
        <v>0</v>
      </c>
      <c r="E81" s="292">
        <f t="shared" si="159"/>
        <v>0</v>
      </c>
      <c r="F81" s="293">
        <f t="shared" si="160"/>
        <v>0</v>
      </c>
      <c r="G81" s="298">
        <f>G10*G40*Faktory!$D$8</f>
        <v>0</v>
      </c>
      <c r="H81" s="299">
        <f>((H71*G40)-(H71*((G40-H40)*(1+$BR$35))))*Faktory!$D$8</f>
        <v>0</v>
      </c>
      <c r="I81" s="262">
        <f t="shared" si="161"/>
        <v>0</v>
      </c>
      <c r="J81" s="298">
        <f>J10*J40*Faktory!$D$8</f>
        <v>0</v>
      </c>
      <c r="K81" s="299">
        <f>((K71*J40)-(K71*((J40-K40)*(1+$BR$35))))*Faktory!$D$8</f>
        <v>0</v>
      </c>
      <c r="L81" s="262">
        <f t="shared" si="162"/>
        <v>0</v>
      </c>
      <c r="M81" s="298">
        <f>M10*M40*Faktory!$D$8</f>
        <v>0</v>
      </c>
      <c r="N81" s="299">
        <f>((N71*M40)-(N71*((M40-N40)*(1+$BR$35))))*Faktory!$D$8</f>
        <v>0</v>
      </c>
      <c r="O81" s="262">
        <f t="shared" si="163"/>
        <v>0</v>
      </c>
      <c r="P81" s="298">
        <f>P10*P40*Faktory!$D$8</f>
        <v>0</v>
      </c>
      <c r="Q81" s="299">
        <f>((Q71*P40)-(Q71*((P40-Q40)*(1+$BR$35))))*Faktory!$D$8</f>
        <v>0</v>
      </c>
      <c r="R81" s="262">
        <f t="shared" si="164"/>
        <v>0</v>
      </c>
      <c r="S81" s="298">
        <f>S10*S40*Faktory!$D$8</f>
        <v>0</v>
      </c>
      <c r="T81" s="299">
        <f>((T71*S40)-(T71*((S40-T40)*(1+$BR$35))))*Faktory!$D$8</f>
        <v>0</v>
      </c>
      <c r="U81" s="262">
        <f t="shared" si="165"/>
        <v>0</v>
      </c>
      <c r="V81" s="298">
        <f>V10*V40*Faktory!$D$8</f>
        <v>0</v>
      </c>
      <c r="W81" s="299">
        <f>((W71*V40)-(W71*((V40-W40)*(1+$BR$35))))*Faktory!$D$8</f>
        <v>0</v>
      </c>
      <c r="X81" s="262">
        <f t="shared" si="166"/>
        <v>0</v>
      </c>
      <c r="Y81" s="298">
        <f>Y10*Y40*Faktory!$D$8</f>
        <v>0</v>
      </c>
      <c r="Z81" s="299">
        <f>((Z71*Y40)-(Z71*((Y40-Z40)*(1+$BR$35))))*Faktory!$D$8</f>
        <v>0</v>
      </c>
      <c r="AA81" s="262">
        <f t="shared" si="167"/>
        <v>0</v>
      </c>
      <c r="AB81" s="298">
        <f>AB10*AB40*Faktory!$D$8</f>
        <v>0</v>
      </c>
      <c r="AC81" s="299">
        <f>((AC71*AB40)-(AC71*((AB40-AC40)*(1+$BR$35))))*Faktory!$D$8</f>
        <v>0</v>
      </c>
      <c r="AD81" s="262">
        <f t="shared" si="168"/>
        <v>0</v>
      </c>
      <c r="AE81" s="298">
        <f>AE10*AE40*Faktory!$D$8</f>
        <v>0</v>
      </c>
      <c r="AF81" s="299">
        <f>((AF71*AE40)-(AF71*((AE40-AF40)*(1+$BR$35))))*Faktory!$D$8</f>
        <v>0</v>
      </c>
      <c r="AG81" s="262">
        <f t="shared" si="169"/>
        <v>0</v>
      </c>
      <c r="AH81" s="298">
        <f>AH10*AH40*Faktory!$D$8</f>
        <v>0</v>
      </c>
      <c r="AI81" s="299">
        <f>((AI71*AH40)-(AI71*((AH40-AI40)*(1+$BR$35))))*Faktory!$D$8</f>
        <v>0</v>
      </c>
      <c r="AJ81" s="262">
        <f t="shared" si="170"/>
        <v>0</v>
      </c>
      <c r="AK81" s="298">
        <f>AK10*AK40*Faktory!$D$8</f>
        <v>0</v>
      </c>
      <c r="AL81" s="299">
        <f>((AL71*AK40)-(AL71*((AK40-AL40)*(1+$BR$35))))*Faktory!$D$8</f>
        <v>0</v>
      </c>
      <c r="AM81" s="262">
        <f t="shared" si="171"/>
        <v>0</v>
      </c>
      <c r="AN81" s="298">
        <f>AN10*AN40*Faktory!$D$8</f>
        <v>0</v>
      </c>
      <c r="AO81" s="299">
        <f>((AO71*AN40)-(AO71*((AN40-AO40)*(1+$BR$35))))*Faktory!$D$8</f>
        <v>0</v>
      </c>
      <c r="AP81" s="262">
        <f t="shared" si="172"/>
        <v>0</v>
      </c>
      <c r="AQ81" s="298">
        <f>AQ10*AQ40*Faktory!$D$8</f>
        <v>0</v>
      </c>
      <c r="AR81" s="299">
        <f>((AR71*AQ40)-(AR71*((AQ40-AR40)*(1+$BR$35))))*Faktory!$D$8</f>
        <v>0</v>
      </c>
      <c r="AS81" s="262">
        <f t="shared" si="173"/>
        <v>0</v>
      </c>
      <c r="AT81" s="298">
        <f>AT10*AT40*Faktory!$D$8</f>
        <v>0</v>
      </c>
      <c r="AU81" s="299">
        <f>((AU71*AT40)-(AU71*((AT40-AU40)*(1+$BR$35))))*Faktory!$D$8</f>
        <v>0</v>
      </c>
      <c r="AV81" s="262">
        <f t="shared" si="174"/>
        <v>0</v>
      </c>
      <c r="AW81" s="298">
        <f>AW10*AW40*Faktory!$D$8</f>
        <v>0</v>
      </c>
      <c r="AX81" s="299">
        <f>((AX71*AW40)-(AX71*((AW40-AX40)*(1+$BR$35))))*Faktory!$D$8</f>
        <v>0</v>
      </c>
      <c r="AY81" s="262">
        <f t="shared" si="175"/>
        <v>0</v>
      </c>
      <c r="AZ81" s="298">
        <f>AZ10*AZ40*Faktory!$D$8</f>
        <v>0</v>
      </c>
      <c r="BA81" s="299">
        <f>((BA71*AZ40)-(BA71*((AZ40-BA40)*(1+$BR$35))))*Faktory!$D$8</f>
        <v>0</v>
      </c>
      <c r="BB81" s="262">
        <f t="shared" si="176"/>
        <v>0</v>
      </c>
      <c r="BC81" s="298">
        <f>BC10*BC40*Faktory!$D$8</f>
        <v>0</v>
      </c>
      <c r="BD81" s="299">
        <f>((BD71*BC40)-(BD71*((BC40-BD40)*(1+$BR$35))))*Faktory!$D$8</f>
        <v>0</v>
      </c>
      <c r="BE81" s="262">
        <f t="shared" si="177"/>
        <v>0</v>
      </c>
      <c r="BF81" s="298">
        <f>BF10*BF40*Faktory!$D$8</f>
        <v>0</v>
      </c>
      <c r="BG81" s="299">
        <f>((BG71*BF40)-(BG71*((BF40-BG40)*(1+$BR$35))))*Faktory!$D$8</f>
        <v>0</v>
      </c>
      <c r="BH81" s="262">
        <f t="shared" si="178"/>
        <v>0</v>
      </c>
      <c r="BI81" s="298">
        <f>BI10*BI40*Faktory!$D$8</f>
        <v>0</v>
      </c>
      <c r="BJ81" s="299">
        <f>((BJ71*BI40)-(BJ71*((BI40-BJ40)*(1+$BR$35))))*Faktory!$D$8</f>
        <v>0</v>
      </c>
      <c r="BK81" s="262">
        <f t="shared" si="179"/>
        <v>0</v>
      </c>
      <c r="BL81" s="298">
        <f>BL10*BL40*Faktory!$D$8</f>
        <v>0</v>
      </c>
      <c r="BM81" s="299">
        <f>((BM71*BL40)-(BM71*((BL40-BM40)*(1+$BR$35))))*Faktory!$D$8</f>
        <v>0</v>
      </c>
      <c r="BN81" s="262">
        <f t="shared" si="180"/>
        <v>0</v>
      </c>
      <c r="BO81" s="298">
        <f>BO10*BO40*Faktory!$D$8</f>
        <v>0</v>
      </c>
      <c r="BP81" s="299">
        <f>((BP71*BO40)-(BP71*((BO40-BP40)*(1+$BR$35))))*Faktory!$D$8</f>
        <v>0</v>
      </c>
      <c r="BQ81" s="262">
        <f t="shared" si="181"/>
        <v>0</v>
      </c>
    </row>
    <row r="82" spans="1:69" ht="16" x14ac:dyDescent="0.2">
      <c r="A82" s="1346"/>
      <c r="B82" s="1348"/>
      <c r="C82" s="290" t="s">
        <v>31</v>
      </c>
      <c r="D82" s="291">
        <f t="shared" si="158"/>
        <v>0</v>
      </c>
      <c r="E82" s="292">
        <f t="shared" si="159"/>
        <v>0</v>
      </c>
      <c r="F82" s="293">
        <f t="shared" si="160"/>
        <v>0</v>
      </c>
      <c r="G82" s="298">
        <f>G11*G41*Faktory!$D$8</f>
        <v>0</v>
      </c>
      <c r="H82" s="299">
        <f>((H72*G41)-(H72*((G41-H41)*(1+$BR$35))))*Faktory!$D$8</f>
        <v>0</v>
      </c>
      <c r="I82" s="262">
        <f t="shared" si="161"/>
        <v>0</v>
      </c>
      <c r="J82" s="298">
        <f>J11*J41*Faktory!$D$8</f>
        <v>0</v>
      </c>
      <c r="K82" s="299">
        <f>((K72*J41)-(K72*((J41-K41)*(1+$BR$35))))*Faktory!$D$8</f>
        <v>0</v>
      </c>
      <c r="L82" s="262">
        <f t="shared" si="162"/>
        <v>0</v>
      </c>
      <c r="M82" s="298">
        <f>M11*M41*Faktory!$D$8</f>
        <v>0</v>
      </c>
      <c r="N82" s="299">
        <f>((N72*M41)-(N72*((M41-N41)*(1+$BR$35))))*Faktory!$D$8</f>
        <v>0</v>
      </c>
      <c r="O82" s="262">
        <f t="shared" si="163"/>
        <v>0</v>
      </c>
      <c r="P82" s="298">
        <f>P11*P41*Faktory!$D$8</f>
        <v>0</v>
      </c>
      <c r="Q82" s="299">
        <f>((Q72*P41)-(Q72*((P41-Q41)*(1+$BR$35))))*Faktory!$D$8</f>
        <v>0</v>
      </c>
      <c r="R82" s="262">
        <f t="shared" si="164"/>
        <v>0</v>
      </c>
      <c r="S82" s="298">
        <f>S11*S41*Faktory!$D$8</f>
        <v>0</v>
      </c>
      <c r="T82" s="299">
        <f>((T72*S41)-(T72*((S41-T41)*(1+$BR$35))))*Faktory!$D$8</f>
        <v>0</v>
      </c>
      <c r="U82" s="262">
        <f t="shared" si="165"/>
        <v>0</v>
      </c>
      <c r="V82" s="298">
        <f>V11*V41*Faktory!$D$8</f>
        <v>0</v>
      </c>
      <c r="W82" s="299">
        <f>((W72*V41)-(W72*((V41-W41)*(1+$BR$35))))*Faktory!$D$8</f>
        <v>0</v>
      </c>
      <c r="X82" s="262">
        <f t="shared" si="166"/>
        <v>0</v>
      </c>
      <c r="Y82" s="298">
        <f>Y11*Y41*Faktory!$D$8</f>
        <v>0</v>
      </c>
      <c r="Z82" s="299">
        <f>((Z72*Y41)-(Z72*((Y41-Z41)*(1+$BR$35))))*Faktory!$D$8</f>
        <v>0</v>
      </c>
      <c r="AA82" s="262">
        <f t="shared" si="167"/>
        <v>0</v>
      </c>
      <c r="AB82" s="298">
        <f>AB11*AB41*Faktory!$D$8</f>
        <v>0</v>
      </c>
      <c r="AC82" s="299">
        <f>((AC72*AB41)-(AC72*((AB41-AC41)*(1+$BR$35))))*Faktory!$D$8</f>
        <v>0</v>
      </c>
      <c r="AD82" s="262">
        <f t="shared" si="168"/>
        <v>0</v>
      </c>
      <c r="AE82" s="298">
        <f>AE11*AE41*Faktory!$D$8</f>
        <v>0</v>
      </c>
      <c r="AF82" s="299">
        <f>((AF72*AE41)-(AF72*((AE41-AF41)*(1+$BR$35))))*Faktory!$D$8</f>
        <v>0</v>
      </c>
      <c r="AG82" s="262">
        <f t="shared" si="169"/>
        <v>0</v>
      </c>
      <c r="AH82" s="298">
        <f>AH11*AH41*Faktory!$D$8</f>
        <v>0</v>
      </c>
      <c r="AI82" s="299">
        <f>((AI72*AH41)-(AI72*((AH41-AI41)*(1+$BR$35))))*Faktory!$D$8</f>
        <v>0</v>
      </c>
      <c r="AJ82" s="262">
        <f t="shared" si="170"/>
        <v>0</v>
      </c>
      <c r="AK82" s="298">
        <f>AK11*AK41*Faktory!$D$8</f>
        <v>0</v>
      </c>
      <c r="AL82" s="299">
        <f>((AL72*AK41)-(AL72*((AK41-AL41)*(1+$BR$35))))*Faktory!$D$8</f>
        <v>0</v>
      </c>
      <c r="AM82" s="262">
        <f t="shared" si="171"/>
        <v>0</v>
      </c>
      <c r="AN82" s="298">
        <f>AN11*AN41*Faktory!$D$8</f>
        <v>0</v>
      </c>
      <c r="AO82" s="299">
        <f>((AO72*AN41)-(AO72*((AN41-AO41)*(1+$BR$35))))*Faktory!$D$8</f>
        <v>0</v>
      </c>
      <c r="AP82" s="262">
        <f t="shared" si="172"/>
        <v>0</v>
      </c>
      <c r="AQ82" s="298">
        <f>AQ11*AQ41*Faktory!$D$8</f>
        <v>0</v>
      </c>
      <c r="AR82" s="299">
        <f>((AR72*AQ41)-(AR72*((AQ41-AR41)*(1+$BR$35))))*Faktory!$D$8</f>
        <v>0</v>
      </c>
      <c r="AS82" s="262">
        <f t="shared" si="173"/>
        <v>0</v>
      </c>
      <c r="AT82" s="298">
        <f>AT11*AT41*Faktory!$D$8</f>
        <v>0</v>
      </c>
      <c r="AU82" s="299">
        <f>((AU72*AT41)-(AU72*((AT41-AU41)*(1+$BR$35))))*Faktory!$D$8</f>
        <v>0</v>
      </c>
      <c r="AV82" s="262">
        <f t="shared" si="174"/>
        <v>0</v>
      </c>
      <c r="AW82" s="298">
        <f>AW11*AW41*Faktory!$D$8</f>
        <v>0</v>
      </c>
      <c r="AX82" s="299">
        <f>((AX72*AW41)-(AX72*((AW41-AX41)*(1+$BR$35))))*Faktory!$D$8</f>
        <v>0</v>
      </c>
      <c r="AY82" s="262">
        <f t="shared" si="175"/>
        <v>0</v>
      </c>
      <c r="AZ82" s="298">
        <f>AZ11*AZ41*Faktory!$D$8</f>
        <v>0</v>
      </c>
      <c r="BA82" s="299">
        <f>((BA72*AZ41)-(BA72*((AZ41-BA41)*(1+$BR$35))))*Faktory!$D$8</f>
        <v>0</v>
      </c>
      <c r="BB82" s="262">
        <f t="shared" si="176"/>
        <v>0</v>
      </c>
      <c r="BC82" s="298">
        <f>BC11*BC41*Faktory!$D$8</f>
        <v>0</v>
      </c>
      <c r="BD82" s="299">
        <f>((BD72*BC41)-(BD72*((BC41-BD41)*(1+$BR$35))))*Faktory!$D$8</f>
        <v>0</v>
      </c>
      <c r="BE82" s="262">
        <f t="shared" si="177"/>
        <v>0</v>
      </c>
      <c r="BF82" s="298">
        <f>BF11*BF41*Faktory!$D$8</f>
        <v>0</v>
      </c>
      <c r="BG82" s="299">
        <f>((BG72*BF41)-(BG72*((BF41-BG41)*(1+$BR$35))))*Faktory!$D$8</f>
        <v>0</v>
      </c>
      <c r="BH82" s="262">
        <f t="shared" si="178"/>
        <v>0</v>
      </c>
      <c r="BI82" s="298">
        <f>BI11*BI41*Faktory!$D$8</f>
        <v>0</v>
      </c>
      <c r="BJ82" s="299">
        <f>((BJ72*BI41)-(BJ72*((BI41-BJ41)*(1+$BR$35))))*Faktory!$D$8</f>
        <v>0</v>
      </c>
      <c r="BK82" s="262">
        <f t="shared" si="179"/>
        <v>0</v>
      </c>
      <c r="BL82" s="298">
        <f>BL11*BL41*Faktory!$D$8</f>
        <v>0</v>
      </c>
      <c r="BM82" s="299">
        <f>((BM72*BL41)-(BM72*((BL41-BM41)*(1+$BR$35))))*Faktory!$D$8</f>
        <v>0</v>
      </c>
      <c r="BN82" s="262">
        <f t="shared" si="180"/>
        <v>0</v>
      </c>
      <c r="BO82" s="298">
        <f>BO11*BO41*Faktory!$D$8</f>
        <v>0</v>
      </c>
      <c r="BP82" s="299">
        <f>((BP72*BO41)-(BP72*((BO41-BP41)*(1+$BR$35))))*Faktory!$D$8</f>
        <v>0</v>
      </c>
      <c r="BQ82" s="262">
        <f t="shared" si="181"/>
        <v>0</v>
      </c>
    </row>
    <row r="83" spans="1:69" ht="16" x14ac:dyDescent="0.2">
      <c r="A83" s="1346"/>
      <c r="B83" s="1348"/>
      <c r="C83" s="290" t="s">
        <v>32</v>
      </c>
      <c r="D83" s="291">
        <f t="shared" si="158"/>
        <v>0</v>
      </c>
      <c r="E83" s="292">
        <f t="shared" si="159"/>
        <v>0</v>
      </c>
      <c r="F83" s="293">
        <f t="shared" si="160"/>
        <v>0</v>
      </c>
      <c r="G83" s="298">
        <f>G12*G42*Faktory!$D$8</f>
        <v>0</v>
      </c>
      <c r="H83" s="299">
        <f>((H73*G42)-(H73*((G42-H42)*(1+$BR$35))))*Faktory!$D$8</f>
        <v>0</v>
      </c>
      <c r="I83" s="262">
        <f t="shared" si="161"/>
        <v>0</v>
      </c>
      <c r="J83" s="298">
        <f>J12*J42*Faktory!$D$8</f>
        <v>0</v>
      </c>
      <c r="K83" s="299">
        <f>((K73*J42)-(K73*((J42-K42)*(1+$BR$35))))*Faktory!$D$8</f>
        <v>0</v>
      </c>
      <c r="L83" s="262">
        <f t="shared" si="162"/>
        <v>0</v>
      </c>
      <c r="M83" s="298">
        <f>M12*M42*Faktory!$D$8</f>
        <v>0</v>
      </c>
      <c r="N83" s="299">
        <f>((N73*M42)-(N73*((M42-N42)*(1+$BR$35))))*Faktory!$D$8</f>
        <v>0</v>
      </c>
      <c r="O83" s="262">
        <f t="shared" si="163"/>
        <v>0</v>
      </c>
      <c r="P83" s="298">
        <f>P12*P42*Faktory!$D$8</f>
        <v>0</v>
      </c>
      <c r="Q83" s="299">
        <f>((Q73*P42)-(Q73*((P42-Q42)*(1+$BR$35))))*Faktory!$D$8</f>
        <v>0</v>
      </c>
      <c r="R83" s="262">
        <f t="shared" si="164"/>
        <v>0</v>
      </c>
      <c r="S83" s="298">
        <f>S12*S42*Faktory!$D$8</f>
        <v>0</v>
      </c>
      <c r="T83" s="299">
        <f>((T73*S42)-(T73*((S42-T42)*(1+$BR$35))))*Faktory!$D$8</f>
        <v>0</v>
      </c>
      <c r="U83" s="262">
        <f t="shared" si="165"/>
        <v>0</v>
      </c>
      <c r="V83" s="298">
        <f>V12*V42*Faktory!$D$8</f>
        <v>0</v>
      </c>
      <c r="W83" s="299">
        <f>((W73*V42)-(W73*((V42-W42)*(1+$BR$35))))*Faktory!$D$8</f>
        <v>0</v>
      </c>
      <c r="X83" s="262">
        <f t="shared" si="166"/>
        <v>0</v>
      </c>
      <c r="Y83" s="298">
        <f>Y12*Y42*Faktory!$D$8</f>
        <v>0</v>
      </c>
      <c r="Z83" s="299">
        <f>((Z73*Y42)-(Z73*((Y42-Z42)*(1+$BR$35))))*Faktory!$D$8</f>
        <v>0</v>
      </c>
      <c r="AA83" s="262">
        <f t="shared" si="167"/>
        <v>0</v>
      </c>
      <c r="AB83" s="298">
        <f>AB12*AB42*Faktory!$D$8</f>
        <v>0</v>
      </c>
      <c r="AC83" s="299">
        <f>((AC73*AB42)-(AC73*((AB42-AC42)*(1+$BR$35))))*Faktory!$D$8</f>
        <v>0</v>
      </c>
      <c r="AD83" s="262">
        <f t="shared" si="168"/>
        <v>0</v>
      </c>
      <c r="AE83" s="298">
        <f>AE12*AE42*Faktory!$D$8</f>
        <v>0</v>
      </c>
      <c r="AF83" s="299">
        <f>((AF73*AE42)-(AF73*((AE42-AF42)*(1+$BR$35))))*Faktory!$D$8</f>
        <v>0</v>
      </c>
      <c r="AG83" s="262">
        <f t="shared" si="169"/>
        <v>0</v>
      </c>
      <c r="AH83" s="298">
        <f>AH12*AH42*Faktory!$D$8</f>
        <v>0</v>
      </c>
      <c r="AI83" s="299">
        <f>((AI73*AH42)-(AI73*((AH42-AI42)*(1+$BR$35))))*Faktory!$D$8</f>
        <v>0</v>
      </c>
      <c r="AJ83" s="262">
        <f t="shared" si="170"/>
        <v>0</v>
      </c>
      <c r="AK83" s="298">
        <f>AK12*AK42*Faktory!$D$8</f>
        <v>0</v>
      </c>
      <c r="AL83" s="299">
        <f>((AL73*AK42)-(AL73*((AK42-AL42)*(1+$BR$35))))*Faktory!$D$8</f>
        <v>0</v>
      </c>
      <c r="AM83" s="262">
        <f t="shared" si="171"/>
        <v>0</v>
      </c>
      <c r="AN83" s="298">
        <f>AN12*AN42*Faktory!$D$8</f>
        <v>0</v>
      </c>
      <c r="AO83" s="299">
        <f>((AO73*AN42)-(AO73*((AN42-AO42)*(1+$BR$35))))*Faktory!$D$8</f>
        <v>0</v>
      </c>
      <c r="AP83" s="262">
        <f t="shared" si="172"/>
        <v>0</v>
      </c>
      <c r="AQ83" s="298">
        <f>AQ12*AQ42*Faktory!$D$8</f>
        <v>0</v>
      </c>
      <c r="AR83" s="299">
        <f>((AR73*AQ42)-(AR73*((AQ42-AR42)*(1+$BR$35))))*Faktory!$D$8</f>
        <v>0</v>
      </c>
      <c r="AS83" s="262">
        <f t="shared" si="173"/>
        <v>0</v>
      </c>
      <c r="AT83" s="298">
        <f>AT12*AT42*Faktory!$D$8</f>
        <v>0</v>
      </c>
      <c r="AU83" s="299">
        <f>((AU73*AT42)-(AU73*((AT42-AU42)*(1+$BR$35))))*Faktory!$D$8</f>
        <v>0</v>
      </c>
      <c r="AV83" s="262">
        <f t="shared" si="174"/>
        <v>0</v>
      </c>
      <c r="AW83" s="298">
        <f>AW12*AW42*Faktory!$D$8</f>
        <v>0</v>
      </c>
      <c r="AX83" s="299">
        <f>((AX73*AW42)-(AX73*((AW42-AX42)*(1+$BR$35))))*Faktory!$D$8</f>
        <v>0</v>
      </c>
      <c r="AY83" s="262">
        <f t="shared" si="175"/>
        <v>0</v>
      </c>
      <c r="AZ83" s="298">
        <f>AZ12*AZ42*Faktory!$D$8</f>
        <v>0</v>
      </c>
      <c r="BA83" s="299">
        <f>((BA73*AZ42)-(BA73*((AZ42-BA42)*(1+$BR$35))))*Faktory!$D$8</f>
        <v>0</v>
      </c>
      <c r="BB83" s="262">
        <f t="shared" si="176"/>
        <v>0</v>
      </c>
      <c r="BC83" s="298">
        <f>BC12*BC42*Faktory!$D$8</f>
        <v>0</v>
      </c>
      <c r="BD83" s="299">
        <f>((BD73*BC42)-(BD73*((BC42-BD42)*(1+$BR$35))))*Faktory!$D$8</f>
        <v>0</v>
      </c>
      <c r="BE83" s="262">
        <f t="shared" si="177"/>
        <v>0</v>
      </c>
      <c r="BF83" s="298">
        <f>BF12*BF42*Faktory!$D$8</f>
        <v>0</v>
      </c>
      <c r="BG83" s="299">
        <f>((BG73*BF42)-(BG73*((BF42-BG42)*(1+$BR$35))))*Faktory!$D$8</f>
        <v>0</v>
      </c>
      <c r="BH83" s="262">
        <f t="shared" si="178"/>
        <v>0</v>
      </c>
      <c r="BI83" s="298">
        <f>BI12*BI42*Faktory!$D$8</f>
        <v>0</v>
      </c>
      <c r="BJ83" s="299">
        <f>((BJ73*BI42)-(BJ73*((BI42-BJ42)*(1+$BR$35))))*Faktory!$D$8</f>
        <v>0</v>
      </c>
      <c r="BK83" s="262">
        <f t="shared" si="179"/>
        <v>0</v>
      </c>
      <c r="BL83" s="298">
        <f>BL12*BL42*Faktory!$D$8</f>
        <v>0</v>
      </c>
      <c r="BM83" s="299">
        <f>((BM73*BL42)-(BM73*((BL42-BM42)*(1+$BR$35))))*Faktory!$D$8</f>
        <v>0</v>
      </c>
      <c r="BN83" s="262">
        <f t="shared" si="180"/>
        <v>0</v>
      </c>
      <c r="BO83" s="298">
        <f>BO12*BO42*Faktory!$D$8</f>
        <v>0</v>
      </c>
      <c r="BP83" s="299">
        <f>((BP73*BO42)-(BP73*((BO42-BP42)*(1+$BR$35))))*Faktory!$D$8</f>
        <v>0</v>
      </c>
      <c r="BQ83" s="262">
        <f t="shared" si="181"/>
        <v>0</v>
      </c>
    </row>
    <row r="84" spans="1:69" ht="16" x14ac:dyDescent="0.2">
      <c r="A84" s="1346"/>
      <c r="B84" s="1348"/>
      <c r="C84" s="290" t="s">
        <v>33</v>
      </c>
      <c r="D84" s="291">
        <f t="shared" si="158"/>
        <v>0</v>
      </c>
      <c r="E84" s="292">
        <f t="shared" si="159"/>
        <v>0</v>
      </c>
      <c r="F84" s="293">
        <f t="shared" si="160"/>
        <v>0</v>
      </c>
      <c r="G84" s="298">
        <f>G13*G43*Faktory!$D$8</f>
        <v>0</v>
      </c>
      <c r="H84" s="299">
        <f>((H74*G43)-(H74*((G43-H43)*(1+$BR$35))))*Faktory!$D$8</f>
        <v>0</v>
      </c>
      <c r="I84" s="262">
        <f t="shared" si="161"/>
        <v>0</v>
      </c>
      <c r="J84" s="298">
        <f>J13*J43*Faktory!$D$8</f>
        <v>0</v>
      </c>
      <c r="K84" s="299">
        <f>((K74*J43)-(K74*((J43-K43)*(1+$BR$35))))*Faktory!$D$8</f>
        <v>0</v>
      </c>
      <c r="L84" s="262">
        <f t="shared" si="162"/>
        <v>0</v>
      </c>
      <c r="M84" s="298">
        <f>M13*M43*Faktory!$D$8</f>
        <v>0</v>
      </c>
      <c r="N84" s="299">
        <f>((N74*M43)-(N74*((M43-N43)*(1+$BR$35))))*Faktory!$D$8</f>
        <v>0</v>
      </c>
      <c r="O84" s="262">
        <f t="shared" si="163"/>
        <v>0</v>
      </c>
      <c r="P84" s="298">
        <f>P13*P43*Faktory!$D$8</f>
        <v>0</v>
      </c>
      <c r="Q84" s="299">
        <f>((Q74*P43)-(Q74*((P43-Q43)*(1+$BR$35))))*Faktory!$D$8</f>
        <v>0</v>
      </c>
      <c r="R84" s="262">
        <f t="shared" si="164"/>
        <v>0</v>
      </c>
      <c r="S84" s="298">
        <f>S13*S43*Faktory!$D$8</f>
        <v>0</v>
      </c>
      <c r="T84" s="299">
        <f>((T74*S43)-(T74*((S43-T43)*(1+$BR$35))))*Faktory!$D$8</f>
        <v>0</v>
      </c>
      <c r="U84" s="262">
        <f t="shared" si="165"/>
        <v>0</v>
      </c>
      <c r="V84" s="298">
        <f>V13*V43*Faktory!$D$8</f>
        <v>0</v>
      </c>
      <c r="W84" s="299">
        <f>((W74*V43)-(W74*((V43-W43)*(1+$BR$35))))*Faktory!$D$8</f>
        <v>0</v>
      </c>
      <c r="X84" s="262">
        <f t="shared" si="166"/>
        <v>0</v>
      </c>
      <c r="Y84" s="298">
        <f>Y13*Y43*Faktory!$D$8</f>
        <v>0</v>
      </c>
      <c r="Z84" s="299">
        <f>((Z74*Y43)-(Z74*((Y43-Z43)*(1+$BR$35))))*Faktory!$D$8</f>
        <v>0</v>
      </c>
      <c r="AA84" s="262">
        <f t="shared" si="167"/>
        <v>0</v>
      </c>
      <c r="AB84" s="298">
        <f>AB13*AB43*Faktory!$D$8</f>
        <v>0</v>
      </c>
      <c r="AC84" s="299">
        <f>((AC74*AB43)-(AC74*((AB43-AC43)*(1+$BR$35))))*Faktory!$D$8</f>
        <v>0</v>
      </c>
      <c r="AD84" s="262">
        <f t="shared" si="168"/>
        <v>0</v>
      </c>
      <c r="AE84" s="298">
        <f>AE13*AE43*Faktory!$D$8</f>
        <v>0</v>
      </c>
      <c r="AF84" s="299">
        <f>((AF74*AE43)-(AF74*((AE43-AF43)*(1+$BR$35))))*Faktory!$D$8</f>
        <v>0</v>
      </c>
      <c r="AG84" s="262">
        <f t="shared" si="169"/>
        <v>0</v>
      </c>
      <c r="AH84" s="298">
        <f>AH13*AH43*Faktory!$D$8</f>
        <v>0</v>
      </c>
      <c r="AI84" s="299">
        <f>((AI74*AH43)-(AI74*((AH43-AI43)*(1+$BR$35))))*Faktory!$D$8</f>
        <v>0</v>
      </c>
      <c r="AJ84" s="262">
        <f t="shared" si="170"/>
        <v>0</v>
      </c>
      <c r="AK84" s="298">
        <f>AK13*AK43*Faktory!$D$8</f>
        <v>0</v>
      </c>
      <c r="AL84" s="299">
        <f>((AL74*AK43)-(AL74*((AK43-AL43)*(1+$BR$35))))*Faktory!$D$8</f>
        <v>0</v>
      </c>
      <c r="AM84" s="262">
        <f t="shared" si="171"/>
        <v>0</v>
      </c>
      <c r="AN84" s="298">
        <f>AN13*AN43*Faktory!$D$8</f>
        <v>0</v>
      </c>
      <c r="AO84" s="299">
        <f>((AO74*AN43)-(AO74*((AN43-AO43)*(1+$BR$35))))*Faktory!$D$8</f>
        <v>0</v>
      </c>
      <c r="AP84" s="262">
        <f t="shared" si="172"/>
        <v>0</v>
      </c>
      <c r="AQ84" s="298">
        <f>AQ13*AQ43*Faktory!$D$8</f>
        <v>0</v>
      </c>
      <c r="AR84" s="299">
        <f>((AR74*AQ43)-(AR74*((AQ43-AR43)*(1+$BR$35))))*Faktory!$D$8</f>
        <v>0</v>
      </c>
      <c r="AS84" s="262">
        <f t="shared" si="173"/>
        <v>0</v>
      </c>
      <c r="AT84" s="298">
        <f>AT13*AT43*Faktory!$D$8</f>
        <v>0</v>
      </c>
      <c r="AU84" s="299">
        <f>((AU74*AT43)-(AU74*((AT43-AU43)*(1+$BR$35))))*Faktory!$D$8</f>
        <v>0</v>
      </c>
      <c r="AV84" s="262">
        <f t="shared" si="174"/>
        <v>0</v>
      </c>
      <c r="AW84" s="298">
        <f>AW13*AW43*Faktory!$D$8</f>
        <v>0</v>
      </c>
      <c r="AX84" s="299">
        <f>((AX74*AW43)-(AX74*((AW43-AX43)*(1+$BR$35))))*Faktory!$D$8</f>
        <v>0</v>
      </c>
      <c r="AY84" s="262">
        <f t="shared" si="175"/>
        <v>0</v>
      </c>
      <c r="AZ84" s="298">
        <f>AZ13*AZ43*Faktory!$D$8</f>
        <v>0</v>
      </c>
      <c r="BA84" s="299">
        <f>((BA74*AZ43)-(BA74*((AZ43-BA43)*(1+$BR$35))))*Faktory!$D$8</f>
        <v>0</v>
      </c>
      <c r="BB84" s="262">
        <f t="shared" si="176"/>
        <v>0</v>
      </c>
      <c r="BC84" s="298">
        <f>BC13*BC43*Faktory!$D$8</f>
        <v>0</v>
      </c>
      <c r="BD84" s="299">
        <f>((BD74*BC43)-(BD74*((BC43-BD43)*(1+$BR$35))))*Faktory!$D$8</f>
        <v>0</v>
      </c>
      <c r="BE84" s="262">
        <f t="shared" si="177"/>
        <v>0</v>
      </c>
      <c r="BF84" s="298">
        <f>BF13*BF43*Faktory!$D$8</f>
        <v>0</v>
      </c>
      <c r="BG84" s="299">
        <f>((BG74*BF43)-(BG74*((BF43-BG43)*(1+$BR$35))))*Faktory!$D$8</f>
        <v>0</v>
      </c>
      <c r="BH84" s="262">
        <f t="shared" si="178"/>
        <v>0</v>
      </c>
      <c r="BI84" s="298">
        <f>BI13*BI43*Faktory!$D$8</f>
        <v>0</v>
      </c>
      <c r="BJ84" s="299">
        <f>((BJ74*BI43)-(BJ74*((BI43-BJ43)*(1+$BR$35))))*Faktory!$D$8</f>
        <v>0</v>
      </c>
      <c r="BK84" s="262">
        <f t="shared" si="179"/>
        <v>0</v>
      </c>
      <c r="BL84" s="298">
        <f>BL13*BL43*Faktory!$D$8</f>
        <v>0</v>
      </c>
      <c r="BM84" s="299">
        <f>((BM74*BL43)-(BM74*((BL43-BM43)*(1+$BR$35))))*Faktory!$D$8</f>
        <v>0</v>
      </c>
      <c r="BN84" s="262">
        <f t="shared" si="180"/>
        <v>0</v>
      </c>
      <c r="BO84" s="298">
        <f>BO13*BO43*Faktory!$D$8</f>
        <v>0</v>
      </c>
      <c r="BP84" s="299">
        <f>((BP74*BO43)-(BP74*((BO43-BP43)*(1+$BR$35))))*Faktory!$D$8</f>
        <v>0</v>
      </c>
      <c r="BQ84" s="262">
        <f t="shared" si="181"/>
        <v>0</v>
      </c>
    </row>
    <row r="85" spans="1:69" ht="17" thickBot="1" x14ac:dyDescent="0.25">
      <c r="A85" s="1347"/>
      <c r="B85" s="1349"/>
      <c r="C85" s="300" t="s">
        <v>34</v>
      </c>
      <c r="D85" s="301">
        <f t="shared" si="158"/>
        <v>0</v>
      </c>
      <c r="E85" s="302">
        <f t="shared" si="159"/>
        <v>0</v>
      </c>
      <c r="F85" s="303">
        <f t="shared" si="160"/>
        <v>0</v>
      </c>
      <c r="G85" s="304">
        <f>G14*G44*Faktory!$D$8</f>
        <v>0</v>
      </c>
      <c r="H85" s="305">
        <f>((H75*G44)-(H75*((G44-H44)*(1+$BR$35))))*Faktory!$D$8</f>
        <v>0</v>
      </c>
      <c r="I85" s="267">
        <f t="shared" si="161"/>
        <v>0</v>
      </c>
      <c r="J85" s="304">
        <f>J14*J44*Faktory!$D$8</f>
        <v>0</v>
      </c>
      <c r="K85" s="305">
        <f>((K75*J44)-(K75*((J44-K44)*(1+$BR$35))))*Faktory!$D$8</f>
        <v>0</v>
      </c>
      <c r="L85" s="267">
        <f t="shared" si="162"/>
        <v>0</v>
      </c>
      <c r="M85" s="304">
        <f>M14*M44*Faktory!$D$8</f>
        <v>0</v>
      </c>
      <c r="N85" s="305">
        <f>((N75*M44)-(N75*((M44-N44)*(1+$BR$35))))*Faktory!$D$8</f>
        <v>0</v>
      </c>
      <c r="O85" s="267">
        <f t="shared" si="163"/>
        <v>0</v>
      </c>
      <c r="P85" s="304">
        <f>P14*P44*Faktory!$D$8</f>
        <v>0</v>
      </c>
      <c r="Q85" s="305">
        <f>((Q75*P44)-(Q75*((P44-Q44)*(1+$BR$35))))*Faktory!$D$8</f>
        <v>0</v>
      </c>
      <c r="R85" s="267">
        <f t="shared" si="164"/>
        <v>0</v>
      </c>
      <c r="S85" s="304">
        <f>S14*S44*Faktory!$D$8</f>
        <v>0</v>
      </c>
      <c r="T85" s="305">
        <f>((T75*S44)-(T75*((S44-T44)*(1+$BR$35))))*Faktory!$D$8</f>
        <v>0</v>
      </c>
      <c r="U85" s="267">
        <f t="shared" si="165"/>
        <v>0</v>
      </c>
      <c r="V85" s="304">
        <f>V14*V44*Faktory!$D$8</f>
        <v>0</v>
      </c>
      <c r="W85" s="305">
        <f>((W75*V44)-(W75*((V44-W44)*(1+$BR$35))))*Faktory!$D$8</f>
        <v>0</v>
      </c>
      <c r="X85" s="267">
        <f t="shared" si="166"/>
        <v>0</v>
      </c>
      <c r="Y85" s="304">
        <f>Y14*Y44*Faktory!$D$8</f>
        <v>0</v>
      </c>
      <c r="Z85" s="305">
        <f>((Z75*Y44)-(Z75*((Y44-Z44)*(1+$BR$35))))*Faktory!$D$8</f>
        <v>0</v>
      </c>
      <c r="AA85" s="267">
        <f t="shared" si="167"/>
        <v>0</v>
      </c>
      <c r="AB85" s="304">
        <f>AB14*AB44*Faktory!$D$8</f>
        <v>0</v>
      </c>
      <c r="AC85" s="305">
        <f>((AC75*AB44)-(AC75*((AB44-AC44)*(1+$BR$35))))*Faktory!$D$8</f>
        <v>0</v>
      </c>
      <c r="AD85" s="267">
        <f t="shared" si="168"/>
        <v>0</v>
      </c>
      <c r="AE85" s="304">
        <f>AE14*AE44*Faktory!$D$8</f>
        <v>0</v>
      </c>
      <c r="AF85" s="305">
        <f>((AF75*AE44)-(AF75*((AE44-AF44)*(1+$BR$35))))*Faktory!$D$8</f>
        <v>0</v>
      </c>
      <c r="AG85" s="267">
        <f t="shared" si="169"/>
        <v>0</v>
      </c>
      <c r="AH85" s="304">
        <f>AH14*AH44*Faktory!$D$8</f>
        <v>0</v>
      </c>
      <c r="AI85" s="305">
        <f>((AI75*AH44)-(AI75*((AH44-AI44)*(1+$BR$35))))*Faktory!$D$8</f>
        <v>0</v>
      </c>
      <c r="AJ85" s="267">
        <f t="shared" si="170"/>
        <v>0</v>
      </c>
      <c r="AK85" s="304">
        <f>AK14*AK44*Faktory!$D$8</f>
        <v>0</v>
      </c>
      <c r="AL85" s="305">
        <f>((AL75*AK44)-(AL75*((AK44-AL44)*(1+$BR$35))))*Faktory!$D$8</f>
        <v>0</v>
      </c>
      <c r="AM85" s="267">
        <f t="shared" si="171"/>
        <v>0</v>
      </c>
      <c r="AN85" s="304">
        <f>AN14*AN44*Faktory!$D$8</f>
        <v>0</v>
      </c>
      <c r="AO85" s="305">
        <f>((AO75*AN44)-(AO75*((AN44-AO44)*(1+$BR$35))))*Faktory!$D$8</f>
        <v>0</v>
      </c>
      <c r="AP85" s="267">
        <f t="shared" si="172"/>
        <v>0</v>
      </c>
      <c r="AQ85" s="304">
        <f>AQ14*AQ44*Faktory!$D$8</f>
        <v>0</v>
      </c>
      <c r="AR85" s="305">
        <f>((AR75*AQ44)-(AR75*((AQ44-AR44)*(1+$BR$35))))*Faktory!$D$8</f>
        <v>0</v>
      </c>
      <c r="AS85" s="267">
        <f t="shared" si="173"/>
        <v>0</v>
      </c>
      <c r="AT85" s="304">
        <f>AT14*AT44*Faktory!$D$8</f>
        <v>0</v>
      </c>
      <c r="AU85" s="305">
        <f>((AU75*AT44)-(AU75*((AT44-AU44)*(1+$BR$35))))*Faktory!$D$8</f>
        <v>0</v>
      </c>
      <c r="AV85" s="267">
        <f t="shared" si="174"/>
        <v>0</v>
      </c>
      <c r="AW85" s="304">
        <f>AW14*AW44*Faktory!$D$8</f>
        <v>0</v>
      </c>
      <c r="AX85" s="305">
        <f>((AX75*AW44)-(AX75*((AW44-AX44)*(1+$BR$35))))*Faktory!$D$8</f>
        <v>0</v>
      </c>
      <c r="AY85" s="267">
        <f t="shared" si="175"/>
        <v>0</v>
      </c>
      <c r="AZ85" s="304">
        <f>AZ14*AZ44*Faktory!$D$8</f>
        <v>0</v>
      </c>
      <c r="BA85" s="305">
        <f>((BA75*AZ44)-(BA75*((AZ44-BA44)*(1+$BR$35))))*Faktory!$D$8</f>
        <v>0</v>
      </c>
      <c r="BB85" s="267">
        <f t="shared" si="176"/>
        <v>0</v>
      </c>
      <c r="BC85" s="304">
        <f>BC14*BC44*Faktory!$D$8</f>
        <v>0</v>
      </c>
      <c r="BD85" s="305">
        <f>((BD75*BC44)-(BD75*((BC44-BD44)*(1+$BR$35))))*Faktory!$D$8</f>
        <v>0</v>
      </c>
      <c r="BE85" s="267">
        <f t="shared" si="177"/>
        <v>0</v>
      </c>
      <c r="BF85" s="304">
        <f>BF14*BF44*Faktory!$D$8</f>
        <v>0</v>
      </c>
      <c r="BG85" s="305">
        <f>((BG75*BF44)-(BG75*((BF44-BG44)*(1+$BR$35))))*Faktory!$D$8</f>
        <v>0</v>
      </c>
      <c r="BH85" s="267">
        <f t="shared" si="178"/>
        <v>0</v>
      </c>
      <c r="BI85" s="304">
        <f>BI14*BI44*Faktory!$D$8</f>
        <v>0</v>
      </c>
      <c r="BJ85" s="305">
        <f>((BJ75*BI44)-(BJ75*((BI44-BJ44)*(1+$BR$35))))*Faktory!$D$8</f>
        <v>0</v>
      </c>
      <c r="BK85" s="267">
        <f t="shared" si="179"/>
        <v>0</v>
      </c>
      <c r="BL85" s="304">
        <f>BL14*BL44*Faktory!$D$8</f>
        <v>0</v>
      </c>
      <c r="BM85" s="305">
        <f>((BM75*BL44)-(BM75*((BL44-BM44)*(1+$BR$35))))*Faktory!$D$8</f>
        <v>0</v>
      </c>
      <c r="BN85" s="267">
        <f t="shared" si="180"/>
        <v>0</v>
      </c>
      <c r="BO85" s="304">
        <f>BO14*BO44*Faktory!$D$8</f>
        <v>0</v>
      </c>
      <c r="BP85" s="305">
        <f>((BP75*BO44)-(BP75*((BO44-BP44)*(1+$BR$35))))*Faktory!$D$8</f>
        <v>0</v>
      </c>
      <c r="BQ85" s="267">
        <f t="shared" si="181"/>
        <v>0</v>
      </c>
    </row>
    <row r="86" spans="1:69" ht="16" x14ac:dyDescent="0.2">
      <c r="A86" s="1346" t="s">
        <v>141</v>
      </c>
      <c r="B86" s="1348" t="s">
        <v>142</v>
      </c>
      <c r="C86" s="290" t="s">
        <v>25</v>
      </c>
      <c r="D86" s="291">
        <f t="shared" si="158"/>
        <v>0</v>
      </c>
      <c r="E86" s="292">
        <f t="shared" si="159"/>
        <v>0</v>
      </c>
      <c r="F86" s="293">
        <f t="shared" si="160"/>
        <v>0</v>
      </c>
      <c r="G86" s="308">
        <f t="shared" ref="G86:H95" si="182">(G5*G35)/12/21/7.5</f>
        <v>0</v>
      </c>
      <c r="H86" s="309">
        <f t="shared" si="182"/>
        <v>0</v>
      </c>
      <c r="I86" s="310">
        <f t="shared" si="161"/>
        <v>0</v>
      </c>
      <c r="J86" s="308">
        <f t="shared" ref="J86:K86" si="183">(J5*J35)/12/21/7.5</f>
        <v>0</v>
      </c>
      <c r="K86" s="309">
        <f t="shared" si="183"/>
        <v>0</v>
      </c>
      <c r="L86" s="310">
        <f t="shared" si="162"/>
        <v>0</v>
      </c>
      <c r="M86" s="308">
        <f t="shared" ref="M86:N86" si="184">(M5*M35)/12/21/7.5</f>
        <v>0</v>
      </c>
      <c r="N86" s="309">
        <f t="shared" si="184"/>
        <v>0</v>
      </c>
      <c r="O86" s="310">
        <f t="shared" si="163"/>
        <v>0</v>
      </c>
      <c r="P86" s="308">
        <f t="shared" ref="P86:Q86" si="185">(P5*P35)/12/21/7.5</f>
        <v>0</v>
      </c>
      <c r="Q86" s="309">
        <f t="shared" si="185"/>
        <v>0</v>
      </c>
      <c r="R86" s="310">
        <f t="shared" si="164"/>
        <v>0</v>
      </c>
      <c r="S86" s="308">
        <f t="shared" ref="S86:T86" si="186">(S5*S35)/12/21/7.5</f>
        <v>0</v>
      </c>
      <c r="T86" s="309">
        <f t="shared" si="186"/>
        <v>0</v>
      </c>
      <c r="U86" s="310">
        <f t="shared" si="165"/>
        <v>0</v>
      </c>
      <c r="V86" s="308">
        <f t="shared" ref="V86:W86" si="187">(V5*V35)/12/21/7.5</f>
        <v>0</v>
      </c>
      <c r="W86" s="309">
        <f t="shared" si="187"/>
        <v>0</v>
      </c>
      <c r="X86" s="310">
        <f t="shared" si="166"/>
        <v>0</v>
      </c>
      <c r="Y86" s="308">
        <f t="shared" ref="Y86:Z86" si="188">(Y5*Y35)/12/21/7.5</f>
        <v>0</v>
      </c>
      <c r="Z86" s="309">
        <f t="shared" si="188"/>
        <v>0</v>
      </c>
      <c r="AA86" s="310">
        <f t="shared" si="167"/>
        <v>0</v>
      </c>
      <c r="AB86" s="308">
        <f t="shared" ref="AB86:AC86" si="189">(AB5*AB35)/12/21/7.5</f>
        <v>0</v>
      </c>
      <c r="AC86" s="309">
        <f t="shared" si="189"/>
        <v>0</v>
      </c>
      <c r="AD86" s="310">
        <f t="shared" si="168"/>
        <v>0</v>
      </c>
      <c r="AE86" s="308">
        <f t="shared" ref="AE86:AF86" si="190">(AE5*AE35)/12/21/7.5</f>
        <v>0</v>
      </c>
      <c r="AF86" s="309">
        <f t="shared" si="190"/>
        <v>0</v>
      </c>
      <c r="AG86" s="310">
        <f t="shared" si="169"/>
        <v>0</v>
      </c>
      <c r="AH86" s="308">
        <f t="shared" ref="AH86:AI86" si="191">(AH5*AH35)/12/21/7.5</f>
        <v>0</v>
      </c>
      <c r="AI86" s="309">
        <f t="shared" si="191"/>
        <v>0</v>
      </c>
      <c r="AJ86" s="310">
        <f t="shared" si="170"/>
        <v>0</v>
      </c>
      <c r="AK86" s="308">
        <f t="shared" ref="AK86:AL86" si="192">(AK5*AK35)/12/21/7.5</f>
        <v>0</v>
      </c>
      <c r="AL86" s="309">
        <f t="shared" si="192"/>
        <v>0</v>
      </c>
      <c r="AM86" s="310">
        <f t="shared" si="171"/>
        <v>0</v>
      </c>
      <c r="AN86" s="308">
        <f t="shared" ref="AN86:AO86" si="193">(AN5*AN35)/12/21/7.5</f>
        <v>0</v>
      </c>
      <c r="AO86" s="309">
        <f t="shared" si="193"/>
        <v>0</v>
      </c>
      <c r="AP86" s="310">
        <f t="shared" si="172"/>
        <v>0</v>
      </c>
      <c r="AQ86" s="308">
        <f t="shared" ref="AQ86:AR86" si="194">(AQ5*AQ35)/12/21/7.5</f>
        <v>0</v>
      </c>
      <c r="AR86" s="309">
        <f t="shared" si="194"/>
        <v>0</v>
      </c>
      <c r="AS86" s="310">
        <f t="shared" si="173"/>
        <v>0</v>
      </c>
      <c r="AT86" s="308">
        <f t="shared" ref="AT86:AU86" si="195">(AT5*AT35)/12/21/7.5</f>
        <v>0</v>
      </c>
      <c r="AU86" s="309">
        <f t="shared" si="195"/>
        <v>0</v>
      </c>
      <c r="AV86" s="310">
        <f t="shared" si="174"/>
        <v>0</v>
      </c>
      <c r="AW86" s="308">
        <f t="shared" ref="AW86:AX86" si="196">(AW5*AW35)/12/21/7.5</f>
        <v>0</v>
      </c>
      <c r="AX86" s="309">
        <f t="shared" si="196"/>
        <v>0</v>
      </c>
      <c r="AY86" s="310">
        <f t="shared" si="175"/>
        <v>0</v>
      </c>
      <c r="AZ86" s="308">
        <f t="shared" ref="AZ86:BA86" si="197">(AZ5*AZ35)/12/21/7.5</f>
        <v>0</v>
      </c>
      <c r="BA86" s="309">
        <f t="shared" si="197"/>
        <v>0</v>
      </c>
      <c r="BB86" s="310">
        <f t="shared" si="176"/>
        <v>0</v>
      </c>
      <c r="BC86" s="308">
        <f t="shared" ref="BC86:BD86" si="198">(BC5*BC35)/12/21/7.5</f>
        <v>0</v>
      </c>
      <c r="BD86" s="309">
        <f t="shared" si="198"/>
        <v>0</v>
      </c>
      <c r="BE86" s="310">
        <f t="shared" si="177"/>
        <v>0</v>
      </c>
      <c r="BF86" s="308">
        <f t="shared" ref="BF86:BG86" si="199">(BF5*BF35)/12/21/7.5</f>
        <v>0</v>
      </c>
      <c r="BG86" s="309">
        <f t="shared" si="199"/>
        <v>0</v>
      </c>
      <c r="BH86" s="310">
        <f t="shared" si="178"/>
        <v>0</v>
      </c>
      <c r="BI86" s="308">
        <f t="shared" ref="BI86:BJ95" si="200">(BI5*BI35)/12/21/7.5</f>
        <v>0</v>
      </c>
      <c r="BJ86" s="309">
        <f t="shared" si="200"/>
        <v>0</v>
      </c>
      <c r="BK86" s="310">
        <f t="shared" si="179"/>
        <v>0</v>
      </c>
      <c r="BL86" s="308">
        <f t="shared" ref="BL86:BM95" si="201">(BL5*BL35)/12/21/7.5</f>
        <v>0</v>
      </c>
      <c r="BM86" s="309">
        <f t="shared" si="201"/>
        <v>0</v>
      </c>
      <c r="BN86" s="310">
        <f t="shared" si="180"/>
        <v>0</v>
      </c>
      <c r="BO86" s="308">
        <f t="shared" ref="BO86:BP95" si="202">(BO5*BO35)/12/21/7.5</f>
        <v>0</v>
      </c>
      <c r="BP86" s="309">
        <f t="shared" si="202"/>
        <v>0</v>
      </c>
      <c r="BQ86" s="310">
        <f t="shared" si="181"/>
        <v>0</v>
      </c>
    </row>
    <row r="87" spans="1:69" ht="16" x14ac:dyDescent="0.2">
      <c r="A87" s="1346"/>
      <c r="B87" s="1348"/>
      <c r="C87" s="290" t="s">
        <v>26</v>
      </c>
      <c r="D87" s="291">
        <f t="shared" si="158"/>
        <v>0</v>
      </c>
      <c r="E87" s="292">
        <f t="shared" si="159"/>
        <v>0</v>
      </c>
      <c r="F87" s="293">
        <f t="shared" si="160"/>
        <v>0</v>
      </c>
      <c r="G87" s="311">
        <f t="shared" si="182"/>
        <v>0</v>
      </c>
      <c r="H87" s="312">
        <f t="shared" si="182"/>
        <v>0</v>
      </c>
      <c r="I87" s="313">
        <f t="shared" si="161"/>
        <v>0</v>
      </c>
      <c r="J87" s="311">
        <f t="shared" ref="J87:K87" si="203">(J6*J36)/12/21/7.5</f>
        <v>0</v>
      </c>
      <c r="K87" s="312">
        <f t="shared" si="203"/>
        <v>0</v>
      </c>
      <c r="L87" s="313">
        <f t="shared" si="162"/>
        <v>0</v>
      </c>
      <c r="M87" s="311">
        <f t="shared" ref="M87:N87" si="204">(M6*M36)/12/21/7.5</f>
        <v>0</v>
      </c>
      <c r="N87" s="312">
        <f t="shared" si="204"/>
        <v>0</v>
      </c>
      <c r="O87" s="313">
        <f t="shared" si="163"/>
        <v>0</v>
      </c>
      <c r="P87" s="311">
        <f t="shared" ref="P87:Q87" si="205">(P6*P36)/12/21/7.5</f>
        <v>0</v>
      </c>
      <c r="Q87" s="312">
        <f t="shared" si="205"/>
        <v>0</v>
      </c>
      <c r="R87" s="313">
        <f t="shared" si="164"/>
        <v>0</v>
      </c>
      <c r="S87" s="311">
        <f t="shared" ref="S87:T87" si="206">(S6*S36)/12/21/7.5</f>
        <v>0</v>
      </c>
      <c r="T87" s="312">
        <f t="shared" si="206"/>
        <v>0</v>
      </c>
      <c r="U87" s="313">
        <f t="shared" si="165"/>
        <v>0</v>
      </c>
      <c r="V87" s="311">
        <f t="shared" ref="V87:W87" si="207">(V6*V36)/12/21/7.5</f>
        <v>0</v>
      </c>
      <c r="W87" s="312">
        <f t="shared" si="207"/>
        <v>0</v>
      </c>
      <c r="X87" s="313">
        <f t="shared" si="166"/>
        <v>0</v>
      </c>
      <c r="Y87" s="311">
        <f t="shared" ref="Y87:Z87" si="208">(Y6*Y36)/12/21/7.5</f>
        <v>0</v>
      </c>
      <c r="Z87" s="312">
        <f t="shared" si="208"/>
        <v>0</v>
      </c>
      <c r="AA87" s="313">
        <f t="shared" si="167"/>
        <v>0</v>
      </c>
      <c r="AB87" s="311">
        <f t="shared" ref="AB87:AC87" si="209">(AB6*AB36)/12/21/7.5</f>
        <v>0</v>
      </c>
      <c r="AC87" s="312">
        <f t="shared" si="209"/>
        <v>0</v>
      </c>
      <c r="AD87" s="313">
        <f t="shared" si="168"/>
        <v>0</v>
      </c>
      <c r="AE87" s="311">
        <f t="shared" ref="AE87:AF87" si="210">(AE6*AE36)/12/21/7.5</f>
        <v>0</v>
      </c>
      <c r="AF87" s="312">
        <f t="shared" si="210"/>
        <v>0</v>
      </c>
      <c r="AG87" s="313">
        <f t="shared" si="169"/>
        <v>0</v>
      </c>
      <c r="AH87" s="311">
        <f t="shared" ref="AH87:AI87" si="211">(AH6*AH36)/12/21/7.5</f>
        <v>0</v>
      </c>
      <c r="AI87" s="312">
        <f t="shared" si="211"/>
        <v>0</v>
      </c>
      <c r="AJ87" s="313">
        <f t="shared" si="170"/>
        <v>0</v>
      </c>
      <c r="AK87" s="311">
        <f t="shared" ref="AK87:AL87" si="212">(AK6*AK36)/12/21/7.5</f>
        <v>0</v>
      </c>
      <c r="AL87" s="312">
        <f t="shared" si="212"/>
        <v>0</v>
      </c>
      <c r="AM87" s="313">
        <f t="shared" si="171"/>
        <v>0</v>
      </c>
      <c r="AN87" s="311">
        <f t="shared" ref="AN87:AO87" si="213">(AN6*AN36)/12/21/7.5</f>
        <v>0</v>
      </c>
      <c r="AO87" s="312">
        <f t="shared" si="213"/>
        <v>0</v>
      </c>
      <c r="AP87" s="313">
        <f t="shared" si="172"/>
        <v>0</v>
      </c>
      <c r="AQ87" s="311">
        <f t="shared" ref="AQ87:AR87" si="214">(AQ6*AQ36)/12/21/7.5</f>
        <v>0</v>
      </c>
      <c r="AR87" s="312">
        <f t="shared" si="214"/>
        <v>0</v>
      </c>
      <c r="AS87" s="313">
        <f t="shared" si="173"/>
        <v>0</v>
      </c>
      <c r="AT87" s="311">
        <f t="shared" ref="AT87:AU87" si="215">(AT6*AT36)/12/21/7.5</f>
        <v>0</v>
      </c>
      <c r="AU87" s="312">
        <f t="shared" si="215"/>
        <v>0</v>
      </c>
      <c r="AV87" s="313">
        <f t="shared" si="174"/>
        <v>0</v>
      </c>
      <c r="AW87" s="311">
        <f t="shared" ref="AW87:AX87" si="216">(AW6*AW36)/12/21/7.5</f>
        <v>0</v>
      </c>
      <c r="AX87" s="312">
        <f t="shared" si="216"/>
        <v>0</v>
      </c>
      <c r="AY87" s="313">
        <f t="shared" si="175"/>
        <v>0</v>
      </c>
      <c r="AZ87" s="311">
        <f t="shared" ref="AZ87:BA87" si="217">(AZ6*AZ36)/12/21/7.5</f>
        <v>0</v>
      </c>
      <c r="BA87" s="312">
        <f t="shared" si="217"/>
        <v>0</v>
      </c>
      <c r="BB87" s="313">
        <f t="shared" si="176"/>
        <v>0</v>
      </c>
      <c r="BC87" s="311">
        <f t="shared" ref="BC87:BD87" si="218">(BC6*BC36)/12/21/7.5</f>
        <v>0</v>
      </c>
      <c r="BD87" s="312">
        <f t="shared" si="218"/>
        <v>0</v>
      </c>
      <c r="BE87" s="313">
        <f t="shared" si="177"/>
        <v>0</v>
      </c>
      <c r="BF87" s="311">
        <f t="shared" ref="BF87:BG87" si="219">(BF6*BF36)/12/21/7.5</f>
        <v>0</v>
      </c>
      <c r="BG87" s="312">
        <f t="shared" si="219"/>
        <v>0</v>
      </c>
      <c r="BH87" s="313">
        <f t="shared" si="178"/>
        <v>0</v>
      </c>
      <c r="BI87" s="311">
        <f t="shared" si="200"/>
        <v>0</v>
      </c>
      <c r="BJ87" s="312">
        <f t="shared" si="200"/>
        <v>0</v>
      </c>
      <c r="BK87" s="313">
        <f t="shared" si="179"/>
        <v>0</v>
      </c>
      <c r="BL87" s="311">
        <f t="shared" si="201"/>
        <v>0</v>
      </c>
      <c r="BM87" s="312">
        <f t="shared" si="201"/>
        <v>0</v>
      </c>
      <c r="BN87" s="313">
        <f t="shared" si="180"/>
        <v>0</v>
      </c>
      <c r="BO87" s="311">
        <f t="shared" si="202"/>
        <v>0</v>
      </c>
      <c r="BP87" s="312">
        <f t="shared" si="202"/>
        <v>0</v>
      </c>
      <c r="BQ87" s="313">
        <f t="shared" si="181"/>
        <v>0</v>
      </c>
    </row>
    <row r="88" spans="1:69" ht="16" x14ac:dyDescent="0.2">
      <c r="A88" s="1346"/>
      <c r="B88" s="1348"/>
      <c r="C88" s="290" t="s">
        <v>27</v>
      </c>
      <c r="D88" s="291">
        <f t="shared" si="158"/>
        <v>0</v>
      </c>
      <c r="E88" s="292">
        <f t="shared" si="159"/>
        <v>0</v>
      </c>
      <c r="F88" s="293">
        <f t="shared" si="160"/>
        <v>0</v>
      </c>
      <c r="G88" s="311">
        <f t="shared" si="182"/>
        <v>0</v>
      </c>
      <c r="H88" s="312">
        <f t="shared" si="182"/>
        <v>0</v>
      </c>
      <c r="I88" s="313">
        <f t="shared" si="161"/>
        <v>0</v>
      </c>
      <c r="J88" s="311">
        <f t="shared" ref="J88:K88" si="220">(J7*J37)/12/21/7.5</f>
        <v>0</v>
      </c>
      <c r="K88" s="312">
        <f t="shared" si="220"/>
        <v>0</v>
      </c>
      <c r="L88" s="313">
        <f t="shared" si="162"/>
        <v>0</v>
      </c>
      <c r="M88" s="311">
        <f t="shared" ref="M88:N88" si="221">(M7*M37)/12/21/7.5</f>
        <v>0</v>
      </c>
      <c r="N88" s="312">
        <f t="shared" si="221"/>
        <v>0</v>
      </c>
      <c r="O88" s="313">
        <f t="shared" si="163"/>
        <v>0</v>
      </c>
      <c r="P88" s="311">
        <f t="shared" ref="P88:Q88" si="222">(P7*P37)/12/21/7.5</f>
        <v>0</v>
      </c>
      <c r="Q88" s="312">
        <f t="shared" si="222"/>
        <v>0</v>
      </c>
      <c r="R88" s="313">
        <f t="shared" si="164"/>
        <v>0</v>
      </c>
      <c r="S88" s="311">
        <f t="shared" ref="S88:T88" si="223">(S7*S37)/12/21/7.5</f>
        <v>0</v>
      </c>
      <c r="T88" s="312">
        <f t="shared" si="223"/>
        <v>0</v>
      </c>
      <c r="U88" s="313">
        <f t="shared" si="165"/>
        <v>0</v>
      </c>
      <c r="V88" s="311">
        <f t="shared" ref="V88:W88" si="224">(V7*V37)/12/21/7.5</f>
        <v>0</v>
      </c>
      <c r="W88" s="312">
        <f t="shared" si="224"/>
        <v>0</v>
      </c>
      <c r="X88" s="313">
        <f t="shared" si="166"/>
        <v>0</v>
      </c>
      <c r="Y88" s="311">
        <f t="shared" ref="Y88:Z88" si="225">(Y7*Y37)/12/21/7.5</f>
        <v>0</v>
      </c>
      <c r="Z88" s="312">
        <f t="shared" si="225"/>
        <v>0</v>
      </c>
      <c r="AA88" s="313">
        <f t="shared" si="167"/>
        <v>0</v>
      </c>
      <c r="AB88" s="311">
        <f t="shared" ref="AB88:AC88" si="226">(AB7*AB37)/12/21/7.5</f>
        <v>0</v>
      </c>
      <c r="AC88" s="312">
        <f t="shared" si="226"/>
        <v>0</v>
      </c>
      <c r="AD88" s="313">
        <f t="shared" si="168"/>
        <v>0</v>
      </c>
      <c r="AE88" s="311">
        <f t="shared" ref="AE88:AF88" si="227">(AE7*AE37)/12/21/7.5</f>
        <v>0</v>
      </c>
      <c r="AF88" s="312">
        <f t="shared" si="227"/>
        <v>0</v>
      </c>
      <c r="AG88" s="313">
        <f t="shared" si="169"/>
        <v>0</v>
      </c>
      <c r="AH88" s="311">
        <f t="shared" ref="AH88:AI88" si="228">(AH7*AH37)/12/21/7.5</f>
        <v>0</v>
      </c>
      <c r="AI88" s="312">
        <f t="shared" si="228"/>
        <v>0</v>
      </c>
      <c r="AJ88" s="313">
        <f t="shared" si="170"/>
        <v>0</v>
      </c>
      <c r="AK88" s="311">
        <f t="shared" ref="AK88:AL88" si="229">(AK7*AK37)/12/21/7.5</f>
        <v>0</v>
      </c>
      <c r="AL88" s="312">
        <f t="shared" si="229"/>
        <v>0</v>
      </c>
      <c r="AM88" s="313">
        <f t="shared" si="171"/>
        <v>0</v>
      </c>
      <c r="AN88" s="311">
        <f t="shared" ref="AN88:AO88" si="230">(AN7*AN37)/12/21/7.5</f>
        <v>0</v>
      </c>
      <c r="AO88" s="312">
        <f t="shared" si="230"/>
        <v>0</v>
      </c>
      <c r="AP88" s="313">
        <f t="shared" si="172"/>
        <v>0</v>
      </c>
      <c r="AQ88" s="311">
        <f t="shared" ref="AQ88:AR88" si="231">(AQ7*AQ37)/12/21/7.5</f>
        <v>0</v>
      </c>
      <c r="AR88" s="312">
        <f t="shared" si="231"/>
        <v>0</v>
      </c>
      <c r="AS88" s="313">
        <f t="shared" si="173"/>
        <v>0</v>
      </c>
      <c r="AT88" s="311">
        <f t="shared" ref="AT88:AU88" si="232">(AT7*AT37)/12/21/7.5</f>
        <v>0</v>
      </c>
      <c r="AU88" s="312">
        <f t="shared" si="232"/>
        <v>0</v>
      </c>
      <c r="AV88" s="313">
        <f t="shared" si="174"/>
        <v>0</v>
      </c>
      <c r="AW88" s="311">
        <f t="shared" ref="AW88:AX88" si="233">(AW7*AW37)/12/21/7.5</f>
        <v>0</v>
      </c>
      <c r="AX88" s="312">
        <f t="shared" si="233"/>
        <v>0</v>
      </c>
      <c r="AY88" s="313">
        <f t="shared" si="175"/>
        <v>0</v>
      </c>
      <c r="AZ88" s="311">
        <f t="shared" ref="AZ88:BA88" si="234">(AZ7*AZ37)/12/21/7.5</f>
        <v>0</v>
      </c>
      <c r="BA88" s="312">
        <f t="shared" si="234"/>
        <v>0</v>
      </c>
      <c r="BB88" s="313">
        <f t="shared" si="176"/>
        <v>0</v>
      </c>
      <c r="BC88" s="311">
        <f t="shared" ref="BC88:BD88" si="235">(BC7*BC37)/12/21/7.5</f>
        <v>0</v>
      </c>
      <c r="BD88" s="312">
        <f t="shared" si="235"/>
        <v>0</v>
      </c>
      <c r="BE88" s="313">
        <f t="shared" si="177"/>
        <v>0</v>
      </c>
      <c r="BF88" s="311">
        <f t="shared" ref="BF88:BG88" si="236">(BF7*BF37)/12/21/7.5</f>
        <v>0</v>
      </c>
      <c r="BG88" s="312">
        <f t="shared" si="236"/>
        <v>0</v>
      </c>
      <c r="BH88" s="313">
        <f t="shared" si="178"/>
        <v>0</v>
      </c>
      <c r="BI88" s="311">
        <f t="shared" si="200"/>
        <v>0</v>
      </c>
      <c r="BJ88" s="312">
        <f t="shared" si="200"/>
        <v>0</v>
      </c>
      <c r="BK88" s="313">
        <f t="shared" si="179"/>
        <v>0</v>
      </c>
      <c r="BL88" s="311">
        <f t="shared" si="201"/>
        <v>0</v>
      </c>
      <c r="BM88" s="312">
        <f t="shared" si="201"/>
        <v>0</v>
      </c>
      <c r="BN88" s="313">
        <f t="shared" si="180"/>
        <v>0</v>
      </c>
      <c r="BO88" s="311">
        <f t="shared" si="202"/>
        <v>0</v>
      </c>
      <c r="BP88" s="312">
        <f t="shared" si="202"/>
        <v>0</v>
      </c>
      <c r="BQ88" s="313">
        <f t="shared" si="181"/>
        <v>0</v>
      </c>
    </row>
    <row r="89" spans="1:69" ht="16" x14ac:dyDescent="0.2">
      <c r="A89" s="1346"/>
      <c r="B89" s="1348"/>
      <c r="C89" s="290" t="s">
        <v>28</v>
      </c>
      <c r="D89" s="291">
        <f t="shared" si="158"/>
        <v>0</v>
      </c>
      <c r="E89" s="292">
        <f t="shared" si="159"/>
        <v>0</v>
      </c>
      <c r="F89" s="293">
        <f t="shared" si="160"/>
        <v>0</v>
      </c>
      <c r="G89" s="311">
        <f t="shared" si="182"/>
        <v>0</v>
      </c>
      <c r="H89" s="312">
        <f t="shared" si="182"/>
        <v>0</v>
      </c>
      <c r="I89" s="313">
        <f t="shared" si="161"/>
        <v>0</v>
      </c>
      <c r="J89" s="311">
        <f t="shared" ref="J89:K89" si="237">(J8*J38)/12/21/7.5</f>
        <v>0</v>
      </c>
      <c r="K89" s="312">
        <f t="shared" si="237"/>
        <v>0</v>
      </c>
      <c r="L89" s="313">
        <f t="shared" si="162"/>
        <v>0</v>
      </c>
      <c r="M89" s="311">
        <f t="shared" ref="M89:N89" si="238">(M8*M38)/12/21/7.5</f>
        <v>0</v>
      </c>
      <c r="N89" s="312">
        <f t="shared" si="238"/>
        <v>0</v>
      </c>
      <c r="O89" s="313">
        <f t="shared" si="163"/>
        <v>0</v>
      </c>
      <c r="P89" s="311">
        <f t="shared" ref="P89:Q89" si="239">(P8*P38)/12/21/7.5</f>
        <v>0</v>
      </c>
      <c r="Q89" s="312">
        <f t="shared" si="239"/>
        <v>0</v>
      </c>
      <c r="R89" s="313">
        <f t="shared" si="164"/>
        <v>0</v>
      </c>
      <c r="S89" s="311">
        <f t="shared" ref="S89:T89" si="240">(S8*S38)/12/21/7.5</f>
        <v>0</v>
      </c>
      <c r="T89" s="312">
        <f t="shared" si="240"/>
        <v>0</v>
      </c>
      <c r="U89" s="313">
        <f t="shared" si="165"/>
        <v>0</v>
      </c>
      <c r="V89" s="311">
        <f t="shared" ref="V89:W89" si="241">(V8*V38)/12/21/7.5</f>
        <v>0</v>
      </c>
      <c r="W89" s="312">
        <f t="shared" si="241"/>
        <v>0</v>
      </c>
      <c r="X89" s="313">
        <f t="shared" si="166"/>
        <v>0</v>
      </c>
      <c r="Y89" s="311">
        <f t="shared" ref="Y89:Z89" si="242">(Y8*Y38)/12/21/7.5</f>
        <v>0</v>
      </c>
      <c r="Z89" s="312">
        <f t="shared" si="242"/>
        <v>0</v>
      </c>
      <c r="AA89" s="313">
        <f t="shared" si="167"/>
        <v>0</v>
      </c>
      <c r="AB89" s="311">
        <f t="shared" ref="AB89:AC89" si="243">(AB8*AB38)/12/21/7.5</f>
        <v>0</v>
      </c>
      <c r="AC89" s="312">
        <f t="shared" si="243"/>
        <v>0</v>
      </c>
      <c r="AD89" s="313">
        <f t="shared" si="168"/>
        <v>0</v>
      </c>
      <c r="AE89" s="311">
        <f t="shared" ref="AE89:AF89" si="244">(AE8*AE38)/12/21/7.5</f>
        <v>0</v>
      </c>
      <c r="AF89" s="312">
        <f t="shared" si="244"/>
        <v>0</v>
      </c>
      <c r="AG89" s="313">
        <f t="shared" si="169"/>
        <v>0</v>
      </c>
      <c r="AH89" s="311">
        <f t="shared" ref="AH89:AI89" si="245">(AH8*AH38)/12/21/7.5</f>
        <v>0</v>
      </c>
      <c r="AI89" s="312">
        <f t="shared" si="245"/>
        <v>0</v>
      </c>
      <c r="AJ89" s="313">
        <f t="shared" si="170"/>
        <v>0</v>
      </c>
      <c r="AK89" s="311">
        <f t="shared" ref="AK89:AL89" si="246">(AK8*AK38)/12/21/7.5</f>
        <v>0</v>
      </c>
      <c r="AL89" s="312">
        <f t="shared" si="246"/>
        <v>0</v>
      </c>
      <c r="AM89" s="313">
        <f t="shared" si="171"/>
        <v>0</v>
      </c>
      <c r="AN89" s="311">
        <f t="shared" ref="AN89:AO89" si="247">(AN8*AN38)/12/21/7.5</f>
        <v>0</v>
      </c>
      <c r="AO89" s="312">
        <f t="shared" si="247"/>
        <v>0</v>
      </c>
      <c r="AP89" s="313">
        <f t="shared" si="172"/>
        <v>0</v>
      </c>
      <c r="AQ89" s="311">
        <f t="shared" ref="AQ89:AR89" si="248">(AQ8*AQ38)/12/21/7.5</f>
        <v>0</v>
      </c>
      <c r="AR89" s="312">
        <f t="shared" si="248"/>
        <v>0</v>
      </c>
      <c r="AS89" s="313">
        <f t="shared" si="173"/>
        <v>0</v>
      </c>
      <c r="AT89" s="311">
        <f t="shared" ref="AT89:AU89" si="249">(AT8*AT38)/12/21/7.5</f>
        <v>0</v>
      </c>
      <c r="AU89" s="312">
        <f t="shared" si="249"/>
        <v>0</v>
      </c>
      <c r="AV89" s="313">
        <f t="shared" si="174"/>
        <v>0</v>
      </c>
      <c r="AW89" s="311">
        <f t="shared" ref="AW89:AX89" si="250">(AW8*AW38)/12/21/7.5</f>
        <v>0</v>
      </c>
      <c r="AX89" s="312">
        <f t="shared" si="250"/>
        <v>0</v>
      </c>
      <c r="AY89" s="313">
        <f t="shared" si="175"/>
        <v>0</v>
      </c>
      <c r="AZ89" s="311">
        <f t="shared" ref="AZ89:BA89" si="251">(AZ8*AZ38)/12/21/7.5</f>
        <v>0</v>
      </c>
      <c r="BA89" s="312">
        <f t="shared" si="251"/>
        <v>0</v>
      </c>
      <c r="BB89" s="313">
        <f t="shared" si="176"/>
        <v>0</v>
      </c>
      <c r="BC89" s="311">
        <f t="shared" ref="BC89:BD89" si="252">(BC8*BC38)/12/21/7.5</f>
        <v>0</v>
      </c>
      <c r="BD89" s="312">
        <f t="shared" si="252"/>
        <v>0</v>
      </c>
      <c r="BE89" s="313">
        <f t="shared" si="177"/>
        <v>0</v>
      </c>
      <c r="BF89" s="311">
        <f t="shared" ref="BF89:BG89" si="253">(BF8*BF38)/12/21/7.5</f>
        <v>0</v>
      </c>
      <c r="BG89" s="312">
        <f t="shared" si="253"/>
        <v>0</v>
      </c>
      <c r="BH89" s="313">
        <f t="shared" si="178"/>
        <v>0</v>
      </c>
      <c r="BI89" s="311">
        <f t="shared" si="200"/>
        <v>0</v>
      </c>
      <c r="BJ89" s="312">
        <f t="shared" si="200"/>
        <v>0</v>
      </c>
      <c r="BK89" s="313">
        <f t="shared" si="179"/>
        <v>0</v>
      </c>
      <c r="BL89" s="311">
        <f t="shared" si="201"/>
        <v>0</v>
      </c>
      <c r="BM89" s="312">
        <f t="shared" si="201"/>
        <v>0</v>
      </c>
      <c r="BN89" s="313">
        <f t="shared" si="180"/>
        <v>0</v>
      </c>
      <c r="BO89" s="311">
        <f t="shared" si="202"/>
        <v>0</v>
      </c>
      <c r="BP89" s="312">
        <f t="shared" si="202"/>
        <v>0</v>
      </c>
      <c r="BQ89" s="313">
        <f t="shared" si="181"/>
        <v>0</v>
      </c>
    </row>
    <row r="90" spans="1:69" ht="16" x14ac:dyDescent="0.2">
      <c r="A90" s="1346"/>
      <c r="B90" s="1348"/>
      <c r="C90" s="290" t="s">
        <v>29</v>
      </c>
      <c r="D90" s="291">
        <f t="shared" si="158"/>
        <v>0</v>
      </c>
      <c r="E90" s="292">
        <f t="shared" si="159"/>
        <v>0</v>
      </c>
      <c r="F90" s="293">
        <f t="shared" si="160"/>
        <v>0</v>
      </c>
      <c r="G90" s="311">
        <f t="shared" si="182"/>
        <v>0</v>
      </c>
      <c r="H90" s="312">
        <f t="shared" si="182"/>
        <v>0</v>
      </c>
      <c r="I90" s="313">
        <f t="shared" si="161"/>
        <v>0</v>
      </c>
      <c r="J90" s="311">
        <f t="shared" ref="J90:K90" si="254">(J9*J39)/12/21/7.5</f>
        <v>0</v>
      </c>
      <c r="K90" s="312">
        <f t="shared" si="254"/>
        <v>0</v>
      </c>
      <c r="L90" s="313">
        <f t="shared" si="162"/>
        <v>0</v>
      </c>
      <c r="M90" s="311">
        <f t="shared" ref="M90:N90" si="255">(M9*M39)/12/21/7.5</f>
        <v>0</v>
      </c>
      <c r="N90" s="312">
        <f t="shared" si="255"/>
        <v>0</v>
      </c>
      <c r="O90" s="313">
        <f t="shared" si="163"/>
        <v>0</v>
      </c>
      <c r="P90" s="311">
        <f t="shared" ref="P90:Q90" si="256">(P9*P39)/12/21/7.5</f>
        <v>0</v>
      </c>
      <c r="Q90" s="312">
        <f t="shared" si="256"/>
        <v>0</v>
      </c>
      <c r="R90" s="313">
        <f t="shared" si="164"/>
        <v>0</v>
      </c>
      <c r="S90" s="311">
        <f t="shared" ref="S90:T90" si="257">(S9*S39)/12/21/7.5</f>
        <v>0</v>
      </c>
      <c r="T90" s="312">
        <f t="shared" si="257"/>
        <v>0</v>
      </c>
      <c r="U90" s="313">
        <f t="shared" si="165"/>
        <v>0</v>
      </c>
      <c r="V90" s="311">
        <f t="shared" ref="V90:W90" si="258">(V9*V39)/12/21/7.5</f>
        <v>0</v>
      </c>
      <c r="W90" s="312">
        <f t="shared" si="258"/>
        <v>0</v>
      </c>
      <c r="X90" s="313">
        <f t="shared" si="166"/>
        <v>0</v>
      </c>
      <c r="Y90" s="311">
        <f t="shared" ref="Y90:Z90" si="259">(Y9*Y39)/12/21/7.5</f>
        <v>0</v>
      </c>
      <c r="Z90" s="312">
        <f t="shared" si="259"/>
        <v>0</v>
      </c>
      <c r="AA90" s="313">
        <f t="shared" si="167"/>
        <v>0</v>
      </c>
      <c r="AB90" s="311">
        <f t="shared" ref="AB90:AC90" si="260">(AB9*AB39)/12/21/7.5</f>
        <v>0</v>
      </c>
      <c r="AC90" s="312">
        <f t="shared" si="260"/>
        <v>0</v>
      </c>
      <c r="AD90" s="313">
        <f t="shared" si="168"/>
        <v>0</v>
      </c>
      <c r="AE90" s="311">
        <f t="shared" ref="AE90:AF90" si="261">(AE9*AE39)/12/21/7.5</f>
        <v>0</v>
      </c>
      <c r="AF90" s="312">
        <f t="shared" si="261"/>
        <v>0</v>
      </c>
      <c r="AG90" s="313">
        <f t="shared" si="169"/>
        <v>0</v>
      </c>
      <c r="AH90" s="311">
        <f t="shared" ref="AH90:AI90" si="262">(AH9*AH39)/12/21/7.5</f>
        <v>0</v>
      </c>
      <c r="AI90" s="312">
        <f t="shared" si="262"/>
        <v>0</v>
      </c>
      <c r="AJ90" s="313">
        <f t="shared" si="170"/>
        <v>0</v>
      </c>
      <c r="AK90" s="311">
        <f t="shared" ref="AK90:AL90" si="263">(AK9*AK39)/12/21/7.5</f>
        <v>0</v>
      </c>
      <c r="AL90" s="312">
        <f t="shared" si="263"/>
        <v>0</v>
      </c>
      <c r="AM90" s="313">
        <f t="shared" si="171"/>
        <v>0</v>
      </c>
      <c r="AN90" s="311">
        <f t="shared" ref="AN90:AO90" si="264">(AN9*AN39)/12/21/7.5</f>
        <v>0</v>
      </c>
      <c r="AO90" s="312">
        <f t="shared" si="264"/>
        <v>0</v>
      </c>
      <c r="AP90" s="313">
        <f t="shared" si="172"/>
        <v>0</v>
      </c>
      <c r="AQ90" s="311">
        <f t="shared" ref="AQ90:AR90" si="265">(AQ9*AQ39)/12/21/7.5</f>
        <v>0</v>
      </c>
      <c r="AR90" s="312">
        <f t="shared" si="265"/>
        <v>0</v>
      </c>
      <c r="AS90" s="313">
        <f t="shared" si="173"/>
        <v>0</v>
      </c>
      <c r="AT90" s="311">
        <f t="shared" ref="AT90:AU90" si="266">(AT9*AT39)/12/21/7.5</f>
        <v>0</v>
      </c>
      <c r="AU90" s="312">
        <f t="shared" si="266"/>
        <v>0</v>
      </c>
      <c r="AV90" s="313">
        <f t="shared" si="174"/>
        <v>0</v>
      </c>
      <c r="AW90" s="311">
        <f t="shared" ref="AW90:AX90" si="267">(AW9*AW39)/12/21/7.5</f>
        <v>0</v>
      </c>
      <c r="AX90" s="312">
        <f t="shared" si="267"/>
        <v>0</v>
      </c>
      <c r="AY90" s="313">
        <f t="shared" si="175"/>
        <v>0</v>
      </c>
      <c r="AZ90" s="311">
        <f t="shared" ref="AZ90:BA90" si="268">(AZ9*AZ39)/12/21/7.5</f>
        <v>0</v>
      </c>
      <c r="BA90" s="312">
        <f t="shared" si="268"/>
        <v>0</v>
      </c>
      <c r="BB90" s="313">
        <f t="shared" si="176"/>
        <v>0</v>
      </c>
      <c r="BC90" s="311">
        <f t="shared" ref="BC90:BD90" si="269">(BC9*BC39)/12/21/7.5</f>
        <v>0</v>
      </c>
      <c r="BD90" s="312">
        <f t="shared" si="269"/>
        <v>0</v>
      </c>
      <c r="BE90" s="313">
        <f t="shared" si="177"/>
        <v>0</v>
      </c>
      <c r="BF90" s="311">
        <f t="shared" ref="BF90:BG90" si="270">(BF9*BF39)/12/21/7.5</f>
        <v>0</v>
      </c>
      <c r="BG90" s="312">
        <f t="shared" si="270"/>
        <v>0</v>
      </c>
      <c r="BH90" s="313">
        <f t="shared" si="178"/>
        <v>0</v>
      </c>
      <c r="BI90" s="311">
        <f t="shared" si="200"/>
        <v>0</v>
      </c>
      <c r="BJ90" s="312">
        <f t="shared" si="200"/>
        <v>0</v>
      </c>
      <c r="BK90" s="313">
        <f t="shared" si="179"/>
        <v>0</v>
      </c>
      <c r="BL90" s="311">
        <f t="shared" si="201"/>
        <v>0</v>
      </c>
      <c r="BM90" s="312">
        <f t="shared" si="201"/>
        <v>0</v>
      </c>
      <c r="BN90" s="313">
        <f t="shared" si="180"/>
        <v>0</v>
      </c>
      <c r="BO90" s="311">
        <f t="shared" si="202"/>
        <v>0</v>
      </c>
      <c r="BP90" s="312">
        <f t="shared" si="202"/>
        <v>0</v>
      </c>
      <c r="BQ90" s="313">
        <f t="shared" si="181"/>
        <v>0</v>
      </c>
    </row>
    <row r="91" spans="1:69" ht="16" x14ac:dyDescent="0.2">
      <c r="A91" s="1346"/>
      <c r="B91" s="1348"/>
      <c r="C91" s="290" t="s">
        <v>30</v>
      </c>
      <c r="D91" s="291">
        <f t="shared" si="158"/>
        <v>0</v>
      </c>
      <c r="E91" s="292">
        <f t="shared" si="159"/>
        <v>0</v>
      </c>
      <c r="F91" s="293">
        <f t="shared" si="160"/>
        <v>0</v>
      </c>
      <c r="G91" s="311">
        <f t="shared" si="182"/>
        <v>0</v>
      </c>
      <c r="H91" s="312">
        <f t="shared" si="182"/>
        <v>0</v>
      </c>
      <c r="I91" s="313">
        <f t="shared" si="161"/>
        <v>0</v>
      </c>
      <c r="J91" s="311">
        <f t="shared" ref="J91:K91" si="271">(J10*J40)/12/21/7.5</f>
        <v>0</v>
      </c>
      <c r="K91" s="312">
        <f t="shared" si="271"/>
        <v>0</v>
      </c>
      <c r="L91" s="313">
        <f t="shared" si="162"/>
        <v>0</v>
      </c>
      <c r="M91" s="311">
        <f t="shared" ref="M91:N91" si="272">(M10*M40)/12/21/7.5</f>
        <v>0</v>
      </c>
      <c r="N91" s="312">
        <f t="shared" si="272"/>
        <v>0</v>
      </c>
      <c r="O91" s="313">
        <f t="shared" si="163"/>
        <v>0</v>
      </c>
      <c r="P91" s="311">
        <f t="shared" ref="P91:Q91" si="273">(P10*P40)/12/21/7.5</f>
        <v>0</v>
      </c>
      <c r="Q91" s="312">
        <f t="shared" si="273"/>
        <v>0</v>
      </c>
      <c r="R91" s="313">
        <f t="shared" si="164"/>
        <v>0</v>
      </c>
      <c r="S91" s="311">
        <f t="shared" ref="S91:T91" si="274">(S10*S40)/12/21/7.5</f>
        <v>0</v>
      </c>
      <c r="T91" s="312">
        <f t="shared" si="274"/>
        <v>0</v>
      </c>
      <c r="U91" s="313">
        <f t="shared" si="165"/>
        <v>0</v>
      </c>
      <c r="V91" s="311">
        <f t="shared" ref="V91:W91" si="275">(V10*V40)/12/21/7.5</f>
        <v>0</v>
      </c>
      <c r="W91" s="312">
        <f t="shared" si="275"/>
        <v>0</v>
      </c>
      <c r="X91" s="313">
        <f t="shared" si="166"/>
        <v>0</v>
      </c>
      <c r="Y91" s="311">
        <f t="shared" ref="Y91:Z91" si="276">(Y10*Y40)/12/21/7.5</f>
        <v>0</v>
      </c>
      <c r="Z91" s="312">
        <f t="shared" si="276"/>
        <v>0</v>
      </c>
      <c r="AA91" s="313">
        <f t="shared" si="167"/>
        <v>0</v>
      </c>
      <c r="AB91" s="311">
        <f t="shared" ref="AB91:AC91" si="277">(AB10*AB40)/12/21/7.5</f>
        <v>0</v>
      </c>
      <c r="AC91" s="312">
        <f t="shared" si="277"/>
        <v>0</v>
      </c>
      <c r="AD91" s="313">
        <f t="shared" si="168"/>
        <v>0</v>
      </c>
      <c r="AE91" s="311">
        <f t="shared" ref="AE91:AF91" si="278">(AE10*AE40)/12/21/7.5</f>
        <v>0</v>
      </c>
      <c r="AF91" s="312">
        <f t="shared" si="278"/>
        <v>0</v>
      </c>
      <c r="AG91" s="313">
        <f t="shared" si="169"/>
        <v>0</v>
      </c>
      <c r="AH91" s="311">
        <f t="shared" ref="AH91:AI91" si="279">(AH10*AH40)/12/21/7.5</f>
        <v>0</v>
      </c>
      <c r="AI91" s="312">
        <f t="shared" si="279"/>
        <v>0</v>
      </c>
      <c r="AJ91" s="313">
        <f t="shared" si="170"/>
        <v>0</v>
      </c>
      <c r="AK91" s="311">
        <f t="shared" ref="AK91:AL91" si="280">(AK10*AK40)/12/21/7.5</f>
        <v>0</v>
      </c>
      <c r="AL91" s="312">
        <f t="shared" si="280"/>
        <v>0</v>
      </c>
      <c r="AM91" s="313">
        <f t="shared" si="171"/>
        <v>0</v>
      </c>
      <c r="AN91" s="311">
        <f t="shared" ref="AN91:AO91" si="281">(AN10*AN40)/12/21/7.5</f>
        <v>0</v>
      </c>
      <c r="AO91" s="312">
        <f t="shared" si="281"/>
        <v>0</v>
      </c>
      <c r="AP91" s="313">
        <f t="shared" si="172"/>
        <v>0</v>
      </c>
      <c r="AQ91" s="311">
        <f t="shared" ref="AQ91:AR91" si="282">(AQ10*AQ40)/12/21/7.5</f>
        <v>0</v>
      </c>
      <c r="AR91" s="312">
        <f t="shared" si="282"/>
        <v>0</v>
      </c>
      <c r="AS91" s="313">
        <f t="shared" si="173"/>
        <v>0</v>
      </c>
      <c r="AT91" s="311">
        <f t="shared" ref="AT91:AU91" si="283">(AT10*AT40)/12/21/7.5</f>
        <v>0</v>
      </c>
      <c r="AU91" s="312">
        <f t="shared" si="283"/>
        <v>0</v>
      </c>
      <c r="AV91" s="313">
        <f t="shared" si="174"/>
        <v>0</v>
      </c>
      <c r="AW91" s="311">
        <f t="shared" ref="AW91:AX91" si="284">(AW10*AW40)/12/21/7.5</f>
        <v>0</v>
      </c>
      <c r="AX91" s="312">
        <f t="shared" si="284"/>
        <v>0</v>
      </c>
      <c r="AY91" s="313">
        <f t="shared" si="175"/>
        <v>0</v>
      </c>
      <c r="AZ91" s="311">
        <f t="shared" ref="AZ91:BA91" si="285">(AZ10*AZ40)/12/21/7.5</f>
        <v>0</v>
      </c>
      <c r="BA91" s="312">
        <f t="shared" si="285"/>
        <v>0</v>
      </c>
      <c r="BB91" s="313">
        <f t="shared" si="176"/>
        <v>0</v>
      </c>
      <c r="BC91" s="311">
        <f t="shared" ref="BC91:BD91" si="286">(BC10*BC40)/12/21/7.5</f>
        <v>0</v>
      </c>
      <c r="BD91" s="312">
        <f t="shared" si="286"/>
        <v>0</v>
      </c>
      <c r="BE91" s="313">
        <f t="shared" si="177"/>
        <v>0</v>
      </c>
      <c r="BF91" s="311">
        <f t="shared" ref="BF91:BG91" si="287">(BF10*BF40)/12/21/7.5</f>
        <v>0</v>
      </c>
      <c r="BG91" s="312">
        <f t="shared" si="287"/>
        <v>0</v>
      </c>
      <c r="BH91" s="313">
        <f t="shared" si="178"/>
        <v>0</v>
      </c>
      <c r="BI91" s="311">
        <f t="shared" si="200"/>
        <v>0</v>
      </c>
      <c r="BJ91" s="312">
        <f t="shared" si="200"/>
        <v>0</v>
      </c>
      <c r="BK91" s="313">
        <f t="shared" si="179"/>
        <v>0</v>
      </c>
      <c r="BL91" s="311">
        <f t="shared" si="201"/>
        <v>0</v>
      </c>
      <c r="BM91" s="312">
        <f t="shared" si="201"/>
        <v>0</v>
      </c>
      <c r="BN91" s="313">
        <f t="shared" si="180"/>
        <v>0</v>
      </c>
      <c r="BO91" s="311">
        <f t="shared" si="202"/>
        <v>0</v>
      </c>
      <c r="BP91" s="312">
        <f t="shared" si="202"/>
        <v>0</v>
      </c>
      <c r="BQ91" s="313">
        <f t="shared" si="181"/>
        <v>0</v>
      </c>
    </row>
    <row r="92" spans="1:69" ht="16" x14ac:dyDescent="0.2">
      <c r="A92" s="1346"/>
      <c r="B92" s="1348"/>
      <c r="C92" s="290" t="s">
        <v>31</v>
      </c>
      <c r="D92" s="291">
        <f t="shared" si="158"/>
        <v>0</v>
      </c>
      <c r="E92" s="292">
        <f t="shared" si="159"/>
        <v>0</v>
      </c>
      <c r="F92" s="293">
        <f t="shared" si="160"/>
        <v>0</v>
      </c>
      <c r="G92" s="311">
        <f t="shared" si="182"/>
        <v>0</v>
      </c>
      <c r="H92" s="312">
        <f t="shared" si="182"/>
        <v>0</v>
      </c>
      <c r="I92" s="313">
        <f t="shared" si="161"/>
        <v>0</v>
      </c>
      <c r="J92" s="311">
        <f t="shared" ref="J92:K92" si="288">(J11*J41)/12/21/7.5</f>
        <v>0</v>
      </c>
      <c r="K92" s="312">
        <f t="shared" si="288"/>
        <v>0</v>
      </c>
      <c r="L92" s="313">
        <f t="shared" si="162"/>
        <v>0</v>
      </c>
      <c r="M92" s="311">
        <f t="shared" ref="M92:N92" si="289">(M11*M41)/12/21/7.5</f>
        <v>0</v>
      </c>
      <c r="N92" s="312">
        <f t="shared" si="289"/>
        <v>0</v>
      </c>
      <c r="O92" s="313">
        <f t="shared" si="163"/>
        <v>0</v>
      </c>
      <c r="P92" s="311">
        <f t="shared" ref="P92:Q92" si="290">(P11*P41)/12/21/7.5</f>
        <v>0</v>
      </c>
      <c r="Q92" s="312">
        <f t="shared" si="290"/>
        <v>0</v>
      </c>
      <c r="R92" s="313">
        <f t="shared" si="164"/>
        <v>0</v>
      </c>
      <c r="S92" s="311">
        <f t="shared" ref="S92:T92" si="291">(S11*S41)/12/21/7.5</f>
        <v>0</v>
      </c>
      <c r="T92" s="312">
        <f t="shared" si="291"/>
        <v>0</v>
      </c>
      <c r="U92" s="313">
        <f t="shared" si="165"/>
        <v>0</v>
      </c>
      <c r="V92" s="311">
        <f t="shared" ref="V92:W92" si="292">(V11*V41)/12/21/7.5</f>
        <v>0</v>
      </c>
      <c r="W92" s="312">
        <f t="shared" si="292"/>
        <v>0</v>
      </c>
      <c r="X92" s="313">
        <f t="shared" si="166"/>
        <v>0</v>
      </c>
      <c r="Y92" s="311">
        <f t="shared" ref="Y92:Z92" si="293">(Y11*Y41)/12/21/7.5</f>
        <v>0</v>
      </c>
      <c r="Z92" s="312">
        <f t="shared" si="293"/>
        <v>0</v>
      </c>
      <c r="AA92" s="313">
        <f t="shared" si="167"/>
        <v>0</v>
      </c>
      <c r="AB92" s="311">
        <f t="shared" ref="AB92:AC92" si="294">(AB11*AB41)/12/21/7.5</f>
        <v>0</v>
      </c>
      <c r="AC92" s="312">
        <f t="shared" si="294"/>
        <v>0</v>
      </c>
      <c r="AD92" s="313">
        <f t="shared" si="168"/>
        <v>0</v>
      </c>
      <c r="AE92" s="311">
        <f t="shared" ref="AE92:AF92" si="295">(AE11*AE41)/12/21/7.5</f>
        <v>0</v>
      </c>
      <c r="AF92" s="312">
        <f t="shared" si="295"/>
        <v>0</v>
      </c>
      <c r="AG92" s="313">
        <f t="shared" si="169"/>
        <v>0</v>
      </c>
      <c r="AH92" s="311">
        <f t="shared" ref="AH92:AI92" si="296">(AH11*AH41)/12/21/7.5</f>
        <v>0</v>
      </c>
      <c r="AI92" s="312">
        <f t="shared" si="296"/>
        <v>0</v>
      </c>
      <c r="AJ92" s="313">
        <f t="shared" si="170"/>
        <v>0</v>
      </c>
      <c r="AK92" s="311">
        <f t="shared" ref="AK92:AL92" si="297">(AK11*AK41)/12/21/7.5</f>
        <v>0</v>
      </c>
      <c r="AL92" s="312">
        <f t="shared" si="297"/>
        <v>0</v>
      </c>
      <c r="AM92" s="313">
        <f t="shared" si="171"/>
        <v>0</v>
      </c>
      <c r="AN92" s="311">
        <f t="shared" ref="AN92:AO92" si="298">(AN11*AN41)/12/21/7.5</f>
        <v>0</v>
      </c>
      <c r="AO92" s="312">
        <f t="shared" si="298"/>
        <v>0</v>
      </c>
      <c r="AP92" s="313">
        <f t="shared" si="172"/>
        <v>0</v>
      </c>
      <c r="AQ92" s="311">
        <f t="shared" ref="AQ92:AR92" si="299">(AQ11*AQ41)/12/21/7.5</f>
        <v>0</v>
      </c>
      <c r="AR92" s="312">
        <f t="shared" si="299"/>
        <v>0</v>
      </c>
      <c r="AS92" s="313">
        <f t="shared" si="173"/>
        <v>0</v>
      </c>
      <c r="AT92" s="311">
        <f t="shared" ref="AT92:AU92" si="300">(AT11*AT41)/12/21/7.5</f>
        <v>0</v>
      </c>
      <c r="AU92" s="312">
        <f t="shared" si="300"/>
        <v>0</v>
      </c>
      <c r="AV92" s="313">
        <f t="shared" si="174"/>
        <v>0</v>
      </c>
      <c r="AW92" s="311">
        <f t="shared" ref="AW92:AX92" si="301">(AW11*AW41)/12/21/7.5</f>
        <v>0</v>
      </c>
      <c r="AX92" s="312">
        <f t="shared" si="301"/>
        <v>0</v>
      </c>
      <c r="AY92" s="313">
        <f t="shared" si="175"/>
        <v>0</v>
      </c>
      <c r="AZ92" s="311">
        <f t="shared" ref="AZ92:BA92" si="302">(AZ11*AZ41)/12/21/7.5</f>
        <v>0</v>
      </c>
      <c r="BA92" s="312">
        <f t="shared" si="302"/>
        <v>0</v>
      </c>
      <c r="BB92" s="313">
        <f t="shared" si="176"/>
        <v>0</v>
      </c>
      <c r="BC92" s="311">
        <f t="shared" ref="BC92:BD92" si="303">(BC11*BC41)/12/21/7.5</f>
        <v>0</v>
      </c>
      <c r="BD92" s="312">
        <f t="shared" si="303"/>
        <v>0</v>
      </c>
      <c r="BE92" s="313">
        <f t="shared" si="177"/>
        <v>0</v>
      </c>
      <c r="BF92" s="311">
        <f t="shared" ref="BF92:BG92" si="304">(BF11*BF41)/12/21/7.5</f>
        <v>0</v>
      </c>
      <c r="BG92" s="312">
        <f t="shared" si="304"/>
        <v>0</v>
      </c>
      <c r="BH92" s="313">
        <f t="shared" si="178"/>
        <v>0</v>
      </c>
      <c r="BI92" s="311">
        <f t="shared" si="200"/>
        <v>0</v>
      </c>
      <c r="BJ92" s="312">
        <f t="shared" si="200"/>
        <v>0</v>
      </c>
      <c r="BK92" s="313">
        <f t="shared" si="179"/>
        <v>0</v>
      </c>
      <c r="BL92" s="311">
        <f t="shared" si="201"/>
        <v>0</v>
      </c>
      <c r="BM92" s="312">
        <f t="shared" si="201"/>
        <v>0</v>
      </c>
      <c r="BN92" s="313">
        <f t="shared" si="180"/>
        <v>0</v>
      </c>
      <c r="BO92" s="311">
        <f t="shared" si="202"/>
        <v>0</v>
      </c>
      <c r="BP92" s="312">
        <f t="shared" si="202"/>
        <v>0</v>
      </c>
      <c r="BQ92" s="313">
        <f t="shared" si="181"/>
        <v>0</v>
      </c>
    </row>
    <row r="93" spans="1:69" ht="16" x14ac:dyDescent="0.2">
      <c r="A93" s="1346"/>
      <c r="B93" s="1348"/>
      <c r="C93" s="290" t="s">
        <v>32</v>
      </c>
      <c r="D93" s="291">
        <f t="shared" si="158"/>
        <v>0</v>
      </c>
      <c r="E93" s="292">
        <f t="shared" si="159"/>
        <v>0</v>
      </c>
      <c r="F93" s="293">
        <f t="shared" si="160"/>
        <v>0</v>
      </c>
      <c r="G93" s="311">
        <f t="shared" si="182"/>
        <v>0</v>
      </c>
      <c r="H93" s="312">
        <f t="shared" si="182"/>
        <v>0</v>
      </c>
      <c r="I93" s="313">
        <f t="shared" si="161"/>
        <v>0</v>
      </c>
      <c r="J93" s="311">
        <f t="shared" ref="J93:K93" si="305">(J12*J42)/12/21/7.5</f>
        <v>0</v>
      </c>
      <c r="K93" s="312">
        <f t="shared" si="305"/>
        <v>0</v>
      </c>
      <c r="L93" s="313">
        <f t="shared" si="162"/>
        <v>0</v>
      </c>
      <c r="M93" s="311">
        <f t="shared" ref="M93:N93" si="306">(M12*M42)/12/21/7.5</f>
        <v>0</v>
      </c>
      <c r="N93" s="312">
        <f t="shared" si="306"/>
        <v>0</v>
      </c>
      <c r="O93" s="313">
        <f t="shared" si="163"/>
        <v>0</v>
      </c>
      <c r="P93" s="311">
        <f t="shared" ref="P93:Q93" si="307">(P12*P42)/12/21/7.5</f>
        <v>0</v>
      </c>
      <c r="Q93" s="312">
        <f t="shared" si="307"/>
        <v>0</v>
      </c>
      <c r="R93" s="313">
        <f t="shared" si="164"/>
        <v>0</v>
      </c>
      <c r="S93" s="311">
        <f t="shared" ref="S93:T93" si="308">(S12*S42)/12/21/7.5</f>
        <v>0</v>
      </c>
      <c r="T93" s="312">
        <f t="shared" si="308"/>
        <v>0</v>
      </c>
      <c r="U93" s="313">
        <f t="shared" si="165"/>
        <v>0</v>
      </c>
      <c r="V93" s="311">
        <f t="shared" ref="V93:W93" si="309">(V12*V42)/12/21/7.5</f>
        <v>0</v>
      </c>
      <c r="W93" s="312">
        <f t="shared" si="309"/>
        <v>0</v>
      </c>
      <c r="X93" s="313">
        <f t="shared" si="166"/>
        <v>0</v>
      </c>
      <c r="Y93" s="311">
        <f t="shared" ref="Y93:Z93" si="310">(Y12*Y42)/12/21/7.5</f>
        <v>0</v>
      </c>
      <c r="Z93" s="312">
        <f t="shared" si="310"/>
        <v>0</v>
      </c>
      <c r="AA93" s="313">
        <f t="shared" si="167"/>
        <v>0</v>
      </c>
      <c r="AB93" s="311">
        <f t="shared" ref="AB93:AC93" si="311">(AB12*AB42)/12/21/7.5</f>
        <v>0</v>
      </c>
      <c r="AC93" s="312">
        <f t="shared" si="311"/>
        <v>0</v>
      </c>
      <c r="AD93" s="313">
        <f t="shared" si="168"/>
        <v>0</v>
      </c>
      <c r="AE93" s="311">
        <f t="shared" ref="AE93:AF93" si="312">(AE12*AE42)/12/21/7.5</f>
        <v>0</v>
      </c>
      <c r="AF93" s="312">
        <f t="shared" si="312"/>
        <v>0</v>
      </c>
      <c r="AG93" s="313">
        <f t="shared" si="169"/>
        <v>0</v>
      </c>
      <c r="AH93" s="311">
        <f t="shared" ref="AH93:AI93" si="313">(AH12*AH42)/12/21/7.5</f>
        <v>0</v>
      </c>
      <c r="AI93" s="312">
        <f t="shared" si="313"/>
        <v>0</v>
      </c>
      <c r="AJ93" s="313">
        <f t="shared" si="170"/>
        <v>0</v>
      </c>
      <c r="AK93" s="311">
        <f t="shared" ref="AK93:AL93" si="314">(AK12*AK42)/12/21/7.5</f>
        <v>0</v>
      </c>
      <c r="AL93" s="312">
        <f t="shared" si="314"/>
        <v>0</v>
      </c>
      <c r="AM93" s="313">
        <f t="shared" si="171"/>
        <v>0</v>
      </c>
      <c r="AN93" s="311">
        <f t="shared" ref="AN93:AO93" si="315">(AN12*AN42)/12/21/7.5</f>
        <v>0</v>
      </c>
      <c r="AO93" s="312">
        <f t="shared" si="315"/>
        <v>0</v>
      </c>
      <c r="AP93" s="313">
        <f t="shared" si="172"/>
        <v>0</v>
      </c>
      <c r="AQ93" s="311">
        <f t="shared" ref="AQ93:AR93" si="316">(AQ12*AQ42)/12/21/7.5</f>
        <v>0</v>
      </c>
      <c r="AR93" s="312">
        <f t="shared" si="316"/>
        <v>0</v>
      </c>
      <c r="AS93" s="313">
        <f t="shared" si="173"/>
        <v>0</v>
      </c>
      <c r="AT93" s="311">
        <f t="shared" ref="AT93:AU93" si="317">(AT12*AT42)/12/21/7.5</f>
        <v>0</v>
      </c>
      <c r="AU93" s="312">
        <f t="shared" si="317"/>
        <v>0</v>
      </c>
      <c r="AV93" s="313">
        <f t="shared" si="174"/>
        <v>0</v>
      </c>
      <c r="AW93" s="311">
        <f t="shared" ref="AW93:AX93" si="318">(AW12*AW42)/12/21/7.5</f>
        <v>0</v>
      </c>
      <c r="AX93" s="312">
        <f t="shared" si="318"/>
        <v>0</v>
      </c>
      <c r="AY93" s="313">
        <f t="shared" si="175"/>
        <v>0</v>
      </c>
      <c r="AZ93" s="311">
        <f t="shared" ref="AZ93:BA93" si="319">(AZ12*AZ42)/12/21/7.5</f>
        <v>0</v>
      </c>
      <c r="BA93" s="312">
        <f t="shared" si="319"/>
        <v>0</v>
      </c>
      <c r="BB93" s="313">
        <f t="shared" si="176"/>
        <v>0</v>
      </c>
      <c r="BC93" s="311">
        <f t="shared" ref="BC93:BD93" si="320">(BC12*BC42)/12/21/7.5</f>
        <v>0</v>
      </c>
      <c r="BD93" s="312">
        <f t="shared" si="320"/>
        <v>0</v>
      </c>
      <c r="BE93" s="313">
        <f t="shared" si="177"/>
        <v>0</v>
      </c>
      <c r="BF93" s="311">
        <f t="shared" ref="BF93:BG93" si="321">(BF12*BF42)/12/21/7.5</f>
        <v>0</v>
      </c>
      <c r="BG93" s="312">
        <f t="shared" si="321"/>
        <v>0</v>
      </c>
      <c r="BH93" s="313">
        <f t="shared" si="178"/>
        <v>0</v>
      </c>
      <c r="BI93" s="311">
        <f t="shared" si="200"/>
        <v>0</v>
      </c>
      <c r="BJ93" s="312">
        <f t="shared" si="200"/>
        <v>0</v>
      </c>
      <c r="BK93" s="313">
        <f t="shared" si="179"/>
        <v>0</v>
      </c>
      <c r="BL93" s="311">
        <f t="shared" si="201"/>
        <v>0</v>
      </c>
      <c r="BM93" s="312">
        <f t="shared" si="201"/>
        <v>0</v>
      </c>
      <c r="BN93" s="313">
        <f t="shared" si="180"/>
        <v>0</v>
      </c>
      <c r="BO93" s="311">
        <f t="shared" si="202"/>
        <v>0</v>
      </c>
      <c r="BP93" s="312">
        <f t="shared" si="202"/>
        <v>0</v>
      </c>
      <c r="BQ93" s="313">
        <f t="shared" si="181"/>
        <v>0</v>
      </c>
    </row>
    <row r="94" spans="1:69" ht="16" x14ac:dyDescent="0.2">
      <c r="A94" s="1346"/>
      <c r="B94" s="1348"/>
      <c r="C94" s="290" t="s">
        <v>33</v>
      </c>
      <c r="D94" s="291">
        <f t="shared" si="158"/>
        <v>0</v>
      </c>
      <c r="E94" s="292">
        <f t="shared" si="159"/>
        <v>0</v>
      </c>
      <c r="F94" s="293">
        <f t="shared" si="160"/>
        <v>0</v>
      </c>
      <c r="G94" s="311">
        <f t="shared" si="182"/>
        <v>0</v>
      </c>
      <c r="H94" s="312">
        <f t="shared" si="182"/>
        <v>0</v>
      </c>
      <c r="I94" s="313">
        <f t="shared" si="161"/>
        <v>0</v>
      </c>
      <c r="J94" s="311">
        <f t="shared" ref="J94:K94" si="322">(J13*J43)/12/21/7.5</f>
        <v>0</v>
      </c>
      <c r="K94" s="312">
        <f t="shared" si="322"/>
        <v>0</v>
      </c>
      <c r="L94" s="313">
        <f t="shared" si="162"/>
        <v>0</v>
      </c>
      <c r="M94" s="311">
        <f t="shared" ref="M94:N94" si="323">(M13*M43)/12/21/7.5</f>
        <v>0</v>
      </c>
      <c r="N94" s="312">
        <f t="shared" si="323"/>
        <v>0</v>
      </c>
      <c r="O94" s="313">
        <f t="shared" si="163"/>
        <v>0</v>
      </c>
      <c r="P94" s="311">
        <f t="shared" ref="P94:Q94" si="324">(P13*P43)/12/21/7.5</f>
        <v>0</v>
      </c>
      <c r="Q94" s="312">
        <f t="shared" si="324"/>
        <v>0</v>
      </c>
      <c r="R94" s="313">
        <f t="shared" si="164"/>
        <v>0</v>
      </c>
      <c r="S94" s="311">
        <f t="shared" ref="S94:T94" si="325">(S13*S43)/12/21/7.5</f>
        <v>0</v>
      </c>
      <c r="T94" s="312">
        <f t="shared" si="325"/>
        <v>0</v>
      </c>
      <c r="U94" s="313">
        <f t="shared" si="165"/>
        <v>0</v>
      </c>
      <c r="V94" s="311">
        <f t="shared" ref="V94:W94" si="326">(V13*V43)/12/21/7.5</f>
        <v>0</v>
      </c>
      <c r="W94" s="312">
        <f t="shared" si="326"/>
        <v>0</v>
      </c>
      <c r="X94" s="313">
        <f t="shared" si="166"/>
        <v>0</v>
      </c>
      <c r="Y94" s="311">
        <f t="shared" ref="Y94:Z94" si="327">(Y13*Y43)/12/21/7.5</f>
        <v>0</v>
      </c>
      <c r="Z94" s="312">
        <f t="shared" si="327"/>
        <v>0</v>
      </c>
      <c r="AA94" s="313">
        <f t="shared" si="167"/>
        <v>0</v>
      </c>
      <c r="AB94" s="311">
        <f t="shared" ref="AB94:AC94" si="328">(AB13*AB43)/12/21/7.5</f>
        <v>0</v>
      </c>
      <c r="AC94" s="312">
        <f t="shared" si="328"/>
        <v>0</v>
      </c>
      <c r="AD94" s="313">
        <f t="shared" si="168"/>
        <v>0</v>
      </c>
      <c r="AE94" s="311">
        <f t="shared" ref="AE94:AF94" si="329">(AE13*AE43)/12/21/7.5</f>
        <v>0</v>
      </c>
      <c r="AF94" s="312">
        <f t="shared" si="329"/>
        <v>0</v>
      </c>
      <c r="AG94" s="313">
        <f t="shared" si="169"/>
        <v>0</v>
      </c>
      <c r="AH94" s="311">
        <f t="shared" ref="AH94:AI94" si="330">(AH13*AH43)/12/21/7.5</f>
        <v>0</v>
      </c>
      <c r="AI94" s="312">
        <f t="shared" si="330"/>
        <v>0</v>
      </c>
      <c r="AJ94" s="313">
        <f t="shared" si="170"/>
        <v>0</v>
      </c>
      <c r="AK94" s="311">
        <f t="shared" ref="AK94:AL94" si="331">(AK13*AK43)/12/21/7.5</f>
        <v>0</v>
      </c>
      <c r="AL94" s="312">
        <f t="shared" si="331"/>
        <v>0</v>
      </c>
      <c r="AM94" s="313">
        <f t="shared" si="171"/>
        <v>0</v>
      </c>
      <c r="AN94" s="311">
        <f t="shared" ref="AN94:AO94" si="332">(AN13*AN43)/12/21/7.5</f>
        <v>0</v>
      </c>
      <c r="AO94" s="312">
        <f t="shared" si="332"/>
        <v>0</v>
      </c>
      <c r="AP94" s="313">
        <f t="shared" si="172"/>
        <v>0</v>
      </c>
      <c r="AQ94" s="311">
        <f t="shared" ref="AQ94:AR94" si="333">(AQ13*AQ43)/12/21/7.5</f>
        <v>0</v>
      </c>
      <c r="AR94" s="312">
        <f t="shared" si="333"/>
        <v>0</v>
      </c>
      <c r="AS94" s="313">
        <f t="shared" si="173"/>
        <v>0</v>
      </c>
      <c r="AT94" s="311">
        <f t="shared" ref="AT94:AU94" si="334">(AT13*AT43)/12/21/7.5</f>
        <v>0</v>
      </c>
      <c r="AU94" s="312">
        <f t="shared" si="334"/>
        <v>0</v>
      </c>
      <c r="AV94" s="313">
        <f t="shared" si="174"/>
        <v>0</v>
      </c>
      <c r="AW94" s="311">
        <f t="shared" ref="AW94:AX94" si="335">(AW13*AW43)/12/21/7.5</f>
        <v>0</v>
      </c>
      <c r="AX94" s="312">
        <f t="shared" si="335"/>
        <v>0</v>
      </c>
      <c r="AY94" s="313">
        <f t="shared" si="175"/>
        <v>0</v>
      </c>
      <c r="AZ94" s="311">
        <f t="shared" ref="AZ94:BA94" si="336">(AZ13*AZ43)/12/21/7.5</f>
        <v>0</v>
      </c>
      <c r="BA94" s="312">
        <f t="shared" si="336"/>
        <v>0</v>
      </c>
      <c r="BB94" s="313">
        <f t="shared" si="176"/>
        <v>0</v>
      </c>
      <c r="BC94" s="311">
        <f t="shared" ref="BC94:BD94" si="337">(BC13*BC43)/12/21/7.5</f>
        <v>0</v>
      </c>
      <c r="BD94" s="312">
        <f t="shared" si="337"/>
        <v>0</v>
      </c>
      <c r="BE94" s="313">
        <f t="shared" si="177"/>
        <v>0</v>
      </c>
      <c r="BF94" s="311">
        <f t="shared" ref="BF94:BG94" si="338">(BF13*BF43)/12/21/7.5</f>
        <v>0</v>
      </c>
      <c r="BG94" s="312">
        <f t="shared" si="338"/>
        <v>0</v>
      </c>
      <c r="BH94" s="313">
        <f t="shared" si="178"/>
        <v>0</v>
      </c>
      <c r="BI94" s="311">
        <f t="shared" si="200"/>
        <v>0</v>
      </c>
      <c r="BJ94" s="312">
        <f t="shared" si="200"/>
        <v>0</v>
      </c>
      <c r="BK94" s="313">
        <f t="shared" si="179"/>
        <v>0</v>
      </c>
      <c r="BL94" s="311">
        <f t="shared" si="201"/>
        <v>0</v>
      </c>
      <c r="BM94" s="312">
        <f t="shared" si="201"/>
        <v>0</v>
      </c>
      <c r="BN94" s="313">
        <f t="shared" si="180"/>
        <v>0</v>
      </c>
      <c r="BO94" s="311">
        <f t="shared" si="202"/>
        <v>0</v>
      </c>
      <c r="BP94" s="312">
        <f t="shared" si="202"/>
        <v>0</v>
      </c>
      <c r="BQ94" s="313">
        <f t="shared" si="181"/>
        <v>0</v>
      </c>
    </row>
    <row r="95" spans="1:69" ht="17" thickBot="1" x14ac:dyDescent="0.25">
      <c r="A95" s="1347"/>
      <c r="B95" s="1349"/>
      <c r="C95" s="300" t="s">
        <v>34</v>
      </c>
      <c r="D95" s="301">
        <f t="shared" si="158"/>
        <v>0</v>
      </c>
      <c r="E95" s="302">
        <f t="shared" si="159"/>
        <v>0</v>
      </c>
      <c r="F95" s="303">
        <f t="shared" si="160"/>
        <v>0</v>
      </c>
      <c r="G95" s="314">
        <f t="shared" si="182"/>
        <v>0</v>
      </c>
      <c r="H95" s="315">
        <f t="shared" si="182"/>
        <v>0</v>
      </c>
      <c r="I95" s="316">
        <f t="shared" si="161"/>
        <v>0</v>
      </c>
      <c r="J95" s="314">
        <f t="shared" ref="J95:K95" si="339">(J14*J44)/12/21/7.5</f>
        <v>0</v>
      </c>
      <c r="K95" s="315">
        <f t="shared" si="339"/>
        <v>0</v>
      </c>
      <c r="L95" s="316">
        <f t="shared" si="162"/>
        <v>0</v>
      </c>
      <c r="M95" s="314">
        <f t="shared" ref="M95:N95" si="340">(M14*M44)/12/21/7.5</f>
        <v>0</v>
      </c>
      <c r="N95" s="315">
        <f t="shared" si="340"/>
        <v>0</v>
      </c>
      <c r="O95" s="316">
        <f t="shared" si="163"/>
        <v>0</v>
      </c>
      <c r="P95" s="314">
        <f t="shared" ref="P95:Q95" si="341">(P14*P44)/12/21/7.5</f>
        <v>0</v>
      </c>
      <c r="Q95" s="315">
        <f t="shared" si="341"/>
        <v>0</v>
      </c>
      <c r="R95" s="316">
        <f t="shared" si="164"/>
        <v>0</v>
      </c>
      <c r="S95" s="314">
        <f t="shared" ref="S95:T95" si="342">(S14*S44)/12/21/7.5</f>
        <v>0</v>
      </c>
      <c r="T95" s="315">
        <f t="shared" si="342"/>
        <v>0</v>
      </c>
      <c r="U95" s="316">
        <f t="shared" si="165"/>
        <v>0</v>
      </c>
      <c r="V95" s="314">
        <f t="shared" ref="V95:W95" si="343">(V14*V44)/12/21/7.5</f>
        <v>0</v>
      </c>
      <c r="W95" s="315">
        <f t="shared" si="343"/>
        <v>0</v>
      </c>
      <c r="X95" s="316">
        <f t="shared" si="166"/>
        <v>0</v>
      </c>
      <c r="Y95" s="314">
        <f t="shared" ref="Y95:Z95" si="344">(Y14*Y44)/12/21/7.5</f>
        <v>0</v>
      </c>
      <c r="Z95" s="315">
        <f t="shared" si="344"/>
        <v>0</v>
      </c>
      <c r="AA95" s="316">
        <f t="shared" si="167"/>
        <v>0</v>
      </c>
      <c r="AB95" s="314">
        <f t="shared" ref="AB95:AC95" si="345">(AB14*AB44)/12/21/7.5</f>
        <v>0</v>
      </c>
      <c r="AC95" s="315">
        <f t="shared" si="345"/>
        <v>0</v>
      </c>
      <c r="AD95" s="316">
        <f t="shared" si="168"/>
        <v>0</v>
      </c>
      <c r="AE95" s="314">
        <f t="shared" ref="AE95:AF95" si="346">(AE14*AE44)/12/21/7.5</f>
        <v>0</v>
      </c>
      <c r="AF95" s="315">
        <f t="shared" si="346"/>
        <v>0</v>
      </c>
      <c r="AG95" s="316">
        <f t="shared" si="169"/>
        <v>0</v>
      </c>
      <c r="AH95" s="314">
        <f t="shared" ref="AH95:AI95" si="347">(AH14*AH44)/12/21/7.5</f>
        <v>0</v>
      </c>
      <c r="AI95" s="315">
        <f t="shared" si="347"/>
        <v>0</v>
      </c>
      <c r="AJ95" s="316">
        <f t="shared" si="170"/>
        <v>0</v>
      </c>
      <c r="AK95" s="314">
        <f t="shared" ref="AK95:AL95" si="348">(AK14*AK44)/12/21/7.5</f>
        <v>0</v>
      </c>
      <c r="AL95" s="315">
        <f t="shared" si="348"/>
        <v>0</v>
      </c>
      <c r="AM95" s="316">
        <f t="shared" si="171"/>
        <v>0</v>
      </c>
      <c r="AN95" s="314">
        <f t="shared" ref="AN95:AO95" si="349">(AN14*AN44)/12/21/7.5</f>
        <v>0</v>
      </c>
      <c r="AO95" s="315">
        <f t="shared" si="349"/>
        <v>0</v>
      </c>
      <c r="AP95" s="316">
        <f t="shared" si="172"/>
        <v>0</v>
      </c>
      <c r="AQ95" s="314">
        <f t="shared" ref="AQ95:AR95" si="350">(AQ14*AQ44)/12/21/7.5</f>
        <v>0</v>
      </c>
      <c r="AR95" s="315">
        <f t="shared" si="350"/>
        <v>0</v>
      </c>
      <c r="AS95" s="316">
        <f t="shared" si="173"/>
        <v>0</v>
      </c>
      <c r="AT95" s="314">
        <f t="shared" ref="AT95:AU95" si="351">(AT14*AT44)/12/21/7.5</f>
        <v>0</v>
      </c>
      <c r="AU95" s="315">
        <f t="shared" si="351"/>
        <v>0</v>
      </c>
      <c r="AV95" s="316">
        <f t="shared" si="174"/>
        <v>0</v>
      </c>
      <c r="AW95" s="314">
        <f t="shared" ref="AW95:AX95" si="352">(AW14*AW44)/12/21/7.5</f>
        <v>0</v>
      </c>
      <c r="AX95" s="315">
        <f t="shared" si="352"/>
        <v>0</v>
      </c>
      <c r="AY95" s="316">
        <f t="shared" si="175"/>
        <v>0</v>
      </c>
      <c r="AZ95" s="314">
        <f t="shared" ref="AZ95:BA95" si="353">(AZ14*AZ44)/12/21/7.5</f>
        <v>0</v>
      </c>
      <c r="BA95" s="315">
        <f t="shared" si="353"/>
        <v>0</v>
      </c>
      <c r="BB95" s="316">
        <f t="shared" si="176"/>
        <v>0</v>
      </c>
      <c r="BC95" s="314">
        <f t="shared" ref="BC95:BD95" si="354">(BC14*BC44)/12/21/7.5</f>
        <v>0</v>
      </c>
      <c r="BD95" s="315">
        <f t="shared" si="354"/>
        <v>0</v>
      </c>
      <c r="BE95" s="316">
        <f t="shared" si="177"/>
        <v>0</v>
      </c>
      <c r="BF95" s="314">
        <f t="shared" ref="BF95:BG95" si="355">(BF14*BF44)/12/21/7.5</f>
        <v>0</v>
      </c>
      <c r="BG95" s="315">
        <f t="shared" si="355"/>
        <v>0</v>
      </c>
      <c r="BH95" s="316">
        <f t="shared" si="178"/>
        <v>0</v>
      </c>
      <c r="BI95" s="314">
        <f t="shared" si="200"/>
        <v>0</v>
      </c>
      <c r="BJ95" s="315">
        <f t="shared" si="200"/>
        <v>0</v>
      </c>
      <c r="BK95" s="316">
        <f t="shared" si="179"/>
        <v>0</v>
      </c>
      <c r="BL95" s="314">
        <f t="shared" si="201"/>
        <v>0</v>
      </c>
      <c r="BM95" s="315">
        <f t="shared" si="201"/>
        <v>0</v>
      </c>
      <c r="BN95" s="316">
        <f t="shared" si="180"/>
        <v>0</v>
      </c>
      <c r="BO95" s="314">
        <f t="shared" si="202"/>
        <v>0</v>
      </c>
      <c r="BP95" s="315">
        <f t="shared" si="202"/>
        <v>0</v>
      </c>
      <c r="BQ95" s="316">
        <f t="shared" si="181"/>
        <v>0</v>
      </c>
    </row>
    <row r="96" spans="1:69" ht="16" x14ac:dyDescent="0.2">
      <c r="A96" s="1346" t="s">
        <v>145</v>
      </c>
      <c r="B96" s="1348" t="s">
        <v>13</v>
      </c>
      <c r="C96" s="290" t="s">
        <v>25</v>
      </c>
      <c r="D96" s="291">
        <f t="shared" ref="D96:D111" si="356">SUM(G96,J96,M96,P96,S96,V96,Y96,AB96,AE96,AH96,AK96,AN96,AQ96,AT96,AW96,AZ96,AZ96,BC96,BF96,BI96,BL96,BO96)</f>
        <v>0</v>
      </c>
      <c r="E96" s="292">
        <f t="shared" si="159"/>
        <v>0</v>
      </c>
      <c r="F96" s="293">
        <f t="shared" si="160"/>
        <v>0</v>
      </c>
      <c r="G96" s="306">
        <v>0</v>
      </c>
      <c r="H96" s="307">
        <f>(G66+I66/2)*((G45-H45)*(1+$BR$45))*Faktory!$D$10</f>
        <v>0</v>
      </c>
      <c r="I96" s="257">
        <f>H96</f>
        <v>0</v>
      </c>
      <c r="J96" s="306">
        <v>0</v>
      </c>
      <c r="K96" s="307">
        <f>(J66+L66/2)*((J45-K45)*(1+$BR$45))*Faktory!$D$10</f>
        <v>0</v>
      </c>
      <c r="L96" s="257">
        <f>K96</f>
        <v>0</v>
      </c>
      <c r="M96" s="306">
        <v>0</v>
      </c>
      <c r="N96" s="307">
        <f>(M66+O66/2)*((M45-N45)*(1+$BR$45))*Faktory!$D$10</f>
        <v>0</v>
      </c>
      <c r="O96" s="257">
        <f>N96</f>
        <v>0</v>
      </c>
      <c r="P96" s="306">
        <v>0</v>
      </c>
      <c r="Q96" s="307">
        <f>(P66+R66/2)*((P45-Q45)*(1+$BR$45))*Faktory!$D$10</f>
        <v>0</v>
      </c>
      <c r="R96" s="257">
        <f>Q96</f>
        <v>0</v>
      </c>
      <c r="S96" s="306">
        <v>0</v>
      </c>
      <c r="T96" s="307">
        <f>(S66+U66/2)*((S45-T45)*(1+$BR$45))*Faktory!$D$10</f>
        <v>0</v>
      </c>
      <c r="U96" s="257">
        <f>T96</f>
        <v>0</v>
      </c>
      <c r="V96" s="306">
        <v>0</v>
      </c>
      <c r="W96" s="307">
        <f>(V66+X66/2)*((V45-W45)*(1+$BR$45))*Faktory!$D$10</f>
        <v>0</v>
      </c>
      <c r="X96" s="257">
        <f>W96</f>
        <v>0</v>
      </c>
      <c r="Y96" s="306">
        <v>0</v>
      </c>
      <c r="Z96" s="307">
        <f>(Y66+AA66/2)*((Y45-Z45)*(1+$BR$45))*Faktory!$D$10</f>
        <v>0</v>
      </c>
      <c r="AA96" s="257">
        <f>Z96</f>
        <v>0</v>
      </c>
      <c r="AB96" s="306">
        <v>0</v>
      </c>
      <c r="AC96" s="307">
        <f>(AB66+AD66/2)*((AB45-AC45)*(1+$BR$45))*Faktory!$D$10</f>
        <v>0</v>
      </c>
      <c r="AD96" s="257">
        <f>AC96</f>
        <v>0</v>
      </c>
      <c r="AE96" s="306">
        <v>0</v>
      </c>
      <c r="AF96" s="307">
        <f>(AE66+AG66/2)*((AE45-AF45)*(1+$BR$45))*Faktory!$D$10</f>
        <v>0</v>
      </c>
      <c r="AG96" s="257">
        <f>AF96</f>
        <v>0</v>
      </c>
      <c r="AH96" s="306">
        <v>0</v>
      </c>
      <c r="AI96" s="307">
        <f>(AH66+AJ66/2)*((AH45-AI45)*(1+$BR$45))*Faktory!$D$10</f>
        <v>0</v>
      </c>
      <c r="AJ96" s="257">
        <f>AI96</f>
        <v>0</v>
      </c>
      <c r="AK96" s="306">
        <v>0</v>
      </c>
      <c r="AL96" s="307">
        <f>(AK66+AM66/2)*((AK45-AL45)*(1+$BR$45))*Faktory!$D$10</f>
        <v>0</v>
      </c>
      <c r="AM96" s="257">
        <f>AL96</f>
        <v>0</v>
      </c>
      <c r="AN96" s="306">
        <v>0</v>
      </c>
      <c r="AO96" s="307">
        <f>(AN66+AP66/2)*((AN45-AO45)*(1+$BR$45))*Faktory!$D$10</f>
        <v>0</v>
      </c>
      <c r="AP96" s="257">
        <f>AO96</f>
        <v>0</v>
      </c>
      <c r="AQ96" s="306">
        <v>0</v>
      </c>
      <c r="AR96" s="307">
        <f>(AQ66+AS66/2)*((AQ45-AR45)*(1+$BR$45))*Faktory!$D$10</f>
        <v>0</v>
      </c>
      <c r="AS96" s="257">
        <f>AR96</f>
        <v>0</v>
      </c>
      <c r="AT96" s="306">
        <v>0</v>
      </c>
      <c r="AU96" s="307">
        <f>(AT66+AV66/2)*((AT45-AU45)*(1+$BR$45))*Faktory!$D$10</f>
        <v>0</v>
      </c>
      <c r="AV96" s="257">
        <f>AU96</f>
        <v>0</v>
      </c>
      <c r="AW96" s="306">
        <v>0</v>
      </c>
      <c r="AX96" s="307">
        <f>(AW66+AY66/2)*((AW45-AX45)*(1+$BR$45))*Faktory!$D$10</f>
        <v>0</v>
      </c>
      <c r="AY96" s="257">
        <f>AX96</f>
        <v>0</v>
      </c>
      <c r="AZ96" s="306">
        <v>0</v>
      </c>
      <c r="BA96" s="307">
        <f>(AZ66+BB66/2)*((AZ45-BA45)*(1+$BR$45))*Faktory!$D$10</f>
        <v>0</v>
      </c>
      <c r="BB96" s="257">
        <f>BA96</f>
        <v>0</v>
      </c>
      <c r="BC96" s="306">
        <v>0</v>
      </c>
      <c r="BD96" s="307">
        <f>(BC66+BE66/2)*((BC45-BD45)*(1+$BR$45))*Faktory!$D$10</f>
        <v>0</v>
      </c>
      <c r="BE96" s="257">
        <f>BD96</f>
        <v>0</v>
      </c>
      <c r="BF96" s="306">
        <v>0</v>
      </c>
      <c r="BG96" s="307">
        <f>(BF66+BH66/2)*((BF45-BG45)*(1+$BR$45))*Faktory!$D$10</f>
        <v>0</v>
      </c>
      <c r="BH96" s="257">
        <f>BG96</f>
        <v>0</v>
      </c>
      <c r="BI96" s="306">
        <v>0</v>
      </c>
      <c r="BJ96" s="307">
        <f>(BI66+BK66/2)*((BI45-BJ45)*(1+$BR$45))*Faktory!$D$10</f>
        <v>0</v>
      </c>
      <c r="BK96" s="257">
        <f>BJ96</f>
        <v>0</v>
      </c>
      <c r="BL96" s="306">
        <v>0</v>
      </c>
      <c r="BM96" s="307">
        <f>(BL66+BN66/2)*((BL45-BM45)*(1+$BR$45))*Faktory!$D$10</f>
        <v>0</v>
      </c>
      <c r="BN96" s="257">
        <f>BM96</f>
        <v>0</v>
      </c>
      <c r="BO96" s="306">
        <v>0</v>
      </c>
      <c r="BP96" s="307">
        <f>(BO66+BQ66/2)*((BO45-BP45)*(1+$BR$45))*Faktory!$D$10</f>
        <v>0</v>
      </c>
      <c r="BQ96" s="257">
        <f>BP96</f>
        <v>0</v>
      </c>
    </row>
    <row r="97" spans="1:69" ht="16" x14ac:dyDescent="0.2">
      <c r="A97" s="1346"/>
      <c r="B97" s="1348"/>
      <c r="C97" s="290" t="s">
        <v>26</v>
      </c>
      <c r="D97" s="291">
        <f t="shared" si="356"/>
        <v>0</v>
      </c>
      <c r="E97" s="292">
        <f t="shared" si="159"/>
        <v>0</v>
      </c>
      <c r="F97" s="293">
        <f t="shared" si="160"/>
        <v>0</v>
      </c>
      <c r="G97" s="298">
        <v>0</v>
      </c>
      <c r="H97" s="299">
        <f>(G67+I67/2)*((G46-H46)*(1+$BR$45))*Faktory!$D$10</f>
        <v>0</v>
      </c>
      <c r="I97" s="262">
        <f t="shared" ref="I97:I105" si="357">H97</f>
        <v>0</v>
      </c>
      <c r="J97" s="298">
        <v>0</v>
      </c>
      <c r="K97" s="299">
        <f>(J67+L67/2)*((J46-K46)*(1+$BR$45))*Faktory!$D$10</f>
        <v>0</v>
      </c>
      <c r="L97" s="262">
        <f t="shared" ref="L97:L105" si="358">K97</f>
        <v>0</v>
      </c>
      <c r="M97" s="298">
        <v>0</v>
      </c>
      <c r="N97" s="299">
        <f>(M67+O67/2)*((M46-N46)*(1+$BR$45))*Faktory!$D$10</f>
        <v>0</v>
      </c>
      <c r="O97" s="262">
        <f t="shared" ref="O97:O105" si="359">N97</f>
        <v>0</v>
      </c>
      <c r="P97" s="298">
        <v>0</v>
      </c>
      <c r="Q97" s="299">
        <f>(P67+R67/2)*((P46-Q46)*(1+$BR$45))*Faktory!$D$10</f>
        <v>0</v>
      </c>
      <c r="R97" s="262">
        <f t="shared" ref="R97:R105" si="360">Q97</f>
        <v>0</v>
      </c>
      <c r="S97" s="298">
        <v>0</v>
      </c>
      <c r="T97" s="299">
        <f>(S67+U67/2)*((S46-T46)*(1+$BR$45))*Faktory!$D$10</f>
        <v>0</v>
      </c>
      <c r="U97" s="262">
        <f t="shared" ref="U97:U105" si="361">T97</f>
        <v>0</v>
      </c>
      <c r="V97" s="298">
        <v>0</v>
      </c>
      <c r="W97" s="299">
        <f>(V67+X67/2)*((V46-W46)*(1+$BR$45))*Faktory!$D$10</f>
        <v>0</v>
      </c>
      <c r="X97" s="262">
        <f t="shared" ref="X97:X105" si="362">W97</f>
        <v>0</v>
      </c>
      <c r="Y97" s="298">
        <v>0</v>
      </c>
      <c r="Z97" s="299">
        <f>(Y67+AA67/2)*((Y46-Z46)*(1+$BR$45))*Faktory!$D$10</f>
        <v>0</v>
      </c>
      <c r="AA97" s="262">
        <f t="shared" ref="AA97:AA105" si="363">Z97</f>
        <v>0</v>
      </c>
      <c r="AB97" s="298">
        <v>0</v>
      </c>
      <c r="AC97" s="299">
        <f>(AB67+AD67/2)*((AB46-AC46)*(1+$BR$45))*Faktory!$D$10</f>
        <v>0</v>
      </c>
      <c r="AD97" s="262">
        <f t="shared" ref="AD97:AD105" si="364">AC97</f>
        <v>0</v>
      </c>
      <c r="AE97" s="298">
        <v>0</v>
      </c>
      <c r="AF97" s="299">
        <f>(AE67+AG67/2)*((AE46-AF46)*(1+$BR$45))*Faktory!$D$10</f>
        <v>0</v>
      </c>
      <c r="AG97" s="262">
        <f t="shared" ref="AG97:AG105" si="365">AF97</f>
        <v>0</v>
      </c>
      <c r="AH97" s="298">
        <v>0</v>
      </c>
      <c r="AI97" s="299">
        <f>(AH67+AJ67/2)*((AH46-AI46)*(1+$BR$45))*Faktory!$D$10</f>
        <v>0</v>
      </c>
      <c r="AJ97" s="262">
        <f t="shared" ref="AJ97:AJ105" si="366">AI97</f>
        <v>0</v>
      </c>
      <c r="AK97" s="298">
        <v>0</v>
      </c>
      <c r="AL97" s="299">
        <f>(AK67+AM67/2)*((AK46-AL46)*(1+$BR$45))*Faktory!$D$10</f>
        <v>0</v>
      </c>
      <c r="AM97" s="262">
        <f t="shared" ref="AM97:AM105" si="367">AL97</f>
        <v>0</v>
      </c>
      <c r="AN97" s="298">
        <v>0</v>
      </c>
      <c r="AO97" s="299">
        <f>(AN67+AP67/2)*((AN46-AO46)*(1+$BR$45))*Faktory!$D$10</f>
        <v>0</v>
      </c>
      <c r="AP97" s="262">
        <f t="shared" ref="AP97:AP105" si="368">AO97</f>
        <v>0</v>
      </c>
      <c r="AQ97" s="298">
        <v>0</v>
      </c>
      <c r="AR97" s="299">
        <f>(AQ67+AS67/2)*((AQ46-AR46)*(1+$BR$45))*Faktory!$D$10</f>
        <v>0</v>
      </c>
      <c r="AS97" s="262">
        <f t="shared" ref="AS97:AS105" si="369">AR97</f>
        <v>0</v>
      </c>
      <c r="AT97" s="298">
        <v>0</v>
      </c>
      <c r="AU97" s="299">
        <f>(AT67+AV67/2)*((AT46-AU46)*(1+$BR$45))*Faktory!$D$10</f>
        <v>0</v>
      </c>
      <c r="AV97" s="262">
        <f t="shared" ref="AV97:AV105" si="370">AU97</f>
        <v>0</v>
      </c>
      <c r="AW97" s="298">
        <v>0</v>
      </c>
      <c r="AX97" s="299">
        <f>(AW67+AY67/2)*((AW46-AX46)*(1+$BR$45))*Faktory!$D$10</f>
        <v>0</v>
      </c>
      <c r="AY97" s="262">
        <f t="shared" ref="AY97:AY105" si="371">AX97</f>
        <v>0</v>
      </c>
      <c r="AZ97" s="298">
        <v>0</v>
      </c>
      <c r="BA97" s="299">
        <f>(AZ67+BB67/2)*((AZ46-BA46)*(1+$BR$45))*Faktory!$D$10</f>
        <v>0</v>
      </c>
      <c r="BB97" s="262">
        <f t="shared" ref="BB97:BB105" si="372">BA97</f>
        <v>0</v>
      </c>
      <c r="BC97" s="298">
        <v>0</v>
      </c>
      <c r="BD97" s="299">
        <f>(BC67+BE67/2)*((BC46-BD46)*(1+$BR$45))*Faktory!$D$10</f>
        <v>0</v>
      </c>
      <c r="BE97" s="262">
        <f t="shared" ref="BE97:BE105" si="373">BD97</f>
        <v>0</v>
      </c>
      <c r="BF97" s="298">
        <v>0</v>
      </c>
      <c r="BG97" s="299">
        <f>(BF67+BH67/2)*((BF46-BG46)*(1+$BR$45))*Faktory!$D$10</f>
        <v>0</v>
      </c>
      <c r="BH97" s="262">
        <f t="shared" ref="BH97:BH105" si="374">BG97</f>
        <v>0</v>
      </c>
      <c r="BI97" s="298">
        <v>0</v>
      </c>
      <c r="BJ97" s="299">
        <f>(BI67+BK67/2)*((BI46-BJ46)*(1+$BR$45))*Faktory!$D$10</f>
        <v>0</v>
      </c>
      <c r="BK97" s="262">
        <f t="shared" ref="BK97:BK105" si="375">BJ97</f>
        <v>0</v>
      </c>
      <c r="BL97" s="298">
        <v>0</v>
      </c>
      <c r="BM97" s="299">
        <f>(BL67+BN67/2)*((BL46-BM46)*(1+$BR$45))*Faktory!$D$10</f>
        <v>0</v>
      </c>
      <c r="BN97" s="262">
        <f t="shared" ref="BN97:BN105" si="376">BM97</f>
        <v>0</v>
      </c>
      <c r="BO97" s="298">
        <v>0</v>
      </c>
      <c r="BP97" s="299">
        <f>(BO67+BQ67/2)*((BO46-BP46)*(1+$BR$45))*Faktory!$D$10</f>
        <v>0</v>
      </c>
      <c r="BQ97" s="262">
        <f t="shared" ref="BQ97:BQ105" si="377">BP97</f>
        <v>0</v>
      </c>
    </row>
    <row r="98" spans="1:69" ht="16" x14ac:dyDescent="0.2">
      <c r="A98" s="1346"/>
      <c r="B98" s="1348"/>
      <c r="C98" s="290" t="s">
        <v>27</v>
      </c>
      <c r="D98" s="291">
        <f t="shared" si="356"/>
        <v>0</v>
      </c>
      <c r="E98" s="292">
        <f t="shared" si="159"/>
        <v>0</v>
      </c>
      <c r="F98" s="293">
        <f t="shared" si="160"/>
        <v>0</v>
      </c>
      <c r="G98" s="298">
        <v>0</v>
      </c>
      <c r="H98" s="299">
        <f>(G68+I68/2)*((G47-H47)*(1+$BR$45))*Faktory!$D$10</f>
        <v>0</v>
      </c>
      <c r="I98" s="262">
        <f t="shared" si="357"/>
        <v>0</v>
      </c>
      <c r="J98" s="298">
        <v>0</v>
      </c>
      <c r="K98" s="299">
        <f>(J68+L68/2)*((J47-K47)*(1+$BR$45))*Faktory!$D$10</f>
        <v>0</v>
      </c>
      <c r="L98" s="262">
        <f t="shared" si="358"/>
        <v>0</v>
      </c>
      <c r="M98" s="298">
        <v>0</v>
      </c>
      <c r="N98" s="299">
        <f>(M68+O68/2)*((M47-N47)*(1+$BR$45))*Faktory!$D$10</f>
        <v>0</v>
      </c>
      <c r="O98" s="262">
        <f t="shared" si="359"/>
        <v>0</v>
      </c>
      <c r="P98" s="298">
        <v>0</v>
      </c>
      <c r="Q98" s="299">
        <f>(P68+R68/2)*((P47-Q47)*(1+$BR$45))*Faktory!$D$10</f>
        <v>0</v>
      </c>
      <c r="R98" s="262">
        <f t="shared" si="360"/>
        <v>0</v>
      </c>
      <c r="S98" s="298">
        <v>0</v>
      </c>
      <c r="T98" s="299">
        <f>(S68+U68/2)*((S47-T47)*(1+$BR$45))*Faktory!$D$10</f>
        <v>0</v>
      </c>
      <c r="U98" s="262">
        <f t="shared" si="361"/>
        <v>0</v>
      </c>
      <c r="V98" s="298">
        <v>0</v>
      </c>
      <c r="W98" s="299">
        <f>(V68+X68/2)*((V47-W47)*(1+$BR$45))*Faktory!$D$10</f>
        <v>0</v>
      </c>
      <c r="X98" s="262">
        <f t="shared" si="362"/>
        <v>0</v>
      </c>
      <c r="Y98" s="298">
        <v>0</v>
      </c>
      <c r="Z98" s="299">
        <f>(Y68+AA68/2)*((Y47-Z47)*(1+$BR$45))*Faktory!$D$10</f>
        <v>0</v>
      </c>
      <c r="AA98" s="262">
        <f t="shared" si="363"/>
        <v>0</v>
      </c>
      <c r="AB98" s="298">
        <v>0</v>
      </c>
      <c r="AC98" s="299">
        <f>(AB68+AD68/2)*((AB47-AC47)*(1+$BR$45))*Faktory!$D$10</f>
        <v>0</v>
      </c>
      <c r="AD98" s="262">
        <f t="shared" si="364"/>
        <v>0</v>
      </c>
      <c r="AE98" s="298">
        <v>0</v>
      </c>
      <c r="AF98" s="299">
        <f>(AE68+AG68/2)*((AE47-AF47)*(1+$BR$45))*Faktory!$D$10</f>
        <v>0</v>
      </c>
      <c r="AG98" s="262">
        <f t="shared" si="365"/>
        <v>0</v>
      </c>
      <c r="AH98" s="298">
        <v>0</v>
      </c>
      <c r="AI98" s="299">
        <f>(AH68+AJ68/2)*((AH47-AI47)*(1+$BR$45))*Faktory!$D$10</f>
        <v>0</v>
      </c>
      <c r="AJ98" s="262">
        <f t="shared" si="366"/>
        <v>0</v>
      </c>
      <c r="AK98" s="298">
        <v>0</v>
      </c>
      <c r="AL98" s="299">
        <f>(AK68+AM68/2)*((AK47-AL47)*(1+$BR$45))*Faktory!$D$10</f>
        <v>0</v>
      </c>
      <c r="AM98" s="262">
        <f t="shared" si="367"/>
        <v>0</v>
      </c>
      <c r="AN98" s="298">
        <v>0</v>
      </c>
      <c r="AO98" s="299">
        <f>(AN68+AP68/2)*((AN47-AO47)*(1+$BR$45))*Faktory!$D$10</f>
        <v>0</v>
      </c>
      <c r="AP98" s="262">
        <f t="shared" si="368"/>
        <v>0</v>
      </c>
      <c r="AQ98" s="298">
        <v>0</v>
      </c>
      <c r="AR98" s="299">
        <f>(AQ68+AS68/2)*((AQ47-AR47)*(1+$BR$45))*Faktory!$D$10</f>
        <v>0</v>
      </c>
      <c r="AS98" s="262">
        <f t="shared" si="369"/>
        <v>0</v>
      </c>
      <c r="AT98" s="298">
        <v>0</v>
      </c>
      <c r="AU98" s="299">
        <f>(AT68+AV68/2)*((AT47-AU47)*(1+$BR$45))*Faktory!$D$10</f>
        <v>0</v>
      </c>
      <c r="AV98" s="262">
        <f t="shared" si="370"/>
        <v>0</v>
      </c>
      <c r="AW98" s="298">
        <v>0</v>
      </c>
      <c r="AX98" s="299">
        <f>(AW68+AY68/2)*((AW47-AX47)*(1+$BR$45))*Faktory!$D$10</f>
        <v>0</v>
      </c>
      <c r="AY98" s="262">
        <f t="shared" si="371"/>
        <v>0</v>
      </c>
      <c r="AZ98" s="298">
        <v>0</v>
      </c>
      <c r="BA98" s="299">
        <f>(AZ68+BB68/2)*((AZ47-BA47)*(1+$BR$45))*Faktory!$D$10</f>
        <v>0</v>
      </c>
      <c r="BB98" s="262">
        <f t="shared" si="372"/>
        <v>0</v>
      </c>
      <c r="BC98" s="298">
        <v>0</v>
      </c>
      <c r="BD98" s="299">
        <f>(BC68+BE68/2)*((BC47-BD47)*(1+$BR$45))*Faktory!$D$10</f>
        <v>0</v>
      </c>
      <c r="BE98" s="262">
        <f t="shared" si="373"/>
        <v>0</v>
      </c>
      <c r="BF98" s="298">
        <v>0</v>
      </c>
      <c r="BG98" s="299">
        <f>(BF68+BH68/2)*((BF47-BG47)*(1+$BR$45))*Faktory!$D$10</f>
        <v>0</v>
      </c>
      <c r="BH98" s="262">
        <f t="shared" si="374"/>
        <v>0</v>
      </c>
      <c r="BI98" s="298">
        <v>0</v>
      </c>
      <c r="BJ98" s="299">
        <f>(BI68+BK68/2)*((BI47-BJ47)*(1+$BR$45))*Faktory!$D$10</f>
        <v>0</v>
      </c>
      <c r="BK98" s="262">
        <f t="shared" si="375"/>
        <v>0</v>
      </c>
      <c r="BL98" s="298">
        <v>0</v>
      </c>
      <c r="BM98" s="299">
        <f>(BL68+BN68/2)*((BL47-BM47)*(1+$BR$45))*Faktory!$D$10</f>
        <v>0</v>
      </c>
      <c r="BN98" s="262">
        <f t="shared" si="376"/>
        <v>0</v>
      </c>
      <c r="BO98" s="298">
        <v>0</v>
      </c>
      <c r="BP98" s="299">
        <f>(BO68+BQ68/2)*((BO47-BP47)*(1+$BR$45))*Faktory!$D$10</f>
        <v>0</v>
      </c>
      <c r="BQ98" s="262">
        <f t="shared" si="377"/>
        <v>0</v>
      </c>
    </row>
    <row r="99" spans="1:69" ht="16" x14ac:dyDescent="0.2">
      <c r="A99" s="1346"/>
      <c r="B99" s="1348"/>
      <c r="C99" s="290" t="s">
        <v>28</v>
      </c>
      <c r="D99" s="291">
        <f t="shared" si="356"/>
        <v>0</v>
      </c>
      <c r="E99" s="292">
        <f t="shared" si="159"/>
        <v>0</v>
      </c>
      <c r="F99" s="293">
        <f t="shared" si="160"/>
        <v>0</v>
      </c>
      <c r="G99" s="298">
        <v>0</v>
      </c>
      <c r="H99" s="299">
        <f>(G69+I69/2)*((G48-H48)*(1+$BR$45))*Faktory!$D$10</f>
        <v>0</v>
      </c>
      <c r="I99" s="262">
        <f t="shared" si="357"/>
        <v>0</v>
      </c>
      <c r="J99" s="298">
        <v>0</v>
      </c>
      <c r="K99" s="299">
        <f>(J69+L69/2)*((J48-K48)*(1+$BR$45))*Faktory!$D$10</f>
        <v>0</v>
      </c>
      <c r="L99" s="262">
        <f t="shared" si="358"/>
        <v>0</v>
      </c>
      <c r="M99" s="298">
        <v>0</v>
      </c>
      <c r="N99" s="299">
        <f>(M69+O69/2)*((M48-N48)*(1+$BR$45))*Faktory!$D$10</f>
        <v>0</v>
      </c>
      <c r="O99" s="262">
        <f t="shared" si="359"/>
        <v>0</v>
      </c>
      <c r="P99" s="298">
        <v>0</v>
      </c>
      <c r="Q99" s="299">
        <f>(P69+R69/2)*((P48-Q48)*(1+$BR$45))*Faktory!$D$10</f>
        <v>0</v>
      </c>
      <c r="R99" s="262">
        <f t="shared" si="360"/>
        <v>0</v>
      </c>
      <c r="S99" s="298">
        <v>0</v>
      </c>
      <c r="T99" s="299">
        <f>(S69+U69/2)*((S48-T48)*(1+$BR$45))*Faktory!$D$10</f>
        <v>0</v>
      </c>
      <c r="U99" s="262">
        <f t="shared" si="361"/>
        <v>0</v>
      </c>
      <c r="V99" s="298">
        <v>0</v>
      </c>
      <c r="W99" s="299">
        <f>(V69+X69/2)*((V48-W48)*(1+$BR$45))*Faktory!$D$10</f>
        <v>0</v>
      </c>
      <c r="X99" s="262">
        <f t="shared" si="362"/>
        <v>0</v>
      </c>
      <c r="Y99" s="298">
        <v>0</v>
      </c>
      <c r="Z99" s="299">
        <f>(Y69+AA69/2)*((Y48-Z48)*(1+$BR$45))*Faktory!$D$10</f>
        <v>0</v>
      </c>
      <c r="AA99" s="262">
        <f t="shared" si="363"/>
        <v>0</v>
      </c>
      <c r="AB99" s="298">
        <v>0</v>
      </c>
      <c r="AC99" s="299">
        <f>(AB69+AD69/2)*((AB48-AC48)*(1+$BR$45))*Faktory!$D$10</f>
        <v>0</v>
      </c>
      <c r="AD99" s="262">
        <f t="shared" si="364"/>
        <v>0</v>
      </c>
      <c r="AE99" s="298">
        <v>0</v>
      </c>
      <c r="AF99" s="299">
        <f>(AE69+AG69/2)*((AE48-AF48)*(1+$BR$45))*Faktory!$D$10</f>
        <v>0</v>
      </c>
      <c r="AG99" s="262">
        <f t="shared" si="365"/>
        <v>0</v>
      </c>
      <c r="AH99" s="298">
        <v>0</v>
      </c>
      <c r="AI99" s="299">
        <f>(AH69+AJ69/2)*((AH48-AI48)*(1+$BR$45))*Faktory!$D$10</f>
        <v>0</v>
      </c>
      <c r="AJ99" s="262">
        <f t="shared" si="366"/>
        <v>0</v>
      </c>
      <c r="AK99" s="298">
        <v>0</v>
      </c>
      <c r="AL99" s="299">
        <f>(AK69+AM69/2)*((AK48-AL48)*(1+$BR$45))*Faktory!$D$10</f>
        <v>0</v>
      </c>
      <c r="AM99" s="262">
        <f t="shared" si="367"/>
        <v>0</v>
      </c>
      <c r="AN99" s="298">
        <v>0</v>
      </c>
      <c r="AO99" s="299">
        <f>(AN69+AP69/2)*((AN48-AO48)*(1+$BR$45))*Faktory!$D$10</f>
        <v>0</v>
      </c>
      <c r="AP99" s="262">
        <f t="shared" si="368"/>
        <v>0</v>
      </c>
      <c r="AQ99" s="298">
        <v>0</v>
      </c>
      <c r="AR99" s="299">
        <f>(AQ69+AS69/2)*((AQ48-AR48)*(1+$BR$45))*Faktory!$D$10</f>
        <v>0</v>
      </c>
      <c r="AS99" s="262">
        <f t="shared" si="369"/>
        <v>0</v>
      </c>
      <c r="AT99" s="298">
        <v>0</v>
      </c>
      <c r="AU99" s="299">
        <f>(AT69+AV69/2)*((AT48-AU48)*(1+$BR$45))*Faktory!$D$10</f>
        <v>0</v>
      </c>
      <c r="AV99" s="262">
        <f t="shared" si="370"/>
        <v>0</v>
      </c>
      <c r="AW99" s="298">
        <v>0</v>
      </c>
      <c r="AX99" s="299">
        <f>(AW69+AY69/2)*((AW48-AX48)*(1+$BR$45))*Faktory!$D$10</f>
        <v>0</v>
      </c>
      <c r="AY99" s="262">
        <f t="shared" si="371"/>
        <v>0</v>
      </c>
      <c r="AZ99" s="298">
        <v>0</v>
      </c>
      <c r="BA99" s="299">
        <f>(AZ69+BB69/2)*((AZ48-BA48)*(1+$BR$45))*Faktory!$D$10</f>
        <v>0</v>
      </c>
      <c r="BB99" s="262">
        <f t="shared" si="372"/>
        <v>0</v>
      </c>
      <c r="BC99" s="298">
        <v>0</v>
      </c>
      <c r="BD99" s="299">
        <f>(BC69+BE69/2)*((BC48-BD48)*(1+$BR$45))*Faktory!$D$10</f>
        <v>0</v>
      </c>
      <c r="BE99" s="262">
        <f t="shared" si="373"/>
        <v>0</v>
      </c>
      <c r="BF99" s="298">
        <v>0</v>
      </c>
      <c r="BG99" s="299">
        <f>(BF69+BH69/2)*((BF48-BG48)*(1+$BR$45))*Faktory!$D$10</f>
        <v>0</v>
      </c>
      <c r="BH99" s="262">
        <f t="shared" si="374"/>
        <v>0</v>
      </c>
      <c r="BI99" s="298">
        <v>0</v>
      </c>
      <c r="BJ99" s="299">
        <f>(BI69+BK69/2)*((BI48-BJ48)*(1+$BR$45))*Faktory!$D$10</f>
        <v>0</v>
      </c>
      <c r="BK99" s="262">
        <f t="shared" si="375"/>
        <v>0</v>
      </c>
      <c r="BL99" s="298">
        <v>0</v>
      </c>
      <c r="BM99" s="299">
        <f>(BL69+BN69/2)*((BL48-BM48)*(1+$BR$45))*Faktory!$D$10</f>
        <v>0</v>
      </c>
      <c r="BN99" s="262">
        <f t="shared" si="376"/>
        <v>0</v>
      </c>
      <c r="BO99" s="298">
        <v>0</v>
      </c>
      <c r="BP99" s="299">
        <f>(BO69+BQ69/2)*((BO48-BP48)*(1+$BR$45))*Faktory!$D$10</f>
        <v>0</v>
      </c>
      <c r="BQ99" s="262">
        <f t="shared" si="377"/>
        <v>0</v>
      </c>
    </row>
    <row r="100" spans="1:69" ht="16" x14ac:dyDescent="0.2">
      <c r="A100" s="1346"/>
      <c r="B100" s="1348"/>
      <c r="C100" s="290" t="s">
        <v>29</v>
      </c>
      <c r="D100" s="291">
        <f t="shared" si="356"/>
        <v>0</v>
      </c>
      <c r="E100" s="292">
        <f t="shared" si="159"/>
        <v>0</v>
      </c>
      <c r="F100" s="293">
        <f t="shared" si="160"/>
        <v>0</v>
      </c>
      <c r="G100" s="298">
        <v>0</v>
      </c>
      <c r="H100" s="299">
        <f>(G70+I70/2)*((G49-H49)*(1+$BR$45))*Faktory!$D$10</f>
        <v>0</v>
      </c>
      <c r="I100" s="262">
        <f t="shared" si="357"/>
        <v>0</v>
      </c>
      <c r="J100" s="298">
        <v>0</v>
      </c>
      <c r="K100" s="299">
        <f>(J70+L70/2)*((J49-K49)*(1+$BR$45))*Faktory!$D$10</f>
        <v>0</v>
      </c>
      <c r="L100" s="262">
        <f t="shared" si="358"/>
        <v>0</v>
      </c>
      <c r="M100" s="298">
        <v>0</v>
      </c>
      <c r="N100" s="299">
        <f>(M70+O70/2)*((M49-N49)*(1+$BR$45))*Faktory!$D$10</f>
        <v>0</v>
      </c>
      <c r="O100" s="262">
        <f t="shared" si="359"/>
        <v>0</v>
      </c>
      <c r="P100" s="298">
        <v>0</v>
      </c>
      <c r="Q100" s="299">
        <f>(P70+R70/2)*((P49-Q49)*(1+$BR$45))*Faktory!$D$10</f>
        <v>0</v>
      </c>
      <c r="R100" s="262">
        <f t="shared" si="360"/>
        <v>0</v>
      </c>
      <c r="S100" s="298">
        <v>0</v>
      </c>
      <c r="T100" s="299">
        <f>(S70+U70/2)*((S49-T49)*(1+$BR$45))*Faktory!$D$10</f>
        <v>0</v>
      </c>
      <c r="U100" s="262">
        <f t="shared" si="361"/>
        <v>0</v>
      </c>
      <c r="V100" s="298">
        <v>0</v>
      </c>
      <c r="W100" s="299">
        <f>(V70+X70/2)*((V49-W49)*(1+$BR$45))*Faktory!$D$10</f>
        <v>0</v>
      </c>
      <c r="X100" s="262">
        <f t="shared" si="362"/>
        <v>0</v>
      </c>
      <c r="Y100" s="298">
        <v>0</v>
      </c>
      <c r="Z100" s="299">
        <f>(Y70+AA70/2)*((Y49-Z49)*(1+$BR$45))*Faktory!$D$10</f>
        <v>0</v>
      </c>
      <c r="AA100" s="262">
        <f t="shared" si="363"/>
        <v>0</v>
      </c>
      <c r="AB100" s="298">
        <v>0</v>
      </c>
      <c r="AC100" s="299">
        <f>(AB70+AD70/2)*((AB49-AC49)*(1+$BR$45))*Faktory!$D$10</f>
        <v>0</v>
      </c>
      <c r="AD100" s="262">
        <f t="shared" si="364"/>
        <v>0</v>
      </c>
      <c r="AE100" s="298">
        <v>0</v>
      </c>
      <c r="AF100" s="299">
        <f>(AE70+AG70/2)*((AE49-AF49)*(1+$BR$45))*Faktory!$D$10</f>
        <v>0</v>
      </c>
      <c r="AG100" s="262">
        <f t="shared" si="365"/>
        <v>0</v>
      </c>
      <c r="AH100" s="298">
        <v>0</v>
      </c>
      <c r="AI100" s="299">
        <f>(AH70+AJ70/2)*((AH49-AI49)*(1+$BR$45))*Faktory!$D$10</f>
        <v>0</v>
      </c>
      <c r="AJ100" s="262">
        <f t="shared" si="366"/>
        <v>0</v>
      </c>
      <c r="AK100" s="298">
        <v>0</v>
      </c>
      <c r="AL100" s="299">
        <f>(AK70+AM70/2)*((AK49-AL49)*(1+$BR$45))*Faktory!$D$10</f>
        <v>0</v>
      </c>
      <c r="AM100" s="262">
        <f t="shared" si="367"/>
        <v>0</v>
      </c>
      <c r="AN100" s="298">
        <v>0</v>
      </c>
      <c r="AO100" s="299">
        <f>(AN70+AP70/2)*((AN49-AO49)*(1+$BR$45))*Faktory!$D$10</f>
        <v>0</v>
      </c>
      <c r="AP100" s="262">
        <f t="shared" si="368"/>
        <v>0</v>
      </c>
      <c r="AQ100" s="298">
        <v>0</v>
      </c>
      <c r="AR100" s="299">
        <f>(AQ70+AS70/2)*((AQ49-AR49)*(1+$BR$45))*Faktory!$D$10</f>
        <v>0</v>
      </c>
      <c r="AS100" s="262">
        <f t="shared" si="369"/>
        <v>0</v>
      </c>
      <c r="AT100" s="298">
        <v>0</v>
      </c>
      <c r="AU100" s="299">
        <f>(AT70+AV70/2)*((AT49-AU49)*(1+$BR$45))*Faktory!$D$10</f>
        <v>0</v>
      </c>
      <c r="AV100" s="262">
        <f t="shared" si="370"/>
        <v>0</v>
      </c>
      <c r="AW100" s="298">
        <v>0</v>
      </c>
      <c r="AX100" s="299">
        <f>(AW70+AY70/2)*((AW49-AX49)*(1+$BR$45))*Faktory!$D$10</f>
        <v>0</v>
      </c>
      <c r="AY100" s="262">
        <f t="shared" si="371"/>
        <v>0</v>
      </c>
      <c r="AZ100" s="298">
        <v>0</v>
      </c>
      <c r="BA100" s="299">
        <f>(AZ70+BB70/2)*((AZ49-BA49)*(1+$BR$45))*Faktory!$D$10</f>
        <v>0</v>
      </c>
      <c r="BB100" s="262">
        <f t="shared" si="372"/>
        <v>0</v>
      </c>
      <c r="BC100" s="298">
        <v>0</v>
      </c>
      <c r="BD100" s="299">
        <f>(BC70+BE70/2)*((BC49-BD49)*(1+$BR$45))*Faktory!$D$10</f>
        <v>0</v>
      </c>
      <c r="BE100" s="262">
        <f t="shared" si="373"/>
        <v>0</v>
      </c>
      <c r="BF100" s="298">
        <v>0</v>
      </c>
      <c r="BG100" s="299">
        <f>(BF70+BH70/2)*((BF49-BG49)*(1+$BR$45))*Faktory!$D$10</f>
        <v>0</v>
      </c>
      <c r="BH100" s="262">
        <f t="shared" si="374"/>
        <v>0</v>
      </c>
      <c r="BI100" s="298">
        <v>0</v>
      </c>
      <c r="BJ100" s="299">
        <f>(BI70+BK70/2)*((BI49-BJ49)*(1+$BR$45))*Faktory!$D$10</f>
        <v>0</v>
      </c>
      <c r="BK100" s="262">
        <f t="shared" si="375"/>
        <v>0</v>
      </c>
      <c r="BL100" s="298">
        <v>0</v>
      </c>
      <c r="BM100" s="299">
        <f>(BL70+BN70/2)*((BL49-BM49)*(1+$BR$45))*Faktory!$D$10</f>
        <v>0</v>
      </c>
      <c r="BN100" s="262">
        <f t="shared" si="376"/>
        <v>0</v>
      </c>
      <c r="BO100" s="298">
        <v>0</v>
      </c>
      <c r="BP100" s="299">
        <f>(BO70+BQ70/2)*((BO49-BP49)*(1+$BR$45))*Faktory!$D$10</f>
        <v>0</v>
      </c>
      <c r="BQ100" s="262">
        <f t="shared" si="377"/>
        <v>0</v>
      </c>
    </row>
    <row r="101" spans="1:69" ht="16" x14ac:dyDescent="0.2">
      <c r="A101" s="1346"/>
      <c r="B101" s="1348"/>
      <c r="C101" s="290" t="s">
        <v>30</v>
      </c>
      <c r="D101" s="291">
        <f t="shared" si="356"/>
        <v>0</v>
      </c>
      <c r="E101" s="292">
        <f t="shared" si="159"/>
        <v>0</v>
      </c>
      <c r="F101" s="293">
        <f t="shared" si="160"/>
        <v>0</v>
      </c>
      <c r="G101" s="298">
        <v>0</v>
      </c>
      <c r="H101" s="299">
        <f>(G71+I71/2)*((G50-H50)*(1+$BR$45))*Faktory!$D$10</f>
        <v>0</v>
      </c>
      <c r="I101" s="262">
        <f t="shared" si="357"/>
        <v>0</v>
      </c>
      <c r="J101" s="298">
        <v>0</v>
      </c>
      <c r="K101" s="299">
        <f>(J71+L71/2)*((J50-K50)*(1+$BR$45))*Faktory!$D$10</f>
        <v>0</v>
      </c>
      <c r="L101" s="262">
        <f t="shared" si="358"/>
        <v>0</v>
      </c>
      <c r="M101" s="298">
        <v>0</v>
      </c>
      <c r="N101" s="299">
        <f>(M71+O71/2)*((M50-N50)*(1+$BR$45))*Faktory!$D$10</f>
        <v>0</v>
      </c>
      <c r="O101" s="262">
        <f t="shared" si="359"/>
        <v>0</v>
      </c>
      <c r="P101" s="298">
        <v>0</v>
      </c>
      <c r="Q101" s="299">
        <f>(P71+R71/2)*((P50-Q50)*(1+$BR$45))*Faktory!$D$10</f>
        <v>0</v>
      </c>
      <c r="R101" s="262">
        <f t="shared" si="360"/>
        <v>0</v>
      </c>
      <c r="S101" s="298">
        <v>0</v>
      </c>
      <c r="T101" s="299">
        <f>(S71+U71/2)*((S50-T50)*(1+$BR$45))*Faktory!$D$10</f>
        <v>0</v>
      </c>
      <c r="U101" s="262">
        <f t="shared" si="361"/>
        <v>0</v>
      </c>
      <c r="V101" s="298">
        <v>0</v>
      </c>
      <c r="W101" s="299">
        <f>(V71+X71/2)*((V50-W50)*(1+$BR$45))*Faktory!$D$10</f>
        <v>0</v>
      </c>
      <c r="X101" s="262">
        <f t="shared" si="362"/>
        <v>0</v>
      </c>
      <c r="Y101" s="298">
        <v>0</v>
      </c>
      <c r="Z101" s="299">
        <f>(Y71+AA71/2)*((Y50-Z50)*(1+$BR$45))*Faktory!$D$10</f>
        <v>0</v>
      </c>
      <c r="AA101" s="262">
        <f t="shared" si="363"/>
        <v>0</v>
      </c>
      <c r="AB101" s="298">
        <v>0</v>
      </c>
      <c r="AC101" s="299">
        <f>(AB71+AD71/2)*((AB50-AC50)*(1+$BR$45))*Faktory!$D$10</f>
        <v>0</v>
      </c>
      <c r="AD101" s="262">
        <f t="shared" si="364"/>
        <v>0</v>
      </c>
      <c r="AE101" s="298">
        <v>0</v>
      </c>
      <c r="AF101" s="299">
        <f>(AE71+AG71/2)*((AE50-AF50)*(1+$BR$45))*Faktory!$D$10</f>
        <v>0</v>
      </c>
      <c r="AG101" s="262">
        <f t="shared" si="365"/>
        <v>0</v>
      </c>
      <c r="AH101" s="298">
        <v>0</v>
      </c>
      <c r="AI101" s="299">
        <f>(AH71+AJ71/2)*((AH50-AI50)*(1+$BR$45))*Faktory!$D$10</f>
        <v>0</v>
      </c>
      <c r="AJ101" s="262">
        <f t="shared" si="366"/>
        <v>0</v>
      </c>
      <c r="AK101" s="298">
        <v>0</v>
      </c>
      <c r="AL101" s="299">
        <f>(AK71+AM71/2)*((AK50-AL50)*(1+$BR$45))*Faktory!$D$10</f>
        <v>0</v>
      </c>
      <c r="AM101" s="262">
        <f t="shared" si="367"/>
        <v>0</v>
      </c>
      <c r="AN101" s="298">
        <v>0</v>
      </c>
      <c r="AO101" s="299">
        <f>(AN71+AP71/2)*((AN50-AO50)*(1+$BR$45))*Faktory!$D$10</f>
        <v>0</v>
      </c>
      <c r="AP101" s="262">
        <f t="shared" si="368"/>
        <v>0</v>
      </c>
      <c r="AQ101" s="298">
        <v>0</v>
      </c>
      <c r="AR101" s="299">
        <f>(AQ71+AS71/2)*((AQ50-AR50)*(1+$BR$45))*Faktory!$D$10</f>
        <v>0</v>
      </c>
      <c r="AS101" s="262">
        <f t="shared" si="369"/>
        <v>0</v>
      </c>
      <c r="AT101" s="298">
        <v>0</v>
      </c>
      <c r="AU101" s="299">
        <f>(AT71+AV71/2)*((AT50-AU50)*(1+$BR$45))*Faktory!$D$10</f>
        <v>0</v>
      </c>
      <c r="AV101" s="262">
        <f t="shared" si="370"/>
        <v>0</v>
      </c>
      <c r="AW101" s="298">
        <v>0</v>
      </c>
      <c r="AX101" s="299">
        <f>(AW71+AY71/2)*((AW50-AX50)*(1+$BR$45))*Faktory!$D$10</f>
        <v>0</v>
      </c>
      <c r="AY101" s="262">
        <f t="shared" si="371"/>
        <v>0</v>
      </c>
      <c r="AZ101" s="298">
        <v>0</v>
      </c>
      <c r="BA101" s="299">
        <f>(AZ71+BB71/2)*((AZ50-BA50)*(1+$BR$45))*Faktory!$D$10</f>
        <v>0</v>
      </c>
      <c r="BB101" s="262">
        <f t="shared" si="372"/>
        <v>0</v>
      </c>
      <c r="BC101" s="298">
        <v>0</v>
      </c>
      <c r="BD101" s="299">
        <f>(BC71+BE71/2)*((BC50-BD50)*(1+$BR$45))*Faktory!$D$10</f>
        <v>0</v>
      </c>
      <c r="BE101" s="262">
        <f t="shared" si="373"/>
        <v>0</v>
      </c>
      <c r="BF101" s="298">
        <v>0</v>
      </c>
      <c r="BG101" s="299">
        <f>(BF71+BH71/2)*((BF50-BG50)*(1+$BR$45))*Faktory!$D$10</f>
        <v>0</v>
      </c>
      <c r="BH101" s="262">
        <f t="shared" si="374"/>
        <v>0</v>
      </c>
      <c r="BI101" s="298">
        <v>0</v>
      </c>
      <c r="BJ101" s="299">
        <f>(BI71+BK71/2)*((BI50-BJ50)*(1+$BR$45))*Faktory!$D$10</f>
        <v>0</v>
      </c>
      <c r="BK101" s="262">
        <f t="shared" si="375"/>
        <v>0</v>
      </c>
      <c r="BL101" s="298">
        <v>0</v>
      </c>
      <c r="BM101" s="299">
        <f>(BL71+BN71/2)*((BL50-BM50)*(1+$BR$45))*Faktory!$D$10</f>
        <v>0</v>
      </c>
      <c r="BN101" s="262">
        <f t="shared" si="376"/>
        <v>0</v>
      </c>
      <c r="BO101" s="298">
        <v>0</v>
      </c>
      <c r="BP101" s="299">
        <f>(BO71+BQ71/2)*((BO50-BP50)*(1+$BR$45))*Faktory!$D$10</f>
        <v>0</v>
      </c>
      <c r="BQ101" s="262">
        <f t="shared" si="377"/>
        <v>0</v>
      </c>
    </row>
    <row r="102" spans="1:69" ht="16" x14ac:dyDescent="0.2">
      <c r="A102" s="1346"/>
      <c r="B102" s="1348"/>
      <c r="C102" s="290" t="s">
        <v>31</v>
      </c>
      <c r="D102" s="291">
        <f t="shared" si="356"/>
        <v>0</v>
      </c>
      <c r="E102" s="292">
        <f t="shared" si="159"/>
        <v>0</v>
      </c>
      <c r="F102" s="293">
        <f t="shared" si="160"/>
        <v>0</v>
      </c>
      <c r="G102" s="298">
        <v>0</v>
      </c>
      <c r="H102" s="299">
        <f>(G72+I72/2)*((G51-H51)*(1+$BR$45))*Faktory!$D$10</f>
        <v>0</v>
      </c>
      <c r="I102" s="262">
        <f t="shared" si="357"/>
        <v>0</v>
      </c>
      <c r="J102" s="298">
        <v>0</v>
      </c>
      <c r="K102" s="299">
        <f>(J72+L72/2)*((J51-K51)*(1+$BR$45))*Faktory!$D$10</f>
        <v>0</v>
      </c>
      <c r="L102" s="262">
        <f t="shared" si="358"/>
        <v>0</v>
      </c>
      <c r="M102" s="298">
        <v>0</v>
      </c>
      <c r="N102" s="299">
        <f>(M72+O72/2)*((M51-N51)*(1+$BR$45))*Faktory!$D$10</f>
        <v>0</v>
      </c>
      <c r="O102" s="262">
        <f t="shared" si="359"/>
        <v>0</v>
      </c>
      <c r="P102" s="298">
        <v>0</v>
      </c>
      <c r="Q102" s="299">
        <f>(P72+R72/2)*((P51-Q51)*(1+$BR$45))*Faktory!$D$10</f>
        <v>0</v>
      </c>
      <c r="R102" s="262">
        <f t="shared" si="360"/>
        <v>0</v>
      </c>
      <c r="S102" s="298">
        <v>0</v>
      </c>
      <c r="T102" s="299">
        <f>(S72+U72/2)*((S51-T51)*(1+$BR$45))*Faktory!$D$10</f>
        <v>0</v>
      </c>
      <c r="U102" s="262">
        <f t="shared" si="361"/>
        <v>0</v>
      </c>
      <c r="V102" s="298">
        <v>0</v>
      </c>
      <c r="W102" s="299">
        <f>(V72+X72/2)*((V51-W51)*(1+$BR$45))*Faktory!$D$10</f>
        <v>0</v>
      </c>
      <c r="X102" s="262">
        <f t="shared" si="362"/>
        <v>0</v>
      </c>
      <c r="Y102" s="298">
        <v>0</v>
      </c>
      <c r="Z102" s="299">
        <f>(Y72+AA72/2)*((Y51-Z51)*(1+$BR$45))*Faktory!$D$10</f>
        <v>0</v>
      </c>
      <c r="AA102" s="262">
        <f t="shared" si="363"/>
        <v>0</v>
      </c>
      <c r="AB102" s="298">
        <v>0</v>
      </c>
      <c r="AC102" s="299">
        <f>(AB72+AD72/2)*((AB51-AC51)*(1+$BR$45))*Faktory!$D$10</f>
        <v>0</v>
      </c>
      <c r="AD102" s="262">
        <f t="shared" si="364"/>
        <v>0</v>
      </c>
      <c r="AE102" s="298">
        <v>0</v>
      </c>
      <c r="AF102" s="299">
        <f>(AE72+AG72/2)*((AE51-AF51)*(1+$BR$45))*Faktory!$D$10</f>
        <v>0</v>
      </c>
      <c r="AG102" s="262">
        <f t="shared" si="365"/>
        <v>0</v>
      </c>
      <c r="AH102" s="298">
        <v>0</v>
      </c>
      <c r="AI102" s="299">
        <f>(AH72+AJ72/2)*((AH51-AI51)*(1+$BR$45))*Faktory!$D$10</f>
        <v>0</v>
      </c>
      <c r="AJ102" s="262">
        <f t="shared" si="366"/>
        <v>0</v>
      </c>
      <c r="AK102" s="298">
        <v>0</v>
      </c>
      <c r="AL102" s="299">
        <f>(AK72+AM72/2)*((AK51-AL51)*(1+$BR$45))*Faktory!$D$10</f>
        <v>0</v>
      </c>
      <c r="AM102" s="262">
        <f t="shared" si="367"/>
        <v>0</v>
      </c>
      <c r="AN102" s="298">
        <v>0</v>
      </c>
      <c r="AO102" s="299">
        <f>(AN72+AP72/2)*((AN51-AO51)*(1+$BR$45))*Faktory!$D$10</f>
        <v>0</v>
      </c>
      <c r="AP102" s="262">
        <f t="shared" si="368"/>
        <v>0</v>
      </c>
      <c r="AQ102" s="298">
        <v>0</v>
      </c>
      <c r="AR102" s="299">
        <f>(AQ72+AS72/2)*((AQ51-AR51)*(1+$BR$45))*Faktory!$D$10</f>
        <v>0</v>
      </c>
      <c r="AS102" s="262">
        <f t="shared" si="369"/>
        <v>0</v>
      </c>
      <c r="AT102" s="298">
        <v>0</v>
      </c>
      <c r="AU102" s="299">
        <f>(AT72+AV72/2)*((AT51-AU51)*(1+$BR$45))*Faktory!$D$10</f>
        <v>0</v>
      </c>
      <c r="AV102" s="262">
        <f t="shared" si="370"/>
        <v>0</v>
      </c>
      <c r="AW102" s="298">
        <v>0</v>
      </c>
      <c r="AX102" s="299">
        <f>(AW72+AY72/2)*((AW51-AX51)*(1+$BR$45))*Faktory!$D$10</f>
        <v>0</v>
      </c>
      <c r="AY102" s="262">
        <f t="shared" si="371"/>
        <v>0</v>
      </c>
      <c r="AZ102" s="298">
        <v>0</v>
      </c>
      <c r="BA102" s="299">
        <f>(AZ72+BB72/2)*((AZ51-BA51)*(1+$BR$45))*Faktory!$D$10</f>
        <v>0</v>
      </c>
      <c r="BB102" s="262">
        <f t="shared" si="372"/>
        <v>0</v>
      </c>
      <c r="BC102" s="298">
        <v>0</v>
      </c>
      <c r="BD102" s="299">
        <f>(BC72+BE72/2)*((BC51-BD51)*(1+$BR$45))*Faktory!$D$10</f>
        <v>0</v>
      </c>
      <c r="BE102" s="262">
        <f t="shared" si="373"/>
        <v>0</v>
      </c>
      <c r="BF102" s="298">
        <v>0</v>
      </c>
      <c r="BG102" s="299">
        <f>(BF72+BH72/2)*((BF51-BG51)*(1+$BR$45))*Faktory!$D$10</f>
        <v>0</v>
      </c>
      <c r="BH102" s="262">
        <f t="shared" si="374"/>
        <v>0</v>
      </c>
      <c r="BI102" s="298">
        <v>0</v>
      </c>
      <c r="BJ102" s="299">
        <f>(BI72+BK72/2)*((BI51-BJ51)*(1+$BR$45))*Faktory!$D$10</f>
        <v>0</v>
      </c>
      <c r="BK102" s="262">
        <f t="shared" si="375"/>
        <v>0</v>
      </c>
      <c r="BL102" s="298">
        <v>0</v>
      </c>
      <c r="BM102" s="299">
        <f>(BL72+BN72/2)*((BL51-BM51)*(1+$BR$45))*Faktory!$D$10</f>
        <v>0</v>
      </c>
      <c r="BN102" s="262">
        <f t="shared" si="376"/>
        <v>0</v>
      </c>
      <c r="BO102" s="298">
        <v>0</v>
      </c>
      <c r="BP102" s="299">
        <f>(BO72+BQ72/2)*((BO51-BP51)*(1+$BR$45))*Faktory!$D$10</f>
        <v>0</v>
      </c>
      <c r="BQ102" s="262">
        <f t="shared" si="377"/>
        <v>0</v>
      </c>
    </row>
    <row r="103" spans="1:69" ht="16" x14ac:dyDescent="0.2">
      <c r="A103" s="1346"/>
      <c r="B103" s="1348"/>
      <c r="C103" s="290" t="s">
        <v>32</v>
      </c>
      <c r="D103" s="291">
        <f t="shared" si="356"/>
        <v>0</v>
      </c>
      <c r="E103" s="292">
        <f t="shared" si="159"/>
        <v>0</v>
      </c>
      <c r="F103" s="293">
        <f t="shared" si="160"/>
        <v>0</v>
      </c>
      <c r="G103" s="298">
        <v>0</v>
      </c>
      <c r="H103" s="299">
        <f>(G73+I73/2)*((G52-H52)*(1+$BR$45))*Faktory!$D$10</f>
        <v>0</v>
      </c>
      <c r="I103" s="262">
        <f t="shared" si="357"/>
        <v>0</v>
      </c>
      <c r="J103" s="298">
        <v>0</v>
      </c>
      <c r="K103" s="299">
        <f>(J73+L73/2)*((J52-K52)*(1+$BR$45))*Faktory!$D$10</f>
        <v>0</v>
      </c>
      <c r="L103" s="262">
        <f t="shared" si="358"/>
        <v>0</v>
      </c>
      <c r="M103" s="298">
        <v>0</v>
      </c>
      <c r="N103" s="299">
        <f>(M73+O73/2)*((M52-N52)*(1+$BR$45))*Faktory!$D$10</f>
        <v>0</v>
      </c>
      <c r="O103" s="262">
        <f t="shared" si="359"/>
        <v>0</v>
      </c>
      <c r="P103" s="298">
        <v>0</v>
      </c>
      <c r="Q103" s="299">
        <f>(P73+R73/2)*((P52-Q52)*(1+$BR$45))*Faktory!$D$10</f>
        <v>0</v>
      </c>
      <c r="R103" s="262">
        <f t="shared" si="360"/>
        <v>0</v>
      </c>
      <c r="S103" s="298">
        <v>0</v>
      </c>
      <c r="T103" s="299">
        <f>(S73+U73/2)*((S52-T52)*(1+$BR$45))*Faktory!$D$10</f>
        <v>0</v>
      </c>
      <c r="U103" s="262">
        <f t="shared" si="361"/>
        <v>0</v>
      </c>
      <c r="V103" s="298">
        <v>0</v>
      </c>
      <c r="W103" s="299">
        <f>(V73+X73/2)*((V52-W52)*(1+$BR$45))*Faktory!$D$10</f>
        <v>0</v>
      </c>
      <c r="X103" s="262">
        <f t="shared" si="362"/>
        <v>0</v>
      </c>
      <c r="Y103" s="298">
        <v>0</v>
      </c>
      <c r="Z103" s="299">
        <f>(Y73+AA73/2)*((Y52-Z52)*(1+$BR$45))*Faktory!$D$10</f>
        <v>0</v>
      </c>
      <c r="AA103" s="262">
        <f t="shared" si="363"/>
        <v>0</v>
      </c>
      <c r="AB103" s="298">
        <v>0</v>
      </c>
      <c r="AC103" s="299">
        <f>(AB73+AD73/2)*((AB52-AC52)*(1+$BR$45))*Faktory!$D$10</f>
        <v>0</v>
      </c>
      <c r="AD103" s="262">
        <f t="shared" si="364"/>
        <v>0</v>
      </c>
      <c r="AE103" s="298">
        <v>0</v>
      </c>
      <c r="AF103" s="299">
        <f>(AE73+AG73/2)*((AE52-AF52)*(1+$BR$45))*Faktory!$D$10</f>
        <v>0</v>
      </c>
      <c r="AG103" s="262">
        <f t="shared" si="365"/>
        <v>0</v>
      </c>
      <c r="AH103" s="298">
        <v>0</v>
      </c>
      <c r="AI103" s="299">
        <f>(AH73+AJ73/2)*((AH52-AI52)*(1+$BR$45))*Faktory!$D$10</f>
        <v>0</v>
      </c>
      <c r="AJ103" s="262">
        <f t="shared" si="366"/>
        <v>0</v>
      </c>
      <c r="AK103" s="298">
        <v>0</v>
      </c>
      <c r="AL103" s="299">
        <f>(AK73+AM73/2)*((AK52-AL52)*(1+$BR$45))*Faktory!$D$10</f>
        <v>0</v>
      </c>
      <c r="AM103" s="262">
        <f t="shared" si="367"/>
        <v>0</v>
      </c>
      <c r="AN103" s="298">
        <v>0</v>
      </c>
      <c r="AO103" s="299">
        <f>(AN73+AP73/2)*((AN52-AO52)*(1+$BR$45))*Faktory!$D$10</f>
        <v>0</v>
      </c>
      <c r="AP103" s="262">
        <f t="shared" si="368"/>
        <v>0</v>
      </c>
      <c r="AQ103" s="298">
        <v>0</v>
      </c>
      <c r="AR103" s="299">
        <f>(AQ73+AS73/2)*((AQ52-AR52)*(1+$BR$45))*Faktory!$D$10</f>
        <v>0</v>
      </c>
      <c r="AS103" s="262">
        <f t="shared" si="369"/>
        <v>0</v>
      </c>
      <c r="AT103" s="298">
        <v>0</v>
      </c>
      <c r="AU103" s="299">
        <f>(AT73+AV73/2)*((AT52-AU52)*(1+$BR$45))*Faktory!$D$10</f>
        <v>0</v>
      </c>
      <c r="AV103" s="262">
        <f t="shared" si="370"/>
        <v>0</v>
      </c>
      <c r="AW103" s="298">
        <v>0</v>
      </c>
      <c r="AX103" s="299">
        <f>(AW73+AY73/2)*((AW52-AX52)*(1+$BR$45))*Faktory!$D$10</f>
        <v>0</v>
      </c>
      <c r="AY103" s="262">
        <f t="shared" si="371"/>
        <v>0</v>
      </c>
      <c r="AZ103" s="298">
        <v>0</v>
      </c>
      <c r="BA103" s="299">
        <f>(AZ73+BB73/2)*((AZ52-BA52)*(1+$BR$45))*Faktory!$D$10</f>
        <v>0</v>
      </c>
      <c r="BB103" s="262">
        <f t="shared" si="372"/>
        <v>0</v>
      </c>
      <c r="BC103" s="298">
        <v>0</v>
      </c>
      <c r="BD103" s="299">
        <f>(BC73+BE73/2)*((BC52-BD52)*(1+$BR$45))*Faktory!$D$10</f>
        <v>0</v>
      </c>
      <c r="BE103" s="262">
        <f t="shared" si="373"/>
        <v>0</v>
      </c>
      <c r="BF103" s="298">
        <v>0</v>
      </c>
      <c r="BG103" s="299">
        <f>(BF73+BH73/2)*((BF52-BG52)*(1+$BR$45))*Faktory!$D$10</f>
        <v>0</v>
      </c>
      <c r="BH103" s="262">
        <f t="shared" si="374"/>
        <v>0</v>
      </c>
      <c r="BI103" s="298">
        <v>0</v>
      </c>
      <c r="BJ103" s="299">
        <f>(BI73+BK73/2)*((BI52-BJ52)*(1+$BR$45))*Faktory!$D$10</f>
        <v>0</v>
      </c>
      <c r="BK103" s="262">
        <f t="shared" si="375"/>
        <v>0</v>
      </c>
      <c r="BL103" s="298">
        <v>0</v>
      </c>
      <c r="BM103" s="299">
        <f>(BL73+BN73/2)*((BL52-BM52)*(1+$BR$45))*Faktory!$D$10</f>
        <v>0</v>
      </c>
      <c r="BN103" s="262">
        <f t="shared" si="376"/>
        <v>0</v>
      </c>
      <c r="BO103" s="298">
        <v>0</v>
      </c>
      <c r="BP103" s="299">
        <f>(BO73+BQ73/2)*((BO52-BP52)*(1+$BR$45))*Faktory!$D$10</f>
        <v>0</v>
      </c>
      <c r="BQ103" s="262">
        <f t="shared" si="377"/>
        <v>0</v>
      </c>
    </row>
    <row r="104" spans="1:69" ht="16" x14ac:dyDescent="0.2">
      <c r="A104" s="1346"/>
      <c r="B104" s="1348"/>
      <c r="C104" s="290" t="s">
        <v>33</v>
      </c>
      <c r="D104" s="291">
        <f t="shared" si="356"/>
        <v>0</v>
      </c>
      <c r="E104" s="292">
        <f t="shared" si="159"/>
        <v>0</v>
      </c>
      <c r="F104" s="293">
        <f t="shared" si="160"/>
        <v>0</v>
      </c>
      <c r="G104" s="298">
        <v>0</v>
      </c>
      <c r="H104" s="299">
        <f>(G74+I74/2)*((G53-H53)*(1+$BR$45))*Faktory!$D$10</f>
        <v>0</v>
      </c>
      <c r="I104" s="262">
        <f t="shared" si="357"/>
        <v>0</v>
      </c>
      <c r="J104" s="298">
        <v>0</v>
      </c>
      <c r="K104" s="299">
        <f>(J74+L74/2)*((J53-K53)*(1+$BR$45))*Faktory!$D$10</f>
        <v>0</v>
      </c>
      <c r="L104" s="262">
        <f t="shared" si="358"/>
        <v>0</v>
      </c>
      <c r="M104" s="298">
        <v>0</v>
      </c>
      <c r="N104" s="299">
        <f>(M74+O74/2)*((M53-N53)*(1+$BR$45))*Faktory!$D$10</f>
        <v>0</v>
      </c>
      <c r="O104" s="262">
        <f t="shared" si="359"/>
        <v>0</v>
      </c>
      <c r="P104" s="298">
        <v>0</v>
      </c>
      <c r="Q104" s="299">
        <f>(P74+R74/2)*((P53-Q53)*(1+$BR$45))*Faktory!$D$10</f>
        <v>0</v>
      </c>
      <c r="R104" s="262">
        <f t="shared" si="360"/>
        <v>0</v>
      </c>
      <c r="S104" s="298">
        <v>0</v>
      </c>
      <c r="T104" s="299">
        <f>(S74+U74/2)*((S53-T53)*(1+$BR$45))*Faktory!$D$10</f>
        <v>0</v>
      </c>
      <c r="U104" s="262">
        <f t="shared" si="361"/>
        <v>0</v>
      </c>
      <c r="V104" s="298">
        <v>0</v>
      </c>
      <c r="W104" s="299">
        <f>(V74+X74/2)*((V53-W53)*(1+$BR$45))*Faktory!$D$10</f>
        <v>0</v>
      </c>
      <c r="X104" s="262">
        <f t="shared" si="362"/>
        <v>0</v>
      </c>
      <c r="Y104" s="298">
        <v>0</v>
      </c>
      <c r="Z104" s="299">
        <f>(Y74+AA74/2)*((Y53-Z53)*(1+$BR$45))*Faktory!$D$10</f>
        <v>0</v>
      </c>
      <c r="AA104" s="262">
        <f t="shared" si="363"/>
        <v>0</v>
      </c>
      <c r="AB104" s="298">
        <v>0</v>
      </c>
      <c r="AC104" s="299">
        <f>(AB74+AD74/2)*((AB53-AC53)*(1+$BR$45))*Faktory!$D$10</f>
        <v>0</v>
      </c>
      <c r="AD104" s="262">
        <f t="shared" si="364"/>
        <v>0</v>
      </c>
      <c r="AE104" s="298">
        <v>0</v>
      </c>
      <c r="AF104" s="299">
        <f>(AE74+AG74/2)*((AE53-AF53)*(1+$BR$45))*Faktory!$D$10</f>
        <v>0</v>
      </c>
      <c r="AG104" s="262">
        <f t="shared" si="365"/>
        <v>0</v>
      </c>
      <c r="AH104" s="298">
        <v>0</v>
      </c>
      <c r="AI104" s="299">
        <f>(AH74+AJ74/2)*((AH53-AI53)*(1+$BR$45))*Faktory!$D$10</f>
        <v>0</v>
      </c>
      <c r="AJ104" s="262">
        <f t="shared" si="366"/>
        <v>0</v>
      </c>
      <c r="AK104" s="298">
        <v>0</v>
      </c>
      <c r="AL104" s="299">
        <f>(AK74+AM74/2)*((AK53-AL53)*(1+$BR$45))*Faktory!$D$10</f>
        <v>0</v>
      </c>
      <c r="AM104" s="262">
        <f t="shared" si="367"/>
        <v>0</v>
      </c>
      <c r="AN104" s="298">
        <v>0</v>
      </c>
      <c r="AO104" s="299">
        <f>(AN74+AP74/2)*((AN53-AO53)*(1+$BR$45))*Faktory!$D$10</f>
        <v>0</v>
      </c>
      <c r="AP104" s="262">
        <f t="shared" si="368"/>
        <v>0</v>
      </c>
      <c r="AQ104" s="298">
        <v>0</v>
      </c>
      <c r="AR104" s="299">
        <f>(AQ74+AS74/2)*((AQ53-AR53)*(1+$BR$45))*Faktory!$D$10</f>
        <v>0</v>
      </c>
      <c r="AS104" s="262">
        <f t="shared" si="369"/>
        <v>0</v>
      </c>
      <c r="AT104" s="298">
        <v>0</v>
      </c>
      <c r="AU104" s="299">
        <f>(AT74+AV74/2)*((AT53-AU53)*(1+$BR$45))*Faktory!$D$10</f>
        <v>0</v>
      </c>
      <c r="AV104" s="262">
        <f t="shared" si="370"/>
        <v>0</v>
      </c>
      <c r="AW104" s="298">
        <v>0</v>
      </c>
      <c r="AX104" s="299">
        <f>(AW74+AY74/2)*((AW53-AX53)*(1+$BR$45))*Faktory!$D$10</f>
        <v>0</v>
      </c>
      <c r="AY104" s="262">
        <f t="shared" si="371"/>
        <v>0</v>
      </c>
      <c r="AZ104" s="298">
        <v>0</v>
      </c>
      <c r="BA104" s="299">
        <f>(AZ74+BB74/2)*((AZ53-BA53)*(1+$BR$45))*Faktory!$D$10</f>
        <v>0</v>
      </c>
      <c r="BB104" s="262">
        <f t="shared" si="372"/>
        <v>0</v>
      </c>
      <c r="BC104" s="298">
        <v>0</v>
      </c>
      <c r="BD104" s="299">
        <f>(BC74+BE74/2)*((BC53-BD53)*(1+$BR$45))*Faktory!$D$10</f>
        <v>0</v>
      </c>
      <c r="BE104" s="262">
        <f t="shared" si="373"/>
        <v>0</v>
      </c>
      <c r="BF104" s="298">
        <v>0</v>
      </c>
      <c r="BG104" s="299">
        <f>(BF74+BH74/2)*((BF53-BG53)*(1+$BR$45))*Faktory!$D$10</f>
        <v>0</v>
      </c>
      <c r="BH104" s="262">
        <f t="shared" si="374"/>
        <v>0</v>
      </c>
      <c r="BI104" s="298">
        <v>0</v>
      </c>
      <c r="BJ104" s="299">
        <f>(BI74+BK74/2)*((BI53-BJ53)*(1+$BR$45))*Faktory!$D$10</f>
        <v>0</v>
      </c>
      <c r="BK104" s="262">
        <f t="shared" si="375"/>
        <v>0</v>
      </c>
      <c r="BL104" s="298">
        <v>0</v>
      </c>
      <c r="BM104" s="299">
        <f>(BL74+BN74/2)*((BL53-BM53)*(1+$BR$45))*Faktory!$D$10</f>
        <v>0</v>
      </c>
      <c r="BN104" s="262">
        <f t="shared" si="376"/>
        <v>0</v>
      </c>
      <c r="BO104" s="298">
        <v>0</v>
      </c>
      <c r="BP104" s="299">
        <f>(BO74+BQ74/2)*((BO53-BP53)*(1+$BR$45))*Faktory!$D$10</f>
        <v>0</v>
      </c>
      <c r="BQ104" s="262">
        <f t="shared" si="377"/>
        <v>0</v>
      </c>
    </row>
    <row r="105" spans="1:69" ht="17" thickBot="1" x14ac:dyDescent="0.25">
      <c r="A105" s="1347"/>
      <c r="B105" s="1349"/>
      <c r="C105" s="300" t="s">
        <v>34</v>
      </c>
      <c r="D105" s="301">
        <f t="shared" si="356"/>
        <v>0</v>
      </c>
      <c r="E105" s="302">
        <f t="shared" si="159"/>
        <v>0</v>
      </c>
      <c r="F105" s="303">
        <f t="shared" si="160"/>
        <v>0</v>
      </c>
      <c r="G105" s="304">
        <v>0</v>
      </c>
      <c r="H105" s="305">
        <f>(G75+I75/2)*((G54-H54)*(1+$BR$45))*Faktory!$D$10</f>
        <v>0</v>
      </c>
      <c r="I105" s="267">
        <f t="shared" si="357"/>
        <v>0</v>
      </c>
      <c r="J105" s="304">
        <v>0</v>
      </c>
      <c r="K105" s="305">
        <f>(J75+L75/2)*((J54-K54)*(1+$BR$45))*Faktory!$D$10</f>
        <v>0</v>
      </c>
      <c r="L105" s="267">
        <f t="shared" si="358"/>
        <v>0</v>
      </c>
      <c r="M105" s="304">
        <v>0</v>
      </c>
      <c r="N105" s="305">
        <f>(M75+O75/2)*((M54-N54)*(1+$BR$45))*Faktory!$D$10</f>
        <v>0</v>
      </c>
      <c r="O105" s="267">
        <f t="shared" si="359"/>
        <v>0</v>
      </c>
      <c r="P105" s="304">
        <v>0</v>
      </c>
      <c r="Q105" s="305">
        <f>(P75+R75/2)*((P54-Q54)*(1+$BR$45))*Faktory!$D$10</f>
        <v>0</v>
      </c>
      <c r="R105" s="267">
        <f t="shared" si="360"/>
        <v>0</v>
      </c>
      <c r="S105" s="304">
        <v>0</v>
      </c>
      <c r="T105" s="305">
        <f>(S75+U75/2)*((S54-T54)*(1+$BR$45))*Faktory!$D$10</f>
        <v>0</v>
      </c>
      <c r="U105" s="267">
        <f t="shared" si="361"/>
        <v>0</v>
      </c>
      <c r="V105" s="304">
        <v>0</v>
      </c>
      <c r="W105" s="305">
        <f>(V75+X75/2)*((V54-W54)*(1+$BR$45))*Faktory!$D$10</f>
        <v>0</v>
      </c>
      <c r="X105" s="267">
        <f t="shared" si="362"/>
        <v>0</v>
      </c>
      <c r="Y105" s="304">
        <v>0</v>
      </c>
      <c r="Z105" s="305">
        <f>(Y75+AA75/2)*((Y54-Z54)*(1+$BR$45))*Faktory!$D$10</f>
        <v>0</v>
      </c>
      <c r="AA105" s="267">
        <f t="shared" si="363"/>
        <v>0</v>
      </c>
      <c r="AB105" s="304">
        <v>0</v>
      </c>
      <c r="AC105" s="305">
        <f>(AB75+AD75/2)*((AB54-AC54)*(1+$BR$45))*Faktory!$D$10</f>
        <v>0</v>
      </c>
      <c r="AD105" s="267">
        <f t="shared" si="364"/>
        <v>0</v>
      </c>
      <c r="AE105" s="304">
        <v>0</v>
      </c>
      <c r="AF105" s="305">
        <f>(AE75+AG75/2)*((AE54-AF54)*(1+$BR$45))*Faktory!$D$10</f>
        <v>0</v>
      </c>
      <c r="AG105" s="267">
        <f t="shared" si="365"/>
        <v>0</v>
      </c>
      <c r="AH105" s="304">
        <v>0</v>
      </c>
      <c r="AI105" s="305">
        <f>(AH75+AJ75/2)*((AH54-AI54)*(1+$BR$45))*Faktory!$D$10</f>
        <v>0</v>
      </c>
      <c r="AJ105" s="267">
        <f t="shared" si="366"/>
        <v>0</v>
      </c>
      <c r="AK105" s="304">
        <v>0</v>
      </c>
      <c r="AL105" s="305">
        <f>(AK75+AM75/2)*((AK54-AL54)*(1+$BR$45))*Faktory!$D$10</f>
        <v>0</v>
      </c>
      <c r="AM105" s="267">
        <f t="shared" si="367"/>
        <v>0</v>
      </c>
      <c r="AN105" s="304">
        <v>0</v>
      </c>
      <c r="AO105" s="305">
        <f>(AN75+AP75/2)*((AN54-AO54)*(1+$BR$45))*Faktory!$D$10</f>
        <v>0</v>
      </c>
      <c r="AP105" s="267">
        <f t="shared" si="368"/>
        <v>0</v>
      </c>
      <c r="AQ105" s="304">
        <v>0</v>
      </c>
      <c r="AR105" s="305">
        <f>(AQ75+AS75/2)*((AQ54-AR54)*(1+$BR$45))*Faktory!$D$10</f>
        <v>0</v>
      </c>
      <c r="AS105" s="267">
        <f t="shared" si="369"/>
        <v>0</v>
      </c>
      <c r="AT105" s="304">
        <v>0</v>
      </c>
      <c r="AU105" s="305">
        <f>(AT75+AV75/2)*((AT54-AU54)*(1+$BR$45))*Faktory!$D$10</f>
        <v>0</v>
      </c>
      <c r="AV105" s="267">
        <f t="shared" si="370"/>
        <v>0</v>
      </c>
      <c r="AW105" s="304">
        <v>0</v>
      </c>
      <c r="AX105" s="305">
        <f>(AW75+AY75/2)*((AW54-AX54)*(1+$BR$45))*Faktory!$D$10</f>
        <v>0</v>
      </c>
      <c r="AY105" s="267">
        <f t="shared" si="371"/>
        <v>0</v>
      </c>
      <c r="AZ105" s="304">
        <v>0</v>
      </c>
      <c r="BA105" s="305">
        <f>(AZ75+BB75/2)*((AZ54-BA54)*(1+$BR$45))*Faktory!$D$10</f>
        <v>0</v>
      </c>
      <c r="BB105" s="267">
        <f t="shared" si="372"/>
        <v>0</v>
      </c>
      <c r="BC105" s="304">
        <v>0</v>
      </c>
      <c r="BD105" s="305">
        <f>(BC75+BE75/2)*((BC54-BD54)*(1+$BR$45))*Faktory!$D$10</f>
        <v>0</v>
      </c>
      <c r="BE105" s="267">
        <f t="shared" si="373"/>
        <v>0</v>
      </c>
      <c r="BF105" s="304">
        <v>0</v>
      </c>
      <c r="BG105" s="305">
        <f>(BF75+BH75/2)*((BF54-BG54)*(1+$BR$45))*Faktory!$D$10</f>
        <v>0</v>
      </c>
      <c r="BH105" s="267">
        <f t="shared" si="374"/>
        <v>0</v>
      </c>
      <c r="BI105" s="304">
        <v>0</v>
      </c>
      <c r="BJ105" s="305">
        <f>(BI75+BK75/2)*((BI54-BJ54)*(1+$BR$45))*Faktory!$D$10</f>
        <v>0</v>
      </c>
      <c r="BK105" s="267">
        <f t="shared" si="375"/>
        <v>0</v>
      </c>
      <c r="BL105" s="304">
        <v>0</v>
      </c>
      <c r="BM105" s="305">
        <f>(BL75+BN75/2)*((BL54-BM54)*(1+$BR$45))*Faktory!$D$10</f>
        <v>0</v>
      </c>
      <c r="BN105" s="267">
        <f t="shared" si="376"/>
        <v>0</v>
      </c>
      <c r="BO105" s="304">
        <v>0</v>
      </c>
      <c r="BP105" s="305">
        <f>(BO75+BQ75/2)*((BO54-BP54)*(1+$BR$45))*Faktory!$D$10</f>
        <v>0</v>
      </c>
      <c r="BQ105" s="267">
        <f t="shared" si="377"/>
        <v>0</v>
      </c>
    </row>
    <row r="106" spans="1:69" ht="16" x14ac:dyDescent="0.2">
      <c r="A106" s="1346" t="s">
        <v>148</v>
      </c>
      <c r="B106" s="1348" t="s">
        <v>13</v>
      </c>
      <c r="C106" s="290" t="s">
        <v>25</v>
      </c>
      <c r="D106" s="291">
        <f t="shared" si="356"/>
        <v>0</v>
      </c>
      <c r="E106" s="292">
        <f t="shared" si="159"/>
        <v>0</v>
      </c>
      <c r="F106" s="293">
        <f>E106-D106</f>
        <v>0</v>
      </c>
      <c r="G106" s="306">
        <f t="shared" ref="G106:H115" si="378">G5*G15</f>
        <v>0</v>
      </c>
      <c r="H106" s="307">
        <f t="shared" si="378"/>
        <v>0</v>
      </c>
      <c r="I106" s="257">
        <f>H106-G106</f>
        <v>0</v>
      </c>
      <c r="J106" s="306">
        <f t="shared" ref="J106:K106" si="379">J5*J15</f>
        <v>0</v>
      </c>
      <c r="K106" s="307">
        <f t="shared" si="379"/>
        <v>0</v>
      </c>
      <c r="L106" s="257">
        <f>K106-J106</f>
        <v>0</v>
      </c>
      <c r="M106" s="306">
        <f t="shared" ref="M106:N106" si="380">M5*M15</f>
        <v>0</v>
      </c>
      <c r="N106" s="307">
        <f t="shared" si="380"/>
        <v>0</v>
      </c>
      <c r="O106" s="257">
        <f>N106-M106</f>
        <v>0</v>
      </c>
      <c r="P106" s="306">
        <f t="shared" ref="P106:Q106" si="381">P5*P15</f>
        <v>0</v>
      </c>
      <c r="Q106" s="307">
        <f t="shared" si="381"/>
        <v>0</v>
      </c>
      <c r="R106" s="257">
        <f t="shared" ref="R106:R115" si="382">Q106-P106</f>
        <v>0</v>
      </c>
      <c r="S106" s="306">
        <f t="shared" ref="S106:T106" si="383">S5*S15</f>
        <v>0</v>
      </c>
      <c r="T106" s="307">
        <f t="shared" si="383"/>
        <v>0</v>
      </c>
      <c r="U106" s="257">
        <f t="shared" ref="U106:U115" si="384">T106-S106</f>
        <v>0</v>
      </c>
      <c r="V106" s="306">
        <f t="shared" ref="V106:W106" si="385">V5*V15</f>
        <v>0</v>
      </c>
      <c r="W106" s="307">
        <f t="shared" si="385"/>
        <v>0</v>
      </c>
      <c r="X106" s="257">
        <f t="shared" ref="X106:X115" si="386">W106-V106</f>
        <v>0</v>
      </c>
      <c r="Y106" s="306">
        <f t="shared" ref="Y106:Z106" si="387">Y5*Y15</f>
        <v>0</v>
      </c>
      <c r="Z106" s="307">
        <f t="shared" si="387"/>
        <v>0</v>
      </c>
      <c r="AA106" s="257">
        <f>Z106-Y106</f>
        <v>0</v>
      </c>
      <c r="AB106" s="306">
        <f t="shared" ref="AB106:AC106" si="388">AB5*AB15</f>
        <v>0</v>
      </c>
      <c r="AC106" s="307">
        <f t="shared" si="388"/>
        <v>0</v>
      </c>
      <c r="AD106" s="257">
        <f>AC106-AB106</f>
        <v>0</v>
      </c>
      <c r="AE106" s="306">
        <f t="shared" ref="AE106:AF106" si="389">AE5*AE15</f>
        <v>0</v>
      </c>
      <c r="AF106" s="307">
        <f t="shared" si="389"/>
        <v>0</v>
      </c>
      <c r="AG106" s="257">
        <f t="shared" ref="AG106:AG115" si="390">AF106-AE106</f>
        <v>0</v>
      </c>
      <c r="AH106" s="306">
        <f t="shared" ref="AH106:AI106" si="391">AH5*AH15</f>
        <v>0</v>
      </c>
      <c r="AI106" s="307">
        <f t="shared" si="391"/>
        <v>0</v>
      </c>
      <c r="AJ106" s="257">
        <f t="shared" ref="AJ106:AJ115" si="392">AI106-AH106</f>
        <v>0</v>
      </c>
      <c r="AK106" s="306">
        <f t="shared" ref="AK106:AL106" si="393">AK5*AK15</f>
        <v>0</v>
      </c>
      <c r="AL106" s="307">
        <f t="shared" si="393"/>
        <v>0</v>
      </c>
      <c r="AM106" s="257">
        <f t="shared" ref="AM106:AM115" si="394">AL106-AK106</f>
        <v>0</v>
      </c>
      <c r="AN106" s="306">
        <f t="shared" ref="AN106:AO106" si="395">AN5*AN15</f>
        <v>0</v>
      </c>
      <c r="AO106" s="307">
        <f t="shared" si="395"/>
        <v>0</v>
      </c>
      <c r="AP106" s="257">
        <f>AO106-AN106</f>
        <v>0</v>
      </c>
      <c r="AQ106" s="306">
        <f t="shared" ref="AQ106:AR106" si="396">AQ5*AQ15</f>
        <v>0</v>
      </c>
      <c r="AR106" s="307">
        <f t="shared" si="396"/>
        <v>0</v>
      </c>
      <c r="AS106" s="257">
        <f>AR106-AQ106</f>
        <v>0</v>
      </c>
      <c r="AT106" s="306">
        <f t="shared" ref="AT106:AU106" si="397">AT5*AT15</f>
        <v>0</v>
      </c>
      <c r="AU106" s="307">
        <f t="shared" si="397"/>
        <v>0</v>
      </c>
      <c r="AV106" s="257">
        <f t="shared" ref="AV106:AV115" si="398">AU106-AT106</f>
        <v>0</v>
      </c>
      <c r="AW106" s="306">
        <f t="shared" ref="AW106:AX106" si="399">AW5*AW15</f>
        <v>0</v>
      </c>
      <c r="AX106" s="307">
        <f t="shared" si="399"/>
        <v>0</v>
      </c>
      <c r="AY106" s="257">
        <f t="shared" ref="AY106:AY115" si="400">AX106-AW106</f>
        <v>0</v>
      </c>
      <c r="AZ106" s="306">
        <f t="shared" ref="AZ106:BA106" si="401">AZ5*AZ15</f>
        <v>0</v>
      </c>
      <c r="BA106" s="307">
        <f t="shared" si="401"/>
        <v>0</v>
      </c>
      <c r="BB106" s="257">
        <f t="shared" ref="BB106:BB115" si="402">BA106-AZ106</f>
        <v>0</v>
      </c>
      <c r="BC106" s="306">
        <f t="shared" ref="BC106:BD106" si="403">BC5*BC15</f>
        <v>0</v>
      </c>
      <c r="BD106" s="307">
        <f t="shared" si="403"/>
        <v>0</v>
      </c>
      <c r="BE106" s="257">
        <f>BD106-BC106</f>
        <v>0</v>
      </c>
      <c r="BF106" s="306">
        <f t="shared" ref="BF106:BG106" si="404">BF5*BF15</f>
        <v>0</v>
      </c>
      <c r="BG106" s="307">
        <f t="shared" si="404"/>
        <v>0</v>
      </c>
      <c r="BH106" s="257">
        <f>BG106-BF106</f>
        <v>0</v>
      </c>
      <c r="BI106" s="306">
        <f t="shared" ref="BI106:BJ115" si="405">BI5*BI15</f>
        <v>0</v>
      </c>
      <c r="BJ106" s="307">
        <f t="shared" si="405"/>
        <v>0</v>
      </c>
      <c r="BK106" s="257">
        <f t="shared" ref="BK106:BK115" si="406">BJ106-BI106</f>
        <v>0</v>
      </c>
      <c r="BL106" s="306">
        <f t="shared" ref="BL106:BM115" si="407">BL5*BL15</f>
        <v>0</v>
      </c>
      <c r="BM106" s="307">
        <f t="shared" si="407"/>
        <v>0</v>
      </c>
      <c r="BN106" s="257">
        <f t="shared" ref="BN106:BN115" si="408">BM106-BL106</f>
        <v>0</v>
      </c>
      <c r="BO106" s="306">
        <f t="shared" ref="BO106:BP115" si="409">BO5*BO15</f>
        <v>0</v>
      </c>
      <c r="BP106" s="307">
        <f t="shared" si="409"/>
        <v>0</v>
      </c>
      <c r="BQ106" s="257">
        <f t="shared" ref="BQ106:BQ115" si="410">BP106-BO106</f>
        <v>0</v>
      </c>
    </row>
    <row r="107" spans="1:69" ht="16" x14ac:dyDescent="0.2">
      <c r="A107" s="1346"/>
      <c r="B107" s="1348"/>
      <c r="C107" s="290" t="s">
        <v>26</v>
      </c>
      <c r="D107" s="291">
        <f t="shared" si="356"/>
        <v>0</v>
      </c>
      <c r="E107" s="292">
        <f t="shared" si="159"/>
        <v>0</v>
      </c>
      <c r="F107" s="293">
        <f t="shared" ref="F107:F115" si="411">E107-D107</f>
        <v>0</v>
      </c>
      <c r="G107" s="298">
        <f t="shared" si="378"/>
        <v>0</v>
      </c>
      <c r="H107" s="299">
        <f t="shared" si="378"/>
        <v>0</v>
      </c>
      <c r="I107" s="262">
        <f t="shared" ref="I107:I115" si="412">H107-G107</f>
        <v>0</v>
      </c>
      <c r="J107" s="298">
        <f t="shared" ref="J107:K107" si="413">J6*J16</f>
        <v>0</v>
      </c>
      <c r="K107" s="299">
        <f t="shared" si="413"/>
        <v>0</v>
      </c>
      <c r="L107" s="262">
        <f t="shared" ref="L107:L115" si="414">K107-J107</f>
        <v>0</v>
      </c>
      <c r="M107" s="298">
        <f t="shared" ref="M107:N107" si="415">M6*M16</f>
        <v>0</v>
      </c>
      <c r="N107" s="299">
        <f t="shared" si="415"/>
        <v>0</v>
      </c>
      <c r="O107" s="262">
        <f t="shared" ref="O107:O115" si="416">N107-M107</f>
        <v>0</v>
      </c>
      <c r="P107" s="298">
        <f t="shared" ref="P107:Q107" si="417">P6*P16</f>
        <v>0</v>
      </c>
      <c r="Q107" s="299">
        <f t="shared" si="417"/>
        <v>0</v>
      </c>
      <c r="R107" s="262">
        <f t="shared" si="382"/>
        <v>0</v>
      </c>
      <c r="S107" s="298">
        <f t="shared" ref="S107:T107" si="418">S6*S16</f>
        <v>0</v>
      </c>
      <c r="T107" s="299">
        <f t="shared" si="418"/>
        <v>0</v>
      </c>
      <c r="U107" s="262">
        <f t="shared" si="384"/>
        <v>0</v>
      </c>
      <c r="V107" s="298">
        <f t="shared" ref="V107:W107" si="419">V6*V16</f>
        <v>0</v>
      </c>
      <c r="W107" s="299">
        <f t="shared" si="419"/>
        <v>0</v>
      </c>
      <c r="X107" s="262">
        <f t="shared" si="386"/>
        <v>0</v>
      </c>
      <c r="Y107" s="298">
        <f t="shared" ref="Y107:Z107" si="420">Y6*Y16</f>
        <v>0</v>
      </c>
      <c r="Z107" s="299">
        <f t="shared" si="420"/>
        <v>0</v>
      </c>
      <c r="AA107" s="262">
        <f t="shared" ref="AA107:AA115" si="421">Z107-Y107</f>
        <v>0</v>
      </c>
      <c r="AB107" s="298">
        <f t="shared" ref="AB107:AC107" si="422">AB6*AB16</f>
        <v>0</v>
      </c>
      <c r="AC107" s="299">
        <f t="shared" si="422"/>
        <v>0</v>
      </c>
      <c r="AD107" s="262">
        <f t="shared" ref="AD107:AD115" si="423">AC107-AB107</f>
        <v>0</v>
      </c>
      <c r="AE107" s="298">
        <f t="shared" ref="AE107:AF107" si="424">AE6*AE16</f>
        <v>0</v>
      </c>
      <c r="AF107" s="299">
        <f t="shared" si="424"/>
        <v>0</v>
      </c>
      <c r="AG107" s="262">
        <f t="shared" si="390"/>
        <v>0</v>
      </c>
      <c r="AH107" s="298">
        <f t="shared" ref="AH107:AI107" si="425">AH6*AH16</f>
        <v>0</v>
      </c>
      <c r="AI107" s="299">
        <f t="shared" si="425"/>
        <v>0</v>
      </c>
      <c r="AJ107" s="262">
        <f t="shared" si="392"/>
        <v>0</v>
      </c>
      <c r="AK107" s="298">
        <f t="shared" ref="AK107:AL107" si="426">AK6*AK16</f>
        <v>0</v>
      </c>
      <c r="AL107" s="299">
        <f t="shared" si="426"/>
        <v>0</v>
      </c>
      <c r="AM107" s="262">
        <f t="shared" si="394"/>
        <v>0</v>
      </c>
      <c r="AN107" s="298">
        <f t="shared" ref="AN107:AO107" si="427">AN6*AN16</f>
        <v>0</v>
      </c>
      <c r="AO107" s="299">
        <f t="shared" si="427"/>
        <v>0</v>
      </c>
      <c r="AP107" s="262">
        <f t="shared" ref="AP107:AP115" si="428">AO107-AN107</f>
        <v>0</v>
      </c>
      <c r="AQ107" s="298">
        <f t="shared" ref="AQ107:AR107" si="429">AQ6*AQ16</f>
        <v>0</v>
      </c>
      <c r="AR107" s="299">
        <f t="shared" si="429"/>
        <v>0</v>
      </c>
      <c r="AS107" s="262">
        <f t="shared" ref="AS107:AS115" si="430">AR107-AQ107</f>
        <v>0</v>
      </c>
      <c r="AT107" s="298">
        <f t="shared" ref="AT107:AU107" si="431">AT6*AT16</f>
        <v>0</v>
      </c>
      <c r="AU107" s="299">
        <f t="shared" si="431"/>
        <v>0</v>
      </c>
      <c r="AV107" s="262">
        <f t="shared" si="398"/>
        <v>0</v>
      </c>
      <c r="AW107" s="298">
        <f t="shared" ref="AW107:AX107" si="432">AW6*AW16</f>
        <v>0</v>
      </c>
      <c r="AX107" s="299">
        <f t="shared" si="432"/>
        <v>0</v>
      </c>
      <c r="AY107" s="262">
        <f t="shared" si="400"/>
        <v>0</v>
      </c>
      <c r="AZ107" s="298">
        <f t="shared" ref="AZ107:BA107" si="433">AZ6*AZ16</f>
        <v>0</v>
      </c>
      <c r="BA107" s="299">
        <f t="shared" si="433"/>
        <v>0</v>
      </c>
      <c r="BB107" s="262">
        <f t="shared" si="402"/>
        <v>0</v>
      </c>
      <c r="BC107" s="298">
        <f t="shared" ref="BC107:BD107" si="434">BC6*BC16</f>
        <v>0</v>
      </c>
      <c r="BD107" s="299">
        <f t="shared" si="434"/>
        <v>0</v>
      </c>
      <c r="BE107" s="262">
        <f t="shared" ref="BE107:BE115" si="435">BD107-BC107</f>
        <v>0</v>
      </c>
      <c r="BF107" s="298">
        <f t="shared" ref="BF107:BG107" si="436">BF6*BF16</f>
        <v>0</v>
      </c>
      <c r="BG107" s="299">
        <f t="shared" si="436"/>
        <v>0</v>
      </c>
      <c r="BH107" s="262">
        <f t="shared" ref="BH107:BH115" si="437">BG107-BF107</f>
        <v>0</v>
      </c>
      <c r="BI107" s="298">
        <f t="shared" si="405"/>
        <v>0</v>
      </c>
      <c r="BJ107" s="299">
        <f t="shared" si="405"/>
        <v>0</v>
      </c>
      <c r="BK107" s="262">
        <f t="shared" si="406"/>
        <v>0</v>
      </c>
      <c r="BL107" s="298">
        <f t="shared" si="407"/>
        <v>0</v>
      </c>
      <c r="BM107" s="299">
        <f t="shared" si="407"/>
        <v>0</v>
      </c>
      <c r="BN107" s="262">
        <f t="shared" si="408"/>
        <v>0</v>
      </c>
      <c r="BO107" s="298">
        <f t="shared" si="409"/>
        <v>0</v>
      </c>
      <c r="BP107" s="299">
        <f t="shared" si="409"/>
        <v>0</v>
      </c>
      <c r="BQ107" s="262">
        <f t="shared" si="410"/>
        <v>0</v>
      </c>
    </row>
    <row r="108" spans="1:69" ht="16" x14ac:dyDescent="0.2">
      <c r="A108" s="1346"/>
      <c r="B108" s="1348"/>
      <c r="C108" s="290" t="s">
        <v>27</v>
      </c>
      <c r="D108" s="291">
        <f t="shared" si="356"/>
        <v>0</v>
      </c>
      <c r="E108" s="292">
        <f t="shared" si="159"/>
        <v>0</v>
      </c>
      <c r="F108" s="293">
        <f t="shared" si="411"/>
        <v>0</v>
      </c>
      <c r="G108" s="298">
        <f t="shared" si="378"/>
        <v>0</v>
      </c>
      <c r="H108" s="299">
        <f t="shared" si="378"/>
        <v>0</v>
      </c>
      <c r="I108" s="262">
        <f t="shared" si="412"/>
        <v>0</v>
      </c>
      <c r="J108" s="298">
        <f t="shared" ref="J108:K108" si="438">J7*J17</f>
        <v>0</v>
      </c>
      <c r="K108" s="299">
        <f t="shared" si="438"/>
        <v>0</v>
      </c>
      <c r="L108" s="262">
        <f t="shared" si="414"/>
        <v>0</v>
      </c>
      <c r="M108" s="298">
        <f t="shared" ref="M108:N108" si="439">M7*M17</f>
        <v>0</v>
      </c>
      <c r="N108" s="299">
        <f t="shared" si="439"/>
        <v>0</v>
      </c>
      <c r="O108" s="262">
        <f t="shared" si="416"/>
        <v>0</v>
      </c>
      <c r="P108" s="298">
        <f t="shared" ref="P108:Q108" si="440">P7*P17</f>
        <v>0</v>
      </c>
      <c r="Q108" s="299">
        <f t="shared" si="440"/>
        <v>0</v>
      </c>
      <c r="R108" s="262">
        <f t="shared" si="382"/>
        <v>0</v>
      </c>
      <c r="S108" s="298">
        <f t="shared" ref="S108:T108" si="441">S7*S17</f>
        <v>0</v>
      </c>
      <c r="T108" s="299">
        <f t="shared" si="441"/>
        <v>0</v>
      </c>
      <c r="U108" s="262">
        <f t="shared" si="384"/>
        <v>0</v>
      </c>
      <c r="V108" s="298">
        <f t="shared" ref="V108:W108" si="442">V7*V17</f>
        <v>0</v>
      </c>
      <c r="W108" s="299">
        <f t="shared" si="442"/>
        <v>0</v>
      </c>
      <c r="X108" s="262">
        <f t="shared" si="386"/>
        <v>0</v>
      </c>
      <c r="Y108" s="298">
        <f t="shared" ref="Y108:Z108" si="443">Y7*Y17</f>
        <v>0</v>
      </c>
      <c r="Z108" s="299">
        <f t="shared" si="443"/>
        <v>0</v>
      </c>
      <c r="AA108" s="262">
        <f t="shared" si="421"/>
        <v>0</v>
      </c>
      <c r="AB108" s="298">
        <f t="shared" ref="AB108:AC108" si="444">AB7*AB17</f>
        <v>0</v>
      </c>
      <c r="AC108" s="299">
        <f t="shared" si="444"/>
        <v>0</v>
      </c>
      <c r="AD108" s="262">
        <f t="shared" si="423"/>
        <v>0</v>
      </c>
      <c r="AE108" s="298">
        <f t="shared" ref="AE108:AF108" si="445">AE7*AE17</f>
        <v>0</v>
      </c>
      <c r="AF108" s="299">
        <f t="shared" si="445"/>
        <v>0</v>
      </c>
      <c r="AG108" s="262">
        <f t="shared" si="390"/>
        <v>0</v>
      </c>
      <c r="AH108" s="298">
        <f t="shared" ref="AH108:AI108" si="446">AH7*AH17</f>
        <v>0</v>
      </c>
      <c r="AI108" s="299">
        <f t="shared" si="446"/>
        <v>0</v>
      </c>
      <c r="AJ108" s="262">
        <f t="shared" si="392"/>
        <v>0</v>
      </c>
      <c r="AK108" s="298">
        <f t="shared" ref="AK108:AL108" si="447">AK7*AK17</f>
        <v>0</v>
      </c>
      <c r="AL108" s="299">
        <f t="shared" si="447"/>
        <v>0</v>
      </c>
      <c r="AM108" s="262">
        <f t="shared" si="394"/>
        <v>0</v>
      </c>
      <c r="AN108" s="298">
        <f t="shared" ref="AN108:AO108" si="448">AN7*AN17</f>
        <v>0</v>
      </c>
      <c r="AO108" s="299">
        <f t="shared" si="448"/>
        <v>0</v>
      </c>
      <c r="AP108" s="262">
        <f t="shared" si="428"/>
        <v>0</v>
      </c>
      <c r="AQ108" s="298">
        <f t="shared" ref="AQ108:AR108" si="449">AQ7*AQ17</f>
        <v>0</v>
      </c>
      <c r="AR108" s="299">
        <f t="shared" si="449"/>
        <v>0</v>
      </c>
      <c r="AS108" s="262">
        <f t="shared" si="430"/>
        <v>0</v>
      </c>
      <c r="AT108" s="298">
        <f t="shared" ref="AT108:AU108" si="450">AT7*AT17</f>
        <v>0</v>
      </c>
      <c r="AU108" s="299">
        <f t="shared" si="450"/>
        <v>0</v>
      </c>
      <c r="AV108" s="262">
        <f t="shared" si="398"/>
        <v>0</v>
      </c>
      <c r="AW108" s="298">
        <f t="shared" ref="AW108:AX108" si="451">AW7*AW17</f>
        <v>0</v>
      </c>
      <c r="AX108" s="299">
        <f t="shared" si="451"/>
        <v>0</v>
      </c>
      <c r="AY108" s="262">
        <f t="shared" si="400"/>
        <v>0</v>
      </c>
      <c r="AZ108" s="298">
        <f t="shared" ref="AZ108:BA108" si="452">AZ7*AZ17</f>
        <v>0</v>
      </c>
      <c r="BA108" s="299">
        <f t="shared" si="452"/>
        <v>0</v>
      </c>
      <c r="BB108" s="262">
        <f t="shared" si="402"/>
        <v>0</v>
      </c>
      <c r="BC108" s="298">
        <f t="shared" ref="BC108:BD108" si="453">BC7*BC17</f>
        <v>0</v>
      </c>
      <c r="BD108" s="299">
        <f t="shared" si="453"/>
        <v>0</v>
      </c>
      <c r="BE108" s="262">
        <f t="shared" si="435"/>
        <v>0</v>
      </c>
      <c r="BF108" s="298">
        <f t="shared" ref="BF108:BG108" si="454">BF7*BF17</f>
        <v>0</v>
      </c>
      <c r="BG108" s="299">
        <f t="shared" si="454"/>
        <v>0</v>
      </c>
      <c r="BH108" s="262">
        <f t="shared" si="437"/>
        <v>0</v>
      </c>
      <c r="BI108" s="298">
        <f t="shared" si="405"/>
        <v>0</v>
      </c>
      <c r="BJ108" s="299">
        <f t="shared" si="405"/>
        <v>0</v>
      </c>
      <c r="BK108" s="262">
        <f t="shared" si="406"/>
        <v>0</v>
      </c>
      <c r="BL108" s="298">
        <f t="shared" si="407"/>
        <v>0</v>
      </c>
      <c r="BM108" s="299">
        <f t="shared" si="407"/>
        <v>0</v>
      </c>
      <c r="BN108" s="262">
        <f t="shared" si="408"/>
        <v>0</v>
      </c>
      <c r="BO108" s="298">
        <f t="shared" si="409"/>
        <v>0</v>
      </c>
      <c r="BP108" s="299">
        <f t="shared" si="409"/>
        <v>0</v>
      </c>
      <c r="BQ108" s="262">
        <f t="shared" si="410"/>
        <v>0</v>
      </c>
    </row>
    <row r="109" spans="1:69" ht="16" x14ac:dyDescent="0.2">
      <c r="A109" s="1346"/>
      <c r="B109" s="1348"/>
      <c r="C109" s="290" t="s">
        <v>28</v>
      </c>
      <c r="D109" s="291">
        <f t="shared" si="356"/>
        <v>0</v>
      </c>
      <c r="E109" s="292">
        <f t="shared" si="159"/>
        <v>0</v>
      </c>
      <c r="F109" s="293">
        <f t="shared" si="411"/>
        <v>0</v>
      </c>
      <c r="G109" s="298">
        <f t="shared" si="378"/>
        <v>0</v>
      </c>
      <c r="H109" s="299">
        <f t="shared" si="378"/>
        <v>0</v>
      </c>
      <c r="I109" s="262">
        <f t="shared" si="412"/>
        <v>0</v>
      </c>
      <c r="J109" s="298">
        <f t="shared" ref="J109:K109" si="455">J8*J18</f>
        <v>0</v>
      </c>
      <c r="K109" s="299">
        <f t="shared" si="455"/>
        <v>0</v>
      </c>
      <c r="L109" s="262">
        <f t="shared" si="414"/>
        <v>0</v>
      </c>
      <c r="M109" s="298">
        <f t="shared" ref="M109:N109" si="456">M8*M18</f>
        <v>0</v>
      </c>
      <c r="N109" s="299">
        <f t="shared" si="456"/>
        <v>0</v>
      </c>
      <c r="O109" s="262">
        <f t="shared" si="416"/>
        <v>0</v>
      </c>
      <c r="P109" s="298">
        <f t="shared" ref="P109:Q109" si="457">P8*P18</f>
        <v>0</v>
      </c>
      <c r="Q109" s="299">
        <f t="shared" si="457"/>
        <v>0</v>
      </c>
      <c r="R109" s="262">
        <f t="shared" si="382"/>
        <v>0</v>
      </c>
      <c r="S109" s="298">
        <f t="shared" ref="S109:T109" si="458">S8*S18</f>
        <v>0</v>
      </c>
      <c r="T109" s="299">
        <f t="shared" si="458"/>
        <v>0</v>
      </c>
      <c r="U109" s="262">
        <f t="shared" si="384"/>
        <v>0</v>
      </c>
      <c r="V109" s="298">
        <f t="shared" ref="V109:W109" si="459">V8*V18</f>
        <v>0</v>
      </c>
      <c r="W109" s="299">
        <f t="shared" si="459"/>
        <v>0</v>
      </c>
      <c r="X109" s="262">
        <f t="shared" si="386"/>
        <v>0</v>
      </c>
      <c r="Y109" s="298">
        <f t="shared" ref="Y109:Z109" si="460">Y8*Y18</f>
        <v>0</v>
      </c>
      <c r="Z109" s="299">
        <f t="shared" si="460"/>
        <v>0</v>
      </c>
      <c r="AA109" s="262">
        <f t="shared" si="421"/>
        <v>0</v>
      </c>
      <c r="AB109" s="298">
        <f t="shared" ref="AB109:AC109" si="461">AB8*AB18</f>
        <v>0</v>
      </c>
      <c r="AC109" s="299">
        <f t="shared" si="461"/>
        <v>0</v>
      </c>
      <c r="AD109" s="262">
        <f t="shared" si="423"/>
        <v>0</v>
      </c>
      <c r="AE109" s="298">
        <f t="shared" ref="AE109:AF109" si="462">AE8*AE18</f>
        <v>0</v>
      </c>
      <c r="AF109" s="299">
        <f t="shared" si="462"/>
        <v>0</v>
      </c>
      <c r="AG109" s="262">
        <f t="shared" si="390"/>
        <v>0</v>
      </c>
      <c r="AH109" s="298">
        <f t="shared" ref="AH109:AI109" si="463">AH8*AH18</f>
        <v>0</v>
      </c>
      <c r="AI109" s="299">
        <f t="shared" si="463"/>
        <v>0</v>
      </c>
      <c r="AJ109" s="262">
        <f t="shared" si="392"/>
        <v>0</v>
      </c>
      <c r="AK109" s="298">
        <f t="shared" ref="AK109:AL109" si="464">AK8*AK18</f>
        <v>0</v>
      </c>
      <c r="AL109" s="299">
        <f t="shared" si="464"/>
        <v>0</v>
      </c>
      <c r="AM109" s="262">
        <f t="shared" si="394"/>
        <v>0</v>
      </c>
      <c r="AN109" s="298">
        <f t="shared" ref="AN109:AO109" si="465">AN8*AN18</f>
        <v>0</v>
      </c>
      <c r="AO109" s="299">
        <f t="shared" si="465"/>
        <v>0</v>
      </c>
      <c r="AP109" s="262">
        <f t="shared" si="428"/>
        <v>0</v>
      </c>
      <c r="AQ109" s="298">
        <f t="shared" ref="AQ109:AR109" si="466">AQ8*AQ18</f>
        <v>0</v>
      </c>
      <c r="AR109" s="299">
        <f t="shared" si="466"/>
        <v>0</v>
      </c>
      <c r="AS109" s="262">
        <f t="shared" si="430"/>
        <v>0</v>
      </c>
      <c r="AT109" s="298">
        <f t="shared" ref="AT109:AU109" si="467">AT8*AT18</f>
        <v>0</v>
      </c>
      <c r="AU109" s="299">
        <f t="shared" si="467"/>
        <v>0</v>
      </c>
      <c r="AV109" s="262">
        <f t="shared" si="398"/>
        <v>0</v>
      </c>
      <c r="AW109" s="298">
        <f t="shared" ref="AW109:AX109" si="468">AW8*AW18</f>
        <v>0</v>
      </c>
      <c r="AX109" s="299">
        <f t="shared" si="468"/>
        <v>0</v>
      </c>
      <c r="AY109" s="262">
        <f t="shared" si="400"/>
        <v>0</v>
      </c>
      <c r="AZ109" s="298">
        <f t="shared" ref="AZ109:BA109" si="469">AZ8*AZ18</f>
        <v>0</v>
      </c>
      <c r="BA109" s="299">
        <f t="shared" si="469"/>
        <v>0</v>
      </c>
      <c r="BB109" s="262">
        <f t="shared" si="402"/>
        <v>0</v>
      </c>
      <c r="BC109" s="298">
        <f t="shared" ref="BC109:BD109" si="470">BC8*BC18</f>
        <v>0</v>
      </c>
      <c r="BD109" s="299">
        <f t="shared" si="470"/>
        <v>0</v>
      </c>
      <c r="BE109" s="262">
        <f t="shared" si="435"/>
        <v>0</v>
      </c>
      <c r="BF109" s="298">
        <f t="shared" ref="BF109:BG109" si="471">BF8*BF18</f>
        <v>0</v>
      </c>
      <c r="BG109" s="299">
        <f t="shared" si="471"/>
        <v>0</v>
      </c>
      <c r="BH109" s="262">
        <f t="shared" si="437"/>
        <v>0</v>
      </c>
      <c r="BI109" s="298">
        <f t="shared" si="405"/>
        <v>0</v>
      </c>
      <c r="BJ109" s="299">
        <f t="shared" si="405"/>
        <v>0</v>
      </c>
      <c r="BK109" s="262">
        <f t="shared" si="406"/>
        <v>0</v>
      </c>
      <c r="BL109" s="298">
        <f t="shared" si="407"/>
        <v>0</v>
      </c>
      <c r="BM109" s="299">
        <f t="shared" si="407"/>
        <v>0</v>
      </c>
      <c r="BN109" s="262">
        <f t="shared" si="408"/>
        <v>0</v>
      </c>
      <c r="BO109" s="298">
        <f t="shared" si="409"/>
        <v>0</v>
      </c>
      <c r="BP109" s="299">
        <f t="shared" si="409"/>
        <v>0</v>
      </c>
      <c r="BQ109" s="262">
        <f t="shared" si="410"/>
        <v>0</v>
      </c>
    </row>
    <row r="110" spans="1:69" ht="16" x14ac:dyDescent="0.2">
      <c r="A110" s="1346"/>
      <c r="B110" s="1348"/>
      <c r="C110" s="290" t="s">
        <v>29</v>
      </c>
      <c r="D110" s="291">
        <f t="shared" si="356"/>
        <v>0</v>
      </c>
      <c r="E110" s="292">
        <f t="shared" si="159"/>
        <v>0</v>
      </c>
      <c r="F110" s="293">
        <f t="shared" si="411"/>
        <v>0</v>
      </c>
      <c r="G110" s="298">
        <f t="shared" si="378"/>
        <v>0</v>
      </c>
      <c r="H110" s="299">
        <f t="shared" si="378"/>
        <v>0</v>
      </c>
      <c r="I110" s="262">
        <f t="shared" si="412"/>
        <v>0</v>
      </c>
      <c r="J110" s="298">
        <f t="shared" ref="J110:K110" si="472">J9*J19</f>
        <v>0</v>
      </c>
      <c r="K110" s="299">
        <f t="shared" si="472"/>
        <v>0</v>
      </c>
      <c r="L110" s="262">
        <f t="shared" si="414"/>
        <v>0</v>
      </c>
      <c r="M110" s="298">
        <f t="shared" ref="M110:N110" si="473">M9*M19</f>
        <v>0</v>
      </c>
      <c r="N110" s="299">
        <f t="shared" si="473"/>
        <v>0</v>
      </c>
      <c r="O110" s="262">
        <f t="shared" si="416"/>
        <v>0</v>
      </c>
      <c r="P110" s="298">
        <f t="shared" ref="P110:Q110" si="474">P9*P19</f>
        <v>0</v>
      </c>
      <c r="Q110" s="299">
        <f t="shared" si="474"/>
        <v>0</v>
      </c>
      <c r="R110" s="262">
        <f t="shared" si="382"/>
        <v>0</v>
      </c>
      <c r="S110" s="298">
        <f t="shared" ref="S110:T110" si="475">S9*S19</f>
        <v>0</v>
      </c>
      <c r="T110" s="299">
        <f t="shared" si="475"/>
        <v>0</v>
      </c>
      <c r="U110" s="262">
        <f t="shared" si="384"/>
        <v>0</v>
      </c>
      <c r="V110" s="298">
        <f t="shared" ref="V110:W110" si="476">V9*V19</f>
        <v>0</v>
      </c>
      <c r="W110" s="299">
        <f t="shared" si="476"/>
        <v>0</v>
      </c>
      <c r="X110" s="262">
        <f t="shared" si="386"/>
        <v>0</v>
      </c>
      <c r="Y110" s="298">
        <f t="shared" ref="Y110:Z110" si="477">Y9*Y19</f>
        <v>0</v>
      </c>
      <c r="Z110" s="299">
        <f t="shared" si="477"/>
        <v>0</v>
      </c>
      <c r="AA110" s="262">
        <f t="shared" si="421"/>
        <v>0</v>
      </c>
      <c r="AB110" s="298">
        <f t="shared" ref="AB110:AC110" si="478">AB9*AB19</f>
        <v>0</v>
      </c>
      <c r="AC110" s="299">
        <f t="shared" si="478"/>
        <v>0</v>
      </c>
      <c r="AD110" s="262">
        <f t="shared" si="423"/>
        <v>0</v>
      </c>
      <c r="AE110" s="298">
        <f t="shared" ref="AE110:AF110" si="479">AE9*AE19</f>
        <v>0</v>
      </c>
      <c r="AF110" s="299">
        <f t="shared" si="479"/>
        <v>0</v>
      </c>
      <c r="AG110" s="262">
        <f t="shared" si="390"/>
        <v>0</v>
      </c>
      <c r="AH110" s="298">
        <f t="shared" ref="AH110:AI110" si="480">AH9*AH19</f>
        <v>0</v>
      </c>
      <c r="AI110" s="299">
        <f t="shared" si="480"/>
        <v>0</v>
      </c>
      <c r="AJ110" s="262">
        <f t="shared" si="392"/>
        <v>0</v>
      </c>
      <c r="AK110" s="298">
        <f t="shared" ref="AK110:AL110" si="481">AK9*AK19</f>
        <v>0</v>
      </c>
      <c r="AL110" s="299">
        <f t="shared" si="481"/>
        <v>0</v>
      </c>
      <c r="AM110" s="262">
        <f t="shared" si="394"/>
        <v>0</v>
      </c>
      <c r="AN110" s="298">
        <f t="shared" ref="AN110:AO110" si="482">AN9*AN19</f>
        <v>0</v>
      </c>
      <c r="AO110" s="299">
        <f t="shared" si="482"/>
        <v>0</v>
      </c>
      <c r="AP110" s="262">
        <f t="shared" si="428"/>
        <v>0</v>
      </c>
      <c r="AQ110" s="298">
        <f t="shared" ref="AQ110:AR110" si="483">AQ9*AQ19</f>
        <v>0</v>
      </c>
      <c r="AR110" s="299">
        <f t="shared" si="483"/>
        <v>0</v>
      </c>
      <c r="AS110" s="262">
        <f t="shared" si="430"/>
        <v>0</v>
      </c>
      <c r="AT110" s="298">
        <f t="shared" ref="AT110:AU110" si="484">AT9*AT19</f>
        <v>0</v>
      </c>
      <c r="AU110" s="299">
        <f t="shared" si="484"/>
        <v>0</v>
      </c>
      <c r="AV110" s="262">
        <f t="shared" si="398"/>
        <v>0</v>
      </c>
      <c r="AW110" s="298">
        <f t="shared" ref="AW110:AX110" si="485">AW9*AW19</f>
        <v>0</v>
      </c>
      <c r="AX110" s="299">
        <f t="shared" si="485"/>
        <v>0</v>
      </c>
      <c r="AY110" s="262">
        <f t="shared" si="400"/>
        <v>0</v>
      </c>
      <c r="AZ110" s="298">
        <f t="shared" ref="AZ110:BA110" si="486">AZ9*AZ19</f>
        <v>0</v>
      </c>
      <c r="BA110" s="299">
        <f t="shared" si="486"/>
        <v>0</v>
      </c>
      <c r="BB110" s="262">
        <f t="shared" si="402"/>
        <v>0</v>
      </c>
      <c r="BC110" s="298">
        <f t="shared" ref="BC110:BD110" si="487">BC9*BC19</f>
        <v>0</v>
      </c>
      <c r="BD110" s="299">
        <f t="shared" si="487"/>
        <v>0</v>
      </c>
      <c r="BE110" s="262">
        <f t="shared" si="435"/>
        <v>0</v>
      </c>
      <c r="BF110" s="298">
        <f t="shared" ref="BF110:BG110" si="488">BF9*BF19</f>
        <v>0</v>
      </c>
      <c r="BG110" s="299">
        <f t="shared" si="488"/>
        <v>0</v>
      </c>
      <c r="BH110" s="262">
        <f t="shared" si="437"/>
        <v>0</v>
      </c>
      <c r="BI110" s="298">
        <f t="shared" si="405"/>
        <v>0</v>
      </c>
      <c r="BJ110" s="299">
        <f t="shared" si="405"/>
        <v>0</v>
      </c>
      <c r="BK110" s="262">
        <f t="shared" si="406"/>
        <v>0</v>
      </c>
      <c r="BL110" s="298">
        <f t="shared" si="407"/>
        <v>0</v>
      </c>
      <c r="BM110" s="299">
        <f t="shared" si="407"/>
        <v>0</v>
      </c>
      <c r="BN110" s="262">
        <f t="shared" si="408"/>
        <v>0</v>
      </c>
      <c r="BO110" s="298">
        <f t="shared" si="409"/>
        <v>0</v>
      </c>
      <c r="BP110" s="299">
        <f t="shared" si="409"/>
        <v>0</v>
      </c>
      <c r="BQ110" s="262">
        <f t="shared" si="410"/>
        <v>0</v>
      </c>
    </row>
    <row r="111" spans="1:69" ht="16" x14ac:dyDescent="0.2">
      <c r="A111" s="1346"/>
      <c r="B111" s="1348"/>
      <c r="C111" s="290" t="s">
        <v>30</v>
      </c>
      <c r="D111" s="291">
        <f t="shared" si="356"/>
        <v>0</v>
      </c>
      <c r="E111" s="292">
        <f t="shared" si="159"/>
        <v>0</v>
      </c>
      <c r="F111" s="293">
        <f t="shared" si="411"/>
        <v>0</v>
      </c>
      <c r="G111" s="298">
        <f t="shared" si="378"/>
        <v>0</v>
      </c>
      <c r="H111" s="299">
        <f t="shared" si="378"/>
        <v>0</v>
      </c>
      <c r="I111" s="262">
        <f t="shared" si="412"/>
        <v>0</v>
      </c>
      <c r="J111" s="298">
        <f t="shared" ref="J111:K111" si="489">J10*J20</f>
        <v>0</v>
      </c>
      <c r="K111" s="299">
        <f t="shared" si="489"/>
        <v>0</v>
      </c>
      <c r="L111" s="262">
        <f t="shared" si="414"/>
        <v>0</v>
      </c>
      <c r="M111" s="298">
        <f t="shared" ref="M111:N111" si="490">M10*M20</f>
        <v>0</v>
      </c>
      <c r="N111" s="299">
        <f t="shared" si="490"/>
        <v>0</v>
      </c>
      <c r="O111" s="262">
        <f t="shared" si="416"/>
        <v>0</v>
      </c>
      <c r="P111" s="298">
        <f t="shared" ref="P111:Q111" si="491">P10*P20</f>
        <v>0</v>
      </c>
      <c r="Q111" s="299">
        <f t="shared" si="491"/>
        <v>0</v>
      </c>
      <c r="R111" s="262">
        <f t="shared" si="382"/>
        <v>0</v>
      </c>
      <c r="S111" s="298">
        <f t="shared" ref="S111:T111" si="492">S10*S20</f>
        <v>0</v>
      </c>
      <c r="T111" s="299">
        <f t="shared" si="492"/>
        <v>0</v>
      </c>
      <c r="U111" s="262">
        <f t="shared" si="384"/>
        <v>0</v>
      </c>
      <c r="V111" s="298">
        <f t="shared" ref="V111:W111" si="493">V10*V20</f>
        <v>0</v>
      </c>
      <c r="W111" s="299">
        <f t="shared" si="493"/>
        <v>0</v>
      </c>
      <c r="X111" s="262">
        <f t="shared" si="386"/>
        <v>0</v>
      </c>
      <c r="Y111" s="298">
        <f t="shared" ref="Y111:Z111" si="494">Y10*Y20</f>
        <v>0</v>
      </c>
      <c r="Z111" s="299">
        <f t="shared" si="494"/>
        <v>0</v>
      </c>
      <c r="AA111" s="262">
        <f t="shared" si="421"/>
        <v>0</v>
      </c>
      <c r="AB111" s="298">
        <f t="shared" ref="AB111:AC111" si="495">AB10*AB20</f>
        <v>0</v>
      </c>
      <c r="AC111" s="299">
        <f t="shared" si="495"/>
        <v>0</v>
      </c>
      <c r="AD111" s="262">
        <f t="shared" si="423"/>
        <v>0</v>
      </c>
      <c r="AE111" s="298">
        <f t="shared" ref="AE111:AF111" si="496">AE10*AE20</f>
        <v>0</v>
      </c>
      <c r="AF111" s="299">
        <f t="shared" si="496"/>
        <v>0</v>
      </c>
      <c r="AG111" s="262">
        <f t="shared" si="390"/>
        <v>0</v>
      </c>
      <c r="AH111" s="298">
        <f t="shared" ref="AH111:AI111" si="497">AH10*AH20</f>
        <v>0</v>
      </c>
      <c r="AI111" s="299">
        <f t="shared" si="497"/>
        <v>0</v>
      </c>
      <c r="AJ111" s="262">
        <f t="shared" si="392"/>
        <v>0</v>
      </c>
      <c r="AK111" s="298">
        <f t="shared" ref="AK111:AL111" si="498">AK10*AK20</f>
        <v>0</v>
      </c>
      <c r="AL111" s="299">
        <f t="shared" si="498"/>
        <v>0</v>
      </c>
      <c r="AM111" s="262">
        <f t="shared" si="394"/>
        <v>0</v>
      </c>
      <c r="AN111" s="298">
        <f t="shared" ref="AN111:AO111" si="499">AN10*AN20</f>
        <v>0</v>
      </c>
      <c r="AO111" s="299">
        <f t="shared" si="499"/>
        <v>0</v>
      </c>
      <c r="AP111" s="262">
        <f t="shared" si="428"/>
        <v>0</v>
      </c>
      <c r="AQ111" s="298">
        <f t="shared" ref="AQ111:AR111" si="500">AQ10*AQ20</f>
        <v>0</v>
      </c>
      <c r="AR111" s="299">
        <f t="shared" si="500"/>
        <v>0</v>
      </c>
      <c r="AS111" s="262">
        <f t="shared" si="430"/>
        <v>0</v>
      </c>
      <c r="AT111" s="298">
        <f t="shared" ref="AT111:AU111" si="501">AT10*AT20</f>
        <v>0</v>
      </c>
      <c r="AU111" s="299">
        <f t="shared" si="501"/>
        <v>0</v>
      </c>
      <c r="AV111" s="262">
        <f t="shared" si="398"/>
        <v>0</v>
      </c>
      <c r="AW111" s="298">
        <f t="shared" ref="AW111:AX111" si="502">AW10*AW20</f>
        <v>0</v>
      </c>
      <c r="AX111" s="299">
        <f t="shared" si="502"/>
        <v>0</v>
      </c>
      <c r="AY111" s="262">
        <f t="shared" si="400"/>
        <v>0</v>
      </c>
      <c r="AZ111" s="298">
        <f t="shared" ref="AZ111:BA111" si="503">AZ10*AZ20</f>
        <v>0</v>
      </c>
      <c r="BA111" s="299">
        <f t="shared" si="503"/>
        <v>0</v>
      </c>
      <c r="BB111" s="262">
        <f t="shared" si="402"/>
        <v>0</v>
      </c>
      <c r="BC111" s="298">
        <f t="shared" ref="BC111:BD111" si="504">BC10*BC20</f>
        <v>0</v>
      </c>
      <c r="BD111" s="299">
        <f t="shared" si="504"/>
        <v>0</v>
      </c>
      <c r="BE111" s="262">
        <f t="shared" si="435"/>
        <v>0</v>
      </c>
      <c r="BF111" s="298">
        <f t="shared" ref="BF111:BG111" si="505">BF10*BF20</f>
        <v>0</v>
      </c>
      <c r="BG111" s="299">
        <f t="shared" si="505"/>
        <v>0</v>
      </c>
      <c r="BH111" s="262">
        <f t="shared" si="437"/>
        <v>0</v>
      </c>
      <c r="BI111" s="298">
        <f t="shared" si="405"/>
        <v>0</v>
      </c>
      <c r="BJ111" s="299">
        <f t="shared" si="405"/>
        <v>0</v>
      </c>
      <c r="BK111" s="262">
        <f t="shared" si="406"/>
        <v>0</v>
      </c>
      <c r="BL111" s="298">
        <f t="shared" si="407"/>
        <v>0</v>
      </c>
      <c r="BM111" s="299">
        <f t="shared" si="407"/>
        <v>0</v>
      </c>
      <c r="BN111" s="262">
        <f t="shared" si="408"/>
        <v>0</v>
      </c>
      <c r="BO111" s="298">
        <f t="shared" si="409"/>
        <v>0</v>
      </c>
      <c r="BP111" s="299">
        <f t="shared" si="409"/>
        <v>0</v>
      </c>
      <c r="BQ111" s="262">
        <f t="shared" si="410"/>
        <v>0</v>
      </c>
    </row>
    <row r="112" spans="1:69" ht="16" x14ac:dyDescent="0.2">
      <c r="A112" s="1346"/>
      <c r="B112" s="1348"/>
      <c r="C112" s="290" t="s">
        <v>31</v>
      </c>
      <c r="D112" s="291">
        <f t="shared" ref="D112:D115" si="506">SUM(G112,J112,M112,P112,S112,V112,Y112,AB112,AE112,AH112,AK112,AN112,AQ112,AT112,AW112,AZ112,AZ112,BC112,BF112,BI112,BL112,BO112)</f>
        <v>0</v>
      </c>
      <c r="E112" s="292">
        <f t="shared" si="159"/>
        <v>0</v>
      </c>
      <c r="F112" s="293">
        <f t="shared" si="411"/>
        <v>0</v>
      </c>
      <c r="G112" s="298">
        <f t="shared" si="378"/>
        <v>0</v>
      </c>
      <c r="H112" s="299">
        <f t="shared" si="378"/>
        <v>0</v>
      </c>
      <c r="I112" s="262">
        <f t="shared" si="412"/>
        <v>0</v>
      </c>
      <c r="J112" s="298">
        <f t="shared" ref="J112:K112" si="507">J11*J21</f>
        <v>0</v>
      </c>
      <c r="K112" s="299">
        <f t="shared" si="507"/>
        <v>0</v>
      </c>
      <c r="L112" s="262">
        <f t="shared" si="414"/>
        <v>0</v>
      </c>
      <c r="M112" s="298">
        <f t="shared" ref="M112:N112" si="508">M11*M21</f>
        <v>0</v>
      </c>
      <c r="N112" s="299">
        <f t="shared" si="508"/>
        <v>0</v>
      </c>
      <c r="O112" s="262">
        <f t="shared" si="416"/>
        <v>0</v>
      </c>
      <c r="P112" s="298">
        <f t="shared" ref="P112:Q112" si="509">P11*P21</f>
        <v>0</v>
      </c>
      <c r="Q112" s="299">
        <f t="shared" si="509"/>
        <v>0</v>
      </c>
      <c r="R112" s="262">
        <f t="shared" si="382"/>
        <v>0</v>
      </c>
      <c r="S112" s="298">
        <f t="shared" ref="S112:T112" si="510">S11*S21</f>
        <v>0</v>
      </c>
      <c r="T112" s="299">
        <f t="shared" si="510"/>
        <v>0</v>
      </c>
      <c r="U112" s="262">
        <f t="shared" si="384"/>
        <v>0</v>
      </c>
      <c r="V112" s="298">
        <f t="shared" ref="V112:W112" si="511">V11*V21</f>
        <v>0</v>
      </c>
      <c r="W112" s="299">
        <f t="shared" si="511"/>
        <v>0</v>
      </c>
      <c r="X112" s="262">
        <f t="shared" si="386"/>
        <v>0</v>
      </c>
      <c r="Y112" s="298">
        <f t="shared" ref="Y112:Z112" si="512">Y11*Y21</f>
        <v>0</v>
      </c>
      <c r="Z112" s="299">
        <f t="shared" si="512"/>
        <v>0</v>
      </c>
      <c r="AA112" s="262">
        <f t="shared" si="421"/>
        <v>0</v>
      </c>
      <c r="AB112" s="298">
        <f t="shared" ref="AB112:AC112" si="513">AB11*AB21</f>
        <v>0</v>
      </c>
      <c r="AC112" s="299">
        <f t="shared" si="513"/>
        <v>0</v>
      </c>
      <c r="AD112" s="262">
        <f t="shared" si="423"/>
        <v>0</v>
      </c>
      <c r="AE112" s="298">
        <f t="shared" ref="AE112:AF112" si="514">AE11*AE21</f>
        <v>0</v>
      </c>
      <c r="AF112" s="299">
        <f t="shared" si="514"/>
        <v>0</v>
      </c>
      <c r="AG112" s="262">
        <f t="shared" si="390"/>
        <v>0</v>
      </c>
      <c r="AH112" s="298">
        <f t="shared" ref="AH112:AI112" si="515">AH11*AH21</f>
        <v>0</v>
      </c>
      <c r="AI112" s="299">
        <f t="shared" si="515"/>
        <v>0</v>
      </c>
      <c r="AJ112" s="262">
        <f t="shared" si="392"/>
        <v>0</v>
      </c>
      <c r="AK112" s="298">
        <f t="shared" ref="AK112:AL112" si="516">AK11*AK21</f>
        <v>0</v>
      </c>
      <c r="AL112" s="299">
        <f t="shared" si="516"/>
        <v>0</v>
      </c>
      <c r="AM112" s="262">
        <f t="shared" si="394"/>
        <v>0</v>
      </c>
      <c r="AN112" s="298">
        <f t="shared" ref="AN112:AO112" si="517">AN11*AN21</f>
        <v>0</v>
      </c>
      <c r="AO112" s="299">
        <f t="shared" si="517"/>
        <v>0</v>
      </c>
      <c r="AP112" s="262">
        <f t="shared" si="428"/>
        <v>0</v>
      </c>
      <c r="AQ112" s="298">
        <f t="shared" ref="AQ112:AR112" si="518">AQ11*AQ21</f>
        <v>0</v>
      </c>
      <c r="AR112" s="299">
        <f t="shared" si="518"/>
        <v>0</v>
      </c>
      <c r="AS112" s="262">
        <f t="shared" si="430"/>
        <v>0</v>
      </c>
      <c r="AT112" s="298">
        <f t="shared" ref="AT112:AU112" si="519">AT11*AT21</f>
        <v>0</v>
      </c>
      <c r="AU112" s="299">
        <f t="shared" si="519"/>
        <v>0</v>
      </c>
      <c r="AV112" s="262">
        <f t="shared" si="398"/>
        <v>0</v>
      </c>
      <c r="AW112" s="298">
        <f t="shared" ref="AW112:AX112" si="520">AW11*AW21</f>
        <v>0</v>
      </c>
      <c r="AX112" s="299">
        <f t="shared" si="520"/>
        <v>0</v>
      </c>
      <c r="AY112" s="262">
        <f t="shared" si="400"/>
        <v>0</v>
      </c>
      <c r="AZ112" s="298">
        <f t="shared" ref="AZ112:BA112" si="521">AZ11*AZ21</f>
        <v>0</v>
      </c>
      <c r="BA112" s="299">
        <f t="shared" si="521"/>
        <v>0</v>
      </c>
      <c r="BB112" s="262">
        <f t="shared" si="402"/>
        <v>0</v>
      </c>
      <c r="BC112" s="298">
        <f t="shared" ref="BC112:BD112" si="522">BC11*BC21</f>
        <v>0</v>
      </c>
      <c r="BD112" s="299">
        <f t="shared" si="522"/>
        <v>0</v>
      </c>
      <c r="BE112" s="262">
        <f t="shared" si="435"/>
        <v>0</v>
      </c>
      <c r="BF112" s="298">
        <f t="shared" ref="BF112:BG112" si="523">BF11*BF21</f>
        <v>0</v>
      </c>
      <c r="BG112" s="299">
        <f t="shared" si="523"/>
        <v>0</v>
      </c>
      <c r="BH112" s="262">
        <f t="shared" si="437"/>
        <v>0</v>
      </c>
      <c r="BI112" s="298">
        <f t="shared" si="405"/>
        <v>0</v>
      </c>
      <c r="BJ112" s="299">
        <f t="shared" si="405"/>
        <v>0</v>
      </c>
      <c r="BK112" s="262">
        <f t="shared" si="406"/>
        <v>0</v>
      </c>
      <c r="BL112" s="298">
        <f t="shared" si="407"/>
        <v>0</v>
      </c>
      <c r="BM112" s="299">
        <f t="shared" si="407"/>
        <v>0</v>
      </c>
      <c r="BN112" s="262">
        <f t="shared" si="408"/>
        <v>0</v>
      </c>
      <c r="BO112" s="298">
        <f t="shared" si="409"/>
        <v>0</v>
      </c>
      <c r="BP112" s="299">
        <f t="shared" si="409"/>
        <v>0</v>
      </c>
      <c r="BQ112" s="262">
        <f t="shared" si="410"/>
        <v>0</v>
      </c>
    </row>
    <row r="113" spans="1:70" ht="16" x14ac:dyDescent="0.2">
      <c r="A113" s="1346"/>
      <c r="B113" s="1348"/>
      <c r="C113" s="290" t="s">
        <v>32</v>
      </c>
      <c r="D113" s="291">
        <f t="shared" si="506"/>
        <v>0</v>
      </c>
      <c r="E113" s="292">
        <f t="shared" si="159"/>
        <v>0</v>
      </c>
      <c r="F113" s="293">
        <f t="shared" si="411"/>
        <v>0</v>
      </c>
      <c r="G113" s="298">
        <f t="shared" si="378"/>
        <v>0</v>
      </c>
      <c r="H113" s="299">
        <f t="shared" si="378"/>
        <v>0</v>
      </c>
      <c r="I113" s="262">
        <f t="shared" si="412"/>
        <v>0</v>
      </c>
      <c r="J113" s="298">
        <f t="shared" ref="J113:K113" si="524">J12*J22</f>
        <v>0</v>
      </c>
      <c r="K113" s="299">
        <f t="shared" si="524"/>
        <v>0</v>
      </c>
      <c r="L113" s="262">
        <f t="shared" si="414"/>
        <v>0</v>
      </c>
      <c r="M113" s="298">
        <f t="shared" ref="M113:N113" si="525">M12*M22</f>
        <v>0</v>
      </c>
      <c r="N113" s="299">
        <f t="shared" si="525"/>
        <v>0</v>
      </c>
      <c r="O113" s="262">
        <f t="shared" si="416"/>
        <v>0</v>
      </c>
      <c r="P113" s="298">
        <f t="shared" ref="P113:Q113" si="526">P12*P22</f>
        <v>0</v>
      </c>
      <c r="Q113" s="299">
        <f t="shared" si="526"/>
        <v>0</v>
      </c>
      <c r="R113" s="262">
        <f t="shared" si="382"/>
        <v>0</v>
      </c>
      <c r="S113" s="298">
        <f t="shared" ref="S113:T113" si="527">S12*S22</f>
        <v>0</v>
      </c>
      <c r="T113" s="299">
        <f t="shared" si="527"/>
        <v>0</v>
      </c>
      <c r="U113" s="262">
        <f t="shared" si="384"/>
        <v>0</v>
      </c>
      <c r="V113" s="298">
        <f t="shared" ref="V113:W113" si="528">V12*V22</f>
        <v>0</v>
      </c>
      <c r="W113" s="299">
        <f t="shared" si="528"/>
        <v>0</v>
      </c>
      <c r="X113" s="262">
        <f t="shared" si="386"/>
        <v>0</v>
      </c>
      <c r="Y113" s="298">
        <f t="shared" ref="Y113:Z113" si="529">Y12*Y22</f>
        <v>0</v>
      </c>
      <c r="Z113" s="299">
        <f t="shared" si="529"/>
        <v>0</v>
      </c>
      <c r="AA113" s="262">
        <f t="shared" si="421"/>
        <v>0</v>
      </c>
      <c r="AB113" s="298">
        <f t="shared" ref="AB113:AC113" si="530">AB12*AB22</f>
        <v>0</v>
      </c>
      <c r="AC113" s="299">
        <f t="shared" si="530"/>
        <v>0</v>
      </c>
      <c r="AD113" s="262">
        <f t="shared" si="423"/>
        <v>0</v>
      </c>
      <c r="AE113" s="298">
        <f t="shared" ref="AE113:AF113" si="531">AE12*AE22</f>
        <v>0</v>
      </c>
      <c r="AF113" s="299">
        <f t="shared" si="531"/>
        <v>0</v>
      </c>
      <c r="AG113" s="262">
        <f t="shared" si="390"/>
        <v>0</v>
      </c>
      <c r="AH113" s="298">
        <f t="shared" ref="AH113:AI113" si="532">AH12*AH22</f>
        <v>0</v>
      </c>
      <c r="AI113" s="299">
        <f t="shared" si="532"/>
        <v>0</v>
      </c>
      <c r="AJ113" s="262">
        <f t="shared" si="392"/>
        <v>0</v>
      </c>
      <c r="AK113" s="298">
        <f t="shared" ref="AK113:AL113" si="533">AK12*AK22</f>
        <v>0</v>
      </c>
      <c r="AL113" s="299">
        <f t="shared" si="533"/>
        <v>0</v>
      </c>
      <c r="AM113" s="262">
        <f t="shared" si="394"/>
        <v>0</v>
      </c>
      <c r="AN113" s="298">
        <f t="shared" ref="AN113:AO113" si="534">AN12*AN22</f>
        <v>0</v>
      </c>
      <c r="AO113" s="299">
        <f t="shared" si="534"/>
        <v>0</v>
      </c>
      <c r="AP113" s="262">
        <f t="shared" si="428"/>
        <v>0</v>
      </c>
      <c r="AQ113" s="298">
        <f t="shared" ref="AQ113:AR113" si="535">AQ12*AQ22</f>
        <v>0</v>
      </c>
      <c r="AR113" s="299">
        <f t="shared" si="535"/>
        <v>0</v>
      </c>
      <c r="AS113" s="262">
        <f t="shared" si="430"/>
        <v>0</v>
      </c>
      <c r="AT113" s="298">
        <f t="shared" ref="AT113:AU113" si="536">AT12*AT22</f>
        <v>0</v>
      </c>
      <c r="AU113" s="299">
        <f t="shared" si="536"/>
        <v>0</v>
      </c>
      <c r="AV113" s="262">
        <f t="shared" si="398"/>
        <v>0</v>
      </c>
      <c r="AW113" s="298">
        <f t="shared" ref="AW113:AX113" si="537">AW12*AW22</f>
        <v>0</v>
      </c>
      <c r="AX113" s="299">
        <f t="shared" si="537"/>
        <v>0</v>
      </c>
      <c r="AY113" s="262">
        <f t="shared" si="400"/>
        <v>0</v>
      </c>
      <c r="AZ113" s="298">
        <f t="shared" ref="AZ113:BA113" si="538">AZ12*AZ22</f>
        <v>0</v>
      </c>
      <c r="BA113" s="299">
        <f t="shared" si="538"/>
        <v>0</v>
      </c>
      <c r="BB113" s="262">
        <f t="shared" si="402"/>
        <v>0</v>
      </c>
      <c r="BC113" s="298">
        <f t="shared" ref="BC113:BD113" si="539">BC12*BC22</f>
        <v>0</v>
      </c>
      <c r="BD113" s="299">
        <f t="shared" si="539"/>
        <v>0</v>
      </c>
      <c r="BE113" s="262">
        <f t="shared" si="435"/>
        <v>0</v>
      </c>
      <c r="BF113" s="298">
        <f t="shared" ref="BF113:BG113" si="540">BF12*BF22</f>
        <v>0</v>
      </c>
      <c r="BG113" s="299">
        <f t="shared" si="540"/>
        <v>0</v>
      </c>
      <c r="BH113" s="262">
        <f t="shared" si="437"/>
        <v>0</v>
      </c>
      <c r="BI113" s="298">
        <f t="shared" si="405"/>
        <v>0</v>
      </c>
      <c r="BJ113" s="299">
        <f t="shared" si="405"/>
        <v>0</v>
      </c>
      <c r="BK113" s="262">
        <f t="shared" si="406"/>
        <v>0</v>
      </c>
      <c r="BL113" s="298">
        <f t="shared" si="407"/>
        <v>0</v>
      </c>
      <c r="BM113" s="299">
        <f t="shared" si="407"/>
        <v>0</v>
      </c>
      <c r="BN113" s="262">
        <f t="shared" si="408"/>
        <v>0</v>
      </c>
      <c r="BO113" s="298">
        <f t="shared" si="409"/>
        <v>0</v>
      </c>
      <c r="BP113" s="299">
        <f t="shared" si="409"/>
        <v>0</v>
      </c>
      <c r="BQ113" s="262">
        <f t="shared" si="410"/>
        <v>0</v>
      </c>
    </row>
    <row r="114" spans="1:70" ht="16" x14ac:dyDescent="0.2">
      <c r="A114" s="1346"/>
      <c r="B114" s="1348"/>
      <c r="C114" s="290" t="s">
        <v>33</v>
      </c>
      <c r="D114" s="291">
        <f t="shared" si="506"/>
        <v>0</v>
      </c>
      <c r="E114" s="292">
        <f t="shared" si="159"/>
        <v>0</v>
      </c>
      <c r="F114" s="293">
        <f t="shared" si="411"/>
        <v>0</v>
      </c>
      <c r="G114" s="298">
        <f t="shared" si="378"/>
        <v>0</v>
      </c>
      <c r="H114" s="299">
        <f t="shared" si="378"/>
        <v>0</v>
      </c>
      <c r="I114" s="262">
        <f t="shared" si="412"/>
        <v>0</v>
      </c>
      <c r="J114" s="298">
        <f t="shared" ref="J114:K114" si="541">J13*J23</f>
        <v>0</v>
      </c>
      <c r="K114" s="299">
        <f t="shared" si="541"/>
        <v>0</v>
      </c>
      <c r="L114" s="262">
        <f t="shared" si="414"/>
        <v>0</v>
      </c>
      <c r="M114" s="298">
        <f t="shared" ref="M114:N114" si="542">M13*M23</f>
        <v>0</v>
      </c>
      <c r="N114" s="299">
        <f t="shared" si="542"/>
        <v>0</v>
      </c>
      <c r="O114" s="262">
        <f t="shared" si="416"/>
        <v>0</v>
      </c>
      <c r="P114" s="298">
        <f t="shared" ref="P114:Q114" si="543">P13*P23</f>
        <v>0</v>
      </c>
      <c r="Q114" s="299">
        <f t="shared" si="543"/>
        <v>0</v>
      </c>
      <c r="R114" s="262">
        <f t="shared" si="382"/>
        <v>0</v>
      </c>
      <c r="S114" s="298">
        <f t="shared" ref="S114:T114" si="544">S13*S23</f>
        <v>0</v>
      </c>
      <c r="T114" s="299">
        <f t="shared" si="544"/>
        <v>0</v>
      </c>
      <c r="U114" s="262">
        <f t="shared" si="384"/>
        <v>0</v>
      </c>
      <c r="V114" s="298">
        <f t="shared" ref="V114:W114" si="545">V13*V23</f>
        <v>0</v>
      </c>
      <c r="W114" s="299">
        <f t="shared" si="545"/>
        <v>0</v>
      </c>
      <c r="X114" s="262">
        <f t="shared" si="386"/>
        <v>0</v>
      </c>
      <c r="Y114" s="298">
        <f t="shared" ref="Y114:Z114" si="546">Y13*Y23</f>
        <v>0</v>
      </c>
      <c r="Z114" s="299">
        <f t="shared" si="546"/>
        <v>0</v>
      </c>
      <c r="AA114" s="262">
        <f t="shared" si="421"/>
        <v>0</v>
      </c>
      <c r="AB114" s="298">
        <f t="shared" ref="AB114:AC114" si="547">AB13*AB23</f>
        <v>0</v>
      </c>
      <c r="AC114" s="299">
        <f t="shared" si="547"/>
        <v>0</v>
      </c>
      <c r="AD114" s="262">
        <f t="shared" si="423"/>
        <v>0</v>
      </c>
      <c r="AE114" s="298">
        <f t="shared" ref="AE114:AF114" si="548">AE13*AE23</f>
        <v>0</v>
      </c>
      <c r="AF114" s="299">
        <f t="shared" si="548"/>
        <v>0</v>
      </c>
      <c r="AG114" s="262">
        <f t="shared" si="390"/>
        <v>0</v>
      </c>
      <c r="AH114" s="298">
        <f t="shared" ref="AH114:AI114" si="549">AH13*AH23</f>
        <v>0</v>
      </c>
      <c r="AI114" s="299">
        <f t="shared" si="549"/>
        <v>0</v>
      </c>
      <c r="AJ114" s="262">
        <f t="shared" si="392"/>
        <v>0</v>
      </c>
      <c r="AK114" s="298">
        <f t="shared" ref="AK114:AL114" si="550">AK13*AK23</f>
        <v>0</v>
      </c>
      <c r="AL114" s="299">
        <f t="shared" si="550"/>
        <v>0</v>
      </c>
      <c r="AM114" s="262">
        <f t="shared" si="394"/>
        <v>0</v>
      </c>
      <c r="AN114" s="298">
        <f t="shared" ref="AN114:AO114" si="551">AN13*AN23</f>
        <v>0</v>
      </c>
      <c r="AO114" s="299">
        <f t="shared" si="551"/>
        <v>0</v>
      </c>
      <c r="AP114" s="262">
        <f t="shared" si="428"/>
        <v>0</v>
      </c>
      <c r="AQ114" s="298">
        <f t="shared" ref="AQ114:AR114" si="552">AQ13*AQ23</f>
        <v>0</v>
      </c>
      <c r="AR114" s="299">
        <f t="shared" si="552"/>
        <v>0</v>
      </c>
      <c r="AS114" s="262">
        <f t="shared" si="430"/>
        <v>0</v>
      </c>
      <c r="AT114" s="298">
        <f t="shared" ref="AT114:AU114" si="553">AT13*AT23</f>
        <v>0</v>
      </c>
      <c r="AU114" s="299">
        <f t="shared" si="553"/>
        <v>0</v>
      </c>
      <c r="AV114" s="262">
        <f t="shared" si="398"/>
        <v>0</v>
      </c>
      <c r="AW114" s="298">
        <f t="shared" ref="AW114:AX114" si="554">AW13*AW23</f>
        <v>0</v>
      </c>
      <c r="AX114" s="299">
        <f t="shared" si="554"/>
        <v>0</v>
      </c>
      <c r="AY114" s="262">
        <f t="shared" si="400"/>
        <v>0</v>
      </c>
      <c r="AZ114" s="298">
        <f t="shared" ref="AZ114:BA114" si="555">AZ13*AZ23</f>
        <v>0</v>
      </c>
      <c r="BA114" s="299">
        <f t="shared" si="555"/>
        <v>0</v>
      </c>
      <c r="BB114" s="262">
        <f t="shared" si="402"/>
        <v>0</v>
      </c>
      <c r="BC114" s="298">
        <f t="shared" ref="BC114:BD114" si="556">BC13*BC23</f>
        <v>0</v>
      </c>
      <c r="BD114" s="299">
        <f t="shared" si="556"/>
        <v>0</v>
      </c>
      <c r="BE114" s="262">
        <f t="shared" si="435"/>
        <v>0</v>
      </c>
      <c r="BF114" s="298">
        <f t="shared" ref="BF114:BG114" si="557">BF13*BF23</f>
        <v>0</v>
      </c>
      <c r="BG114" s="299">
        <f t="shared" si="557"/>
        <v>0</v>
      </c>
      <c r="BH114" s="262">
        <f t="shared" si="437"/>
        <v>0</v>
      </c>
      <c r="BI114" s="298">
        <f t="shared" si="405"/>
        <v>0</v>
      </c>
      <c r="BJ114" s="299">
        <f t="shared" si="405"/>
        <v>0</v>
      </c>
      <c r="BK114" s="262">
        <f t="shared" si="406"/>
        <v>0</v>
      </c>
      <c r="BL114" s="298">
        <f t="shared" si="407"/>
        <v>0</v>
      </c>
      <c r="BM114" s="299">
        <f t="shared" si="407"/>
        <v>0</v>
      </c>
      <c r="BN114" s="262">
        <f t="shared" si="408"/>
        <v>0</v>
      </c>
      <c r="BO114" s="298">
        <f t="shared" si="409"/>
        <v>0</v>
      </c>
      <c r="BP114" s="299">
        <f t="shared" si="409"/>
        <v>0</v>
      </c>
      <c r="BQ114" s="262">
        <f t="shared" si="410"/>
        <v>0</v>
      </c>
    </row>
    <row r="115" spans="1:70" ht="17" thickBot="1" x14ac:dyDescent="0.25">
      <c r="A115" s="1347"/>
      <c r="B115" s="1349"/>
      <c r="C115" s="300" t="s">
        <v>34</v>
      </c>
      <c r="D115" s="301">
        <f t="shared" si="506"/>
        <v>0</v>
      </c>
      <c r="E115" s="302">
        <f t="shared" si="159"/>
        <v>0</v>
      </c>
      <c r="F115" s="303">
        <f t="shared" si="411"/>
        <v>0</v>
      </c>
      <c r="G115" s="304">
        <f t="shared" si="378"/>
        <v>0</v>
      </c>
      <c r="H115" s="305">
        <f t="shared" si="378"/>
        <v>0</v>
      </c>
      <c r="I115" s="267">
        <f t="shared" si="412"/>
        <v>0</v>
      </c>
      <c r="J115" s="304">
        <f t="shared" ref="J115:K115" si="558">J14*J24</f>
        <v>0</v>
      </c>
      <c r="K115" s="305">
        <f t="shared" si="558"/>
        <v>0</v>
      </c>
      <c r="L115" s="267">
        <f t="shared" si="414"/>
        <v>0</v>
      </c>
      <c r="M115" s="304">
        <f t="shared" ref="M115:N115" si="559">M14*M24</f>
        <v>0</v>
      </c>
      <c r="N115" s="305">
        <f t="shared" si="559"/>
        <v>0</v>
      </c>
      <c r="O115" s="267">
        <f t="shared" si="416"/>
        <v>0</v>
      </c>
      <c r="P115" s="304">
        <f t="shared" ref="P115:Q115" si="560">P14*P24</f>
        <v>0</v>
      </c>
      <c r="Q115" s="305">
        <f t="shared" si="560"/>
        <v>0</v>
      </c>
      <c r="R115" s="267">
        <f t="shared" si="382"/>
        <v>0</v>
      </c>
      <c r="S115" s="304">
        <f t="shared" ref="S115:T115" si="561">S14*S24</f>
        <v>0</v>
      </c>
      <c r="T115" s="305">
        <f t="shared" si="561"/>
        <v>0</v>
      </c>
      <c r="U115" s="267">
        <f t="shared" si="384"/>
        <v>0</v>
      </c>
      <c r="V115" s="304">
        <f t="shared" ref="V115:W115" si="562">V14*V24</f>
        <v>0</v>
      </c>
      <c r="W115" s="305">
        <f t="shared" si="562"/>
        <v>0</v>
      </c>
      <c r="X115" s="267">
        <f t="shared" si="386"/>
        <v>0</v>
      </c>
      <c r="Y115" s="304">
        <f t="shared" ref="Y115:Z115" si="563">Y14*Y24</f>
        <v>0</v>
      </c>
      <c r="Z115" s="305">
        <f t="shared" si="563"/>
        <v>0</v>
      </c>
      <c r="AA115" s="267">
        <f t="shared" si="421"/>
        <v>0</v>
      </c>
      <c r="AB115" s="304">
        <f t="shared" ref="AB115:AC115" si="564">AB14*AB24</f>
        <v>0</v>
      </c>
      <c r="AC115" s="305">
        <f t="shared" si="564"/>
        <v>0</v>
      </c>
      <c r="AD115" s="267">
        <f t="shared" si="423"/>
        <v>0</v>
      </c>
      <c r="AE115" s="304">
        <f t="shared" ref="AE115:AF115" si="565">AE14*AE24</f>
        <v>0</v>
      </c>
      <c r="AF115" s="305">
        <f t="shared" si="565"/>
        <v>0</v>
      </c>
      <c r="AG115" s="267">
        <f t="shared" si="390"/>
        <v>0</v>
      </c>
      <c r="AH115" s="304">
        <f t="shared" ref="AH115:AI115" si="566">AH14*AH24</f>
        <v>0</v>
      </c>
      <c r="AI115" s="305">
        <f t="shared" si="566"/>
        <v>0</v>
      </c>
      <c r="AJ115" s="267">
        <f t="shared" si="392"/>
        <v>0</v>
      </c>
      <c r="AK115" s="304">
        <f t="shared" ref="AK115:AL115" si="567">AK14*AK24</f>
        <v>0</v>
      </c>
      <c r="AL115" s="305">
        <f t="shared" si="567"/>
        <v>0</v>
      </c>
      <c r="AM115" s="267">
        <f t="shared" si="394"/>
        <v>0</v>
      </c>
      <c r="AN115" s="304">
        <f t="shared" ref="AN115:AO115" si="568">AN14*AN24</f>
        <v>0</v>
      </c>
      <c r="AO115" s="305">
        <f t="shared" si="568"/>
        <v>0</v>
      </c>
      <c r="AP115" s="267">
        <f t="shared" si="428"/>
        <v>0</v>
      </c>
      <c r="AQ115" s="304">
        <f t="shared" ref="AQ115:AR115" si="569">AQ14*AQ24</f>
        <v>0</v>
      </c>
      <c r="AR115" s="305">
        <f t="shared" si="569"/>
        <v>0</v>
      </c>
      <c r="AS115" s="267">
        <f t="shared" si="430"/>
        <v>0</v>
      </c>
      <c r="AT115" s="304">
        <f t="shared" ref="AT115:AU115" si="570">AT14*AT24</f>
        <v>0</v>
      </c>
      <c r="AU115" s="305">
        <f t="shared" si="570"/>
        <v>0</v>
      </c>
      <c r="AV115" s="267">
        <f t="shared" si="398"/>
        <v>0</v>
      </c>
      <c r="AW115" s="304">
        <f t="shared" ref="AW115:AX115" si="571">AW14*AW24</f>
        <v>0</v>
      </c>
      <c r="AX115" s="305">
        <f t="shared" si="571"/>
        <v>0</v>
      </c>
      <c r="AY115" s="267">
        <f t="shared" si="400"/>
        <v>0</v>
      </c>
      <c r="AZ115" s="304">
        <f t="shared" ref="AZ115:BA115" si="572">AZ14*AZ24</f>
        <v>0</v>
      </c>
      <c r="BA115" s="305">
        <f t="shared" si="572"/>
        <v>0</v>
      </c>
      <c r="BB115" s="267">
        <f t="shared" si="402"/>
        <v>0</v>
      </c>
      <c r="BC115" s="304">
        <f t="shared" ref="BC115:BD115" si="573">BC14*BC24</f>
        <v>0</v>
      </c>
      <c r="BD115" s="305">
        <f t="shared" si="573"/>
        <v>0</v>
      </c>
      <c r="BE115" s="267">
        <f t="shared" si="435"/>
        <v>0</v>
      </c>
      <c r="BF115" s="304">
        <f t="shared" ref="BF115:BG115" si="574">BF14*BF24</f>
        <v>0</v>
      </c>
      <c r="BG115" s="305">
        <f t="shared" si="574"/>
        <v>0</v>
      </c>
      <c r="BH115" s="267">
        <f t="shared" si="437"/>
        <v>0</v>
      </c>
      <c r="BI115" s="304">
        <f t="shared" si="405"/>
        <v>0</v>
      </c>
      <c r="BJ115" s="305">
        <f t="shared" si="405"/>
        <v>0</v>
      </c>
      <c r="BK115" s="267">
        <f t="shared" si="406"/>
        <v>0</v>
      </c>
      <c r="BL115" s="304">
        <f t="shared" si="407"/>
        <v>0</v>
      </c>
      <c r="BM115" s="305">
        <f t="shared" si="407"/>
        <v>0</v>
      </c>
      <c r="BN115" s="267">
        <f t="shared" si="408"/>
        <v>0</v>
      </c>
      <c r="BO115" s="304">
        <f t="shared" si="409"/>
        <v>0</v>
      </c>
      <c r="BP115" s="305">
        <f t="shared" si="409"/>
        <v>0</v>
      </c>
      <c r="BQ115" s="267">
        <f t="shared" si="410"/>
        <v>0</v>
      </c>
    </row>
    <row r="116" spans="1:70" ht="16" x14ac:dyDescent="0.2">
      <c r="A116" s="1346" t="s">
        <v>143</v>
      </c>
      <c r="B116" s="1348" t="s">
        <v>13</v>
      </c>
      <c r="C116" s="290" t="s">
        <v>25</v>
      </c>
      <c r="D116" s="291">
        <f t="shared" ref="D116:D131" si="575">SUM(G116,J116,M116,P116,S116,V116,Y116,AB116,AE116,AH116,AK116,AN116,AQ116,AT116,AW116,AZ116,AZ116,BC116,BF116,BI116,BL116,BO116)</f>
        <v>0</v>
      </c>
      <c r="E116" s="292">
        <f t="shared" si="159"/>
        <v>0</v>
      </c>
      <c r="F116" s="293">
        <f t="shared" ref="F116:F135" si="576">SUM(I116,L116,O116,R116,U116,X116,AA116,AD116,AG116,AJ116,AM116,AP116,AS116,AV116,AY116,BB116,BB116,BE116,BH116,BK116,BN116,BQ116)</f>
        <v>0</v>
      </c>
      <c r="G116" s="306">
        <f t="shared" ref="G116:H125" si="577">G5*G25</f>
        <v>0</v>
      </c>
      <c r="H116" s="307">
        <f t="shared" si="577"/>
        <v>0</v>
      </c>
      <c r="I116" s="257">
        <f>H116-G116</f>
        <v>0</v>
      </c>
      <c r="J116" s="306">
        <f t="shared" ref="J116:K116" si="578">J5*J25</f>
        <v>0</v>
      </c>
      <c r="K116" s="307">
        <f t="shared" si="578"/>
        <v>0</v>
      </c>
      <c r="L116" s="257">
        <f>K116-J116</f>
        <v>0</v>
      </c>
      <c r="M116" s="306">
        <f t="shared" ref="M116:N116" si="579">M5*M25</f>
        <v>0</v>
      </c>
      <c r="N116" s="307">
        <f t="shared" si="579"/>
        <v>0</v>
      </c>
      <c r="O116" s="257">
        <f>N116-M116</f>
        <v>0</v>
      </c>
      <c r="P116" s="306">
        <f t="shared" ref="P116:Q116" si="580">P5*P25</f>
        <v>0</v>
      </c>
      <c r="Q116" s="307">
        <f t="shared" si="580"/>
        <v>0</v>
      </c>
      <c r="R116" s="257">
        <f>Q116-P116</f>
        <v>0</v>
      </c>
      <c r="S116" s="306">
        <f t="shared" ref="S116:T116" si="581">S5*S25</f>
        <v>0</v>
      </c>
      <c r="T116" s="307">
        <f t="shared" si="581"/>
        <v>0</v>
      </c>
      <c r="U116" s="257">
        <f>T116-S116</f>
        <v>0</v>
      </c>
      <c r="V116" s="306">
        <f t="shared" ref="V116:W116" si="582">V5*V25</f>
        <v>0</v>
      </c>
      <c r="W116" s="307">
        <f t="shared" si="582"/>
        <v>0</v>
      </c>
      <c r="X116" s="257">
        <f>W116-V116</f>
        <v>0</v>
      </c>
      <c r="Y116" s="306">
        <f t="shared" ref="Y116:Z116" si="583">Y5*Y25</f>
        <v>0</v>
      </c>
      <c r="Z116" s="307">
        <f t="shared" si="583"/>
        <v>0</v>
      </c>
      <c r="AA116" s="257">
        <f>Z116-Y116</f>
        <v>0</v>
      </c>
      <c r="AB116" s="306">
        <f t="shared" ref="AB116:AC116" si="584">AB5*AB25</f>
        <v>0</v>
      </c>
      <c r="AC116" s="307">
        <f t="shared" si="584"/>
        <v>0</v>
      </c>
      <c r="AD116" s="257">
        <f>AC116-AB116</f>
        <v>0</v>
      </c>
      <c r="AE116" s="306">
        <f t="shared" ref="AE116:AF116" si="585">AE5*AE25</f>
        <v>0</v>
      </c>
      <c r="AF116" s="307">
        <f t="shared" si="585"/>
        <v>0</v>
      </c>
      <c r="AG116" s="257">
        <f>AF116-AE116</f>
        <v>0</v>
      </c>
      <c r="AH116" s="306">
        <f t="shared" ref="AH116:AI116" si="586">AH5*AH25</f>
        <v>0</v>
      </c>
      <c r="AI116" s="307">
        <f t="shared" si="586"/>
        <v>0</v>
      </c>
      <c r="AJ116" s="257">
        <f>AI116-AH116</f>
        <v>0</v>
      </c>
      <c r="AK116" s="306">
        <f t="shared" ref="AK116:AL116" si="587">AK5*AK25</f>
        <v>0</v>
      </c>
      <c r="AL116" s="307">
        <f t="shared" si="587"/>
        <v>0</v>
      </c>
      <c r="AM116" s="257">
        <f>AL116-AK116</f>
        <v>0</v>
      </c>
      <c r="AN116" s="306">
        <f t="shared" ref="AN116:AO116" si="588">AN5*AN25</f>
        <v>0</v>
      </c>
      <c r="AO116" s="307">
        <f t="shared" si="588"/>
        <v>0</v>
      </c>
      <c r="AP116" s="257">
        <f>AO116-AN116</f>
        <v>0</v>
      </c>
      <c r="AQ116" s="306">
        <f t="shared" ref="AQ116:AR116" si="589">AQ5*AQ25</f>
        <v>0</v>
      </c>
      <c r="AR116" s="307">
        <f t="shared" si="589"/>
        <v>0</v>
      </c>
      <c r="AS116" s="257">
        <f>AR116-AQ116</f>
        <v>0</v>
      </c>
      <c r="AT116" s="306">
        <f t="shared" ref="AT116:AU116" si="590">AT5*AT25</f>
        <v>0</v>
      </c>
      <c r="AU116" s="307">
        <f t="shared" si="590"/>
        <v>0</v>
      </c>
      <c r="AV116" s="257">
        <f>AU116-AT116</f>
        <v>0</v>
      </c>
      <c r="AW116" s="306">
        <f t="shared" ref="AW116:AX116" si="591">AW5*AW25</f>
        <v>0</v>
      </c>
      <c r="AX116" s="307">
        <f t="shared" si="591"/>
        <v>0</v>
      </c>
      <c r="AY116" s="257">
        <f>AX116-AW116</f>
        <v>0</v>
      </c>
      <c r="AZ116" s="306">
        <f t="shared" ref="AZ116:BA116" si="592">AZ5*AZ25</f>
        <v>0</v>
      </c>
      <c r="BA116" s="307">
        <f t="shared" si="592"/>
        <v>0</v>
      </c>
      <c r="BB116" s="257">
        <f>BA116-AZ116</f>
        <v>0</v>
      </c>
      <c r="BC116" s="306">
        <f t="shared" ref="BC116:BD116" si="593">BC5*BC25</f>
        <v>0</v>
      </c>
      <c r="BD116" s="307">
        <f t="shared" si="593"/>
        <v>0</v>
      </c>
      <c r="BE116" s="257">
        <f>BD116-BC116</f>
        <v>0</v>
      </c>
      <c r="BF116" s="306">
        <f t="shared" ref="BF116:BG116" si="594">BF5*BF25</f>
        <v>0</v>
      </c>
      <c r="BG116" s="307">
        <f t="shared" si="594"/>
        <v>0</v>
      </c>
      <c r="BH116" s="257">
        <f>BG116-BF116</f>
        <v>0</v>
      </c>
      <c r="BI116" s="306">
        <f t="shared" ref="BI116:BJ125" si="595">BI5*BI25</f>
        <v>0</v>
      </c>
      <c r="BJ116" s="307">
        <f t="shared" si="595"/>
        <v>0</v>
      </c>
      <c r="BK116" s="257">
        <f>BJ116-BI116</f>
        <v>0</v>
      </c>
      <c r="BL116" s="306">
        <f t="shared" ref="BL116:BM125" si="596">BL5*BL25</f>
        <v>0</v>
      </c>
      <c r="BM116" s="307">
        <f t="shared" si="596"/>
        <v>0</v>
      </c>
      <c r="BN116" s="257">
        <f>BM116-BL116</f>
        <v>0</v>
      </c>
      <c r="BO116" s="306">
        <f t="shared" ref="BO116:BP125" si="597">BO5*BO25</f>
        <v>0</v>
      </c>
      <c r="BP116" s="307">
        <f t="shared" si="597"/>
        <v>0</v>
      </c>
      <c r="BQ116" s="257">
        <f>BP116-BO116</f>
        <v>0</v>
      </c>
    </row>
    <row r="117" spans="1:70" ht="16" x14ac:dyDescent="0.2">
      <c r="A117" s="1346"/>
      <c r="B117" s="1348"/>
      <c r="C117" s="290" t="s">
        <v>26</v>
      </c>
      <c r="D117" s="291">
        <f t="shared" si="575"/>
        <v>0</v>
      </c>
      <c r="E117" s="292">
        <f t="shared" si="159"/>
        <v>0</v>
      </c>
      <c r="F117" s="293">
        <f t="shared" si="576"/>
        <v>0</v>
      </c>
      <c r="G117" s="298">
        <f t="shared" si="577"/>
        <v>0</v>
      </c>
      <c r="H117" s="299">
        <f t="shared" si="577"/>
        <v>0</v>
      </c>
      <c r="I117" s="262">
        <f t="shared" ref="I117:I125" si="598">H117-G117</f>
        <v>0</v>
      </c>
      <c r="J117" s="298">
        <f t="shared" ref="J117:K117" si="599">J6*J26</f>
        <v>0</v>
      </c>
      <c r="K117" s="299">
        <f t="shared" si="599"/>
        <v>0</v>
      </c>
      <c r="L117" s="262">
        <f t="shared" ref="L117:L125" si="600">K117-J117</f>
        <v>0</v>
      </c>
      <c r="M117" s="298">
        <f t="shared" ref="M117:N117" si="601">M6*M26</f>
        <v>0</v>
      </c>
      <c r="N117" s="299">
        <f t="shared" si="601"/>
        <v>0</v>
      </c>
      <c r="O117" s="262">
        <f t="shared" ref="O117:O125" si="602">N117-M117</f>
        <v>0</v>
      </c>
      <c r="P117" s="298">
        <f t="shared" ref="P117:Q117" si="603">P6*P26</f>
        <v>0</v>
      </c>
      <c r="Q117" s="299">
        <f t="shared" si="603"/>
        <v>0</v>
      </c>
      <c r="R117" s="262">
        <f t="shared" ref="R117:R125" si="604">Q117-P117</f>
        <v>0</v>
      </c>
      <c r="S117" s="298">
        <f t="shared" ref="S117:T117" si="605">S6*S26</f>
        <v>0</v>
      </c>
      <c r="T117" s="299">
        <f t="shared" si="605"/>
        <v>0</v>
      </c>
      <c r="U117" s="262">
        <f t="shared" ref="U117:U125" si="606">T117-S117</f>
        <v>0</v>
      </c>
      <c r="V117" s="298">
        <f t="shared" ref="V117:W117" si="607">V6*V26</f>
        <v>0</v>
      </c>
      <c r="W117" s="299">
        <f t="shared" si="607"/>
        <v>0</v>
      </c>
      <c r="X117" s="262">
        <f t="shared" ref="X117:X125" si="608">W117-V117</f>
        <v>0</v>
      </c>
      <c r="Y117" s="298">
        <f t="shared" ref="Y117:Z117" si="609">Y6*Y26</f>
        <v>0</v>
      </c>
      <c r="Z117" s="299">
        <f t="shared" si="609"/>
        <v>0</v>
      </c>
      <c r="AA117" s="262">
        <f t="shared" ref="AA117:AA125" si="610">Z117-Y117</f>
        <v>0</v>
      </c>
      <c r="AB117" s="298">
        <f t="shared" ref="AB117:AC117" si="611">AB6*AB26</f>
        <v>0</v>
      </c>
      <c r="AC117" s="299">
        <f t="shared" si="611"/>
        <v>0</v>
      </c>
      <c r="AD117" s="262">
        <f t="shared" ref="AD117:AD125" si="612">AC117-AB117</f>
        <v>0</v>
      </c>
      <c r="AE117" s="298">
        <f t="shared" ref="AE117:AF117" si="613">AE6*AE26</f>
        <v>0</v>
      </c>
      <c r="AF117" s="299">
        <f t="shared" si="613"/>
        <v>0</v>
      </c>
      <c r="AG117" s="262">
        <f t="shared" ref="AG117:AG125" si="614">AF117-AE117</f>
        <v>0</v>
      </c>
      <c r="AH117" s="298">
        <f t="shared" ref="AH117:AI117" si="615">AH6*AH26</f>
        <v>0</v>
      </c>
      <c r="AI117" s="299">
        <f t="shared" si="615"/>
        <v>0</v>
      </c>
      <c r="AJ117" s="262">
        <f t="shared" ref="AJ117:AJ125" si="616">AI117-AH117</f>
        <v>0</v>
      </c>
      <c r="AK117" s="298">
        <f t="shared" ref="AK117:AL117" si="617">AK6*AK26</f>
        <v>0</v>
      </c>
      <c r="AL117" s="299">
        <f t="shared" si="617"/>
        <v>0</v>
      </c>
      <c r="AM117" s="262">
        <f t="shared" ref="AM117:AM125" si="618">AL117-AK117</f>
        <v>0</v>
      </c>
      <c r="AN117" s="298">
        <f t="shared" ref="AN117:AO117" si="619">AN6*AN26</f>
        <v>0</v>
      </c>
      <c r="AO117" s="299">
        <f t="shared" si="619"/>
        <v>0</v>
      </c>
      <c r="AP117" s="262">
        <f t="shared" ref="AP117:AP125" si="620">AO117-AN117</f>
        <v>0</v>
      </c>
      <c r="AQ117" s="298">
        <f t="shared" ref="AQ117:AR117" si="621">AQ6*AQ26</f>
        <v>0</v>
      </c>
      <c r="AR117" s="299">
        <f t="shared" si="621"/>
        <v>0</v>
      </c>
      <c r="AS117" s="262">
        <f t="shared" ref="AS117:AS125" si="622">AR117-AQ117</f>
        <v>0</v>
      </c>
      <c r="AT117" s="298">
        <f t="shared" ref="AT117:AU117" si="623">AT6*AT26</f>
        <v>0</v>
      </c>
      <c r="AU117" s="299">
        <f t="shared" si="623"/>
        <v>0</v>
      </c>
      <c r="AV117" s="262">
        <f t="shared" ref="AV117:AV125" si="624">AU117-AT117</f>
        <v>0</v>
      </c>
      <c r="AW117" s="298">
        <f t="shared" ref="AW117:AX117" si="625">AW6*AW26</f>
        <v>0</v>
      </c>
      <c r="AX117" s="299">
        <f t="shared" si="625"/>
        <v>0</v>
      </c>
      <c r="AY117" s="262">
        <f t="shared" ref="AY117:AY125" si="626">AX117-AW117</f>
        <v>0</v>
      </c>
      <c r="AZ117" s="298">
        <f t="shared" ref="AZ117:BA117" si="627">AZ6*AZ26</f>
        <v>0</v>
      </c>
      <c r="BA117" s="299">
        <f t="shared" si="627"/>
        <v>0</v>
      </c>
      <c r="BB117" s="262">
        <f t="shared" ref="BB117:BB125" si="628">BA117-AZ117</f>
        <v>0</v>
      </c>
      <c r="BC117" s="298">
        <f t="shared" ref="BC117:BD117" si="629">BC6*BC26</f>
        <v>0</v>
      </c>
      <c r="BD117" s="299">
        <f t="shared" si="629"/>
        <v>0</v>
      </c>
      <c r="BE117" s="262">
        <f t="shared" ref="BE117:BE125" si="630">BD117-BC117</f>
        <v>0</v>
      </c>
      <c r="BF117" s="298">
        <f t="shared" ref="BF117:BG117" si="631">BF6*BF26</f>
        <v>0</v>
      </c>
      <c r="BG117" s="299">
        <f t="shared" si="631"/>
        <v>0</v>
      </c>
      <c r="BH117" s="262">
        <f t="shared" ref="BH117:BH125" si="632">BG117-BF117</f>
        <v>0</v>
      </c>
      <c r="BI117" s="298">
        <f t="shared" si="595"/>
        <v>0</v>
      </c>
      <c r="BJ117" s="299">
        <f t="shared" si="595"/>
        <v>0</v>
      </c>
      <c r="BK117" s="262">
        <f t="shared" ref="BK117:BK125" si="633">BJ117-BI117</f>
        <v>0</v>
      </c>
      <c r="BL117" s="298">
        <f t="shared" si="596"/>
        <v>0</v>
      </c>
      <c r="BM117" s="299">
        <f t="shared" si="596"/>
        <v>0</v>
      </c>
      <c r="BN117" s="262">
        <f t="shared" ref="BN117:BN125" si="634">BM117-BL117</f>
        <v>0</v>
      </c>
      <c r="BO117" s="298">
        <f t="shared" si="597"/>
        <v>0</v>
      </c>
      <c r="BP117" s="299">
        <f t="shared" si="597"/>
        <v>0</v>
      </c>
      <c r="BQ117" s="262">
        <f t="shared" ref="BQ117:BQ125" si="635">BP117-BO117</f>
        <v>0</v>
      </c>
    </row>
    <row r="118" spans="1:70" ht="16" x14ac:dyDescent="0.2">
      <c r="A118" s="1346"/>
      <c r="B118" s="1348"/>
      <c r="C118" s="290" t="s">
        <v>27</v>
      </c>
      <c r="D118" s="291">
        <f t="shared" si="575"/>
        <v>0</v>
      </c>
      <c r="E118" s="292">
        <f t="shared" si="159"/>
        <v>0</v>
      </c>
      <c r="F118" s="293">
        <f t="shared" si="576"/>
        <v>0</v>
      </c>
      <c r="G118" s="298">
        <f t="shared" si="577"/>
        <v>0</v>
      </c>
      <c r="H118" s="299">
        <f t="shared" si="577"/>
        <v>0</v>
      </c>
      <c r="I118" s="262">
        <f t="shared" si="598"/>
        <v>0</v>
      </c>
      <c r="J118" s="298">
        <f t="shared" ref="J118:K118" si="636">J7*J27</f>
        <v>0</v>
      </c>
      <c r="K118" s="299">
        <f t="shared" si="636"/>
        <v>0</v>
      </c>
      <c r="L118" s="262">
        <f t="shared" si="600"/>
        <v>0</v>
      </c>
      <c r="M118" s="298">
        <f t="shared" ref="M118:N118" si="637">M7*M27</f>
        <v>0</v>
      </c>
      <c r="N118" s="299">
        <f t="shared" si="637"/>
        <v>0</v>
      </c>
      <c r="O118" s="262">
        <f t="shared" si="602"/>
        <v>0</v>
      </c>
      <c r="P118" s="298">
        <f t="shared" ref="P118:Q118" si="638">P7*P27</f>
        <v>0</v>
      </c>
      <c r="Q118" s="299">
        <f t="shared" si="638"/>
        <v>0</v>
      </c>
      <c r="R118" s="262">
        <f t="shared" si="604"/>
        <v>0</v>
      </c>
      <c r="S118" s="298">
        <f t="shared" ref="S118:T118" si="639">S7*S27</f>
        <v>0</v>
      </c>
      <c r="T118" s="299">
        <f t="shared" si="639"/>
        <v>0</v>
      </c>
      <c r="U118" s="262">
        <f t="shared" si="606"/>
        <v>0</v>
      </c>
      <c r="V118" s="298">
        <f t="shared" ref="V118:W118" si="640">V7*V27</f>
        <v>0</v>
      </c>
      <c r="W118" s="299">
        <f t="shared" si="640"/>
        <v>0</v>
      </c>
      <c r="X118" s="262">
        <f t="shared" si="608"/>
        <v>0</v>
      </c>
      <c r="Y118" s="298">
        <f t="shared" ref="Y118:Z118" si="641">Y7*Y27</f>
        <v>0</v>
      </c>
      <c r="Z118" s="299">
        <f t="shared" si="641"/>
        <v>0</v>
      </c>
      <c r="AA118" s="262">
        <f t="shared" si="610"/>
        <v>0</v>
      </c>
      <c r="AB118" s="298">
        <f t="shared" ref="AB118:AC118" si="642">AB7*AB27</f>
        <v>0</v>
      </c>
      <c r="AC118" s="299">
        <f t="shared" si="642"/>
        <v>0</v>
      </c>
      <c r="AD118" s="262">
        <f t="shared" si="612"/>
        <v>0</v>
      </c>
      <c r="AE118" s="298">
        <f t="shared" ref="AE118:AF118" si="643">AE7*AE27</f>
        <v>0</v>
      </c>
      <c r="AF118" s="299">
        <f t="shared" si="643"/>
        <v>0</v>
      </c>
      <c r="AG118" s="262">
        <f t="shared" si="614"/>
        <v>0</v>
      </c>
      <c r="AH118" s="298">
        <f t="shared" ref="AH118:AI118" si="644">AH7*AH27</f>
        <v>0</v>
      </c>
      <c r="AI118" s="299">
        <f t="shared" si="644"/>
        <v>0</v>
      </c>
      <c r="AJ118" s="262">
        <f t="shared" si="616"/>
        <v>0</v>
      </c>
      <c r="AK118" s="298">
        <f t="shared" ref="AK118:AL118" si="645">AK7*AK27</f>
        <v>0</v>
      </c>
      <c r="AL118" s="299">
        <f t="shared" si="645"/>
        <v>0</v>
      </c>
      <c r="AM118" s="262">
        <f t="shared" si="618"/>
        <v>0</v>
      </c>
      <c r="AN118" s="298">
        <f t="shared" ref="AN118:AO118" si="646">AN7*AN27</f>
        <v>0</v>
      </c>
      <c r="AO118" s="299">
        <f t="shared" si="646"/>
        <v>0</v>
      </c>
      <c r="AP118" s="262">
        <f t="shared" si="620"/>
        <v>0</v>
      </c>
      <c r="AQ118" s="298">
        <f t="shared" ref="AQ118:AR118" si="647">AQ7*AQ27</f>
        <v>0</v>
      </c>
      <c r="AR118" s="299">
        <f t="shared" si="647"/>
        <v>0</v>
      </c>
      <c r="AS118" s="262">
        <f t="shared" si="622"/>
        <v>0</v>
      </c>
      <c r="AT118" s="298">
        <f t="shared" ref="AT118:AU118" si="648">AT7*AT27</f>
        <v>0</v>
      </c>
      <c r="AU118" s="299">
        <f t="shared" si="648"/>
        <v>0</v>
      </c>
      <c r="AV118" s="262">
        <f t="shared" si="624"/>
        <v>0</v>
      </c>
      <c r="AW118" s="298">
        <f t="shared" ref="AW118:AX118" si="649">AW7*AW27</f>
        <v>0</v>
      </c>
      <c r="AX118" s="299">
        <f t="shared" si="649"/>
        <v>0</v>
      </c>
      <c r="AY118" s="262">
        <f t="shared" si="626"/>
        <v>0</v>
      </c>
      <c r="AZ118" s="298">
        <f t="shared" ref="AZ118:BA118" si="650">AZ7*AZ27</f>
        <v>0</v>
      </c>
      <c r="BA118" s="299">
        <f t="shared" si="650"/>
        <v>0</v>
      </c>
      <c r="BB118" s="262">
        <f t="shared" si="628"/>
        <v>0</v>
      </c>
      <c r="BC118" s="298">
        <f t="shared" ref="BC118:BD118" si="651">BC7*BC27</f>
        <v>0</v>
      </c>
      <c r="BD118" s="299">
        <f t="shared" si="651"/>
        <v>0</v>
      </c>
      <c r="BE118" s="262">
        <f t="shared" si="630"/>
        <v>0</v>
      </c>
      <c r="BF118" s="298">
        <f t="shared" ref="BF118:BG118" si="652">BF7*BF27</f>
        <v>0</v>
      </c>
      <c r="BG118" s="299">
        <f t="shared" si="652"/>
        <v>0</v>
      </c>
      <c r="BH118" s="262">
        <f t="shared" si="632"/>
        <v>0</v>
      </c>
      <c r="BI118" s="298">
        <f t="shared" si="595"/>
        <v>0</v>
      </c>
      <c r="BJ118" s="299">
        <f t="shared" si="595"/>
        <v>0</v>
      </c>
      <c r="BK118" s="262">
        <f t="shared" si="633"/>
        <v>0</v>
      </c>
      <c r="BL118" s="298">
        <f t="shared" si="596"/>
        <v>0</v>
      </c>
      <c r="BM118" s="299">
        <f t="shared" si="596"/>
        <v>0</v>
      </c>
      <c r="BN118" s="262">
        <f t="shared" si="634"/>
        <v>0</v>
      </c>
      <c r="BO118" s="298">
        <f t="shared" si="597"/>
        <v>0</v>
      </c>
      <c r="BP118" s="299">
        <f t="shared" si="597"/>
        <v>0</v>
      </c>
      <c r="BQ118" s="262">
        <f t="shared" si="635"/>
        <v>0</v>
      </c>
    </row>
    <row r="119" spans="1:70" ht="16" x14ac:dyDescent="0.2">
      <c r="A119" s="1346"/>
      <c r="B119" s="1348"/>
      <c r="C119" s="290" t="s">
        <v>28</v>
      </c>
      <c r="D119" s="291">
        <f t="shared" si="575"/>
        <v>0</v>
      </c>
      <c r="E119" s="292">
        <f t="shared" si="159"/>
        <v>0</v>
      </c>
      <c r="F119" s="293">
        <f t="shared" si="576"/>
        <v>0</v>
      </c>
      <c r="G119" s="298">
        <f t="shared" si="577"/>
        <v>0</v>
      </c>
      <c r="H119" s="299">
        <f t="shared" si="577"/>
        <v>0</v>
      </c>
      <c r="I119" s="262">
        <f t="shared" si="598"/>
        <v>0</v>
      </c>
      <c r="J119" s="298">
        <f t="shared" ref="J119:K119" si="653">J8*J28</f>
        <v>0</v>
      </c>
      <c r="K119" s="299">
        <f t="shared" si="653"/>
        <v>0</v>
      </c>
      <c r="L119" s="262">
        <f t="shared" si="600"/>
        <v>0</v>
      </c>
      <c r="M119" s="298">
        <f t="shared" ref="M119:N119" si="654">M8*M28</f>
        <v>0</v>
      </c>
      <c r="N119" s="299">
        <f t="shared" si="654"/>
        <v>0</v>
      </c>
      <c r="O119" s="262">
        <f t="shared" si="602"/>
        <v>0</v>
      </c>
      <c r="P119" s="298">
        <f t="shared" ref="P119:Q119" si="655">P8*P28</f>
        <v>0</v>
      </c>
      <c r="Q119" s="299">
        <f t="shared" si="655"/>
        <v>0</v>
      </c>
      <c r="R119" s="262">
        <f t="shared" si="604"/>
        <v>0</v>
      </c>
      <c r="S119" s="298">
        <f t="shared" ref="S119:T119" si="656">S8*S28</f>
        <v>0</v>
      </c>
      <c r="T119" s="299">
        <f t="shared" si="656"/>
        <v>0</v>
      </c>
      <c r="U119" s="262">
        <f t="shared" si="606"/>
        <v>0</v>
      </c>
      <c r="V119" s="298">
        <f t="shared" ref="V119:W119" si="657">V8*V28</f>
        <v>0</v>
      </c>
      <c r="W119" s="299">
        <f t="shared" si="657"/>
        <v>0</v>
      </c>
      <c r="X119" s="262">
        <f t="shared" si="608"/>
        <v>0</v>
      </c>
      <c r="Y119" s="298">
        <f t="shared" ref="Y119:Z119" si="658">Y8*Y28</f>
        <v>0</v>
      </c>
      <c r="Z119" s="299">
        <f t="shared" si="658"/>
        <v>0</v>
      </c>
      <c r="AA119" s="262">
        <f t="shared" si="610"/>
        <v>0</v>
      </c>
      <c r="AB119" s="298">
        <f t="shared" ref="AB119:AC119" si="659">AB8*AB28</f>
        <v>0</v>
      </c>
      <c r="AC119" s="299">
        <f t="shared" si="659"/>
        <v>0</v>
      </c>
      <c r="AD119" s="262">
        <f t="shared" si="612"/>
        <v>0</v>
      </c>
      <c r="AE119" s="298">
        <f t="shared" ref="AE119:AF119" si="660">AE8*AE28</f>
        <v>0</v>
      </c>
      <c r="AF119" s="299">
        <f t="shared" si="660"/>
        <v>0</v>
      </c>
      <c r="AG119" s="262">
        <f t="shared" si="614"/>
        <v>0</v>
      </c>
      <c r="AH119" s="298">
        <f t="shared" ref="AH119:AI119" si="661">AH8*AH28</f>
        <v>0</v>
      </c>
      <c r="AI119" s="299">
        <f t="shared" si="661"/>
        <v>0</v>
      </c>
      <c r="AJ119" s="262">
        <f t="shared" si="616"/>
        <v>0</v>
      </c>
      <c r="AK119" s="298">
        <f t="shared" ref="AK119:AL119" si="662">AK8*AK28</f>
        <v>0</v>
      </c>
      <c r="AL119" s="299">
        <f t="shared" si="662"/>
        <v>0</v>
      </c>
      <c r="AM119" s="262">
        <f t="shared" si="618"/>
        <v>0</v>
      </c>
      <c r="AN119" s="298">
        <f t="shared" ref="AN119:AO119" si="663">AN8*AN28</f>
        <v>0</v>
      </c>
      <c r="AO119" s="299">
        <f t="shared" si="663"/>
        <v>0</v>
      </c>
      <c r="AP119" s="262">
        <f t="shared" si="620"/>
        <v>0</v>
      </c>
      <c r="AQ119" s="298">
        <f t="shared" ref="AQ119:AR119" si="664">AQ8*AQ28</f>
        <v>0</v>
      </c>
      <c r="AR119" s="299">
        <f t="shared" si="664"/>
        <v>0</v>
      </c>
      <c r="AS119" s="262">
        <f t="shared" si="622"/>
        <v>0</v>
      </c>
      <c r="AT119" s="298">
        <f t="shared" ref="AT119:AU119" si="665">AT8*AT28</f>
        <v>0</v>
      </c>
      <c r="AU119" s="299">
        <f t="shared" si="665"/>
        <v>0</v>
      </c>
      <c r="AV119" s="262">
        <f t="shared" si="624"/>
        <v>0</v>
      </c>
      <c r="AW119" s="298">
        <f t="shared" ref="AW119:AX119" si="666">AW8*AW28</f>
        <v>0</v>
      </c>
      <c r="AX119" s="299">
        <f t="shared" si="666"/>
        <v>0</v>
      </c>
      <c r="AY119" s="262">
        <f t="shared" si="626"/>
        <v>0</v>
      </c>
      <c r="AZ119" s="298">
        <f t="shared" ref="AZ119:BA119" si="667">AZ8*AZ28</f>
        <v>0</v>
      </c>
      <c r="BA119" s="299">
        <f t="shared" si="667"/>
        <v>0</v>
      </c>
      <c r="BB119" s="262">
        <f t="shared" si="628"/>
        <v>0</v>
      </c>
      <c r="BC119" s="298">
        <f t="shared" ref="BC119:BD119" si="668">BC8*BC28</f>
        <v>0</v>
      </c>
      <c r="BD119" s="299">
        <f t="shared" si="668"/>
        <v>0</v>
      </c>
      <c r="BE119" s="262">
        <f t="shared" si="630"/>
        <v>0</v>
      </c>
      <c r="BF119" s="298">
        <f t="shared" ref="BF119:BG119" si="669">BF8*BF28</f>
        <v>0</v>
      </c>
      <c r="BG119" s="299">
        <f t="shared" si="669"/>
        <v>0</v>
      </c>
      <c r="BH119" s="262">
        <f t="shared" si="632"/>
        <v>0</v>
      </c>
      <c r="BI119" s="298">
        <f t="shared" si="595"/>
        <v>0</v>
      </c>
      <c r="BJ119" s="299">
        <f t="shared" si="595"/>
        <v>0</v>
      </c>
      <c r="BK119" s="262">
        <f t="shared" si="633"/>
        <v>0</v>
      </c>
      <c r="BL119" s="298">
        <f t="shared" si="596"/>
        <v>0</v>
      </c>
      <c r="BM119" s="299">
        <f t="shared" si="596"/>
        <v>0</v>
      </c>
      <c r="BN119" s="262">
        <f t="shared" si="634"/>
        <v>0</v>
      </c>
      <c r="BO119" s="298">
        <f t="shared" si="597"/>
        <v>0</v>
      </c>
      <c r="BP119" s="299">
        <f t="shared" si="597"/>
        <v>0</v>
      </c>
      <c r="BQ119" s="262">
        <f t="shared" si="635"/>
        <v>0</v>
      </c>
    </row>
    <row r="120" spans="1:70" ht="16" x14ac:dyDescent="0.2">
      <c r="A120" s="1346"/>
      <c r="B120" s="1348"/>
      <c r="C120" s="290" t="s">
        <v>29</v>
      </c>
      <c r="D120" s="291">
        <f t="shared" si="575"/>
        <v>0</v>
      </c>
      <c r="E120" s="292">
        <f t="shared" si="159"/>
        <v>0</v>
      </c>
      <c r="F120" s="293">
        <f t="shared" si="576"/>
        <v>0</v>
      </c>
      <c r="G120" s="298">
        <f t="shared" si="577"/>
        <v>0</v>
      </c>
      <c r="H120" s="299">
        <f t="shared" si="577"/>
        <v>0</v>
      </c>
      <c r="I120" s="262">
        <f t="shared" si="598"/>
        <v>0</v>
      </c>
      <c r="J120" s="298">
        <f t="shared" ref="J120:K120" si="670">J9*J29</f>
        <v>0</v>
      </c>
      <c r="K120" s="299">
        <f t="shared" si="670"/>
        <v>0</v>
      </c>
      <c r="L120" s="262">
        <f t="shared" si="600"/>
        <v>0</v>
      </c>
      <c r="M120" s="298">
        <f t="shared" ref="M120:N120" si="671">M9*M29</f>
        <v>0</v>
      </c>
      <c r="N120" s="299">
        <f t="shared" si="671"/>
        <v>0</v>
      </c>
      <c r="O120" s="262">
        <f t="shared" si="602"/>
        <v>0</v>
      </c>
      <c r="P120" s="298">
        <f t="shared" ref="P120:Q120" si="672">P9*P29</f>
        <v>0</v>
      </c>
      <c r="Q120" s="299">
        <f t="shared" si="672"/>
        <v>0</v>
      </c>
      <c r="R120" s="262">
        <f t="shared" si="604"/>
        <v>0</v>
      </c>
      <c r="S120" s="298">
        <f t="shared" ref="S120:T120" si="673">S9*S29</f>
        <v>0</v>
      </c>
      <c r="T120" s="299">
        <f t="shared" si="673"/>
        <v>0</v>
      </c>
      <c r="U120" s="262">
        <f t="shared" si="606"/>
        <v>0</v>
      </c>
      <c r="V120" s="298">
        <f t="shared" ref="V120:W120" si="674">V9*V29</f>
        <v>0</v>
      </c>
      <c r="W120" s="299">
        <f t="shared" si="674"/>
        <v>0</v>
      </c>
      <c r="X120" s="262">
        <f t="shared" si="608"/>
        <v>0</v>
      </c>
      <c r="Y120" s="298">
        <f t="shared" ref="Y120:Z120" si="675">Y9*Y29</f>
        <v>0</v>
      </c>
      <c r="Z120" s="299">
        <f t="shared" si="675"/>
        <v>0</v>
      </c>
      <c r="AA120" s="262">
        <f t="shared" si="610"/>
        <v>0</v>
      </c>
      <c r="AB120" s="298">
        <f t="shared" ref="AB120:AC120" si="676">AB9*AB29</f>
        <v>0</v>
      </c>
      <c r="AC120" s="299">
        <f t="shared" si="676"/>
        <v>0</v>
      </c>
      <c r="AD120" s="262">
        <f t="shared" si="612"/>
        <v>0</v>
      </c>
      <c r="AE120" s="298">
        <f t="shared" ref="AE120:AF120" si="677">AE9*AE29</f>
        <v>0</v>
      </c>
      <c r="AF120" s="299">
        <f t="shared" si="677"/>
        <v>0</v>
      </c>
      <c r="AG120" s="262">
        <f t="shared" si="614"/>
        <v>0</v>
      </c>
      <c r="AH120" s="298">
        <f t="shared" ref="AH120:AI120" si="678">AH9*AH29</f>
        <v>0</v>
      </c>
      <c r="AI120" s="299">
        <f t="shared" si="678"/>
        <v>0</v>
      </c>
      <c r="AJ120" s="262">
        <f t="shared" si="616"/>
        <v>0</v>
      </c>
      <c r="AK120" s="298">
        <f t="shared" ref="AK120:AL120" si="679">AK9*AK29</f>
        <v>0</v>
      </c>
      <c r="AL120" s="299">
        <f t="shared" si="679"/>
        <v>0</v>
      </c>
      <c r="AM120" s="262">
        <f t="shared" si="618"/>
        <v>0</v>
      </c>
      <c r="AN120" s="298">
        <f t="shared" ref="AN120:AO120" si="680">AN9*AN29</f>
        <v>0</v>
      </c>
      <c r="AO120" s="299">
        <f t="shared" si="680"/>
        <v>0</v>
      </c>
      <c r="AP120" s="262">
        <f t="shared" si="620"/>
        <v>0</v>
      </c>
      <c r="AQ120" s="298">
        <f t="shared" ref="AQ120:AR120" si="681">AQ9*AQ29</f>
        <v>0</v>
      </c>
      <c r="AR120" s="299">
        <f t="shared" si="681"/>
        <v>0</v>
      </c>
      <c r="AS120" s="262">
        <f t="shared" si="622"/>
        <v>0</v>
      </c>
      <c r="AT120" s="298">
        <f t="shared" ref="AT120:AU120" si="682">AT9*AT29</f>
        <v>0</v>
      </c>
      <c r="AU120" s="299">
        <f t="shared" si="682"/>
        <v>0</v>
      </c>
      <c r="AV120" s="262">
        <f t="shared" si="624"/>
        <v>0</v>
      </c>
      <c r="AW120" s="298">
        <f t="shared" ref="AW120:AX120" si="683">AW9*AW29</f>
        <v>0</v>
      </c>
      <c r="AX120" s="299">
        <f t="shared" si="683"/>
        <v>0</v>
      </c>
      <c r="AY120" s="262">
        <f t="shared" si="626"/>
        <v>0</v>
      </c>
      <c r="AZ120" s="298">
        <f t="shared" ref="AZ120:BA120" si="684">AZ9*AZ29</f>
        <v>0</v>
      </c>
      <c r="BA120" s="299">
        <f t="shared" si="684"/>
        <v>0</v>
      </c>
      <c r="BB120" s="262">
        <f t="shared" si="628"/>
        <v>0</v>
      </c>
      <c r="BC120" s="298">
        <f t="shared" ref="BC120:BD120" si="685">BC9*BC29</f>
        <v>0</v>
      </c>
      <c r="BD120" s="299">
        <f t="shared" si="685"/>
        <v>0</v>
      </c>
      <c r="BE120" s="262">
        <f t="shared" si="630"/>
        <v>0</v>
      </c>
      <c r="BF120" s="298">
        <f t="shared" ref="BF120:BG120" si="686">BF9*BF29</f>
        <v>0</v>
      </c>
      <c r="BG120" s="299">
        <f t="shared" si="686"/>
        <v>0</v>
      </c>
      <c r="BH120" s="262">
        <f t="shared" si="632"/>
        <v>0</v>
      </c>
      <c r="BI120" s="298">
        <f t="shared" si="595"/>
        <v>0</v>
      </c>
      <c r="BJ120" s="299">
        <f t="shared" si="595"/>
        <v>0</v>
      </c>
      <c r="BK120" s="262">
        <f t="shared" si="633"/>
        <v>0</v>
      </c>
      <c r="BL120" s="298">
        <f t="shared" si="596"/>
        <v>0</v>
      </c>
      <c r="BM120" s="299">
        <f t="shared" si="596"/>
        <v>0</v>
      </c>
      <c r="BN120" s="262">
        <f t="shared" si="634"/>
        <v>0</v>
      </c>
      <c r="BO120" s="298">
        <f t="shared" si="597"/>
        <v>0</v>
      </c>
      <c r="BP120" s="299">
        <f t="shared" si="597"/>
        <v>0</v>
      </c>
      <c r="BQ120" s="262">
        <f t="shared" si="635"/>
        <v>0</v>
      </c>
    </row>
    <row r="121" spans="1:70" ht="16" x14ac:dyDescent="0.2">
      <c r="A121" s="1346"/>
      <c r="B121" s="1348"/>
      <c r="C121" s="290" t="s">
        <v>30</v>
      </c>
      <c r="D121" s="291">
        <f t="shared" si="575"/>
        <v>0</v>
      </c>
      <c r="E121" s="292">
        <f t="shared" si="159"/>
        <v>0</v>
      </c>
      <c r="F121" s="293">
        <f t="shared" si="576"/>
        <v>0</v>
      </c>
      <c r="G121" s="298">
        <f t="shared" si="577"/>
        <v>0</v>
      </c>
      <c r="H121" s="299">
        <f t="shared" si="577"/>
        <v>0</v>
      </c>
      <c r="I121" s="262">
        <f t="shared" si="598"/>
        <v>0</v>
      </c>
      <c r="J121" s="298">
        <f t="shared" ref="J121:K121" si="687">J10*J30</f>
        <v>0</v>
      </c>
      <c r="K121" s="299">
        <f t="shared" si="687"/>
        <v>0</v>
      </c>
      <c r="L121" s="262">
        <f t="shared" si="600"/>
        <v>0</v>
      </c>
      <c r="M121" s="298">
        <f t="shared" ref="M121:N121" si="688">M10*M30</f>
        <v>0</v>
      </c>
      <c r="N121" s="299">
        <f t="shared" si="688"/>
        <v>0</v>
      </c>
      <c r="O121" s="262">
        <f t="shared" si="602"/>
        <v>0</v>
      </c>
      <c r="P121" s="298">
        <f t="shared" ref="P121:Q121" si="689">P10*P30</f>
        <v>0</v>
      </c>
      <c r="Q121" s="299">
        <f t="shared" si="689"/>
        <v>0</v>
      </c>
      <c r="R121" s="262">
        <f t="shared" si="604"/>
        <v>0</v>
      </c>
      <c r="S121" s="298">
        <f t="shared" ref="S121:T121" si="690">S10*S30</f>
        <v>0</v>
      </c>
      <c r="T121" s="299">
        <f t="shared" si="690"/>
        <v>0</v>
      </c>
      <c r="U121" s="262">
        <f t="shared" si="606"/>
        <v>0</v>
      </c>
      <c r="V121" s="298">
        <f t="shared" ref="V121:W121" si="691">V10*V30</f>
        <v>0</v>
      </c>
      <c r="W121" s="299">
        <f t="shared" si="691"/>
        <v>0</v>
      </c>
      <c r="X121" s="262">
        <f t="shared" si="608"/>
        <v>0</v>
      </c>
      <c r="Y121" s="298">
        <f t="shared" ref="Y121:Z121" si="692">Y10*Y30</f>
        <v>0</v>
      </c>
      <c r="Z121" s="299">
        <f t="shared" si="692"/>
        <v>0</v>
      </c>
      <c r="AA121" s="262">
        <f t="shared" si="610"/>
        <v>0</v>
      </c>
      <c r="AB121" s="298">
        <f t="shared" ref="AB121:AC121" si="693">AB10*AB30</f>
        <v>0</v>
      </c>
      <c r="AC121" s="299">
        <f t="shared" si="693"/>
        <v>0</v>
      </c>
      <c r="AD121" s="262">
        <f t="shared" si="612"/>
        <v>0</v>
      </c>
      <c r="AE121" s="298">
        <f t="shared" ref="AE121:AF121" si="694">AE10*AE30</f>
        <v>0</v>
      </c>
      <c r="AF121" s="299">
        <f t="shared" si="694"/>
        <v>0</v>
      </c>
      <c r="AG121" s="262">
        <f t="shared" si="614"/>
        <v>0</v>
      </c>
      <c r="AH121" s="298">
        <f t="shared" ref="AH121:AI121" si="695">AH10*AH30</f>
        <v>0</v>
      </c>
      <c r="AI121" s="299">
        <f t="shared" si="695"/>
        <v>0</v>
      </c>
      <c r="AJ121" s="262">
        <f t="shared" si="616"/>
        <v>0</v>
      </c>
      <c r="AK121" s="298">
        <f t="shared" ref="AK121:AL121" si="696">AK10*AK30</f>
        <v>0</v>
      </c>
      <c r="AL121" s="299">
        <f t="shared" si="696"/>
        <v>0</v>
      </c>
      <c r="AM121" s="262">
        <f t="shared" si="618"/>
        <v>0</v>
      </c>
      <c r="AN121" s="298">
        <f t="shared" ref="AN121:AO121" si="697">AN10*AN30</f>
        <v>0</v>
      </c>
      <c r="AO121" s="299">
        <f t="shared" si="697"/>
        <v>0</v>
      </c>
      <c r="AP121" s="262">
        <f t="shared" si="620"/>
        <v>0</v>
      </c>
      <c r="AQ121" s="298">
        <f t="shared" ref="AQ121:AR121" si="698">AQ10*AQ30</f>
        <v>0</v>
      </c>
      <c r="AR121" s="299">
        <f t="shared" si="698"/>
        <v>0</v>
      </c>
      <c r="AS121" s="262">
        <f t="shared" si="622"/>
        <v>0</v>
      </c>
      <c r="AT121" s="298">
        <f t="shared" ref="AT121:AU121" si="699">AT10*AT30</f>
        <v>0</v>
      </c>
      <c r="AU121" s="299">
        <f t="shared" si="699"/>
        <v>0</v>
      </c>
      <c r="AV121" s="262">
        <f t="shared" si="624"/>
        <v>0</v>
      </c>
      <c r="AW121" s="298">
        <f t="shared" ref="AW121:AX121" si="700">AW10*AW30</f>
        <v>0</v>
      </c>
      <c r="AX121" s="299">
        <f t="shared" si="700"/>
        <v>0</v>
      </c>
      <c r="AY121" s="262">
        <f t="shared" si="626"/>
        <v>0</v>
      </c>
      <c r="AZ121" s="298">
        <f t="shared" ref="AZ121:BA121" si="701">AZ10*AZ30</f>
        <v>0</v>
      </c>
      <c r="BA121" s="299">
        <f t="shared" si="701"/>
        <v>0</v>
      </c>
      <c r="BB121" s="262">
        <f t="shared" si="628"/>
        <v>0</v>
      </c>
      <c r="BC121" s="298">
        <f t="shared" ref="BC121:BD121" si="702">BC10*BC30</f>
        <v>0</v>
      </c>
      <c r="BD121" s="299">
        <f t="shared" si="702"/>
        <v>0</v>
      </c>
      <c r="BE121" s="262">
        <f t="shared" si="630"/>
        <v>0</v>
      </c>
      <c r="BF121" s="298">
        <f t="shared" ref="BF121:BG121" si="703">BF10*BF30</f>
        <v>0</v>
      </c>
      <c r="BG121" s="299">
        <f t="shared" si="703"/>
        <v>0</v>
      </c>
      <c r="BH121" s="262">
        <f t="shared" si="632"/>
        <v>0</v>
      </c>
      <c r="BI121" s="298">
        <f t="shared" si="595"/>
        <v>0</v>
      </c>
      <c r="BJ121" s="299">
        <f t="shared" si="595"/>
        <v>0</v>
      </c>
      <c r="BK121" s="262">
        <f t="shared" si="633"/>
        <v>0</v>
      </c>
      <c r="BL121" s="298">
        <f t="shared" si="596"/>
        <v>0</v>
      </c>
      <c r="BM121" s="299">
        <f t="shared" si="596"/>
        <v>0</v>
      </c>
      <c r="BN121" s="262">
        <f t="shared" si="634"/>
        <v>0</v>
      </c>
      <c r="BO121" s="298">
        <f t="shared" si="597"/>
        <v>0</v>
      </c>
      <c r="BP121" s="299">
        <f t="shared" si="597"/>
        <v>0</v>
      </c>
      <c r="BQ121" s="262">
        <f t="shared" si="635"/>
        <v>0</v>
      </c>
    </row>
    <row r="122" spans="1:70" ht="16" x14ac:dyDescent="0.2">
      <c r="A122" s="1346"/>
      <c r="B122" s="1348"/>
      <c r="C122" s="290" t="s">
        <v>31</v>
      </c>
      <c r="D122" s="291">
        <f t="shared" si="575"/>
        <v>0</v>
      </c>
      <c r="E122" s="292">
        <f t="shared" si="159"/>
        <v>0</v>
      </c>
      <c r="F122" s="293">
        <f t="shared" si="576"/>
        <v>0</v>
      </c>
      <c r="G122" s="298">
        <f t="shared" si="577"/>
        <v>0</v>
      </c>
      <c r="H122" s="299">
        <f t="shared" si="577"/>
        <v>0</v>
      </c>
      <c r="I122" s="262">
        <f t="shared" si="598"/>
        <v>0</v>
      </c>
      <c r="J122" s="298">
        <f t="shared" ref="J122:K122" si="704">J11*J31</f>
        <v>0</v>
      </c>
      <c r="K122" s="299">
        <f t="shared" si="704"/>
        <v>0</v>
      </c>
      <c r="L122" s="262">
        <f t="shared" si="600"/>
        <v>0</v>
      </c>
      <c r="M122" s="298">
        <f t="shared" ref="M122:N122" si="705">M11*M31</f>
        <v>0</v>
      </c>
      <c r="N122" s="299">
        <f t="shared" si="705"/>
        <v>0</v>
      </c>
      <c r="O122" s="262">
        <f t="shared" si="602"/>
        <v>0</v>
      </c>
      <c r="P122" s="298">
        <f t="shared" ref="P122:Q122" si="706">P11*P31</f>
        <v>0</v>
      </c>
      <c r="Q122" s="299">
        <f t="shared" si="706"/>
        <v>0</v>
      </c>
      <c r="R122" s="262">
        <f t="shared" si="604"/>
        <v>0</v>
      </c>
      <c r="S122" s="298">
        <f t="shared" ref="S122:T122" si="707">S11*S31</f>
        <v>0</v>
      </c>
      <c r="T122" s="299">
        <f t="shared" si="707"/>
        <v>0</v>
      </c>
      <c r="U122" s="262">
        <f t="shared" si="606"/>
        <v>0</v>
      </c>
      <c r="V122" s="298">
        <f t="shared" ref="V122:W122" si="708">V11*V31</f>
        <v>0</v>
      </c>
      <c r="W122" s="299">
        <f t="shared" si="708"/>
        <v>0</v>
      </c>
      <c r="X122" s="262">
        <f t="shared" si="608"/>
        <v>0</v>
      </c>
      <c r="Y122" s="298">
        <f t="shared" ref="Y122:Z122" si="709">Y11*Y31</f>
        <v>0</v>
      </c>
      <c r="Z122" s="299">
        <f t="shared" si="709"/>
        <v>0</v>
      </c>
      <c r="AA122" s="262">
        <f t="shared" si="610"/>
        <v>0</v>
      </c>
      <c r="AB122" s="298">
        <f t="shared" ref="AB122:AC122" si="710">AB11*AB31</f>
        <v>0</v>
      </c>
      <c r="AC122" s="299">
        <f t="shared" si="710"/>
        <v>0</v>
      </c>
      <c r="AD122" s="262">
        <f t="shared" si="612"/>
        <v>0</v>
      </c>
      <c r="AE122" s="298">
        <f t="shared" ref="AE122:AF122" si="711">AE11*AE31</f>
        <v>0</v>
      </c>
      <c r="AF122" s="299">
        <f t="shared" si="711"/>
        <v>0</v>
      </c>
      <c r="AG122" s="262">
        <f t="shared" si="614"/>
        <v>0</v>
      </c>
      <c r="AH122" s="298">
        <f t="shared" ref="AH122:AI122" si="712">AH11*AH31</f>
        <v>0</v>
      </c>
      <c r="AI122" s="299">
        <f t="shared" si="712"/>
        <v>0</v>
      </c>
      <c r="AJ122" s="262">
        <f t="shared" si="616"/>
        <v>0</v>
      </c>
      <c r="AK122" s="298">
        <f t="shared" ref="AK122:AL122" si="713">AK11*AK31</f>
        <v>0</v>
      </c>
      <c r="AL122" s="299">
        <f t="shared" si="713"/>
        <v>0</v>
      </c>
      <c r="AM122" s="262">
        <f t="shared" si="618"/>
        <v>0</v>
      </c>
      <c r="AN122" s="298">
        <f t="shared" ref="AN122:AO122" si="714">AN11*AN31</f>
        <v>0</v>
      </c>
      <c r="AO122" s="299">
        <f t="shared" si="714"/>
        <v>0</v>
      </c>
      <c r="AP122" s="262">
        <f t="shared" si="620"/>
        <v>0</v>
      </c>
      <c r="AQ122" s="298">
        <f t="shared" ref="AQ122:AR122" si="715">AQ11*AQ31</f>
        <v>0</v>
      </c>
      <c r="AR122" s="299">
        <f t="shared" si="715"/>
        <v>0</v>
      </c>
      <c r="AS122" s="262">
        <f t="shared" si="622"/>
        <v>0</v>
      </c>
      <c r="AT122" s="298">
        <f t="shared" ref="AT122:AU122" si="716">AT11*AT31</f>
        <v>0</v>
      </c>
      <c r="AU122" s="299">
        <f t="shared" si="716"/>
        <v>0</v>
      </c>
      <c r="AV122" s="262">
        <f t="shared" si="624"/>
        <v>0</v>
      </c>
      <c r="AW122" s="298">
        <f t="shared" ref="AW122:AX122" si="717">AW11*AW31</f>
        <v>0</v>
      </c>
      <c r="AX122" s="299">
        <f t="shared" si="717"/>
        <v>0</v>
      </c>
      <c r="AY122" s="262">
        <f t="shared" si="626"/>
        <v>0</v>
      </c>
      <c r="AZ122" s="298">
        <f t="shared" ref="AZ122:BA122" si="718">AZ11*AZ31</f>
        <v>0</v>
      </c>
      <c r="BA122" s="299">
        <f t="shared" si="718"/>
        <v>0</v>
      </c>
      <c r="BB122" s="262">
        <f t="shared" si="628"/>
        <v>0</v>
      </c>
      <c r="BC122" s="298">
        <f t="shared" ref="BC122:BD122" si="719">BC11*BC31</f>
        <v>0</v>
      </c>
      <c r="BD122" s="299">
        <f t="shared" si="719"/>
        <v>0</v>
      </c>
      <c r="BE122" s="262">
        <f t="shared" si="630"/>
        <v>0</v>
      </c>
      <c r="BF122" s="298">
        <f t="shared" ref="BF122:BG122" si="720">BF11*BF31</f>
        <v>0</v>
      </c>
      <c r="BG122" s="299">
        <f t="shared" si="720"/>
        <v>0</v>
      </c>
      <c r="BH122" s="262">
        <f t="shared" si="632"/>
        <v>0</v>
      </c>
      <c r="BI122" s="298">
        <f t="shared" si="595"/>
        <v>0</v>
      </c>
      <c r="BJ122" s="299">
        <f t="shared" si="595"/>
        <v>0</v>
      </c>
      <c r="BK122" s="262">
        <f t="shared" si="633"/>
        <v>0</v>
      </c>
      <c r="BL122" s="298">
        <f t="shared" si="596"/>
        <v>0</v>
      </c>
      <c r="BM122" s="299">
        <f t="shared" si="596"/>
        <v>0</v>
      </c>
      <c r="BN122" s="262">
        <f t="shared" si="634"/>
        <v>0</v>
      </c>
      <c r="BO122" s="298">
        <f t="shared" si="597"/>
        <v>0</v>
      </c>
      <c r="BP122" s="299">
        <f t="shared" si="597"/>
        <v>0</v>
      </c>
      <c r="BQ122" s="262">
        <f t="shared" si="635"/>
        <v>0</v>
      </c>
    </row>
    <row r="123" spans="1:70" ht="16" x14ac:dyDescent="0.2">
      <c r="A123" s="1346"/>
      <c r="B123" s="1348"/>
      <c r="C123" s="290" t="s">
        <v>32</v>
      </c>
      <c r="D123" s="291">
        <f t="shared" si="575"/>
        <v>0</v>
      </c>
      <c r="E123" s="292">
        <f t="shared" si="159"/>
        <v>0</v>
      </c>
      <c r="F123" s="293">
        <f t="shared" si="576"/>
        <v>0</v>
      </c>
      <c r="G123" s="298">
        <f t="shared" si="577"/>
        <v>0</v>
      </c>
      <c r="H123" s="299">
        <f t="shared" si="577"/>
        <v>0</v>
      </c>
      <c r="I123" s="262">
        <f t="shared" si="598"/>
        <v>0</v>
      </c>
      <c r="J123" s="298">
        <f t="shared" ref="J123:K123" si="721">J12*J32</f>
        <v>0</v>
      </c>
      <c r="K123" s="299">
        <f t="shared" si="721"/>
        <v>0</v>
      </c>
      <c r="L123" s="262">
        <f t="shared" si="600"/>
        <v>0</v>
      </c>
      <c r="M123" s="298">
        <f t="shared" ref="M123:N123" si="722">M12*M32</f>
        <v>0</v>
      </c>
      <c r="N123" s="299">
        <f t="shared" si="722"/>
        <v>0</v>
      </c>
      <c r="O123" s="262">
        <f t="shared" si="602"/>
        <v>0</v>
      </c>
      <c r="P123" s="298">
        <f t="shared" ref="P123:Q123" si="723">P12*P32</f>
        <v>0</v>
      </c>
      <c r="Q123" s="299">
        <f t="shared" si="723"/>
        <v>0</v>
      </c>
      <c r="R123" s="262">
        <f t="shared" si="604"/>
        <v>0</v>
      </c>
      <c r="S123" s="298">
        <f t="shared" ref="S123:T123" si="724">S12*S32</f>
        <v>0</v>
      </c>
      <c r="T123" s="299">
        <f t="shared" si="724"/>
        <v>0</v>
      </c>
      <c r="U123" s="262">
        <f t="shared" si="606"/>
        <v>0</v>
      </c>
      <c r="V123" s="298">
        <f t="shared" ref="V123:W123" si="725">V12*V32</f>
        <v>0</v>
      </c>
      <c r="W123" s="299">
        <f t="shared" si="725"/>
        <v>0</v>
      </c>
      <c r="X123" s="262">
        <f t="shared" si="608"/>
        <v>0</v>
      </c>
      <c r="Y123" s="298">
        <f t="shared" ref="Y123:Z123" si="726">Y12*Y32</f>
        <v>0</v>
      </c>
      <c r="Z123" s="299">
        <f t="shared" si="726"/>
        <v>0</v>
      </c>
      <c r="AA123" s="262">
        <f t="shared" si="610"/>
        <v>0</v>
      </c>
      <c r="AB123" s="298">
        <f t="shared" ref="AB123:AC123" si="727">AB12*AB32</f>
        <v>0</v>
      </c>
      <c r="AC123" s="299">
        <f t="shared" si="727"/>
        <v>0</v>
      </c>
      <c r="AD123" s="262">
        <f t="shared" si="612"/>
        <v>0</v>
      </c>
      <c r="AE123" s="298">
        <f t="shared" ref="AE123:AF123" si="728">AE12*AE32</f>
        <v>0</v>
      </c>
      <c r="AF123" s="299">
        <f t="shared" si="728"/>
        <v>0</v>
      </c>
      <c r="AG123" s="262">
        <f t="shared" si="614"/>
        <v>0</v>
      </c>
      <c r="AH123" s="298">
        <f t="shared" ref="AH123:AI123" si="729">AH12*AH32</f>
        <v>0</v>
      </c>
      <c r="AI123" s="299">
        <f t="shared" si="729"/>
        <v>0</v>
      </c>
      <c r="AJ123" s="262">
        <f t="shared" si="616"/>
        <v>0</v>
      </c>
      <c r="AK123" s="298">
        <f t="shared" ref="AK123:AL123" si="730">AK12*AK32</f>
        <v>0</v>
      </c>
      <c r="AL123" s="299">
        <f t="shared" si="730"/>
        <v>0</v>
      </c>
      <c r="AM123" s="262">
        <f t="shared" si="618"/>
        <v>0</v>
      </c>
      <c r="AN123" s="298">
        <f t="shared" ref="AN123:AO123" si="731">AN12*AN32</f>
        <v>0</v>
      </c>
      <c r="AO123" s="299">
        <f t="shared" si="731"/>
        <v>0</v>
      </c>
      <c r="AP123" s="262">
        <f t="shared" si="620"/>
        <v>0</v>
      </c>
      <c r="AQ123" s="298">
        <f t="shared" ref="AQ123:AR123" si="732">AQ12*AQ32</f>
        <v>0</v>
      </c>
      <c r="AR123" s="299">
        <f t="shared" si="732"/>
        <v>0</v>
      </c>
      <c r="AS123" s="262">
        <f t="shared" si="622"/>
        <v>0</v>
      </c>
      <c r="AT123" s="298">
        <f t="shared" ref="AT123:AU123" si="733">AT12*AT32</f>
        <v>0</v>
      </c>
      <c r="AU123" s="299">
        <f t="shared" si="733"/>
        <v>0</v>
      </c>
      <c r="AV123" s="262">
        <f t="shared" si="624"/>
        <v>0</v>
      </c>
      <c r="AW123" s="298">
        <f t="shared" ref="AW123:AX123" si="734">AW12*AW32</f>
        <v>0</v>
      </c>
      <c r="AX123" s="299">
        <f t="shared" si="734"/>
        <v>0</v>
      </c>
      <c r="AY123" s="262">
        <f t="shared" si="626"/>
        <v>0</v>
      </c>
      <c r="AZ123" s="298">
        <f t="shared" ref="AZ123:BA123" si="735">AZ12*AZ32</f>
        <v>0</v>
      </c>
      <c r="BA123" s="299">
        <f t="shared" si="735"/>
        <v>0</v>
      </c>
      <c r="BB123" s="262">
        <f t="shared" si="628"/>
        <v>0</v>
      </c>
      <c r="BC123" s="298">
        <f t="shared" ref="BC123:BD123" si="736">BC12*BC32</f>
        <v>0</v>
      </c>
      <c r="BD123" s="299">
        <f t="shared" si="736"/>
        <v>0</v>
      </c>
      <c r="BE123" s="262">
        <f t="shared" si="630"/>
        <v>0</v>
      </c>
      <c r="BF123" s="298">
        <f t="shared" ref="BF123:BG123" si="737">BF12*BF32</f>
        <v>0</v>
      </c>
      <c r="BG123" s="299">
        <f t="shared" si="737"/>
        <v>0</v>
      </c>
      <c r="BH123" s="262">
        <f t="shared" si="632"/>
        <v>0</v>
      </c>
      <c r="BI123" s="298">
        <f t="shared" si="595"/>
        <v>0</v>
      </c>
      <c r="BJ123" s="299">
        <f t="shared" si="595"/>
        <v>0</v>
      </c>
      <c r="BK123" s="262">
        <f t="shared" si="633"/>
        <v>0</v>
      </c>
      <c r="BL123" s="298">
        <f t="shared" si="596"/>
        <v>0</v>
      </c>
      <c r="BM123" s="299">
        <f t="shared" si="596"/>
        <v>0</v>
      </c>
      <c r="BN123" s="262">
        <f t="shared" si="634"/>
        <v>0</v>
      </c>
      <c r="BO123" s="298">
        <f t="shared" si="597"/>
        <v>0</v>
      </c>
      <c r="BP123" s="299">
        <f t="shared" si="597"/>
        <v>0</v>
      </c>
      <c r="BQ123" s="262">
        <f t="shared" si="635"/>
        <v>0</v>
      </c>
    </row>
    <row r="124" spans="1:70" ht="16" x14ac:dyDescent="0.2">
      <c r="A124" s="1346"/>
      <c r="B124" s="1348"/>
      <c r="C124" s="290" t="s">
        <v>33</v>
      </c>
      <c r="D124" s="291">
        <f t="shared" si="575"/>
        <v>0</v>
      </c>
      <c r="E124" s="292">
        <f t="shared" si="159"/>
        <v>0</v>
      </c>
      <c r="F124" s="293">
        <f t="shared" si="576"/>
        <v>0</v>
      </c>
      <c r="G124" s="298">
        <f t="shared" si="577"/>
        <v>0</v>
      </c>
      <c r="H124" s="299">
        <f t="shared" si="577"/>
        <v>0</v>
      </c>
      <c r="I124" s="262">
        <f t="shared" si="598"/>
        <v>0</v>
      </c>
      <c r="J124" s="298">
        <f t="shared" ref="J124:K124" si="738">J13*J33</f>
        <v>0</v>
      </c>
      <c r="K124" s="299">
        <f t="shared" si="738"/>
        <v>0</v>
      </c>
      <c r="L124" s="262">
        <f t="shared" si="600"/>
        <v>0</v>
      </c>
      <c r="M124" s="298">
        <f t="shared" ref="M124:N124" si="739">M13*M33</f>
        <v>0</v>
      </c>
      <c r="N124" s="299">
        <f t="shared" si="739"/>
        <v>0</v>
      </c>
      <c r="O124" s="262">
        <f t="shared" si="602"/>
        <v>0</v>
      </c>
      <c r="P124" s="298">
        <f t="shared" ref="P124:Q124" si="740">P13*P33</f>
        <v>0</v>
      </c>
      <c r="Q124" s="299">
        <f t="shared" si="740"/>
        <v>0</v>
      </c>
      <c r="R124" s="262">
        <f t="shared" si="604"/>
        <v>0</v>
      </c>
      <c r="S124" s="298">
        <f t="shared" ref="S124:T124" si="741">S13*S33</f>
        <v>0</v>
      </c>
      <c r="T124" s="299">
        <f t="shared" si="741"/>
        <v>0</v>
      </c>
      <c r="U124" s="262">
        <f t="shared" si="606"/>
        <v>0</v>
      </c>
      <c r="V124" s="298">
        <f t="shared" ref="V124:W124" si="742">V13*V33</f>
        <v>0</v>
      </c>
      <c r="W124" s="299">
        <f t="shared" si="742"/>
        <v>0</v>
      </c>
      <c r="X124" s="262">
        <f t="shared" si="608"/>
        <v>0</v>
      </c>
      <c r="Y124" s="298">
        <f t="shared" ref="Y124:Z124" si="743">Y13*Y33</f>
        <v>0</v>
      </c>
      <c r="Z124" s="299">
        <f t="shared" si="743"/>
        <v>0</v>
      </c>
      <c r="AA124" s="262">
        <f t="shared" si="610"/>
        <v>0</v>
      </c>
      <c r="AB124" s="298">
        <f t="shared" ref="AB124:AC124" si="744">AB13*AB33</f>
        <v>0</v>
      </c>
      <c r="AC124" s="299">
        <f t="shared" si="744"/>
        <v>0</v>
      </c>
      <c r="AD124" s="262">
        <f t="shared" si="612"/>
        <v>0</v>
      </c>
      <c r="AE124" s="298">
        <f t="shared" ref="AE124:AF124" si="745">AE13*AE33</f>
        <v>0</v>
      </c>
      <c r="AF124" s="299">
        <f t="shared" si="745"/>
        <v>0</v>
      </c>
      <c r="AG124" s="262">
        <f t="shared" si="614"/>
        <v>0</v>
      </c>
      <c r="AH124" s="298">
        <f t="shared" ref="AH124:AI124" si="746">AH13*AH33</f>
        <v>0</v>
      </c>
      <c r="AI124" s="299">
        <f t="shared" si="746"/>
        <v>0</v>
      </c>
      <c r="AJ124" s="262">
        <f t="shared" si="616"/>
        <v>0</v>
      </c>
      <c r="AK124" s="298">
        <f t="shared" ref="AK124:AL124" si="747">AK13*AK33</f>
        <v>0</v>
      </c>
      <c r="AL124" s="299">
        <f t="shared" si="747"/>
        <v>0</v>
      </c>
      <c r="AM124" s="262">
        <f t="shared" si="618"/>
        <v>0</v>
      </c>
      <c r="AN124" s="298">
        <f t="shared" ref="AN124:AO124" si="748">AN13*AN33</f>
        <v>0</v>
      </c>
      <c r="AO124" s="299">
        <f t="shared" si="748"/>
        <v>0</v>
      </c>
      <c r="AP124" s="262">
        <f t="shared" si="620"/>
        <v>0</v>
      </c>
      <c r="AQ124" s="298">
        <f t="shared" ref="AQ124:AR124" si="749">AQ13*AQ33</f>
        <v>0</v>
      </c>
      <c r="AR124" s="299">
        <f t="shared" si="749"/>
        <v>0</v>
      </c>
      <c r="AS124" s="262">
        <f t="shared" si="622"/>
        <v>0</v>
      </c>
      <c r="AT124" s="298">
        <f t="shared" ref="AT124:AU124" si="750">AT13*AT33</f>
        <v>0</v>
      </c>
      <c r="AU124" s="299">
        <f t="shared" si="750"/>
        <v>0</v>
      </c>
      <c r="AV124" s="262">
        <f t="shared" si="624"/>
        <v>0</v>
      </c>
      <c r="AW124" s="298">
        <f t="shared" ref="AW124:AX124" si="751">AW13*AW33</f>
        <v>0</v>
      </c>
      <c r="AX124" s="299">
        <f t="shared" si="751"/>
        <v>0</v>
      </c>
      <c r="AY124" s="262">
        <f t="shared" si="626"/>
        <v>0</v>
      </c>
      <c r="AZ124" s="298">
        <f t="shared" ref="AZ124:BA124" si="752">AZ13*AZ33</f>
        <v>0</v>
      </c>
      <c r="BA124" s="299">
        <f t="shared" si="752"/>
        <v>0</v>
      </c>
      <c r="BB124" s="262">
        <f t="shared" si="628"/>
        <v>0</v>
      </c>
      <c r="BC124" s="298">
        <f t="shared" ref="BC124:BD124" si="753">BC13*BC33</f>
        <v>0</v>
      </c>
      <c r="BD124" s="299">
        <f t="shared" si="753"/>
        <v>0</v>
      </c>
      <c r="BE124" s="262">
        <f t="shared" si="630"/>
        <v>0</v>
      </c>
      <c r="BF124" s="298">
        <f t="shared" ref="BF124:BG124" si="754">BF13*BF33</f>
        <v>0</v>
      </c>
      <c r="BG124" s="299">
        <f t="shared" si="754"/>
        <v>0</v>
      </c>
      <c r="BH124" s="262">
        <f t="shared" si="632"/>
        <v>0</v>
      </c>
      <c r="BI124" s="298">
        <f t="shared" si="595"/>
        <v>0</v>
      </c>
      <c r="BJ124" s="299">
        <f t="shared" si="595"/>
        <v>0</v>
      </c>
      <c r="BK124" s="262">
        <f t="shared" si="633"/>
        <v>0</v>
      </c>
      <c r="BL124" s="298">
        <f t="shared" si="596"/>
        <v>0</v>
      </c>
      <c r="BM124" s="299">
        <f t="shared" si="596"/>
        <v>0</v>
      </c>
      <c r="BN124" s="262">
        <f t="shared" si="634"/>
        <v>0</v>
      </c>
      <c r="BO124" s="298">
        <f t="shared" si="597"/>
        <v>0</v>
      </c>
      <c r="BP124" s="299">
        <f t="shared" si="597"/>
        <v>0</v>
      </c>
      <c r="BQ124" s="262">
        <f t="shared" si="635"/>
        <v>0</v>
      </c>
    </row>
    <row r="125" spans="1:70" ht="17" thickBot="1" x14ac:dyDescent="0.25">
      <c r="A125" s="1347"/>
      <c r="B125" s="1349"/>
      <c r="C125" s="300" t="s">
        <v>34</v>
      </c>
      <c r="D125" s="301">
        <f t="shared" si="575"/>
        <v>0</v>
      </c>
      <c r="E125" s="302">
        <f t="shared" si="159"/>
        <v>0</v>
      </c>
      <c r="F125" s="303">
        <f t="shared" si="576"/>
        <v>0</v>
      </c>
      <c r="G125" s="304">
        <f t="shared" si="577"/>
        <v>0</v>
      </c>
      <c r="H125" s="305">
        <f t="shared" si="577"/>
        <v>0</v>
      </c>
      <c r="I125" s="267">
        <f t="shared" si="598"/>
        <v>0</v>
      </c>
      <c r="J125" s="304">
        <f t="shared" ref="J125:K125" si="755">J14*J34</f>
        <v>0</v>
      </c>
      <c r="K125" s="305">
        <f t="shared" si="755"/>
        <v>0</v>
      </c>
      <c r="L125" s="267">
        <f t="shared" si="600"/>
        <v>0</v>
      </c>
      <c r="M125" s="304">
        <f t="shared" ref="M125:N125" si="756">M14*M34</f>
        <v>0</v>
      </c>
      <c r="N125" s="305">
        <f t="shared" si="756"/>
        <v>0</v>
      </c>
      <c r="O125" s="267">
        <f t="shared" si="602"/>
        <v>0</v>
      </c>
      <c r="P125" s="304">
        <f t="shared" ref="P125:Q125" si="757">P14*P34</f>
        <v>0</v>
      </c>
      <c r="Q125" s="305">
        <f t="shared" si="757"/>
        <v>0</v>
      </c>
      <c r="R125" s="267">
        <f t="shared" si="604"/>
        <v>0</v>
      </c>
      <c r="S125" s="304">
        <f t="shared" ref="S125:T125" si="758">S14*S34</f>
        <v>0</v>
      </c>
      <c r="T125" s="305">
        <f t="shared" si="758"/>
        <v>0</v>
      </c>
      <c r="U125" s="267">
        <f t="shared" si="606"/>
        <v>0</v>
      </c>
      <c r="V125" s="304">
        <f t="shared" ref="V125:W125" si="759">V14*V34</f>
        <v>0</v>
      </c>
      <c r="W125" s="305">
        <f t="shared" si="759"/>
        <v>0</v>
      </c>
      <c r="X125" s="267">
        <f t="shared" si="608"/>
        <v>0</v>
      </c>
      <c r="Y125" s="304">
        <f t="shared" ref="Y125:Z125" si="760">Y14*Y34</f>
        <v>0</v>
      </c>
      <c r="Z125" s="305">
        <f t="shared" si="760"/>
        <v>0</v>
      </c>
      <c r="AA125" s="267">
        <f t="shared" si="610"/>
        <v>0</v>
      </c>
      <c r="AB125" s="304">
        <f t="shared" ref="AB125:AC125" si="761">AB14*AB34</f>
        <v>0</v>
      </c>
      <c r="AC125" s="305">
        <f t="shared" si="761"/>
        <v>0</v>
      </c>
      <c r="AD125" s="267">
        <f t="shared" si="612"/>
        <v>0</v>
      </c>
      <c r="AE125" s="304">
        <f t="shared" ref="AE125:AF125" si="762">AE14*AE34</f>
        <v>0</v>
      </c>
      <c r="AF125" s="305">
        <f t="shared" si="762"/>
        <v>0</v>
      </c>
      <c r="AG125" s="267">
        <f t="shared" si="614"/>
        <v>0</v>
      </c>
      <c r="AH125" s="304">
        <f t="shared" ref="AH125:AI125" si="763">AH14*AH34</f>
        <v>0</v>
      </c>
      <c r="AI125" s="305">
        <f t="shared" si="763"/>
        <v>0</v>
      </c>
      <c r="AJ125" s="267">
        <f t="shared" si="616"/>
        <v>0</v>
      </c>
      <c r="AK125" s="304">
        <f t="shared" ref="AK125:AL125" si="764">AK14*AK34</f>
        <v>0</v>
      </c>
      <c r="AL125" s="305">
        <f t="shared" si="764"/>
        <v>0</v>
      </c>
      <c r="AM125" s="267">
        <f t="shared" si="618"/>
        <v>0</v>
      </c>
      <c r="AN125" s="304">
        <f t="shared" ref="AN125:AO125" si="765">AN14*AN34</f>
        <v>0</v>
      </c>
      <c r="AO125" s="305">
        <f t="shared" si="765"/>
        <v>0</v>
      </c>
      <c r="AP125" s="267">
        <f t="shared" si="620"/>
        <v>0</v>
      </c>
      <c r="AQ125" s="304">
        <f t="shared" ref="AQ125:AR125" si="766">AQ14*AQ34</f>
        <v>0</v>
      </c>
      <c r="AR125" s="305">
        <f t="shared" si="766"/>
        <v>0</v>
      </c>
      <c r="AS125" s="267">
        <f t="shared" si="622"/>
        <v>0</v>
      </c>
      <c r="AT125" s="304">
        <f t="shared" ref="AT125:AU125" si="767">AT14*AT34</f>
        <v>0</v>
      </c>
      <c r="AU125" s="305">
        <f t="shared" si="767"/>
        <v>0</v>
      </c>
      <c r="AV125" s="267">
        <f t="shared" si="624"/>
        <v>0</v>
      </c>
      <c r="AW125" s="304">
        <f t="shared" ref="AW125:AX125" si="768">AW14*AW34</f>
        <v>0</v>
      </c>
      <c r="AX125" s="305">
        <f t="shared" si="768"/>
        <v>0</v>
      </c>
      <c r="AY125" s="267">
        <f t="shared" si="626"/>
        <v>0</v>
      </c>
      <c r="AZ125" s="304">
        <f t="shared" ref="AZ125:BA125" si="769">AZ14*AZ34</f>
        <v>0</v>
      </c>
      <c r="BA125" s="305">
        <f t="shared" si="769"/>
        <v>0</v>
      </c>
      <c r="BB125" s="267">
        <f t="shared" si="628"/>
        <v>0</v>
      </c>
      <c r="BC125" s="304">
        <f t="shared" ref="BC125:BD125" si="770">BC14*BC34</f>
        <v>0</v>
      </c>
      <c r="BD125" s="305">
        <f t="shared" si="770"/>
        <v>0</v>
      </c>
      <c r="BE125" s="267">
        <f t="shared" si="630"/>
        <v>0</v>
      </c>
      <c r="BF125" s="304">
        <f t="shared" ref="BF125:BG125" si="771">BF14*BF34</f>
        <v>0</v>
      </c>
      <c r="BG125" s="305">
        <f t="shared" si="771"/>
        <v>0</v>
      </c>
      <c r="BH125" s="267">
        <f t="shared" si="632"/>
        <v>0</v>
      </c>
      <c r="BI125" s="304">
        <f t="shared" si="595"/>
        <v>0</v>
      </c>
      <c r="BJ125" s="305">
        <f t="shared" si="595"/>
        <v>0</v>
      </c>
      <c r="BK125" s="267">
        <f t="shared" si="633"/>
        <v>0</v>
      </c>
      <c r="BL125" s="304">
        <f t="shared" si="596"/>
        <v>0</v>
      </c>
      <c r="BM125" s="305">
        <f t="shared" si="596"/>
        <v>0</v>
      </c>
      <c r="BN125" s="267">
        <f t="shared" si="634"/>
        <v>0</v>
      </c>
      <c r="BO125" s="304">
        <f t="shared" si="597"/>
        <v>0</v>
      </c>
      <c r="BP125" s="305">
        <f t="shared" si="597"/>
        <v>0</v>
      </c>
      <c r="BQ125" s="267">
        <f t="shared" si="635"/>
        <v>0</v>
      </c>
    </row>
    <row r="126" spans="1:70" ht="16" x14ac:dyDescent="0.2">
      <c r="A126" s="1346" t="s">
        <v>39</v>
      </c>
      <c r="B126" s="1348" t="s">
        <v>13</v>
      </c>
      <c r="C126" s="290" t="s">
        <v>25</v>
      </c>
      <c r="D126" s="291">
        <f t="shared" si="575"/>
        <v>0</v>
      </c>
      <c r="E126" s="292">
        <f t="shared" si="159"/>
        <v>0</v>
      </c>
      <c r="F126" s="293">
        <f t="shared" si="576"/>
        <v>0</v>
      </c>
      <c r="G126" s="306">
        <f>G55</f>
        <v>0</v>
      </c>
      <c r="H126" s="307">
        <f t="shared" ref="H126:H135" si="772">H55*(1+$BR$126)</f>
        <v>0</v>
      </c>
      <c r="I126" s="257">
        <f>H126-G126</f>
        <v>0</v>
      </c>
      <c r="J126" s="306">
        <f>J55</f>
        <v>0</v>
      </c>
      <c r="K126" s="307">
        <f>K55*(1+$BR$126)</f>
        <v>0</v>
      </c>
      <c r="L126" s="257">
        <f>K126-J126</f>
        <v>0</v>
      </c>
      <c r="M126" s="306">
        <f>M55</f>
        <v>0</v>
      </c>
      <c r="N126" s="307">
        <f>N55*(1+$BR$126)</f>
        <v>0</v>
      </c>
      <c r="O126" s="257">
        <f>N126-M126</f>
        <v>0</v>
      </c>
      <c r="P126" s="306">
        <f t="shared" ref="P126:P135" si="773">P55</f>
        <v>0</v>
      </c>
      <c r="Q126" s="307">
        <f t="shared" ref="Q126:Q135" si="774">Q55*(1+$BR$126)</f>
        <v>0</v>
      </c>
      <c r="R126" s="257">
        <f>Q126-P126</f>
        <v>0</v>
      </c>
      <c r="S126" s="306">
        <f t="shared" ref="S126:S135" si="775">S55</f>
        <v>0</v>
      </c>
      <c r="T126" s="307">
        <f t="shared" ref="T126:T135" si="776">T55*(1+$BR$126)</f>
        <v>0</v>
      </c>
      <c r="U126" s="257">
        <f>T126-S126</f>
        <v>0</v>
      </c>
      <c r="V126" s="306">
        <f t="shared" ref="V126:V135" si="777">V55</f>
        <v>0</v>
      </c>
      <c r="W126" s="307">
        <f t="shared" ref="W126:W135" si="778">W55*(1+$BR$126)</f>
        <v>0</v>
      </c>
      <c r="X126" s="257">
        <f>W126-V126</f>
        <v>0</v>
      </c>
      <c r="Y126" s="306">
        <f>Y55</f>
        <v>0</v>
      </c>
      <c r="Z126" s="307">
        <f>Z55*(1+$BR$126)</f>
        <v>0</v>
      </c>
      <c r="AA126" s="257">
        <f>Z126-Y126</f>
        <v>0</v>
      </c>
      <c r="AB126" s="306">
        <f>AB55</f>
        <v>0</v>
      </c>
      <c r="AC126" s="307">
        <f>AC55*(1+$BR$126)</f>
        <v>0</v>
      </c>
      <c r="AD126" s="257">
        <f>AC126-AB126</f>
        <v>0</v>
      </c>
      <c r="AE126" s="306">
        <f t="shared" ref="AE126:AE135" si="779">AE55</f>
        <v>0</v>
      </c>
      <c r="AF126" s="307">
        <f t="shared" ref="AF126:AF135" si="780">AF55*(1+$BR$126)</f>
        <v>0</v>
      </c>
      <c r="AG126" s="257">
        <f>AF126-AE126</f>
        <v>0</v>
      </c>
      <c r="AH126" s="306">
        <f t="shared" ref="AH126:AH135" si="781">AH55</f>
        <v>0</v>
      </c>
      <c r="AI126" s="307">
        <f t="shared" ref="AI126:AI135" si="782">AI55*(1+$BR$126)</f>
        <v>0</v>
      </c>
      <c r="AJ126" s="257">
        <f>AI126-AH126</f>
        <v>0</v>
      </c>
      <c r="AK126" s="306">
        <f t="shared" ref="AK126:AK135" si="783">AK55</f>
        <v>0</v>
      </c>
      <c r="AL126" s="307">
        <f t="shared" ref="AL126:AL135" si="784">AL55*(1+$BR$126)</f>
        <v>0</v>
      </c>
      <c r="AM126" s="257">
        <f>AL126-AK126</f>
        <v>0</v>
      </c>
      <c r="AN126" s="306">
        <f>AN55</f>
        <v>0</v>
      </c>
      <c r="AO126" s="307">
        <f>AO55*(1+$BR$126)</f>
        <v>0</v>
      </c>
      <c r="AP126" s="257">
        <f>AO126-AN126</f>
        <v>0</v>
      </c>
      <c r="AQ126" s="306">
        <f>AQ55</f>
        <v>0</v>
      </c>
      <c r="AR126" s="307">
        <f>AR55*(1+$BR$126)</f>
        <v>0</v>
      </c>
      <c r="AS126" s="257">
        <f>AR126-AQ126</f>
        <v>0</v>
      </c>
      <c r="AT126" s="306">
        <f t="shared" ref="AT126:AT135" si="785">AT55</f>
        <v>0</v>
      </c>
      <c r="AU126" s="307">
        <f t="shared" ref="AU126:AU135" si="786">AU55*(1+$BR$126)</f>
        <v>0</v>
      </c>
      <c r="AV126" s="257">
        <f>AU126-AT126</f>
        <v>0</v>
      </c>
      <c r="AW126" s="306">
        <f t="shared" ref="AW126:AW135" si="787">AW55</f>
        <v>0</v>
      </c>
      <c r="AX126" s="307">
        <f t="shared" ref="AX126:AX135" si="788">AX55*(1+$BR$126)</f>
        <v>0</v>
      </c>
      <c r="AY126" s="257">
        <f>AX126-AW126</f>
        <v>0</v>
      </c>
      <c r="AZ126" s="306">
        <f t="shared" ref="AZ126:AZ135" si="789">AZ55</f>
        <v>0</v>
      </c>
      <c r="BA126" s="307">
        <f t="shared" ref="BA126:BA135" si="790">BA55*(1+$BR$126)</f>
        <v>0</v>
      </c>
      <c r="BB126" s="257">
        <f>BA126-AZ126</f>
        <v>0</v>
      </c>
      <c r="BC126" s="306">
        <f>BC55</f>
        <v>0</v>
      </c>
      <c r="BD126" s="307">
        <f>BD55*(1+$BR$126)</f>
        <v>0</v>
      </c>
      <c r="BE126" s="257">
        <f>BD126-BC126</f>
        <v>0</v>
      </c>
      <c r="BF126" s="306">
        <f>BF55</f>
        <v>0</v>
      </c>
      <c r="BG126" s="307">
        <f>BG55*(1+$BR$126)</f>
        <v>0</v>
      </c>
      <c r="BH126" s="257">
        <f>BG126-BF126</f>
        <v>0</v>
      </c>
      <c r="BI126" s="306">
        <f t="shared" ref="BI126:BI135" si="791">BI55</f>
        <v>0</v>
      </c>
      <c r="BJ126" s="307">
        <f t="shared" ref="BJ126:BJ135" si="792">BJ55*(1+$BR$126)</f>
        <v>0</v>
      </c>
      <c r="BK126" s="257">
        <f>BJ126-BI126</f>
        <v>0</v>
      </c>
      <c r="BL126" s="306">
        <f t="shared" ref="BL126:BL135" si="793">BL55</f>
        <v>0</v>
      </c>
      <c r="BM126" s="307">
        <f t="shared" ref="BM126:BM135" si="794">BM55*(1+$BR$126)</f>
        <v>0</v>
      </c>
      <c r="BN126" s="257">
        <f>BM126-BL126</f>
        <v>0</v>
      </c>
      <c r="BO126" s="306">
        <f t="shared" ref="BO126:BO135" si="795">BO55</f>
        <v>0</v>
      </c>
      <c r="BP126" s="307">
        <f t="shared" ref="BP126:BP135" si="796">BP55*(1+$BR$126)</f>
        <v>0</v>
      </c>
      <c r="BQ126" s="257">
        <f>BP126-BO126</f>
        <v>0</v>
      </c>
      <c r="BR126" s="258">
        <f>'Analyza citlivosti - AgendovéIS'!H7</f>
        <v>0</v>
      </c>
    </row>
    <row r="127" spans="1:70" ht="16" x14ac:dyDescent="0.2">
      <c r="A127" s="1346"/>
      <c r="B127" s="1348"/>
      <c r="C127" s="290" t="s">
        <v>26</v>
      </c>
      <c r="D127" s="291">
        <f t="shared" si="575"/>
        <v>0</v>
      </c>
      <c r="E127" s="292">
        <f t="shared" si="159"/>
        <v>0</v>
      </c>
      <c r="F127" s="293">
        <f t="shared" si="576"/>
        <v>0</v>
      </c>
      <c r="G127" s="298">
        <f t="shared" ref="G127:G135" si="797">G56</f>
        <v>0</v>
      </c>
      <c r="H127" s="299">
        <f t="shared" si="772"/>
        <v>0</v>
      </c>
      <c r="I127" s="262">
        <f t="shared" ref="I127:I135" si="798">H127-G127</f>
        <v>0</v>
      </c>
      <c r="J127" s="298">
        <f t="shared" ref="J127:J135" si="799">J56</f>
        <v>0</v>
      </c>
      <c r="K127" s="299">
        <f t="shared" ref="K127:K135" si="800">K56*(1+$BR$126)</f>
        <v>0</v>
      </c>
      <c r="L127" s="262">
        <f t="shared" ref="L127:L135" si="801">K127-J127</f>
        <v>0</v>
      </c>
      <c r="M127" s="298">
        <f t="shared" ref="M127:M135" si="802">M56</f>
        <v>0</v>
      </c>
      <c r="N127" s="299">
        <f t="shared" ref="N127:N135" si="803">N56*(1+$BR$126)</f>
        <v>0</v>
      </c>
      <c r="O127" s="262">
        <f t="shared" ref="O127:O135" si="804">N127-M127</f>
        <v>0</v>
      </c>
      <c r="P127" s="298">
        <f t="shared" si="773"/>
        <v>0</v>
      </c>
      <c r="Q127" s="299">
        <f t="shared" si="774"/>
        <v>0</v>
      </c>
      <c r="R127" s="262">
        <f t="shared" ref="R127:R135" si="805">Q127-P127</f>
        <v>0</v>
      </c>
      <c r="S127" s="298">
        <f t="shared" si="775"/>
        <v>0</v>
      </c>
      <c r="T127" s="299">
        <f t="shared" si="776"/>
        <v>0</v>
      </c>
      <c r="U127" s="262">
        <f t="shared" ref="U127:U135" si="806">T127-S127</f>
        <v>0</v>
      </c>
      <c r="V127" s="298">
        <f t="shared" si="777"/>
        <v>0</v>
      </c>
      <c r="W127" s="299">
        <f t="shared" si="778"/>
        <v>0</v>
      </c>
      <c r="X127" s="262">
        <f t="shared" ref="X127:X135" si="807">W127-V127</f>
        <v>0</v>
      </c>
      <c r="Y127" s="298">
        <f t="shared" ref="Y127:Y135" si="808">Y56</f>
        <v>0</v>
      </c>
      <c r="Z127" s="299">
        <f t="shared" ref="Z127:Z135" si="809">Z56*(1+$BR$126)</f>
        <v>0</v>
      </c>
      <c r="AA127" s="262">
        <f t="shared" ref="AA127:AA135" si="810">Z127-Y127</f>
        <v>0</v>
      </c>
      <c r="AB127" s="298">
        <f t="shared" ref="AB127:AB135" si="811">AB56</f>
        <v>0</v>
      </c>
      <c r="AC127" s="299">
        <f t="shared" ref="AC127:AC135" si="812">AC56*(1+$BR$126)</f>
        <v>0</v>
      </c>
      <c r="AD127" s="262">
        <f t="shared" ref="AD127:AD135" si="813">AC127-AB127</f>
        <v>0</v>
      </c>
      <c r="AE127" s="298">
        <f t="shared" si="779"/>
        <v>0</v>
      </c>
      <c r="AF127" s="299">
        <f t="shared" si="780"/>
        <v>0</v>
      </c>
      <c r="AG127" s="262">
        <f t="shared" ref="AG127:AG135" si="814">AF127-AE127</f>
        <v>0</v>
      </c>
      <c r="AH127" s="298">
        <f t="shared" si="781"/>
        <v>0</v>
      </c>
      <c r="AI127" s="299">
        <f t="shared" si="782"/>
        <v>0</v>
      </c>
      <c r="AJ127" s="262">
        <f t="shared" ref="AJ127:AJ135" si="815">AI127-AH127</f>
        <v>0</v>
      </c>
      <c r="AK127" s="298">
        <f t="shared" si="783"/>
        <v>0</v>
      </c>
      <c r="AL127" s="299">
        <f t="shared" si="784"/>
        <v>0</v>
      </c>
      <c r="AM127" s="262">
        <f t="shared" ref="AM127:AM135" si="816">AL127-AK127</f>
        <v>0</v>
      </c>
      <c r="AN127" s="298">
        <f t="shared" ref="AN127:AN135" si="817">AN56</f>
        <v>0</v>
      </c>
      <c r="AO127" s="299">
        <f t="shared" ref="AO127:AO135" si="818">AO56*(1+$BR$126)</f>
        <v>0</v>
      </c>
      <c r="AP127" s="262">
        <f t="shared" ref="AP127:AP135" si="819">AO127-AN127</f>
        <v>0</v>
      </c>
      <c r="AQ127" s="298">
        <f t="shared" ref="AQ127:AQ135" si="820">AQ56</f>
        <v>0</v>
      </c>
      <c r="AR127" s="299">
        <f t="shared" ref="AR127:AR135" si="821">AR56*(1+$BR$126)</f>
        <v>0</v>
      </c>
      <c r="AS127" s="262">
        <f t="shared" ref="AS127:AS135" si="822">AR127-AQ127</f>
        <v>0</v>
      </c>
      <c r="AT127" s="298">
        <f t="shared" si="785"/>
        <v>0</v>
      </c>
      <c r="AU127" s="299">
        <f t="shared" si="786"/>
        <v>0</v>
      </c>
      <c r="AV127" s="262">
        <f t="shared" ref="AV127:AV135" si="823">AU127-AT127</f>
        <v>0</v>
      </c>
      <c r="AW127" s="298">
        <f t="shared" si="787"/>
        <v>0</v>
      </c>
      <c r="AX127" s="299">
        <f t="shared" si="788"/>
        <v>0</v>
      </c>
      <c r="AY127" s="262">
        <f t="shared" ref="AY127:AY135" si="824">AX127-AW127</f>
        <v>0</v>
      </c>
      <c r="AZ127" s="298">
        <f t="shared" si="789"/>
        <v>0</v>
      </c>
      <c r="BA127" s="299">
        <f t="shared" si="790"/>
        <v>0</v>
      </c>
      <c r="BB127" s="262">
        <f t="shared" ref="BB127:BB135" si="825">BA127-AZ127</f>
        <v>0</v>
      </c>
      <c r="BC127" s="298">
        <f t="shared" ref="BC127:BC135" si="826">BC56</f>
        <v>0</v>
      </c>
      <c r="BD127" s="299">
        <f t="shared" ref="BD127:BD135" si="827">BD56*(1+$BR$126)</f>
        <v>0</v>
      </c>
      <c r="BE127" s="262">
        <f t="shared" ref="BE127:BE135" si="828">BD127-BC127</f>
        <v>0</v>
      </c>
      <c r="BF127" s="298">
        <f t="shared" ref="BF127:BF135" si="829">BF56</f>
        <v>0</v>
      </c>
      <c r="BG127" s="299">
        <f t="shared" ref="BG127:BG135" si="830">BG56*(1+$BR$126)</f>
        <v>0</v>
      </c>
      <c r="BH127" s="262">
        <f t="shared" ref="BH127:BH135" si="831">BG127-BF127</f>
        <v>0</v>
      </c>
      <c r="BI127" s="298">
        <f t="shared" si="791"/>
        <v>0</v>
      </c>
      <c r="BJ127" s="299">
        <f t="shared" si="792"/>
        <v>0</v>
      </c>
      <c r="BK127" s="262">
        <f t="shared" ref="BK127:BK135" si="832">BJ127-BI127</f>
        <v>0</v>
      </c>
      <c r="BL127" s="298">
        <f t="shared" si="793"/>
        <v>0</v>
      </c>
      <c r="BM127" s="299">
        <f t="shared" si="794"/>
        <v>0</v>
      </c>
      <c r="BN127" s="262">
        <f t="shared" ref="BN127:BN135" si="833">BM127-BL127</f>
        <v>0</v>
      </c>
      <c r="BO127" s="298">
        <f t="shared" si="795"/>
        <v>0</v>
      </c>
      <c r="BP127" s="299">
        <f t="shared" si="796"/>
        <v>0</v>
      </c>
      <c r="BQ127" s="262">
        <f t="shared" ref="BQ127:BQ135" si="834">BP127-BO127</f>
        <v>0</v>
      </c>
    </row>
    <row r="128" spans="1:70" ht="16" x14ac:dyDescent="0.2">
      <c r="A128" s="1346"/>
      <c r="B128" s="1348"/>
      <c r="C128" s="290" t="s">
        <v>27</v>
      </c>
      <c r="D128" s="291">
        <f t="shared" si="575"/>
        <v>0</v>
      </c>
      <c r="E128" s="292">
        <f t="shared" si="159"/>
        <v>3054919.8884074399</v>
      </c>
      <c r="F128" s="293">
        <f t="shared" si="576"/>
        <v>3054919.8884074399</v>
      </c>
      <c r="G128" s="298">
        <f t="shared" si="797"/>
        <v>0</v>
      </c>
      <c r="H128" s="299">
        <f t="shared" si="772"/>
        <v>1213874.6529555467</v>
      </c>
      <c r="I128" s="262">
        <f t="shared" si="798"/>
        <v>1213874.6529555467</v>
      </c>
      <c r="J128" s="298">
        <f t="shared" si="799"/>
        <v>0</v>
      </c>
      <c r="K128" s="299">
        <f t="shared" si="800"/>
        <v>236547.07280916075</v>
      </c>
      <c r="L128" s="262">
        <f t="shared" si="801"/>
        <v>236547.07280916075</v>
      </c>
      <c r="M128" s="298">
        <f t="shared" si="802"/>
        <v>0</v>
      </c>
      <c r="N128" s="299">
        <f t="shared" si="803"/>
        <v>57819.80083159871</v>
      </c>
      <c r="O128" s="262">
        <f t="shared" si="804"/>
        <v>57819.80083159871</v>
      </c>
      <c r="P128" s="298">
        <f t="shared" si="773"/>
        <v>0</v>
      </c>
      <c r="Q128" s="299">
        <f t="shared" si="774"/>
        <v>56426.957661914574</v>
      </c>
      <c r="R128" s="262">
        <f t="shared" si="805"/>
        <v>56426.957661914574</v>
      </c>
      <c r="S128" s="298">
        <f t="shared" si="775"/>
        <v>0</v>
      </c>
      <c r="T128" s="299">
        <f t="shared" si="776"/>
        <v>180669.33673379297</v>
      </c>
      <c r="U128" s="262">
        <f t="shared" si="806"/>
        <v>180669.33673379297</v>
      </c>
      <c r="V128" s="298">
        <f t="shared" si="777"/>
        <v>0</v>
      </c>
      <c r="W128" s="299">
        <f t="shared" si="778"/>
        <v>57674.89163276778</v>
      </c>
      <c r="X128" s="262">
        <f t="shared" si="807"/>
        <v>57674.89163276778</v>
      </c>
      <c r="Y128" s="298">
        <f t="shared" si="808"/>
        <v>0</v>
      </c>
      <c r="Z128" s="299">
        <f t="shared" si="809"/>
        <v>603235.54218005645</v>
      </c>
      <c r="AA128" s="262">
        <f t="shared" si="810"/>
        <v>603235.54218005645</v>
      </c>
      <c r="AB128" s="298">
        <f t="shared" si="811"/>
        <v>0</v>
      </c>
      <c r="AC128" s="299">
        <f t="shared" si="812"/>
        <v>300053.37850897416</v>
      </c>
      <c r="AD128" s="262">
        <f t="shared" si="813"/>
        <v>300053.37850897416</v>
      </c>
      <c r="AE128" s="298">
        <f t="shared" si="779"/>
        <v>0</v>
      </c>
      <c r="AF128" s="299">
        <f t="shared" si="780"/>
        <v>93668.749718778199</v>
      </c>
      <c r="AG128" s="262">
        <f t="shared" si="814"/>
        <v>93668.749718778199</v>
      </c>
      <c r="AH128" s="298">
        <f t="shared" si="781"/>
        <v>0</v>
      </c>
      <c r="AI128" s="299">
        <f t="shared" si="782"/>
        <v>2920.9193022503332</v>
      </c>
      <c r="AJ128" s="262">
        <f t="shared" si="815"/>
        <v>2920.9193022503332</v>
      </c>
      <c r="AK128" s="298">
        <f t="shared" si="783"/>
        <v>0</v>
      </c>
      <c r="AL128" s="299">
        <f t="shared" si="784"/>
        <v>252028.58607259908</v>
      </c>
      <c r="AM128" s="262">
        <f t="shared" si="816"/>
        <v>252028.58607259908</v>
      </c>
      <c r="AN128" s="298">
        <f t="shared" si="817"/>
        <v>0</v>
      </c>
      <c r="AO128" s="299">
        <f t="shared" si="818"/>
        <v>0</v>
      </c>
      <c r="AP128" s="262">
        <f t="shared" si="819"/>
        <v>0</v>
      </c>
      <c r="AQ128" s="298">
        <f t="shared" si="820"/>
        <v>0</v>
      </c>
      <c r="AR128" s="299">
        <f t="shared" si="821"/>
        <v>0</v>
      </c>
      <c r="AS128" s="262">
        <f t="shared" si="822"/>
        <v>0</v>
      </c>
      <c r="AT128" s="298">
        <f t="shared" si="785"/>
        <v>0</v>
      </c>
      <c r="AU128" s="299">
        <f t="shared" si="786"/>
        <v>0</v>
      </c>
      <c r="AV128" s="262">
        <f t="shared" si="823"/>
        <v>0</v>
      </c>
      <c r="AW128" s="298">
        <f t="shared" si="787"/>
        <v>0</v>
      </c>
      <c r="AX128" s="299">
        <f t="shared" si="788"/>
        <v>0</v>
      </c>
      <c r="AY128" s="262">
        <f t="shared" si="824"/>
        <v>0</v>
      </c>
      <c r="AZ128" s="298">
        <f t="shared" si="789"/>
        <v>0</v>
      </c>
      <c r="BA128" s="299">
        <f t="shared" si="790"/>
        <v>0</v>
      </c>
      <c r="BB128" s="262">
        <f t="shared" si="825"/>
        <v>0</v>
      </c>
      <c r="BC128" s="298">
        <f t="shared" si="826"/>
        <v>0</v>
      </c>
      <c r="BD128" s="299">
        <f t="shared" si="827"/>
        <v>0</v>
      </c>
      <c r="BE128" s="262">
        <f t="shared" si="828"/>
        <v>0</v>
      </c>
      <c r="BF128" s="298">
        <f t="shared" si="829"/>
        <v>0</v>
      </c>
      <c r="BG128" s="299">
        <f t="shared" si="830"/>
        <v>0</v>
      </c>
      <c r="BH128" s="262">
        <f t="shared" si="831"/>
        <v>0</v>
      </c>
      <c r="BI128" s="298">
        <f t="shared" si="791"/>
        <v>0</v>
      </c>
      <c r="BJ128" s="299">
        <f t="shared" si="792"/>
        <v>0</v>
      </c>
      <c r="BK128" s="262">
        <f t="shared" si="832"/>
        <v>0</v>
      </c>
      <c r="BL128" s="298">
        <f t="shared" si="793"/>
        <v>0</v>
      </c>
      <c r="BM128" s="299">
        <f t="shared" si="794"/>
        <v>0</v>
      </c>
      <c r="BN128" s="262">
        <f t="shared" si="833"/>
        <v>0</v>
      </c>
      <c r="BO128" s="298">
        <f t="shared" si="795"/>
        <v>0</v>
      </c>
      <c r="BP128" s="299">
        <f t="shared" si="796"/>
        <v>0</v>
      </c>
      <c r="BQ128" s="262">
        <f t="shared" si="834"/>
        <v>0</v>
      </c>
    </row>
    <row r="129" spans="1:69" ht="16" x14ac:dyDescent="0.2">
      <c r="A129" s="1346"/>
      <c r="B129" s="1348"/>
      <c r="C129" s="290" t="s">
        <v>28</v>
      </c>
      <c r="D129" s="291">
        <f t="shared" si="575"/>
        <v>0</v>
      </c>
      <c r="E129" s="292">
        <f t="shared" si="159"/>
        <v>3054919.8884074399</v>
      </c>
      <c r="F129" s="293">
        <f t="shared" si="576"/>
        <v>3054919.8884074399</v>
      </c>
      <c r="G129" s="298">
        <f t="shared" si="797"/>
        <v>0</v>
      </c>
      <c r="H129" s="299">
        <f t="shared" si="772"/>
        <v>1213874.6529555467</v>
      </c>
      <c r="I129" s="262">
        <f t="shared" si="798"/>
        <v>1213874.6529555467</v>
      </c>
      <c r="J129" s="298">
        <f t="shared" si="799"/>
        <v>0</v>
      </c>
      <c r="K129" s="299">
        <f t="shared" si="800"/>
        <v>236547.07280916075</v>
      </c>
      <c r="L129" s="262">
        <f t="shared" si="801"/>
        <v>236547.07280916075</v>
      </c>
      <c r="M129" s="298">
        <f t="shared" si="802"/>
        <v>0</v>
      </c>
      <c r="N129" s="299">
        <f t="shared" si="803"/>
        <v>57819.80083159871</v>
      </c>
      <c r="O129" s="262">
        <f t="shared" si="804"/>
        <v>57819.80083159871</v>
      </c>
      <c r="P129" s="298">
        <f t="shared" si="773"/>
        <v>0</v>
      </c>
      <c r="Q129" s="299">
        <f t="shared" si="774"/>
        <v>56426.957661914574</v>
      </c>
      <c r="R129" s="262">
        <f t="shared" si="805"/>
        <v>56426.957661914574</v>
      </c>
      <c r="S129" s="298">
        <f t="shared" si="775"/>
        <v>0</v>
      </c>
      <c r="T129" s="299">
        <f t="shared" si="776"/>
        <v>180669.33673379297</v>
      </c>
      <c r="U129" s="262">
        <f t="shared" si="806"/>
        <v>180669.33673379297</v>
      </c>
      <c r="V129" s="298">
        <f t="shared" si="777"/>
        <v>0</v>
      </c>
      <c r="W129" s="299">
        <f t="shared" si="778"/>
        <v>57674.89163276778</v>
      </c>
      <c r="X129" s="262">
        <f t="shared" si="807"/>
        <v>57674.89163276778</v>
      </c>
      <c r="Y129" s="298">
        <f t="shared" si="808"/>
        <v>0</v>
      </c>
      <c r="Z129" s="299">
        <f t="shared" si="809"/>
        <v>603235.54218005645</v>
      </c>
      <c r="AA129" s="262">
        <f t="shared" si="810"/>
        <v>603235.54218005645</v>
      </c>
      <c r="AB129" s="298">
        <f t="shared" si="811"/>
        <v>0</v>
      </c>
      <c r="AC129" s="299">
        <f t="shared" si="812"/>
        <v>300053.37850897416</v>
      </c>
      <c r="AD129" s="262">
        <f t="shared" si="813"/>
        <v>300053.37850897416</v>
      </c>
      <c r="AE129" s="298">
        <f t="shared" si="779"/>
        <v>0</v>
      </c>
      <c r="AF129" s="299">
        <f t="shared" si="780"/>
        <v>93668.749718778199</v>
      </c>
      <c r="AG129" s="262">
        <f t="shared" si="814"/>
        <v>93668.749718778199</v>
      </c>
      <c r="AH129" s="298">
        <f t="shared" si="781"/>
        <v>0</v>
      </c>
      <c r="AI129" s="299">
        <f t="shared" si="782"/>
        <v>2920.9193022503332</v>
      </c>
      <c r="AJ129" s="262">
        <f t="shared" si="815"/>
        <v>2920.9193022503332</v>
      </c>
      <c r="AK129" s="298">
        <f t="shared" si="783"/>
        <v>0</v>
      </c>
      <c r="AL129" s="299">
        <f t="shared" si="784"/>
        <v>252028.58607259908</v>
      </c>
      <c r="AM129" s="262">
        <f t="shared" si="816"/>
        <v>252028.58607259908</v>
      </c>
      <c r="AN129" s="298">
        <f t="shared" si="817"/>
        <v>0</v>
      </c>
      <c r="AO129" s="299">
        <f t="shared" si="818"/>
        <v>0</v>
      </c>
      <c r="AP129" s="262">
        <f t="shared" si="819"/>
        <v>0</v>
      </c>
      <c r="AQ129" s="298">
        <f t="shared" si="820"/>
        <v>0</v>
      </c>
      <c r="AR129" s="299">
        <f t="shared" si="821"/>
        <v>0</v>
      </c>
      <c r="AS129" s="262">
        <f t="shared" si="822"/>
        <v>0</v>
      </c>
      <c r="AT129" s="298">
        <f t="shared" si="785"/>
        <v>0</v>
      </c>
      <c r="AU129" s="299">
        <f t="shared" si="786"/>
        <v>0</v>
      </c>
      <c r="AV129" s="262">
        <f t="shared" si="823"/>
        <v>0</v>
      </c>
      <c r="AW129" s="298">
        <f t="shared" si="787"/>
        <v>0</v>
      </c>
      <c r="AX129" s="299">
        <f t="shared" si="788"/>
        <v>0</v>
      </c>
      <c r="AY129" s="262">
        <f t="shared" si="824"/>
        <v>0</v>
      </c>
      <c r="AZ129" s="298">
        <f t="shared" si="789"/>
        <v>0</v>
      </c>
      <c r="BA129" s="299">
        <f t="shared" si="790"/>
        <v>0</v>
      </c>
      <c r="BB129" s="262">
        <f t="shared" si="825"/>
        <v>0</v>
      </c>
      <c r="BC129" s="298">
        <f t="shared" si="826"/>
        <v>0</v>
      </c>
      <c r="BD129" s="299">
        <f t="shared" si="827"/>
        <v>0</v>
      </c>
      <c r="BE129" s="262">
        <f t="shared" si="828"/>
        <v>0</v>
      </c>
      <c r="BF129" s="298">
        <f t="shared" si="829"/>
        <v>0</v>
      </c>
      <c r="BG129" s="299">
        <f t="shared" si="830"/>
        <v>0</v>
      </c>
      <c r="BH129" s="262">
        <f t="shared" si="831"/>
        <v>0</v>
      </c>
      <c r="BI129" s="298">
        <f t="shared" si="791"/>
        <v>0</v>
      </c>
      <c r="BJ129" s="299">
        <f t="shared" si="792"/>
        <v>0</v>
      </c>
      <c r="BK129" s="262">
        <f t="shared" si="832"/>
        <v>0</v>
      </c>
      <c r="BL129" s="298">
        <f t="shared" si="793"/>
        <v>0</v>
      </c>
      <c r="BM129" s="299">
        <f t="shared" si="794"/>
        <v>0</v>
      </c>
      <c r="BN129" s="262">
        <f t="shared" si="833"/>
        <v>0</v>
      </c>
      <c r="BO129" s="298">
        <f t="shared" si="795"/>
        <v>0</v>
      </c>
      <c r="BP129" s="299">
        <f t="shared" si="796"/>
        <v>0</v>
      </c>
      <c r="BQ129" s="262">
        <f t="shared" si="834"/>
        <v>0</v>
      </c>
    </row>
    <row r="130" spans="1:69" ht="16" x14ac:dyDescent="0.2">
      <c r="A130" s="1346"/>
      <c r="B130" s="1348"/>
      <c r="C130" s="290" t="s">
        <v>29</v>
      </c>
      <c r="D130" s="291">
        <f t="shared" si="575"/>
        <v>0</v>
      </c>
      <c r="E130" s="292">
        <f t="shared" si="159"/>
        <v>4069455.4791245125</v>
      </c>
      <c r="F130" s="293">
        <f t="shared" si="576"/>
        <v>4069455.4791245125</v>
      </c>
      <c r="G130" s="298">
        <f t="shared" si="797"/>
        <v>0</v>
      </c>
      <c r="H130" s="299">
        <f t="shared" si="772"/>
        <v>1617001.112266642</v>
      </c>
      <c r="I130" s="262">
        <f t="shared" si="798"/>
        <v>1617001.112266642</v>
      </c>
      <c r="J130" s="298">
        <f t="shared" si="799"/>
        <v>0</v>
      </c>
      <c r="K130" s="299">
        <f t="shared" si="800"/>
        <v>315104.09983808984</v>
      </c>
      <c r="L130" s="262">
        <f t="shared" si="801"/>
        <v>315104.09983808984</v>
      </c>
      <c r="M130" s="298">
        <f t="shared" si="802"/>
        <v>0</v>
      </c>
      <c r="N130" s="299">
        <f t="shared" si="803"/>
        <v>77021.694149465606</v>
      </c>
      <c r="O130" s="262">
        <f t="shared" si="804"/>
        <v>77021.694149465606</v>
      </c>
      <c r="P130" s="298">
        <f t="shared" si="773"/>
        <v>0</v>
      </c>
      <c r="Q130" s="299">
        <f t="shared" si="774"/>
        <v>75166.289269638422</v>
      </c>
      <c r="R130" s="262">
        <f t="shared" si="805"/>
        <v>75166.289269638422</v>
      </c>
      <c r="S130" s="298">
        <f t="shared" si="775"/>
        <v>0</v>
      </c>
      <c r="T130" s="299">
        <f t="shared" si="776"/>
        <v>240669.42804984844</v>
      </c>
      <c r="U130" s="262">
        <f t="shared" si="806"/>
        <v>240669.42804984844</v>
      </c>
      <c r="V130" s="298">
        <f t="shared" si="777"/>
        <v>0</v>
      </c>
      <c r="W130" s="299">
        <f t="shared" si="778"/>
        <v>76828.660762437736</v>
      </c>
      <c r="X130" s="262">
        <f t="shared" si="807"/>
        <v>76828.660762437736</v>
      </c>
      <c r="Y130" s="298">
        <f t="shared" si="808"/>
        <v>0</v>
      </c>
      <c r="Z130" s="299">
        <f t="shared" si="809"/>
        <v>803569.41327420855</v>
      </c>
      <c r="AA130" s="262">
        <f t="shared" si="810"/>
        <v>803569.41327420855</v>
      </c>
      <c r="AB130" s="298">
        <f t="shared" si="811"/>
        <v>0</v>
      </c>
      <c r="AC130" s="299">
        <f t="shared" si="812"/>
        <v>399700.7809719402</v>
      </c>
      <c r="AD130" s="262">
        <f t="shared" si="813"/>
        <v>399700.7809719402</v>
      </c>
      <c r="AE130" s="298">
        <f t="shared" si="779"/>
        <v>0</v>
      </c>
      <c r="AF130" s="299">
        <f t="shared" si="780"/>
        <v>124776.04018759979</v>
      </c>
      <c r="AG130" s="262">
        <f t="shared" si="814"/>
        <v>124776.04018759979</v>
      </c>
      <c r="AH130" s="298">
        <f t="shared" si="781"/>
        <v>0</v>
      </c>
      <c r="AI130" s="299">
        <f t="shared" si="782"/>
        <v>3890.9534432406158</v>
      </c>
      <c r="AJ130" s="262">
        <f t="shared" si="815"/>
        <v>3890.9534432406158</v>
      </c>
      <c r="AK130" s="298">
        <f t="shared" si="783"/>
        <v>0</v>
      </c>
      <c r="AL130" s="299">
        <f t="shared" si="784"/>
        <v>335727.0069114014</v>
      </c>
      <c r="AM130" s="262">
        <f t="shared" si="816"/>
        <v>335727.0069114014</v>
      </c>
      <c r="AN130" s="298">
        <f t="shared" si="817"/>
        <v>0</v>
      </c>
      <c r="AO130" s="299">
        <f t="shared" si="818"/>
        <v>0</v>
      </c>
      <c r="AP130" s="262">
        <f t="shared" si="819"/>
        <v>0</v>
      </c>
      <c r="AQ130" s="298">
        <f t="shared" si="820"/>
        <v>0</v>
      </c>
      <c r="AR130" s="299">
        <f t="shared" si="821"/>
        <v>0</v>
      </c>
      <c r="AS130" s="262">
        <f t="shared" si="822"/>
        <v>0</v>
      </c>
      <c r="AT130" s="298">
        <f t="shared" si="785"/>
        <v>0</v>
      </c>
      <c r="AU130" s="299">
        <f t="shared" si="786"/>
        <v>0</v>
      </c>
      <c r="AV130" s="262">
        <f t="shared" si="823"/>
        <v>0</v>
      </c>
      <c r="AW130" s="298">
        <f t="shared" si="787"/>
        <v>0</v>
      </c>
      <c r="AX130" s="299">
        <f t="shared" si="788"/>
        <v>0</v>
      </c>
      <c r="AY130" s="262">
        <f t="shared" si="824"/>
        <v>0</v>
      </c>
      <c r="AZ130" s="298">
        <f t="shared" si="789"/>
        <v>0</v>
      </c>
      <c r="BA130" s="299">
        <f t="shared" si="790"/>
        <v>0</v>
      </c>
      <c r="BB130" s="262">
        <f t="shared" si="825"/>
        <v>0</v>
      </c>
      <c r="BC130" s="298">
        <f t="shared" si="826"/>
        <v>0</v>
      </c>
      <c r="BD130" s="299">
        <f t="shared" si="827"/>
        <v>0</v>
      </c>
      <c r="BE130" s="262">
        <f t="shared" si="828"/>
        <v>0</v>
      </c>
      <c r="BF130" s="298">
        <f t="shared" si="829"/>
        <v>0</v>
      </c>
      <c r="BG130" s="299">
        <f t="shared" si="830"/>
        <v>0</v>
      </c>
      <c r="BH130" s="262">
        <f t="shared" si="831"/>
        <v>0</v>
      </c>
      <c r="BI130" s="298">
        <f t="shared" si="791"/>
        <v>0</v>
      </c>
      <c r="BJ130" s="299">
        <f t="shared" si="792"/>
        <v>0</v>
      </c>
      <c r="BK130" s="262">
        <f t="shared" si="832"/>
        <v>0</v>
      </c>
      <c r="BL130" s="298">
        <f t="shared" si="793"/>
        <v>0</v>
      </c>
      <c r="BM130" s="299">
        <f t="shared" si="794"/>
        <v>0</v>
      </c>
      <c r="BN130" s="262">
        <f t="shared" si="833"/>
        <v>0</v>
      </c>
      <c r="BO130" s="298">
        <f t="shared" si="795"/>
        <v>0</v>
      </c>
      <c r="BP130" s="299">
        <f t="shared" si="796"/>
        <v>0</v>
      </c>
      <c r="BQ130" s="262">
        <f t="shared" si="834"/>
        <v>0</v>
      </c>
    </row>
    <row r="131" spans="1:69" ht="16" x14ac:dyDescent="0.2">
      <c r="A131" s="1346"/>
      <c r="B131" s="1348"/>
      <c r="C131" s="290" t="s">
        <v>30</v>
      </c>
      <c r="D131" s="291">
        <f t="shared" si="575"/>
        <v>0</v>
      </c>
      <c r="E131" s="292">
        <f t="shared" si="159"/>
        <v>7581424.5520049995</v>
      </c>
      <c r="F131" s="293">
        <f t="shared" si="576"/>
        <v>7581424.5520049995</v>
      </c>
      <c r="G131" s="298">
        <f t="shared" si="797"/>
        <v>0</v>
      </c>
      <c r="H131" s="299">
        <f t="shared" si="772"/>
        <v>3012484.5930972332</v>
      </c>
      <c r="I131" s="262">
        <f t="shared" si="798"/>
        <v>3012484.5930972332</v>
      </c>
      <c r="J131" s="298">
        <f t="shared" si="799"/>
        <v>0</v>
      </c>
      <c r="K131" s="299">
        <f t="shared" si="800"/>
        <v>587041.18307835038</v>
      </c>
      <c r="L131" s="262">
        <f t="shared" si="801"/>
        <v>587041.18307835038</v>
      </c>
      <c r="M131" s="298">
        <f t="shared" si="802"/>
        <v>0</v>
      </c>
      <c r="N131" s="299">
        <f t="shared" si="803"/>
        <v>143491.96497104911</v>
      </c>
      <c r="O131" s="262">
        <f t="shared" si="804"/>
        <v>143491.96497104911</v>
      </c>
      <c r="P131" s="298">
        <f t="shared" si="773"/>
        <v>0</v>
      </c>
      <c r="Q131" s="299">
        <f t="shared" si="774"/>
        <v>140035.33246038755</v>
      </c>
      <c r="R131" s="262">
        <f t="shared" si="805"/>
        <v>140035.33246038755</v>
      </c>
      <c r="S131" s="298">
        <f t="shared" si="775"/>
        <v>0</v>
      </c>
      <c r="T131" s="299">
        <f t="shared" si="776"/>
        <v>448368.85919849481</v>
      </c>
      <c r="U131" s="262">
        <f t="shared" si="806"/>
        <v>448368.85919849481</v>
      </c>
      <c r="V131" s="298">
        <f t="shared" si="777"/>
        <v>0</v>
      </c>
      <c r="W131" s="299">
        <f t="shared" si="778"/>
        <v>143132.34239567581</v>
      </c>
      <c r="X131" s="262">
        <f t="shared" si="807"/>
        <v>143132.34239567581</v>
      </c>
      <c r="Y131" s="298">
        <f t="shared" si="808"/>
        <v>0</v>
      </c>
      <c r="Z131" s="299">
        <f t="shared" si="809"/>
        <v>1497055.542268272</v>
      </c>
      <c r="AA131" s="262">
        <f t="shared" si="810"/>
        <v>1497055.542268272</v>
      </c>
      <c r="AB131" s="298">
        <f t="shared" si="811"/>
        <v>0</v>
      </c>
      <c r="AC131" s="299">
        <f t="shared" si="812"/>
        <v>744645.40277220786</v>
      </c>
      <c r="AD131" s="262">
        <f t="shared" si="813"/>
        <v>744645.40277220786</v>
      </c>
      <c r="AE131" s="298">
        <f t="shared" si="779"/>
        <v>0</v>
      </c>
      <c r="AF131" s="299">
        <f t="shared" si="780"/>
        <v>232458.65188424333</v>
      </c>
      <c r="AG131" s="262">
        <f t="shared" si="814"/>
        <v>232458.65188424333</v>
      </c>
      <c r="AH131" s="298">
        <f t="shared" si="781"/>
        <v>0</v>
      </c>
      <c r="AI131" s="299">
        <f t="shared" si="782"/>
        <v>7248.8739873470986</v>
      </c>
      <c r="AJ131" s="262">
        <f t="shared" si="815"/>
        <v>7248.8739873470986</v>
      </c>
      <c r="AK131" s="298">
        <f t="shared" si="783"/>
        <v>0</v>
      </c>
      <c r="AL131" s="299">
        <f t="shared" si="784"/>
        <v>625461.80589173932</v>
      </c>
      <c r="AM131" s="262">
        <f t="shared" si="816"/>
        <v>625461.80589173932</v>
      </c>
      <c r="AN131" s="298">
        <f t="shared" si="817"/>
        <v>0</v>
      </c>
      <c r="AO131" s="299">
        <f t="shared" si="818"/>
        <v>0</v>
      </c>
      <c r="AP131" s="262">
        <f t="shared" si="819"/>
        <v>0</v>
      </c>
      <c r="AQ131" s="298">
        <f t="shared" si="820"/>
        <v>0</v>
      </c>
      <c r="AR131" s="299">
        <f t="shared" si="821"/>
        <v>0</v>
      </c>
      <c r="AS131" s="262">
        <f t="shared" si="822"/>
        <v>0</v>
      </c>
      <c r="AT131" s="298">
        <f t="shared" si="785"/>
        <v>0</v>
      </c>
      <c r="AU131" s="299">
        <f t="shared" si="786"/>
        <v>0</v>
      </c>
      <c r="AV131" s="262">
        <f t="shared" si="823"/>
        <v>0</v>
      </c>
      <c r="AW131" s="298">
        <f t="shared" si="787"/>
        <v>0</v>
      </c>
      <c r="AX131" s="299">
        <f t="shared" si="788"/>
        <v>0</v>
      </c>
      <c r="AY131" s="262">
        <f t="shared" si="824"/>
        <v>0</v>
      </c>
      <c r="AZ131" s="298">
        <f t="shared" si="789"/>
        <v>0</v>
      </c>
      <c r="BA131" s="299">
        <f t="shared" si="790"/>
        <v>0</v>
      </c>
      <c r="BB131" s="262">
        <f t="shared" si="825"/>
        <v>0</v>
      </c>
      <c r="BC131" s="298">
        <f t="shared" si="826"/>
        <v>0</v>
      </c>
      <c r="BD131" s="299">
        <f t="shared" si="827"/>
        <v>0</v>
      </c>
      <c r="BE131" s="262">
        <f t="shared" si="828"/>
        <v>0</v>
      </c>
      <c r="BF131" s="298">
        <f t="shared" si="829"/>
        <v>0</v>
      </c>
      <c r="BG131" s="299">
        <f t="shared" si="830"/>
        <v>0</v>
      </c>
      <c r="BH131" s="262">
        <f t="shared" si="831"/>
        <v>0</v>
      </c>
      <c r="BI131" s="298">
        <f t="shared" si="791"/>
        <v>0</v>
      </c>
      <c r="BJ131" s="299">
        <f t="shared" si="792"/>
        <v>0</v>
      </c>
      <c r="BK131" s="262">
        <f t="shared" si="832"/>
        <v>0</v>
      </c>
      <c r="BL131" s="298">
        <f t="shared" si="793"/>
        <v>0</v>
      </c>
      <c r="BM131" s="299">
        <f t="shared" si="794"/>
        <v>0</v>
      </c>
      <c r="BN131" s="262">
        <f t="shared" si="833"/>
        <v>0</v>
      </c>
      <c r="BO131" s="298">
        <f t="shared" si="795"/>
        <v>0</v>
      </c>
      <c r="BP131" s="299">
        <f t="shared" si="796"/>
        <v>0</v>
      </c>
      <c r="BQ131" s="262">
        <f t="shared" si="834"/>
        <v>0</v>
      </c>
    </row>
    <row r="132" spans="1:69" ht="16" x14ac:dyDescent="0.2">
      <c r="A132" s="1346"/>
      <c r="B132" s="1348"/>
      <c r="C132" s="290" t="s">
        <v>31</v>
      </c>
      <c r="D132" s="291">
        <f t="shared" ref="D132:D135" si="835">SUM(G132,J132,M132,P132,S132,V132,Y132,AB132,AE132,AH132,AK132,AN132,AQ132,AT132,AW132,AZ132,AZ132,BC132,BF132,BI132,BL132,BO132)</f>
        <v>0</v>
      </c>
      <c r="E132" s="292">
        <f t="shared" si="159"/>
        <v>7581424.5520049995</v>
      </c>
      <c r="F132" s="293">
        <f t="shared" si="576"/>
        <v>7581424.5520049995</v>
      </c>
      <c r="G132" s="298">
        <f t="shared" si="797"/>
        <v>0</v>
      </c>
      <c r="H132" s="299">
        <f t="shared" si="772"/>
        <v>3012484.5930972332</v>
      </c>
      <c r="I132" s="262">
        <f t="shared" si="798"/>
        <v>3012484.5930972332</v>
      </c>
      <c r="J132" s="298">
        <f t="shared" si="799"/>
        <v>0</v>
      </c>
      <c r="K132" s="299">
        <f t="shared" si="800"/>
        <v>587041.18307835038</v>
      </c>
      <c r="L132" s="262">
        <f t="shared" si="801"/>
        <v>587041.18307835038</v>
      </c>
      <c r="M132" s="298">
        <f t="shared" si="802"/>
        <v>0</v>
      </c>
      <c r="N132" s="299">
        <f t="shared" si="803"/>
        <v>143491.96497104911</v>
      </c>
      <c r="O132" s="262">
        <f t="shared" si="804"/>
        <v>143491.96497104911</v>
      </c>
      <c r="P132" s="298">
        <f t="shared" si="773"/>
        <v>0</v>
      </c>
      <c r="Q132" s="299">
        <f t="shared" si="774"/>
        <v>140035.33246038755</v>
      </c>
      <c r="R132" s="262">
        <f t="shared" si="805"/>
        <v>140035.33246038755</v>
      </c>
      <c r="S132" s="298">
        <f t="shared" si="775"/>
        <v>0</v>
      </c>
      <c r="T132" s="299">
        <f t="shared" si="776"/>
        <v>448368.85919849481</v>
      </c>
      <c r="U132" s="262">
        <f t="shared" si="806"/>
        <v>448368.85919849481</v>
      </c>
      <c r="V132" s="298">
        <f t="shared" si="777"/>
        <v>0</v>
      </c>
      <c r="W132" s="299">
        <f t="shared" si="778"/>
        <v>143132.34239567581</v>
      </c>
      <c r="X132" s="262">
        <f t="shared" si="807"/>
        <v>143132.34239567581</v>
      </c>
      <c r="Y132" s="298">
        <f t="shared" si="808"/>
        <v>0</v>
      </c>
      <c r="Z132" s="299">
        <f t="shared" si="809"/>
        <v>1497055.542268272</v>
      </c>
      <c r="AA132" s="262">
        <f t="shared" si="810"/>
        <v>1497055.542268272</v>
      </c>
      <c r="AB132" s="298">
        <f t="shared" si="811"/>
        <v>0</v>
      </c>
      <c r="AC132" s="299">
        <f t="shared" si="812"/>
        <v>744645.40277220786</v>
      </c>
      <c r="AD132" s="262">
        <f t="shared" si="813"/>
        <v>744645.40277220786</v>
      </c>
      <c r="AE132" s="298">
        <f t="shared" si="779"/>
        <v>0</v>
      </c>
      <c r="AF132" s="299">
        <f t="shared" si="780"/>
        <v>232458.65188424333</v>
      </c>
      <c r="AG132" s="262">
        <f t="shared" si="814"/>
        <v>232458.65188424333</v>
      </c>
      <c r="AH132" s="298">
        <f t="shared" si="781"/>
        <v>0</v>
      </c>
      <c r="AI132" s="299">
        <f t="shared" si="782"/>
        <v>7248.8739873470986</v>
      </c>
      <c r="AJ132" s="262">
        <f t="shared" si="815"/>
        <v>7248.8739873470986</v>
      </c>
      <c r="AK132" s="298">
        <f t="shared" si="783"/>
        <v>0</v>
      </c>
      <c r="AL132" s="299">
        <f t="shared" si="784"/>
        <v>625461.80589173932</v>
      </c>
      <c r="AM132" s="262">
        <f t="shared" si="816"/>
        <v>625461.80589173932</v>
      </c>
      <c r="AN132" s="298">
        <f t="shared" si="817"/>
        <v>0</v>
      </c>
      <c r="AO132" s="299">
        <f t="shared" si="818"/>
        <v>0</v>
      </c>
      <c r="AP132" s="262">
        <f t="shared" si="819"/>
        <v>0</v>
      </c>
      <c r="AQ132" s="298">
        <f t="shared" si="820"/>
        <v>0</v>
      </c>
      <c r="AR132" s="299">
        <f t="shared" si="821"/>
        <v>0</v>
      </c>
      <c r="AS132" s="262">
        <f t="shared" si="822"/>
        <v>0</v>
      </c>
      <c r="AT132" s="298">
        <f t="shared" si="785"/>
        <v>0</v>
      </c>
      <c r="AU132" s="299">
        <f t="shared" si="786"/>
        <v>0</v>
      </c>
      <c r="AV132" s="262">
        <f t="shared" si="823"/>
        <v>0</v>
      </c>
      <c r="AW132" s="298">
        <f t="shared" si="787"/>
        <v>0</v>
      </c>
      <c r="AX132" s="299">
        <f t="shared" si="788"/>
        <v>0</v>
      </c>
      <c r="AY132" s="262">
        <f t="shared" si="824"/>
        <v>0</v>
      </c>
      <c r="AZ132" s="298">
        <f t="shared" si="789"/>
        <v>0</v>
      </c>
      <c r="BA132" s="299">
        <f t="shared" si="790"/>
        <v>0</v>
      </c>
      <c r="BB132" s="262">
        <f t="shared" si="825"/>
        <v>0</v>
      </c>
      <c r="BC132" s="298">
        <f t="shared" si="826"/>
        <v>0</v>
      </c>
      <c r="BD132" s="299">
        <f t="shared" si="827"/>
        <v>0</v>
      </c>
      <c r="BE132" s="262">
        <f t="shared" si="828"/>
        <v>0</v>
      </c>
      <c r="BF132" s="298">
        <f t="shared" si="829"/>
        <v>0</v>
      </c>
      <c r="BG132" s="299">
        <f t="shared" si="830"/>
        <v>0</v>
      </c>
      <c r="BH132" s="262">
        <f t="shared" si="831"/>
        <v>0</v>
      </c>
      <c r="BI132" s="298">
        <f t="shared" si="791"/>
        <v>0</v>
      </c>
      <c r="BJ132" s="299">
        <f t="shared" si="792"/>
        <v>0</v>
      </c>
      <c r="BK132" s="262">
        <f t="shared" si="832"/>
        <v>0</v>
      </c>
      <c r="BL132" s="298">
        <f t="shared" si="793"/>
        <v>0</v>
      </c>
      <c r="BM132" s="299">
        <f t="shared" si="794"/>
        <v>0</v>
      </c>
      <c r="BN132" s="262">
        <f t="shared" si="833"/>
        <v>0</v>
      </c>
      <c r="BO132" s="298">
        <f t="shared" si="795"/>
        <v>0</v>
      </c>
      <c r="BP132" s="299">
        <f t="shared" si="796"/>
        <v>0</v>
      </c>
      <c r="BQ132" s="262">
        <f t="shared" si="834"/>
        <v>0</v>
      </c>
    </row>
    <row r="133" spans="1:69" ht="16" x14ac:dyDescent="0.2">
      <c r="A133" s="1346"/>
      <c r="B133" s="1348"/>
      <c r="C133" s="290" t="s">
        <v>32</v>
      </c>
      <c r="D133" s="291">
        <f t="shared" si="835"/>
        <v>0</v>
      </c>
      <c r="E133" s="292">
        <f t="shared" si="159"/>
        <v>7581424.5520049995</v>
      </c>
      <c r="F133" s="293">
        <f t="shared" si="576"/>
        <v>7581424.5520049995</v>
      </c>
      <c r="G133" s="298">
        <f t="shared" si="797"/>
        <v>0</v>
      </c>
      <c r="H133" s="299">
        <f t="shared" si="772"/>
        <v>3012484.5930972332</v>
      </c>
      <c r="I133" s="262">
        <f t="shared" si="798"/>
        <v>3012484.5930972332</v>
      </c>
      <c r="J133" s="298">
        <f t="shared" si="799"/>
        <v>0</v>
      </c>
      <c r="K133" s="299">
        <f t="shared" si="800"/>
        <v>587041.18307835038</v>
      </c>
      <c r="L133" s="262">
        <f t="shared" si="801"/>
        <v>587041.18307835038</v>
      </c>
      <c r="M133" s="298">
        <f t="shared" si="802"/>
        <v>0</v>
      </c>
      <c r="N133" s="299">
        <f t="shared" si="803"/>
        <v>143491.96497104911</v>
      </c>
      <c r="O133" s="262">
        <f t="shared" si="804"/>
        <v>143491.96497104911</v>
      </c>
      <c r="P133" s="298">
        <f t="shared" si="773"/>
        <v>0</v>
      </c>
      <c r="Q133" s="299">
        <f t="shared" si="774"/>
        <v>140035.33246038755</v>
      </c>
      <c r="R133" s="262">
        <f t="shared" si="805"/>
        <v>140035.33246038755</v>
      </c>
      <c r="S133" s="298">
        <f t="shared" si="775"/>
        <v>0</v>
      </c>
      <c r="T133" s="299">
        <f t="shared" si="776"/>
        <v>448368.85919849481</v>
      </c>
      <c r="U133" s="262">
        <f t="shared" si="806"/>
        <v>448368.85919849481</v>
      </c>
      <c r="V133" s="298">
        <f t="shared" si="777"/>
        <v>0</v>
      </c>
      <c r="W133" s="299">
        <f t="shared" si="778"/>
        <v>143132.34239567581</v>
      </c>
      <c r="X133" s="262">
        <f t="shared" si="807"/>
        <v>143132.34239567581</v>
      </c>
      <c r="Y133" s="298">
        <f t="shared" si="808"/>
        <v>0</v>
      </c>
      <c r="Z133" s="299">
        <f t="shared" si="809"/>
        <v>1497055.542268272</v>
      </c>
      <c r="AA133" s="262">
        <f t="shared" si="810"/>
        <v>1497055.542268272</v>
      </c>
      <c r="AB133" s="298">
        <f t="shared" si="811"/>
        <v>0</v>
      </c>
      <c r="AC133" s="299">
        <f t="shared" si="812"/>
        <v>744645.40277220786</v>
      </c>
      <c r="AD133" s="262">
        <f t="shared" si="813"/>
        <v>744645.40277220786</v>
      </c>
      <c r="AE133" s="298">
        <f t="shared" si="779"/>
        <v>0</v>
      </c>
      <c r="AF133" s="299">
        <f t="shared" si="780"/>
        <v>232458.65188424333</v>
      </c>
      <c r="AG133" s="262">
        <f t="shared" si="814"/>
        <v>232458.65188424333</v>
      </c>
      <c r="AH133" s="298">
        <f t="shared" si="781"/>
        <v>0</v>
      </c>
      <c r="AI133" s="299">
        <f t="shared" si="782"/>
        <v>7248.8739873470986</v>
      </c>
      <c r="AJ133" s="262">
        <f t="shared" si="815"/>
        <v>7248.8739873470986</v>
      </c>
      <c r="AK133" s="298">
        <f t="shared" si="783"/>
        <v>0</v>
      </c>
      <c r="AL133" s="299">
        <f t="shared" si="784"/>
        <v>625461.80589173932</v>
      </c>
      <c r="AM133" s="262">
        <f t="shared" si="816"/>
        <v>625461.80589173932</v>
      </c>
      <c r="AN133" s="298">
        <f t="shared" si="817"/>
        <v>0</v>
      </c>
      <c r="AO133" s="299">
        <f t="shared" si="818"/>
        <v>0</v>
      </c>
      <c r="AP133" s="262">
        <f t="shared" si="819"/>
        <v>0</v>
      </c>
      <c r="AQ133" s="298">
        <f t="shared" si="820"/>
        <v>0</v>
      </c>
      <c r="AR133" s="299">
        <f t="shared" si="821"/>
        <v>0</v>
      </c>
      <c r="AS133" s="262">
        <f t="shared" si="822"/>
        <v>0</v>
      </c>
      <c r="AT133" s="298">
        <f t="shared" si="785"/>
        <v>0</v>
      </c>
      <c r="AU133" s="299">
        <f t="shared" si="786"/>
        <v>0</v>
      </c>
      <c r="AV133" s="262">
        <f t="shared" si="823"/>
        <v>0</v>
      </c>
      <c r="AW133" s="298">
        <f t="shared" si="787"/>
        <v>0</v>
      </c>
      <c r="AX133" s="299">
        <f t="shared" si="788"/>
        <v>0</v>
      </c>
      <c r="AY133" s="262">
        <f t="shared" si="824"/>
        <v>0</v>
      </c>
      <c r="AZ133" s="298">
        <f t="shared" si="789"/>
        <v>0</v>
      </c>
      <c r="BA133" s="299">
        <f t="shared" si="790"/>
        <v>0</v>
      </c>
      <c r="BB133" s="262">
        <f t="shared" si="825"/>
        <v>0</v>
      </c>
      <c r="BC133" s="298">
        <f t="shared" si="826"/>
        <v>0</v>
      </c>
      <c r="BD133" s="299">
        <f t="shared" si="827"/>
        <v>0</v>
      </c>
      <c r="BE133" s="262">
        <f t="shared" si="828"/>
        <v>0</v>
      </c>
      <c r="BF133" s="298">
        <f t="shared" si="829"/>
        <v>0</v>
      </c>
      <c r="BG133" s="299">
        <f t="shared" si="830"/>
        <v>0</v>
      </c>
      <c r="BH133" s="262">
        <f t="shared" si="831"/>
        <v>0</v>
      </c>
      <c r="BI133" s="298">
        <f t="shared" si="791"/>
        <v>0</v>
      </c>
      <c r="BJ133" s="299">
        <f t="shared" si="792"/>
        <v>0</v>
      </c>
      <c r="BK133" s="262">
        <f t="shared" si="832"/>
        <v>0</v>
      </c>
      <c r="BL133" s="298">
        <f t="shared" si="793"/>
        <v>0</v>
      </c>
      <c r="BM133" s="299">
        <f t="shared" si="794"/>
        <v>0</v>
      </c>
      <c r="BN133" s="262">
        <f t="shared" si="833"/>
        <v>0</v>
      </c>
      <c r="BO133" s="298">
        <f t="shared" si="795"/>
        <v>0</v>
      </c>
      <c r="BP133" s="299">
        <f t="shared" si="796"/>
        <v>0</v>
      </c>
      <c r="BQ133" s="262">
        <f t="shared" si="834"/>
        <v>0</v>
      </c>
    </row>
    <row r="134" spans="1:69" ht="16" x14ac:dyDescent="0.2">
      <c r="A134" s="1346"/>
      <c r="B134" s="1348"/>
      <c r="C134" s="290" t="s">
        <v>33</v>
      </c>
      <c r="D134" s="291">
        <f t="shared" si="835"/>
        <v>0</v>
      </c>
      <c r="E134" s="292">
        <f t="shared" si="159"/>
        <v>7581424.5520049995</v>
      </c>
      <c r="F134" s="293">
        <f t="shared" si="576"/>
        <v>7581424.5520049995</v>
      </c>
      <c r="G134" s="298">
        <f t="shared" si="797"/>
        <v>0</v>
      </c>
      <c r="H134" s="299">
        <f t="shared" si="772"/>
        <v>3012484.5930972332</v>
      </c>
      <c r="I134" s="262">
        <f t="shared" si="798"/>
        <v>3012484.5930972332</v>
      </c>
      <c r="J134" s="298">
        <f t="shared" si="799"/>
        <v>0</v>
      </c>
      <c r="K134" s="299">
        <f t="shared" si="800"/>
        <v>587041.18307835038</v>
      </c>
      <c r="L134" s="262">
        <f t="shared" si="801"/>
        <v>587041.18307835038</v>
      </c>
      <c r="M134" s="298">
        <f t="shared" si="802"/>
        <v>0</v>
      </c>
      <c r="N134" s="299">
        <f t="shared" si="803"/>
        <v>143491.96497104911</v>
      </c>
      <c r="O134" s="262">
        <f t="shared" si="804"/>
        <v>143491.96497104911</v>
      </c>
      <c r="P134" s="298">
        <f t="shared" si="773"/>
        <v>0</v>
      </c>
      <c r="Q134" s="299">
        <f t="shared" si="774"/>
        <v>140035.33246038755</v>
      </c>
      <c r="R134" s="262">
        <f t="shared" si="805"/>
        <v>140035.33246038755</v>
      </c>
      <c r="S134" s="298">
        <f t="shared" si="775"/>
        <v>0</v>
      </c>
      <c r="T134" s="299">
        <f t="shared" si="776"/>
        <v>448368.85919849481</v>
      </c>
      <c r="U134" s="262">
        <f t="shared" si="806"/>
        <v>448368.85919849481</v>
      </c>
      <c r="V134" s="298">
        <f t="shared" si="777"/>
        <v>0</v>
      </c>
      <c r="W134" s="299">
        <f t="shared" si="778"/>
        <v>143132.34239567581</v>
      </c>
      <c r="X134" s="262">
        <f t="shared" si="807"/>
        <v>143132.34239567581</v>
      </c>
      <c r="Y134" s="298">
        <f t="shared" si="808"/>
        <v>0</v>
      </c>
      <c r="Z134" s="299">
        <f t="shared" si="809"/>
        <v>1497055.542268272</v>
      </c>
      <c r="AA134" s="262">
        <f t="shared" si="810"/>
        <v>1497055.542268272</v>
      </c>
      <c r="AB134" s="298">
        <f t="shared" si="811"/>
        <v>0</v>
      </c>
      <c r="AC134" s="299">
        <f t="shared" si="812"/>
        <v>744645.40277220786</v>
      </c>
      <c r="AD134" s="262">
        <f t="shared" si="813"/>
        <v>744645.40277220786</v>
      </c>
      <c r="AE134" s="298">
        <f t="shared" si="779"/>
        <v>0</v>
      </c>
      <c r="AF134" s="299">
        <f t="shared" si="780"/>
        <v>232458.65188424333</v>
      </c>
      <c r="AG134" s="262">
        <f t="shared" si="814"/>
        <v>232458.65188424333</v>
      </c>
      <c r="AH134" s="298">
        <f t="shared" si="781"/>
        <v>0</v>
      </c>
      <c r="AI134" s="299">
        <f t="shared" si="782"/>
        <v>7248.8739873470986</v>
      </c>
      <c r="AJ134" s="262">
        <f t="shared" si="815"/>
        <v>7248.8739873470986</v>
      </c>
      <c r="AK134" s="298">
        <f t="shared" si="783"/>
        <v>0</v>
      </c>
      <c r="AL134" s="299">
        <f t="shared" si="784"/>
        <v>625461.80589173932</v>
      </c>
      <c r="AM134" s="262">
        <f t="shared" si="816"/>
        <v>625461.80589173932</v>
      </c>
      <c r="AN134" s="298">
        <f t="shared" si="817"/>
        <v>0</v>
      </c>
      <c r="AO134" s="299">
        <f t="shared" si="818"/>
        <v>0</v>
      </c>
      <c r="AP134" s="262">
        <f t="shared" si="819"/>
        <v>0</v>
      </c>
      <c r="AQ134" s="298">
        <f t="shared" si="820"/>
        <v>0</v>
      </c>
      <c r="AR134" s="299">
        <f t="shared" si="821"/>
        <v>0</v>
      </c>
      <c r="AS134" s="262">
        <f t="shared" si="822"/>
        <v>0</v>
      </c>
      <c r="AT134" s="298">
        <f t="shared" si="785"/>
        <v>0</v>
      </c>
      <c r="AU134" s="299">
        <f t="shared" si="786"/>
        <v>0</v>
      </c>
      <c r="AV134" s="262">
        <f t="shared" si="823"/>
        <v>0</v>
      </c>
      <c r="AW134" s="298">
        <f t="shared" si="787"/>
        <v>0</v>
      </c>
      <c r="AX134" s="299">
        <f t="shared" si="788"/>
        <v>0</v>
      </c>
      <c r="AY134" s="262">
        <f t="shared" si="824"/>
        <v>0</v>
      </c>
      <c r="AZ134" s="298">
        <f t="shared" si="789"/>
        <v>0</v>
      </c>
      <c r="BA134" s="299">
        <f t="shared" si="790"/>
        <v>0</v>
      </c>
      <c r="BB134" s="262">
        <f t="shared" si="825"/>
        <v>0</v>
      </c>
      <c r="BC134" s="298">
        <f t="shared" si="826"/>
        <v>0</v>
      </c>
      <c r="BD134" s="299">
        <f t="shared" si="827"/>
        <v>0</v>
      </c>
      <c r="BE134" s="262">
        <f t="shared" si="828"/>
        <v>0</v>
      </c>
      <c r="BF134" s="298">
        <f t="shared" si="829"/>
        <v>0</v>
      </c>
      <c r="BG134" s="299">
        <f t="shared" si="830"/>
        <v>0</v>
      </c>
      <c r="BH134" s="262">
        <f t="shared" si="831"/>
        <v>0</v>
      </c>
      <c r="BI134" s="298">
        <f t="shared" si="791"/>
        <v>0</v>
      </c>
      <c r="BJ134" s="299">
        <f t="shared" si="792"/>
        <v>0</v>
      </c>
      <c r="BK134" s="262">
        <f t="shared" si="832"/>
        <v>0</v>
      </c>
      <c r="BL134" s="298">
        <f t="shared" si="793"/>
        <v>0</v>
      </c>
      <c r="BM134" s="299">
        <f t="shared" si="794"/>
        <v>0</v>
      </c>
      <c r="BN134" s="262">
        <f t="shared" si="833"/>
        <v>0</v>
      </c>
      <c r="BO134" s="298">
        <f t="shared" si="795"/>
        <v>0</v>
      </c>
      <c r="BP134" s="299">
        <f t="shared" si="796"/>
        <v>0</v>
      </c>
      <c r="BQ134" s="262">
        <f t="shared" si="834"/>
        <v>0</v>
      </c>
    </row>
    <row r="135" spans="1:69" ht="17" thickBot="1" x14ac:dyDescent="0.25">
      <c r="A135" s="1347"/>
      <c r="B135" s="1349"/>
      <c r="C135" s="300" t="s">
        <v>34</v>
      </c>
      <c r="D135" s="301">
        <f t="shared" si="835"/>
        <v>0</v>
      </c>
      <c r="E135" s="302">
        <f t="shared" si="159"/>
        <v>7581424.5520049995</v>
      </c>
      <c r="F135" s="303">
        <f t="shared" si="576"/>
        <v>7581424.5520049995</v>
      </c>
      <c r="G135" s="304">
        <f t="shared" si="797"/>
        <v>0</v>
      </c>
      <c r="H135" s="305">
        <f t="shared" si="772"/>
        <v>3012484.5930972332</v>
      </c>
      <c r="I135" s="267">
        <f t="shared" si="798"/>
        <v>3012484.5930972332</v>
      </c>
      <c r="J135" s="304">
        <f t="shared" si="799"/>
        <v>0</v>
      </c>
      <c r="K135" s="305">
        <f t="shared" si="800"/>
        <v>587041.18307835038</v>
      </c>
      <c r="L135" s="267">
        <f t="shared" si="801"/>
        <v>587041.18307835038</v>
      </c>
      <c r="M135" s="304">
        <f t="shared" si="802"/>
        <v>0</v>
      </c>
      <c r="N135" s="305">
        <f t="shared" si="803"/>
        <v>143491.96497104911</v>
      </c>
      <c r="O135" s="267">
        <f t="shared" si="804"/>
        <v>143491.96497104911</v>
      </c>
      <c r="P135" s="304">
        <f t="shared" si="773"/>
        <v>0</v>
      </c>
      <c r="Q135" s="305">
        <f t="shared" si="774"/>
        <v>140035.33246038755</v>
      </c>
      <c r="R135" s="267">
        <f t="shared" si="805"/>
        <v>140035.33246038755</v>
      </c>
      <c r="S135" s="304">
        <f t="shared" si="775"/>
        <v>0</v>
      </c>
      <c r="T135" s="305">
        <f t="shared" si="776"/>
        <v>448368.85919849481</v>
      </c>
      <c r="U135" s="267">
        <f t="shared" si="806"/>
        <v>448368.85919849481</v>
      </c>
      <c r="V135" s="304">
        <f t="shared" si="777"/>
        <v>0</v>
      </c>
      <c r="W135" s="305">
        <f t="shared" si="778"/>
        <v>143132.34239567581</v>
      </c>
      <c r="X135" s="267">
        <f t="shared" si="807"/>
        <v>143132.34239567581</v>
      </c>
      <c r="Y135" s="304">
        <f t="shared" si="808"/>
        <v>0</v>
      </c>
      <c r="Z135" s="305">
        <f t="shared" si="809"/>
        <v>1497055.542268272</v>
      </c>
      <c r="AA135" s="267">
        <f t="shared" si="810"/>
        <v>1497055.542268272</v>
      </c>
      <c r="AB135" s="304">
        <f t="shared" si="811"/>
        <v>0</v>
      </c>
      <c r="AC135" s="305">
        <f t="shared" si="812"/>
        <v>744645.40277220786</v>
      </c>
      <c r="AD135" s="267">
        <f t="shared" si="813"/>
        <v>744645.40277220786</v>
      </c>
      <c r="AE135" s="304">
        <f t="shared" si="779"/>
        <v>0</v>
      </c>
      <c r="AF135" s="305">
        <f t="shared" si="780"/>
        <v>232458.65188424333</v>
      </c>
      <c r="AG135" s="267">
        <f t="shared" si="814"/>
        <v>232458.65188424333</v>
      </c>
      <c r="AH135" s="304">
        <f t="shared" si="781"/>
        <v>0</v>
      </c>
      <c r="AI135" s="305">
        <f t="shared" si="782"/>
        <v>7248.8739873470986</v>
      </c>
      <c r="AJ135" s="267">
        <f t="shared" si="815"/>
        <v>7248.8739873470986</v>
      </c>
      <c r="AK135" s="304">
        <f t="shared" si="783"/>
        <v>0</v>
      </c>
      <c r="AL135" s="305">
        <f t="shared" si="784"/>
        <v>625461.80589173932</v>
      </c>
      <c r="AM135" s="267">
        <f t="shared" si="816"/>
        <v>625461.80589173932</v>
      </c>
      <c r="AN135" s="304">
        <f t="shared" si="817"/>
        <v>0</v>
      </c>
      <c r="AO135" s="305">
        <f t="shared" si="818"/>
        <v>0</v>
      </c>
      <c r="AP135" s="267">
        <f t="shared" si="819"/>
        <v>0</v>
      </c>
      <c r="AQ135" s="304">
        <f t="shared" si="820"/>
        <v>0</v>
      </c>
      <c r="AR135" s="305">
        <f t="shared" si="821"/>
        <v>0</v>
      </c>
      <c r="AS135" s="267">
        <f t="shared" si="822"/>
        <v>0</v>
      </c>
      <c r="AT135" s="304">
        <f t="shared" si="785"/>
        <v>0</v>
      </c>
      <c r="AU135" s="305">
        <f t="shared" si="786"/>
        <v>0</v>
      </c>
      <c r="AV135" s="267">
        <f t="shared" si="823"/>
        <v>0</v>
      </c>
      <c r="AW135" s="304">
        <f t="shared" si="787"/>
        <v>0</v>
      </c>
      <c r="AX135" s="305">
        <f t="shared" si="788"/>
        <v>0</v>
      </c>
      <c r="AY135" s="267">
        <f t="shared" si="824"/>
        <v>0</v>
      </c>
      <c r="AZ135" s="304">
        <f t="shared" si="789"/>
        <v>0</v>
      </c>
      <c r="BA135" s="305">
        <f t="shared" si="790"/>
        <v>0</v>
      </c>
      <c r="BB135" s="267">
        <f t="shared" si="825"/>
        <v>0</v>
      </c>
      <c r="BC135" s="304">
        <f t="shared" si="826"/>
        <v>0</v>
      </c>
      <c r="BD135" s="305">
        <f t="shared" si="827"/>
        <v>0</v>
      </c>
      <c r="BE135" s="267">
        <f t="shared" si="828"/>
        <v>0</v>
      </c>
      <c r="BF135" s="304">
        <f t="shared" si="829"/>
        <v>0</v>
      </c>
      <c r="BG135" s="305">
        <f t="shared" si="830"/>
        <v>0</v>
      </c>
      <c r="BH135" s="267">
        <f t="shared" si="831"/>
        <v>0</v>
      </c>
      <c r="BI135" s="304">
        <f t="shared" si="791"/>
        <v>0</v>
      </c>
      <c r="BJ135" s="305">
        <f t="shared" si="792"/>
        <v>0</v>
      </c>
      <c r="BK135" s="267">
        <f t="shared" si="832"/>
        <v>0</v>
      </c>
      <c r="BL135" s="304">
        <f t="shared" si="793"/>
        <v>0</v>
      </c>
      <c r="BM135" s="305">
        <f t="shared" si="794"/>
        <v>0</v>
      </c>
      <c r="BN135" s="267">
        <f t="shared" si="833"/>
        <v>0</v>
      </c>
      <c r="BO135" s="304">
        <f t="shared" si="795"/>
        <v>0</v>
      </c>
      <c r="BP135" s="305">
        <f t="shared" si="796"/>
        <v>0</v>
      </c>
      <c r="BQ135" s="267">
        <f t="shared" si="834"/>
        <v>0</v>
      </c>
    </row>
  </sheetData>
  <sheetProtection insertColumns="0" deleteColumns="0"/>
  <mergeCells count="71">
    <mergeCell ref="AE3:AG3"/>
    <mergeCell ref="AH3:AJ3"/>
    <mergeCell ref="AK3:AM3"/>
    <mergeCell ref="V2:X2"/>
    <mergeCell ref="Y2:AA2"/>
    <mergeCell ref="P3:R3"/>
    <mergeCell ref="S3:U3"/>
    <mergeCell ref="V3:X3"/>
    <mergeCell ref="Y3:AA3"/>
    <mergeCell ref="AB3:AD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BO3:BQ3"/>
    <mergeCell ref="BL2:BN2"/>
    <mergeCell ref="BO2:BQ2"/>
    <mergeCell ref="BC2:BE2"/>
    <mergeCell ref="BC3:BE3"/>
    <mergeCell ref="BF2:BH2"/>
    <mergeCell ref="BF3:BH3"/>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25:A34"/>
    <mergeCell ref="B25:B34"/>
    <mergeCell ref="A35:A44"/>
    <mergeCell ref="B35:B44"/>
    <mergeCell ref="A55:A64"/>
    <mergeCell ref="B55:B64"/>
    <mergeCell ref="A45:A54"/>
    <mergeCell ref="B45:B54"/>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24">
    <tabColor rgb="FFFFC000"/>
  </sheetPr>
  <dimension ref="A1:O23"/>
  <sheetViews>
    <sheetView workbookViewId="0">
      <selection activeCell="J1" sqref="J1"/>
    </sheetView>
  </sheetViews>
  <sheetFormatPr baseColWidth="10" defaultColWidth="8.83203125" defaultRowHeight="14" x14ac:dyDescent="0.2"/>
  <cols>
    <col min="1" max="1" width="8.83203125" style="411"/>
    <col min="2" max="2" width="20.5" style="411" bestFit="1" customWidth="1"/>
    <col min="3" max="13" width="10.1640625" style="411" customWidth="1"/>
    <col min="14" max="14" width="11" style="411" customWidth="1"/>
    <col min="15" max="15" width="15.33203125" style="411" customWidth="1"/>
    <col min="16" max="16384" width="8.83203125" style="411"/>
  </cols>
  <sheetData>
    <row r="1" spans="1:15" x14ac:dyDescent="0.2">
      <c r="J1" s="510">
        <f>SUM(J3:J23)</f>
        <v>2450</v>
      </c>
      <c r="O1" s="510">
        <f>EXTERNE_POZICIE!K1</f>
        <v>2450</v>
      </c>
    </row>
    <row r="2" spans="1:15" s="493" customFormat="1" ht="45" x14ac:dyDescent="0.2">
      <c r="A2" s="495" t="s">
        <v>269</v>
      </c>
      <c r="B2" s="494" t="s">
        <v>292</v>
      </c>
      <c r="C2" s="494" t="s">
        <v>323</v>
      </c>
      <c r="D2" s="494" t="s">
        <v>324</v>
      </c>
      <c r="E2" s="494" t="s">
        <v>325</v>
      </c>
      <c r="F2" s="494" t="s">
        <v>338</v>
      </c>
      <c r="G2" s="494" t="s">
        <v>265</v>
      </c>
      <c r="H2" s="494" t="s">
        <v>291</v>
      </c>
      <c r="I2" s="494" t="s">
        <v>337</v>
      </c>
      <c r="J2" s="494" t="s">
        <v>720</v>
      </c>
      <c r="K2" s="494" t="s">
        <v>419</v>
      </c>
      <c r="L2" s="494" t="s">
        <v>293</v>
      </c>
      <c r="M2" s="494" t="s">
        <v>420</v>
      </c>
      <c r="N2" s="494" t="s">
        <v>736</v>
      </c>
      <c r="O2" s="494" t="s">
        <v>744</v>
      </c>
    </row>
    <row r="3" spans="1:15" x14ac:dyDescent="0.2">
      <c r="A3" s="416" t="s">
        <v>270</v>
      </c>
      <c r="B3" s="415" t="str">
        <f>'[1]Rozpočet - HW a licencie'!B3</f>
        <v>NetAcad LAB A vybavenie (Networking a základy cybersec)</v>
      </c>
      <c r="C3" s="413">
        <f>IF(ISBLANK(B3),"",TCF_v02!$B$2)</f>
        <v>1.01</v>
      </c>
      <c r="D3" s="413">
        <f>IF(ISBLANK(B3),"",ECF_v02!$B$2)</f>
        <v>0.76999999999999991</v>
      </c>
      <c r="E3" s="413">
        <f>IFERROR(VLOOKUP(B3,UAW_v02!A6:B26,2,0),"")</f>
        <v>21</v>
      </c>
      <c r="F3" s="414">
        <v>20</v>
      </c>
      <c r="G3" s="414" t="s">
        <v>294</v>
      </c>
      <c r="H3" s="413">
        <f>IFERROR(YEAR(VLOOKUP(G3,INKREMENTY!$A$2:$F$21,4,0)),"")</f>
        <v>2027</v>
      </c>
      <c r="I3" s="412">
        <f>IFERROR(VLOOKUP(G3,INKREMENTY!$A$2:$F$21,6,0),"")</f>
        <v>2</v>
      </c>
      <c r="J3" s="643">
        <f>IFERROR(ROUND((SUMIF(KATALOG_POZIADAVKY!$G$3:$G$298,MODULY_CBA!B3,KATALOG_POZIADAVKY!$P$3:$P$298)/8),0),"")</f>
        <v>60</v>
      </c>
      <c r="K3" s="431">
        <v>0.02</v>
      </c>
      <c r="L3" s="431"/>
      <c r="M3" s="431">
        <v>0.03</v>
      </c>
      <c r="N3" s="509">
        <v>7</v>
      </c>
      <c r="O3" s="509">
        <f>IFERROR($O$1*J3/$J$1,"")</f>
        <v>60</v>
      </c>
    </row>
    <row r="4" spans="1:15" x14ac:dyDescent="0.2">
      <c r="A4" s="416" t="s">
        <v>271</v>
      </c>
      <c r="B4" s="415" t="str">
        <f>'[1]Rozpočet - HW a licencie'!B4</f>
        <v>NetAcad LAB B vybavenie (Pokročilá cybersec)</v>
      </c>
      <c r="C4" s="413">
        <f>IF(ISBLANK(B4),"",TCF_v02!$B$2)</f>
        <v>1.01</v>
      </c>
      <c r="D4" s="413">
        <f>IF(ISBLANK(B4),"",ECF_v02!$B$2)</f>
        <v>0.76999999999999991</v>
      </c>
      <c r="E4" s="413">
        <f>IFERROR(VLOOKUP(B4,UAW_v02!A7:B27,2,0),"")</f>
        <v>21</v>
      </c>
      <c r="F4" s="414">
        <v>20</v>
      </c>
      <c r="G4" s="414" t="s">
        <v>294</v>
      </c>
      <c r="H4" s="413">
        <f>IFERROR(YEAR(VLOOKUP(G4,INKREMENTY!$A$2:$F$21,4,0)),"")</f>
        <v>2027</v>
      </c>
      <c r="I4" s="412">
        <f>IFERROR(VLOOKUP(G4,INKREMENTY!$A$2:$F$21,6,0),"")</f>
        <v>2</v>
      </c>
      <c r="J4" s="643">
        <f>IFERROR(ROUND((SUMIF(KATALOG_POZIADAVKY!$G$3:$G$298,MODULY_CBA!B4,KATALOG_POZIADAVKY!$P$3:$P$298)/8),0),"")</f>
        <v>60</v>
      </c>
      <c r="K4" s="431">
        <v>0.02</v>
      </c>
      <c r="L4" s="431"/>
      <c r="M4" s="431">
        <v>0.03</v>
      </c>
      <c r="N4" s="509">
        <v>7</v>
      </c>
      <c r="O4" s="509">
        <f t="shared" ref="O4:O23" si="0">IFERROR($O$1*J4/$J$1,"")</f>
        <v>60</v>
      </c>
    </row>
    <row r="5" spans="1:15" x14ac:dyDescent="0.2">
      <c r="A5" s="416" t="s">
        <v>272</v>
      </c>
      <c r="B5" s="415" t="str">
        <f>'[1]Rozpočet - HW a licencie'!B5</f>
        <v>NetAcad LAB spoločná komunikačná infraštruktúra</v>
      </c>
      <c r="C5" s="413">
        <f>IF(ISBLANK(B5),"",TCF_v02!$B$2)</f>
        <v>1.01</v>
      </c>
      <c r="D5" s="413">
        <f>IF(ISBLANK(B5),"",ECF_v02!$B$2)</f>
        <v>0.76999999999999991</v>
      </c>
      <c r="E5" s="413">
        <f>IFERROR(VLOOKUP(B5,UAW_v02!A8:B28,2,0),"")</f>
        <v>21</v>
      </c>
      <c r="F5" s="414">
        <v>20</v>
      </c>
      <c r="G5" s="414" t="s">
        <v>294</v>
      </c>
      <c r="H5" s="413">
        <f>IFERROR(YEAR(VLOOKUP(G5,INKREMENTY!$A$2:$F$21,4,0)),"")</f>
        <v>2027</v>
      </c>
      <c r="I5" s="412">
        <f>IFERROR(VLOOKUP(G5,INKREMENTY!$A$2:$F$21,6,0),"")</f>
        <v>2</v>
      </c>
      <c r="J5" s="643">
        <f>IFERROR(ROUND((SUMIF(KATALOG_POZIADAVKY!$G$3:$G$298,MODULY_CBA!B5,KATALOG_POZIADAVKY!$P$3:$P$298)/8),0),"")</f>
        <v>138</v>
      </c>
      <c r="K5" s="431">
        <v>0.02</v>
      </c>
      <c r="L5" s="431"/>
      <c r="M5" s="431">
        <v>0.03</v>
      </c>
      <c r="N5" s="509">
        <v>7</v>
      </c>
      <c r="O5" s="509">
        <f t="shared" si="0"/>
        <v>138</v>
      </c>
    </row>
    <row r="6" spans="1:15" x14ac:dyDescent="0.2">
      <c r="A6" s="416" t="s">
        <v>273</v>
      </c>
      <c r="B6" s="415" t="str">
        <f>'[1]Rozpočet - HW a licencie'!B6</f>
        <v>NetAcad LAB vzdelávací obsah v  oblasti kybernetickej bezpečnosti (na Slovensku)</v>
      </c>
      <c r="C6" s="413">
        <f>IF(ISBLANK(B6),"",TCF_v02!$B$2)</f>
        <v>1.01</v>
      </c>
      <c r="D6" s="413">
        <f>IF(ISBLANK(B6),"",ECF_v02!$B$2)</f>
        <v>0.76999999999999991</v>
      </c>
      <c r="E6" s="413">
        <f>IFERROR(VLOOKUP(B6,UAW_v02!A9:B29,2,0),"")</f>
        <v>0</v>
      </c>
      <c r="F6" s="414">
        <v>20</v>
      </c>
      <c r="G6" s="414" t="s">
        <v>295</v>
      </c>
      <c r="H6" s="413">
        <f>IFERROR(YEAR(VLOOKUP(G6,INKREMENTY!$A$2:$F$21,4,0)),"")</f>
        <v>2029</v>
      </c>
      <c r="I6" s="412">
        <f>IFERROR(VLOOKUP(G6,INKREMENTY!$A$2:$F$21,6,0),"")</f>
        <v>4</v>
      </c>
      <c r="J6" s="643">
        <f>IFERROR(ROUND((SUMIF(KATALOG_POZIADAVKY!$G$3:$G$298,MODULY_CBA!B6,KATALOG_POZIADAVKY!$P$3:$P$298)/8),0),"")</f>
        <v>0</v>
      </c>
      <c r="K6" s="431">
        <v>0.02</v>
      </c>
      <c r="L6" s="431"/>
      <c r="M6" s="431">
        <v>0.03</v>
      </c>
      <c r="N6" s="509">
        <v>7</v>
      </c>
      <c r="O6" s="509">
        <f t="shared" si="0"/>
        <v>0</v>
      </c>
    </row>
    <row r="7" spans="1:15" x14ac:dyDescent="0.2">
      <c r="A7" s="416" t="s">
        <v>274</v>
      </c>
      <c r="B7" s="415" t="str">
        <f>'[1]Rozpočet - HW a licencie'!B7</f>
        <v>LMS Cluster + Interoperabilita</v>
      </c>
      <c r="C7" s="413">
        <f>IF(ISBLANK(B7),"",TCF_v02!$B$2)</f>
        <v>1.01</v>
      </c>
      <c r="D7" s="413">
        <f>IF(ISBLANK(B7),"",ECF_v02!$B$2)</f>
        <v>0.76999999999999991</v>
      </c>
      <c r="E7" s="413">
        <f>IFERROR(VLOOKUP(B7,UAW_v02!A10:B30,2,0),"")</f>
        <v>21</v>
      </c>
      <c r="F7" s="414">
        <v>20</v>
      </c>
      <c r="G7" s="414" t="s">
        <v>294</v>
      </c>
      <c r="H7" s="413">
        <f>IFERROR(YEAR(VLOOKUP(G7,INKREMENTY!$A$2:$F$21,4,0)),"")</f>
        <v>2027</v>
      </c>
      <c r="I7" s="412">
        <f>IFERROR(VLOOKUP(G7,INKREMENTY!$A$2:$F$21,6,0),"")</f>
        <v>2</v>
      </c>
      <c r="J7" s="643">
        <f>IFERROR(ROUND((SUMIF(KATALOG_POZIADAVKY!$G$3:$G$298,MODULY_CBA!B7,KATALOG_POZIADAVKY!$P$3:$P$298)/8),0),"")</f>
        <v>588</v>
      </c>
      <c r="K7" s="431">
        <v>0.02</v>
      </c>
      <c r="L7" s="431"/>
      <c r="M7" s="431">
        <v>0.03</v>
      </c>
      <c r="N7" s="509">
        <v>7</v>
      </c>
      <c r="O7" s="509">
        <f t="shared" si="0"/>
        <v>588</v>
      </c>
    </row>
    <row r="8" spans="1:15" x14ac:dyDescent="0.2">
      <c r="A8" s="416" t="s">
        <v>275</v>
      </c>
      <c r="B8" s="415" t="str">
        <f>'[1]Rozpočet - HW a licencie'!B8</f>
        <v>CSKI Centrálna serverová a komunikačná infraštruktúra</v>
      </c>
      <c r="C8" s="413">
        <f>IF(ISBLANK(B8),"",TCF_v02!$B$2)</f>
        <v>1.01</v>
      </c>
      <c r="D8" s="413">
        <f>IF(ISBLANK(B8),"",ECF_v02!$B$2)</f>
        <v>0.76999999999999991</v>
      </c>
      <c r="E8" s="413">
        <f>IFERROR(VLOOKUP(B8,UAW_v02!A11:B31,2,0),"")</f>
        <v>0</v>
      </c>
      <c r="F8" s="414">
        <v>20</v>
      </c>
      <c r="G8" s="414" t="s">
        <v>295</v>
      </c>
      <c r="H8" s="413">
        <f>IFERROR(YEAR(VLOOKUP(G8,INKREMENTY!$A$2:$F$21,4,0)),"")</f>
        <v>2029</v>
      </c>
      <c r="I8" s="412">
        <f>IFERROR(VLOOKUP(G8,INKREMENTY!$A$2:$F$21,6,0),"")</f>
        <v>4</v>
      </c>
      <c r="J8" s="643">
        <f>IFERROR(ROUND((SUMIF(KATALOG_POZIADAVKY!$G$3:$G$298,MODULY_CBA!B8,KATALOG_POZIADAVKY!$P$3:$P$298)/8),0),"")</f>
        <v>0</v>
      </c>
      <c r="K8" s="431">
        <v>0.02</v>
      </c>
      <c r="L8" s="414"/>
      <c r="M8" s="431">
        <v>0.03</v>
      </c>
      <c r="N8" s="509">
        <v>7</v>
      </c>
      <c r="O8" s="509">
        <f t="shared" si="0"/>
        <v>0</v>
      </c>
    </row>
    <row r="9" spans="1:15" x14ac:dyDescent="0.2">
      <c r="A9" s="416" t="s">
        <v>276</v>
      </c>
      <c r="B9" s="415" t="str">
        <f>'[1]Rozpočet - HW a licencie'!B9</f>
        <v>AI Cluster</v>
      </c>
      <c r="C9" s="413">
        <f>IF(ISBLANK(B9),"",TCF_v02!$B$2)</f>
        <v>1.01</v>
      </c>
      <c r="D9" s="413">
        <f>IF(ISBLANK(B9),"",ECF_v02!$B$2)</f>
        <v>0.76999999999999991</v>
      </c>
      <c r="E9" s="413">
        <f>IFERROR(VLOOKUP(B9,UAW_v02!A12:B32,2,0),"")</f>
        <v>21</v>
      </c>
      <c r="F9" s="414">
        <v>20</v>
      </c>
      <c r="G9" s="414" t="s">
        <v>294</v>
      </c>
      <c r="H9" s="413">
        <f>IFERROR(YEAR(VLOOKUP(G9,INKREMENTY!$A$2:$F$21,4,0)),"")</f>
        <v>2027</v>
      </c>
      <c r="I9" s="412">
        <f>IFERROR(VLOOKUP(G9,INKREMENTY!$A$2:$F$21,6,0),"")</f>
        <v>2</v>
      </c>
      <c r="J9" s="643">
        <f>IFERROR(ROUND((SUMIF(KATALOG_POZIADAVKY!$G$3:$G$298,MODULY_CBA!B9,KATALOG_POZIADAVKY!$P$3:$P$298)/8),0),"")</f>
        <v>97</v>
      </c>
      <c r="K9" s="431">
        <v>0.02</v>
      </c>
      <c r="L9" s="414"/>
      <c r="M9" s="431">
        <v>0.03</v>
      </c>
      <c r="N9" s="509">
        <v>7</v>
      </c>
      <c r="O9" s="509">
        <f t="shared" si="0"/>
        <v>97</v>
      </c>
    </row>
    <row r="10" spans="1:15" x14ac:dyDescent="0.2">
      <c r="A10" s="416" t="s">
        <v>277</v>
      </c>
      <c r="B10" s="415" t="str">
        <f>'[1]Rozpočet - HW a licencie'!B10</f>
        <v>CSIRT-SOC Cluster</v>
      </c>
      <c r="C10" s="413">
        <f>IF(ISBLANK(B10),"",TCF_v02!$B$2)</f>
        <v>1.01</v>
      </c>
      <c r="D10" s="413">
        <f>IF(ISBLANK(B10),"",ECF_v02!$B$2)</f>
        <v>0.76999999999999991</v>
      </c>
      <c r="E10" s="413">
        <f>IFERROR(VLOOKUP(B10,UAW_v02!A13:B33,2,0),"")</f>
        <v>21</v>
      </c>
      <c r="F10" s="414">
        <v>20</v>
      </c>
      <c r="G10" s="414" t="s">
        <v>294</v>
      </c>
      <c r="H10" s="413">
        <f>IFERROR(YEAR(VLOOKUP(G10,INKREMENTY!$A$2:$F$21,4,0)),"")</f>
        <v>2027</v>
      </c>
      <c r="I10" s="412">
        <f>IFERROR(VLOOKUP(G10,INKREMENTY!$A$2:$F$21,6,0),"")</f>
        <v>2</v>
      </c>
      <c r="J10" s="643">
        <f>IFERROR(ROUND((SUMIF(KATALOG_POZIADAVKY!$G$3:$G$298,MODULY_CBA!B10,KATALOG_POZIADAVKY!$P$3:$P$298)/8),0),"")</f>
        <v>760</v>
      </c>
      <c r="K10" s="431">
        <v>0.02</v>
      </c>
      <c r="L10" s="414"/>
      <c r="M10" s="431">
        <v>0.03</v>
      </c>
      <c r="N10" s="509">
        <v>7</v>
      </c>
      <c r="O10" s="509">
        <f t="shared" si="0"/>
        <v>760</v>
      </c>
    </row>
    <row r="11" spans="1:15" x14ac:dyDescent="0.2">
      <c r="A11" s="416" t="s">
        <v>278</v>
      </c>
      <c r="B11" s="415" t="str">
        <f>'[1]Rozpočet - HW a licencie'!B11</f>
        <v>Kvantové počítače a príslušenstvo</v>
      </c>
      <c r="C11" s="413">
        <f>IF(ISBLANK(B11),"",TCF_v02!$B$2)</f>
        <v>1.01</v>
      </c>
      <c r="D11" s="413">
        <f>IF(ISBLANK(B11),"",ECF_v02!$B$2)</f>
        <v>0.76999999999999991</v>
      </c>
      <c r="E11" s="413">
        <f>IFERROR(VLOOKUP(B11,UAW_v02!A14:B34,2,0),"")</f>
        <v>0</v>
      </c>
      <c r="F11" s="414">
        <v>20</v>
      </c>
      <c r="G11" s="414" t="s">
        <v>295</v>
      </c>
      <c r="H11" s="413">
        <f>IFERROR(YEAR(VLOOKUP(G11,INKREMENTY!$A$2:$F$21,4,0)),"")</f>
        <v>2029</v>
      </c>
      <c r="I11" s="412">
        <f>IFERROR(VLOOKUP(G11,INKREMENTY!$A$2:$F$21,6,0),"")</f>
        <v>4</v>
      </c>
      <c r="J11" s="643">
        <f>IFERROR(ROUND((SUMIF(KATALOG_POZIADAVKY!$G$3:$G$298,MODULY_CBA!B11,KATALOG_POZIADAVKY!$P$3:$P$298)/8),0),"")</f>
        <v>0</v>
      </c>
      <c r="K11" s="431">
        <v>0.02</v>
      </c>
      <c r="L11" s="414"/>
      <c r="M11" s="431">
        <v>0.03</v>
      </c>
      <c r="N11" s="509">
        <v>7</v>
      </c>
      <c r="O11" s="509">
        <f t="shared" si="0"/>
        <v>0</v>
      </c>
    </row>
    <row r="12" spans="1:15" x14ac:dyDescent="0.2">
      <c r="A12" s="416" t="s">
        <v>279</v>
      </c>
      <c r="B12" s="415" t="str">
        <f>'[1]Rozpočet - HW a licencie'!B13</f>
        <v>Rozširujúce laboratórne vybavenie UI</v>
      </c>
      <c r="C12" s="413">
        <f>IF(ISBLANK(B12),"",TCF_v02!$B$2)</f>
        <v>1.01</v>
      </c>
      <c r="D12" s="413">
        <f>IF(ISBLANK(B12),"",ECF_v02!$B$2)</f>
        <v>0.76999999999999991</v>
      </c>
      <c r="E12" s="413">
        <f>IFERROR(VLOOKUP(B12,UAW_v02!A15:B35,2,0),"")</f>
        <v>0</v>
      </c>
      <c r="F12" s="414">
        <v>20</v>
      </c>
      <c r="G12" s="414" t="s">
        <v>295</v>
      </c>
      <c r="H12" s="413">
        <f>IFERROR(YEAR(VLOOKUP(G12,INKREMENTY!$A$2:$F$21,4,0)),"")</f>
        <v>2029</v>
      </c>
      <c r="I12" s="412">
        <f>IFERROR(VLOOKUP(G12,INKREMENTY!$A$2:$F$21,6,0),"")</f>
        <v>4</v>
      </c>
      <c r="J12" s="643">
        <f>IFERROR(ROUND((SUMIF(KATALOG_POZIADAVKY!$G$3:$G$298,MODULY_CBA!B12,KATALOG_POZIADAVKY!$P$3:$P$298)/8),0),"")</f>
        <v>0</v>
      </c>
      <c r="K12" s="431">
        <v>0.02</v>
      </c>
      <c r="L12" s="414"/>
      <c r="M12" s="431">
        <v>0.03</v>
      </c>
      <c r="N12" s="509">
        <v>7</v>
      </c>
      <c r="O12" s="509">
        <f t="shared" si="0"/>
        <v>0</v>
      </c>
    </row>
    <row r="13" spans="1:15" x14ac:dyDescent="0.2">
      <c r="A13" s="416" t="s">
        <v>280</v>
      </c>
      <c r="B13" s="415" t="str">
        <f>'[1]Rozpočet - HW a licencie'!B14</f>
        <v>Externé služby a podpora (kurzy, vzdelávanie, ....)</v>
      </c>
      <c r="C13" s="413">
        <f>IF(ISBLANK(B13),"",TCF_v02!$B$2)</f>
        <v>1.01</v>
      </c>
      <c r="D13" s="413">
        <f>IF(ISBLANK(B13),"",ECF_v02!$B$2)</f>
        <v>0.76999999999999991</v>
      </c>
      <c r="E13" s="413">
        <f>IFERROR(VLOOKUP(B13,UAW_v02!A16:B36,2,0),"")</f>
        <v>21</v>
      </c>
      <c r="F13" s="414">
        <v>20</v>
      </c>
      <c r="G13" s="414" t="s">
        <v>294</v>
      </c>
      <c r="H13" s="413">
        <f>IFERROR(YEAR(VLOOKUP(G13,INKREMENTY!$A$2:$F$21,4,0)),"")</f>
        <v>2027</v>
      </c>
      <c r="I13" s="412">
        <f>IFERROR(VLOOKUP(G13,INKREMENTY!$A$2:$F$21,6,0),"")</f>
        <v>2</v>
      </c>
      <c r="J13" s="643">
        <f>IFERROR(ROUND((SUMIF(KATALOG_POZIADAVKY!$G$3:$G$298,MODULY_CBA!B13,KATALOG_POZIADAVKY!$P$3:$P$298)/8),0),"")</f>
        <v>747</v>
      </c>
      <c r="K13" s="431">
        <v>0.02</v>
      </c>
      <c r="L13" s="414"/>
      <c r="M13" s="431">
        <v>0.03</v>
      </c>
      <c r="N13" s="509">
        <v>7</v>
      </c>
      <c r="O13" s="509">
        <f t="shared" si="0"/>
        <v>747</v>
      </c>
    </row>
    <row r="14" spans="1:15" x14ac:dyDescent="0.2">
      <c r="A14" s="416" t="s">
        <v>281</v>
      </c>
      <c r="B14" s="415"/>
      <c r="C14" s="413" t="str">
        <f>IF(ISBLANK(B14),"",TCF_v02!$B$2)</f>
        <v/>
      </c>
      <c r="D14" s="413" t="str">
        <f>IF(ISBLANK(B14),"",ECF_v02!$B$2)</f>
        <v/>
      </c>
      <c r="E14" s="413" t="str">
        <f>IFERROR(VLOOKUP(B14,UAW_v02!A17:B37,2,0),"")</f>
        <v/>
      </c>
      <c r="F14" s="414"/>
      <c r="G14" s="414"/>
      <c r="H14" s="413" t="str">
        <f>IFERROR(YEAR(VLOOKUP(G14,INKREMENTY!$A$2:$F$21,4,0)),"")</f>
        <v/>
      </c>
      <c r="I14" s="412" t="str">
        <f>IFERROR(VLOOKUP(G14,INKREMENTY!$A$2:$F$21,6,0),"")</f>
        <v/>
      </c>
      <c r="J14" s="643">
        <f>IFERROR(ROUND((SUMIF(KATALOG_POZIADAVKY!$G$3:$G$298,MODULY_CBA!B14,KATALOG_POZIADAVKY!$P$3:$P$298)/8),0),"")</f>
        <v>0</v>
      </c>
      <c r="K14" s="414"/>
      <c r="L14" s="414"/>
      <c r="M14" s="414"/>
      <c r="N14" s="509"/>
      <c r="O14" s="509">
        <f t="shared" si="0"/>
        <v>0</v>
      </c>
    </row>
    <row r="15" spans="1:15" x14ac:dyDescent="0.2">
      <c r="A15" s="416" t="s">
        <v>282</v>
      </c>
      <c r="B15" s="415"/>
      <c r="C15" s="413" t="str">
        <f>IF(ISBLANK(B15),"",TCF_v02!$B$2)</f>
        <v/>
      </c>
      <c r="D15" s="413" t="str">
        <f>IF(ISBLANK(B15),"",ECF_v02!$B$2)</f>
        <v/>
      </c>
      <c r="E15" s="413" t="str">
        <f>IFERROR(VLOOKUP(B15,UAW_v02!A18:B38,2,0),"")</f>
        <v/>
      </c>
      <c r="F15" s="414"/>
      <c r="G15" s="414"/>
      <c r="H15" s="413" t="str">
        <f>IFERROR(YEAR(VLOOKUP(G15,INKREMENTY!$A$2:$F$21,4,0)),"")</f>
        <v/>
      </c>
      <c r="I15" s="412" t="str">
        <f>IFERROR(VLOOKUP(G15,INKREMENTY!$A$2:$F$21,6,0),"")</f>
        <v/>
      </c>
      <c r="J15" s="643">
        <f>IFERROR(ROUND((SUMIF(KATALOG_POZIADAVKY!$G$3:$G$298,MODULY_CBA!B15,KATALOG_POZIADAVKY!$P$3:$P$298)/8),0),"")</f>
        <v>0</v>
      </c>
      <c r="K15" s="414"/>
      <c r="L15" s="414"/>
      <c r="M15" s="414"/>
      <c r="N15" s="509"/>
      <c r="O15" s="509">
        <f t="shared" si="0"/>
        <v>0</v>
      </c>
    </row>
    <row r="16" spans="1:15" x14ac:dyDescent="0.2">
      <c r="A16" s="416" t="s">
        <v>283</v>
      </c>
      <c r="B16" s="415"/>
      <c r="C16" s="413" t="str">
        <f>IF(ISBLANK(B16),"",TCF_v02!$B$2)</f>
        <v/>
      </c>
      <c r="D16" s="413" t="str">
        <f>IF(ISBLANK(B16),"",ECF_v02!$B$2)</f>
        <v/>
      </c>
      <c r="E16" s="413" t="str">
        <f>IFERROR(VLOOKUP(B16,UAW_v02!A19:B39,2,0),"")</f>
        <v/>
      </c>
      <c r="F16" s="414"/>
      <c r="G16" s="414"/>
      <c r="H16" s="413" t="str">
        <f>IFERROR(YEAR(VLOOKUP(G16,INKREMENTY!$A$2:$F$21,4,0)),"")</f>
        <v/>
      </c>
      <c r="I16" s="412" t="str">
        <f>IFERROR(VLOOKUP(G16,INKREMENTY!$A$2:$F$21,6,0),"")</f>
        <v/>
      </c>
      <c r="J16" s="643">
        <f>IFERROR(ROUND((SUMIF(KATALOG_POZIADAVKY!$G$3:$G$298,MODULY_CBA!B16,KATALOG_POZIADAVKY!$P$3:$P$298)/8),0),"")</f>
        <v>0</v>
      </c>
      <c r="K16" s="414"/>
      <c r="L16" s="414"/>
      <c r="M16" s="414"/>
      <c r="N16" s="509"/>
      <c r="O16" s="509">
        <f t="shared" si="0"/>
        <v>0</v>
      </c>
    </row>
    <row r="17" spans="1:15" x14ac:dyDescent="0.2">
      <c r="A17" s="416" t="s">
        <v>284</v>
      </c>
      <c r="B17" s="415"/>
      <c r="C17" s="413" t="str">
        <f>IF(ISBLANK(B17),"",TCF_v02!$B$2)</f>
        <v/>
      </c>
      <c r="D17" s="413" t="str">
        <f>IF(ISBLANK(B17),"",ECF_v02!$B$2)</f>
        <v/>
      </c>
      <c r="E17" s="413" t="str">
        <f>IFERROR(VLOOKUP(B17,UAW_v02!A20:B40,2,0),"")</f>
        <v/>
      </c>
      <c r="F17" s="414"/>
      <c r="G17" s="414"/>
      <c r="H17" s="413" t="str">
        <f>IFERROR(YEAR(VLOOKUP(G17,INKREMENTY!$A$2:$F$21,4,0)),"")</f>
        <v/>
      </c>
      <c r="I17" s="412" t="str">
        <f>IFERROR(VLOOKUP(G17,INKREMENTY!$A$2:$F$21,6,0),"")</f>
        <v/>
      </c>
      <c r="J17" s="643">
        <f>IFERROR(ROUND((SUMIF(KATALOG_POZIADAVKY!$G$3:$G$298,MODULY_CBA!B17,KATALOG_POZIADAVKY!$P$3:$P$298)/8),0),"")</f>
        <v>0</v>
      </c>
      <c r="K17" s="414"/>
      <c r="L17" s="414"/>
      <c r="M17" s="414"/>
      <c r="N17" s="509"/>
      <c r="O17" s="509">
        <f t="shared" si="0"/>
        <v>0</v>
      </c>
    </row>
    <row r="18" spans="1:15" x14ac:dyDescent="0.2">
      <c r="A18" s="416" t="s">
        <v>285</v>
      </c>
      <c r="B18" s="415"/>
      <c r="C18" s="413" t="str">
        <f>IF(ISBLANK(B18),"",TCF_v02!$B$2)</f>
        <v/>
      </c>
      <c r="D18" s="413" t="str">
        <f>IF(ISBLANK(B18),"",ECF_v02!$B$2)</f>
        <v/>
      </c>
      <c r="E18" s="413" t="str">
        <f>IFERROR(VLOOKUP(B18,UAW_v02!A21:B41,2,0),"")</f>
        <v/>
      </c>
      <c r="F18" s="414"/>
      <c r="G18" s="414"/>
      <c r="H18" s="413" t="str">
        <f>IFERROR(YEAR(VLOOKUP(G18,INKREMENTY!$A$2:$F$21,4,0)),"")</f>
        <v/>
      </c>
      <c r="I18" s="412" t="str">
        <f>IFERROR(VLOOKUP(G18,INKREMENTY!$A$2:$F$21,6,0),"")</f>
        <v/>
      </c>
      <c r="J18" s="643">
        <f>IFERROR(ROUND((SUMIF(KATALOG_POZIADAVKY!$G$3:$G$298,MODULY_CBA!B18,KATALOG_POZIADAVKY!$P$3:$P$298)/8),0),"")</f>
        <v>0</v>
      </c>
      <c r="K18" s="414"/>
      <c r="L18" s="414"/>
      <c r="M18" s="414"/>
      <c r="N18" s="509"/>
      <c r="O18" s="509">
        <f t="shared" si="0"/>
        <v>0</v>
      </c>
    </row>
    <row r="19" spans="1:15" x14ac:dyDescent="0.2">
      <c r="A19" s="416" t="s">
        <v>286</v>
      </c>
      <c r="B19" s="415"/>
      <c r="C19" s="413" t="str">
        <f>IF(ISBLANK(B19),"",TCF_v02!$B$2)</f>
        <v/>
      </c>
      <c r="D19" s="413" t="str">
        <f>IF(ISBLANK(B19),"",ECF_v02!$B$2)</f>
        <v/>
      </c>
      <c r="E19" s="413" t="str">
        <f>IFERROR(VLOOKUP(B19,UAW_v02!A22:B42,2,0),"")</f>
        <v/>
      </c>
      <c r="F19" s="414"/>
      <c r="G19" s="414"/>
      <c r="H19" s="413" t="str">
        <f>IFERROR(YEAR(VLOOKUP(G19,INKREMENTY!$A$2:$F$21,4,0)),"")</f>
        <v/>
      </c>
      <c r="I19" s="412" t="str">
        <f>IFERROR(VLOOKUP(G19,INKREMENTY!$A$2:$F$21,6,0),"")</f>
        <v/>
      </c>
      <c r="J19" s="643">
        <f>IFERROR(ROUND((SUMIF(KATALOG_POZIADAVKY!$G$3:$G$298,MODULY_CBA!B19,KATALOG_POZIADAVKY!$P$3:$P$298)/8),0),"")</f>
        <v>0</v>
      </c>
      <c r="K19" s="414"/>
      <c r="L19" s="414"/>
      <c r="M19" s="414"/>
      <c r="N19" s="509"/>
      <c r="O19" s="509">
        <f t="shared" si="0"/>
        <v>0</v>
      </c>
    </row>
    <row r="20" spans="1:15" x14ac:dyDescent="0.2">
      <c r="A20" s="416" t="s">
        <v>287</v>
      </c>
      <c r="B20" s="415"/>
      <c r="C20" s="413" t="str">
        <f>IF(ISBLANK(B20),"",TCF_v02!$B$2)</f>
        <v/>
      </c>
      <c r="D20" s="413" t="str">
        <f>IF(ISBLANK(B20),"",ECF_v02!$B$2)</f>
        <v/>
      </c>
      <c r="E20" s="413" t="str">
        <f>IFERROR(VLOOKUP(B20,UAW_v02!A23:B43,2,0),"")</f>
        <v/>
      </c>
      <c r="F20" s="414"/>
      <c r="G20" s="414"/>
      <c r="H20" s="413" t="str">
        <f>IFERROR(YEAR(VLOOKUP(G20,INKREMENTY!$A$2:$F$21,4,0)),"")</f>
        <v/>
      </c>
      <c r="I20" s="412" t="str">
        <f>IFERROR(VLOOKUP(G20,INKREMENTY!$A$2:$F$21,6,0),"")</f>
        <v/>
      </c>
      <c r="J20" s="643">
        <f>IFERROR(ROUND((SUMIF(KATALOG_POZIADAVKY!$G$3:$G$298,MODULY_CBA!B20,KATALOG_POZIADAVKY!$P$3:$P$298)/8),0),"")</f>
        <v>0</v>
      </c>
      <c r="K20" s="414"/>
      <c r="L20" s="414"/>
      <c r="M20" s="414"/>
      <c r="N20" s="509"/>
      <c r="O20" s="509">
        <f t="shared" si="0"/>
        <v>0</v>
      </c>
    </row>
    <row r="21" spans="1:15" x14ac:dyDescent="0.2">
      <c r="A21" s="416" t="s">
        <v>288</v>
      </c>
      <c r="B21" s="415"/>
      <c r="C21" s="413" t="str">
        <f>IF(ISBLANK(B21),"",TCF_v02!$B$2)</f>
        <v/>
      </c>
      <c r="D21" s="413" t="str">
        <f>IF(ISBLANK(B21),"",ECF_v02!$B$2)</f>
        <v/>
      </c>
      <c r="E21" s="413" t="str">
        <f>IFERROR(VLOOKUP(B21,UAW_v02!A24:B44,2,0),"")</f>
        <v/>
      </c>
      <c r="F21" s="414"/>
      <c r="G21" s="414"/>
      <c r="H21" s="413" t="str">
        <f>IFERROR(YEAR(VLOOKUP(G21,INKREMENTY!$A$2:$F$21,4,0)),"")</f>
        <v/>
      </c>
      <c r="I21" s="412" t="str">
        <f>IFERROR(VLOOKUP(G21,INKREMENTY!$A$2:$F$21,6,0),"")</f>
        <v/>
      </c>
      <c r="J21" s="643">
        <f>IFERROR(ROUND((SUMIF(KATALOG_POZIADAVKY!$G$3:$G$298,MODULY_CBA!B21,KATALOG_POZIADAVKY!$P$3:$P$298)/8),0),"")</f>
        <v>0</v>
      </c>
      <c r="K21" s="414"/>
      <c r="L21" s="414"/>
      <c r="M21" s="414"/>
      <c r="N21" s="509"/>
      <c r="O21" s="509">
        <f t="shared" si="0"/>
        <v>0</v>
      </c>
    </row>
    <row r="22" spans="1:15" x14ac:dyDescent="0.2">
      <c r="A22" s="416" t="s">
        <v>289</v>
      </c>
      <c r="B22" s="415"/>
      <c r="C22" s="413" t="str">
        <f>IF(ISBLANK(B22),"",TCF_v02!$B$2)</f>
        <v/>
      </c>
      <c r="D22" s="413" t="str">
        <f>IF(ISBLANK(B22),"",ECF_v02!$B$2)</f>
        <v/>
      </c>
      <c r="E22" s="413" t="str">
        <f>IFERROR(VLOOKUP(B22,UAW_v02!A25:B45,2,0),"")</f>
        <v/>
      </c>
      <c r="F22" s="414"/>
      <c r="G22" s="414"/>
      <c r="H22" s="413" t="str">
        <f>IFERROR(YEAR(VLOOKUP(G22,INKREMENTY!$A$2:$F$21,4,0)),"")</f>
        <v/>
      </c>
      <c r="I22" s="412" t="str">
        <f>IFERROR(VLOOKUP(G22,INKREMENTY!$A$2:$F$21,6,0),"")</f>
        <v/>
      </c>
      <c r="J22" s="643">
        <f>IFERROR(ROUND((SUMIF(KATALOG_POZIADAVKY!$G$3:$G$298,MODULY_CBA!B22,KATALOG_POZIADAVKY!$P$3:$P$298)/8),0),"")</f>
        <v>0</v>
      </c>
      <c r="K22" s="414"/>
      <c r="L22" s="414"/>
      <c r="M22" s="414"/>
      <c r="N22" s="509"/>
      <c r="O22" s="509">
        <f t="shared" si="0"/>
        <v>0</v>
      </c>
    </row>
    <row r="23" spans="1:15" x14ac:dyDescent="0.2">
      <c r="A23" s="416" t="s">
        <v>290</v>
      </c>
      <c r="B23" s="415"/>
      <c r="C23" s="413" t="str">
        <f>IF(ISBLANK(B23),"",TCF_v02!$B$2)</f>
        <v/>
      </c>
      <c r="D23" s="413" t="str">
        <f>IF(ISBLANK(B23),"",ECF_v02!$B$2)</f>
        <v/>
      </c>
      <c r="E23" s="413" t="str">
        <f>IFERROR(VLOOKUP(B23,UAW_v02!A26:B46,2,0),"")</f>
        <v/>
      </c>
      <c r="F23" s="414"/>
      <c r="G23" s="414"/>
      <c r="H23" s="413" t="str">
        <f>IFERROR(YEAR(VLOOKUP(G23,INKREMENTY!$A$2:$F$21,4,0)),"")</f>
        <v/>
      </c>
      <c r="I23" s="412" t="str">
        <f>IFERROR(VLOOKUP(G23,INKREMENTY!$A$2:$F$21,6,0),"")</f>
        <v/>
      </c>
      <c r="J23" s="643">
        <f>IFERROR(ROUND((SUMIF(KATALOG_POZIADAVKY!$G$3:$G$298,MODULY_CBA!B23,KATALOG_POZIADAVKY!$P$3:$P$298)/8),0),"")</f>
        <v>0</v>
      </c>
      <c r="K23" s="414"/>
      <c r="L23" s="414"/>
      <c r="M23" s="414"/>
      <c r="N23" s="509"/>
      <c r="O23" s="509">
        <f t="shared" si="0"/>
        <v>0</v>
      </c>
    </row>
  </sheetData>
  <conditionalFormatting sqref="K3:K23">
    <cfRule type="cellIs" dxfId="20" priority="1" operator="greaterThan">
      <formula>0.1</formula>
    </cfRule>
  </conditionalFormatting>
  <dataValidations count="2">
    <dataValidation type="list" allowBlank="1" showInputMessage="1" showErrorMessage="1" sqref="G3:G23" xr:uid="{00000000-0002-0000-0800-000000000000}">
      <formula1>Inkrement</formula1>
    </dataValidation>
    <dataValidation type="list" allowBlank="1" showInputMessage="1" showErrorMessage="1" sqref="F3:F23" xr:uid="{00000000-0002-0000-0800-000001000000}">
      <formula1>"15,20,25,30"</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41</vt:i4>
      </vt:variant>
      <vt:variant>
        <vt:lpstr>Named Ranges</vt:lpstr>
      </vt:variant>
      <vt:variant>
        <vt:i4>24</vt:i4>
      </vt:variant>
    </vt:vector>
  </HeadingPairs>
  <TitlesOfParts>
    <vt:vector size="65" baseType="lpstr">
      <vt:lpstr>Úvod</vt:lpstr>
      <vt:lpstr>Zoznam_Harkov</vt:lpstr>
      <vt:lpstr>Sumarizácia</vt:lpstr>
      <vt:lpstr>Zdroje Financovania</vt:lpstr>
      <vt:lpstr>CBA - Agendové IS</vt:lpstr>
      <vt:lpstr>Výdavky - Agendové IS</vt:lpstr>
      <vt:lpstr>Prínosy - Agendové IS</vt:lpstr>
      <vt:lpstr>Parametre - Agendové IS</vt:lpstr>
      <vt:lpstr>MODULY_CBA</vt:lpstr>
      <vt:lpstr>Parametre_ECF_TCF</vt:lpstr>
      <vt:lpstr>INKREMENTY</vt:lpstr>
      <vt:lpstr>KATALOG_POZIADAVKY</vt:lpstr>
      <vt:lpstr>TCF_v02</vt:lpstr>
      <vt:lpstr>ECF_v02</vt:lpstr>
      <vt:lpstr>UAW_v02</vt:lpstr>
      <vt:lpstr>EXTERNE_POZICIE</vt:lpstr>
      <vt:lpstr>POZICIE_INTERNE</vt:lpstr>
      <vt:lpstr>Rozpocet - Vyvoj aplikacii</vt:lpstr>
      <vt:lpstr>ISCO_Prevodnik</vt:lpstr>
      <vt:lpstr>Rozpočet - HW a licencie</vt:lpstr>
      <vt:lpstr>Harmonogram</vt:lpstr>
      <vt:lpstr>TCO</vt:lpstr>
      <vt:lpstr>TCO AS IS - SW</vt:lpstr>
      <vt:lpstr>TCO AS IS - HW</vt:lpstr>
      <vt:lpstr>TCO TO BE- SW</vt:lpstr>
      <vt:lpstr>TCO TO BE - HW</vt:lpstr>
      <vt:lpstr>Faktory</vt:lpstr>
      <vt:lpstr>Ciselnik</vt:lpstr>
      <vt:lpstr>Procesné mapy</vt:lpstr>
      <vt:lpstr>Procesy - AS IS</vt:lpstr>
      <vt:lpstr>Procesy - TO BE</vt:lpstr>
      <vt:lpstr>Analyza citlivosti - AgendovéIS</vt:lpstr>
      <vt:lpstr>Vyhodnotenie benefitov NetAcad</vt:lpstr>
      <vt:lpstr>Sub-analyza1 - pocty studentov</vt:lpstr>
      <vt:lpstr>Sub-analyza2 - nacenenie kurzov</vt:lpstr>
      <vt:lpstr>Sub-analyza3 - zadania kvality</vt:lpstr>
      <vt:lpstr>Prieskum trhu TOP kurzy zdroj3</vt:lpstr>
      <vt:lpstr>Pasport1 NetAcad zdroj4</vt:lpstr>
      <vt:lpstr>Rozpočet_FIN</vt:lpstr>
      <vt:lpstr>Rozpočet</vt:lpstr>
      <vt:lpstr>Rozdelenie prínosov</vt:lpstr>
      <vt:lpstr>'TCO TO BE - HW'!_ftn1</vt:lpstr>
      <vt:lpstr>'TCO TO BE - HW'!_ftnref1</vt:lpstr>
      <vt:lpstr>Bezpecnost</vt:lpstr>
      <vt:lpstr>Databazy</vt:lpstr>
      <vt:lpstr>POZICIE_INTERNE!Faza</vt:lpstr>
      <vt:lpstr>Faza</vt:lpstr>
      <vt:lpstr>Ine</vt:lpstr>
      <vt:lpstr>Infrastrutkura</vt:lpstr>
      <vt:lpstr>Inkrement</vt:lpstr>
      <vt:lpstr>IT_analytik</vt:lpstr>
      <vt:lpstr>IT_architekt</vt:lpstr>
      <vt:lpstr>IT_konzultant</vt:lpstr>
      <vt:lpstr>IT_programator</vt:lpstr>
      <vt:lpstr>IT_tester</vt:lpstr>
      <vt:lpstr>Kvalita</vt:lpstr>
      <vt:lpstr>MODULY</vt:lpstr>
      <vt:lpstr>Moduly_2</vt:lpstr>
      <vt:lpstr>POZICIE_INTERNE!Pozicia</vt:lpstr>
      <vt:lpstr>Pozicia</vt:lpstr>
      <vt:lpstr>PozicieKomplet</vt:lpstr>
      <vt:lpstr>'Pasport1 NetAcad zdroj4'!Print_Area</vt:lpstr>
      <vt:lpstr>Projektovy_manazer</vt:lpstr>
      <vt:lpstr>Projektový_manažér</vt:lpstr>
      <vt:lpstr>Subjekt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PS</dc:creator>
  <cp:keywords/>
  <dc:description/>
  <cp:lastModifiedBy>Lukas Lukac</cp:lastModifiedBy>
  <cp:lastPrinted>2021-02-09T11:03:13Z</cp:lastPrinted>
  <dcterms:created xsi:type="dcterms:W3CDTF">2015-01-29T13:50:20Z</dcterms:created>
  <dcterms:modified xsi:type="dcterms:W3CDTF">2025-11-26T12:05:26Z</dcterms:modified>
  <cp:category/>
</cp:coreProperties>
</file>